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C:\Users\Akanksha Singh\Downloads\"/>
    </mc:Choice>
  </mc:AlternateContent>
  <xr:revisionPtr revIDLastSave="0" documentId="13_ncr:1_{FF4BB9DD-50A4-434B-AEB9-0E8D47CCF509}"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19420" windowHeight="1150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C69" i="4"/>
  <c r="AA927" i="3"/>
  <c r="W869" i="3"/>
  <c r="AJ56" i="7" l="1"/>
  <c r="AL56" i="7" s="1"/>
  <c r="AN56" i="7" s="1"/>
  <c r="AP56" i="7" s="1"/>
  <c r="AR56" i="7" s="1"/>
  <c r="AT56" i="7" s="1"/>
  <c r="AV56" i="7" s="1"/>
  <c r="AX56" i="7" s="1"/>
  <c r="AZ56" i="7" s="1"/>
  <c r="BB56" i="7" s="1"/>
  <c r="BD56" i="7" s="1"/>
  <c r="BF56" i="7" s="1"/>
  <c r="BH56" i="7" s="1"/>
  <c r="BJ56" i="7" s="1"/>
  <c r="BL56" i="7" s="1"/>
  <c r="BN56" i="7" s="1"/>
  <c r="BP56" i="7" s="1"/>
  <c r="BR56" i="7" s="1"/>
  <c r="BT56" i="7" s="1"/>
  <c r="BV56" i="7" s="1"/>
  <c r="BX56" i="7" s="1"/>
  <c r="BZ56" i="7" s="1"/>
  <c r="CB56" i="7" s="1"/>
  <c r="CD56" i="7" s="1"/>
  <c r="CF56" i="7" s="1"/>
  <c r="CH56" i="7" s="1"/>
  <c r="CJ56" i="7" s="1"/>
  <c r="CL56" i="7" s="1"/>
  <c r="CN56" i="7" s="1"/>
  <c r="CP56" i="7" s="1"/>
  <c r="CR56" i="7" s="1"/>
  <c r="CT56" i="7" s="1"/>
  <c r="CV56" i="7" s="1"/>
  <c r="CX56" i="7" s="1"/>
  <c r="CZ56" i="7" s="1"/>
  <c r="DB56" i="7" s="1"/>
  <c r="DD56" i="7" s="1"/>
  <c r="DF56" i="7" s="1"/>
  <c r="DH56" i="7" s="1"/>
  <c r="DJ56" i="7" s="1"/>
  <c r="DL56" i="7" s="1"/>
  <c r="DN56" i="7" s="1"/>
  <c r="DP56" i="7" s="1"/>
  <c r="DR56" i="7" s="1"/>
  <c r="DT56" i="7" s="1"/>
  <c r="DV56" i="7" s="1"/>
  <c r="DX56" i="7" s="1"/>
  <c r="DZ56" i="7" s="1"/>
  <c r="EB56" i="7" s="1"/>
  <c r="ED56" i="7" s="1"/>
  <c r="EF56" i="7" s="1"/>
  <c r="EH56" i="7" s="1"/>
  <c r="EJ56" i="7" s="1"/>
  <c r="EL56" i="7" s="1"/>
  <c r="EN56" i="7" s="1"/>
  <c r="EP56" i="7" s="1"/>
  <c r="ER56" i="7" s="1"/>
  <c r="ET56" i="7" s="1"/>
  <c r="EV56" i="7" s="1"/>
  <c r="EX56" i="7" s="1"/>
  <c r="EZ56" i="7" s="1"/>
  <c r="FB56" i="7" s="1"/>
  <c r="FD56" i="7" s="1"/>
  <c r="FF56" i="7" s="1"/>
  <c r="FH56" i="7" s="1"/>
  <c r="FJ56" i="7" s="1"/>
  <c r="FL56" i="7" s="1"/>
  <c r="FN56" i="7" s="1"/>
  <c r="FP56" i="7" s="1"/>
  <c r="FR56" i="7" s="1"/>
  <c r="FT56" i="7" s="1"/>
  <c r="FV56" i="7" s="1"/>
  <c r="FX56" i="7" s="1"/>
  <c r="FZ56" i="7" s="1"/>
  <c r="GB56" i="7" s="1"/>
  <c r="GD56" i="7" s="1"/>
  <c r="GF56" i="7" s="1"/>
  <c r="GH56" i="7" s="1"/>
  <c r="GJ56" i="7" s="1"/>
  <c r="GL56" i="7" s="1"/>
  <c r="GN56" i="7" s="1"/>
  <c r="GP56" i="7" s="1"/>
  <c r="GR56" i="7" s="1"/>
  <c r="GT56" i="7" s="1"/>
  <c r="GV56" i="7" s="1"/>
  <c r="GX56" i="7" s="1"/>
  <c r="GZ56" i="7" s="1"/>
  <c r="HB56" i="7" s="1"/>
  <c r="HD56" i="7" s="1"/>
  <c r="HF56" i="7" s="1"/>
  <c r="HH56" i="7" s="1"/>
  <c r="HJ56" i="7" s="1"/>
  <c r="HL56" i="7" s="1"/>
  <c r="HN56" i="7" s="1"/>
  <c r="HP56" i="7" s="1"/>
  <c r="HR56" i="7" s="1"/>
  <c r="HT56" i="7" s="1"/>
  <c r="HV56" i="7" s="1"/>
  <c r="HX56" i="7" s="1"/>
  <c r="HZ56" i="7" s="1"/>
  <c r="IB56" i="7" s="1"/>
  <c r="ID56" i="7" s="1"/>
  <c r="IF56" i="7" s="1"/>
  <c r="IH56" i="7" s="1"/>
  <c r="IJ56" i="7" s="1"/>
  <c r="IL56" i="7" s="1"/>
  <c r="IN56" i="7" s="1"/>
  <c r="IP56" i="7" s="1"/>
  <c r="IR56" i="7" s="1"/>
  <c r="IT56" i="7" s="1"/>
  <c r="IV56" i="7" s="1"/>
  <c r="IX56" i="7" s="1"/>
  <c r="IZ56" i="7" s="1"/>
  <c r="JB56" i="7" s="1"/>
  <c r="JD56" i="7" s="1"/>
  <c r="JF56" i="7" s="1"/>
  <c r="JH56" i="7" s="1"/>
  <c r="JJ56" i="7" s="1"/>
  <c r="JL56" i="7" s="1"/>
  <c r="JN56" i="7" s="1"/>
  <c r="JP56" i="7" s="1"/>
  <c r="JR56" i="7" s="1"/>
  <c r="JT56" i="7" s="1"/>
  <c r="JV56" i="7" s="1"/>
  <c r="JX56" i="7" s="1"/>
  <c r="JZ56" i="7" s="1"/>
  <c r="KB56" i="7" s="1"/>
  <c r="KD56" i="7" s="1"/>
  <c r="KF56" i="7" s="1"/>
  <c r="KH56" i="7" s="1"/>
  <c r="KJ56" i="7" s="1"/>
  <c r="KL56" i="7" s="1"/>
  <c r="KN56" i="7" s="1"/>
  <c r="KP56" i="7" s="1"/>
  <c r="KR56" i="7" s="1"/>
  <c r="KT56" i="7" s="1"/>
  <c r="KV56" i="7" s="1"/>
  <c r="KX56" i="7" s="1"/>
  <c r="KZ56" i="7" s="1"/>
  <c r="LB56" i="7" s="1"/>
  <c r="LD56" i="7" s="1"/>
  <c r="LF56" i="7" s="1"/>
  <c r="LH56" i="7" s="1"/>
  <c r="LJ56" i="7" s="1"/>
  <c r="LL56" i="7" s="1"/>
  <c r="LN56" i="7" s="1"/>
  <c r="LP56" i="7" s="1"/>
  <c r="LR56" i="7" s="1"/>
  <c r="LT56" i="7" s="1"/>
  <c r="LV56" i="7" s="1"/>
  <c r="LX56" i="7" s="1"/>
  <c r="LZ56" i="7" s="1"/>
  <c r="MB56" i="7" s="1"/>
  <c r="MD56" i="7" s="1"/>
  <c r="MF56" i="7" s="1"/>
  <c r="MH56" i="7" s="1"/>
  <c r="MJ56" i="7" s="1"/>
  <c r="ML56" i="7" s="1"/>
  <c r="MN56" i="7" s="1"/>
  <c r="MP56" i="7" s="1"/>
  <c r="MR56" i="7" s="1"/>
  <c r="MT56" i="7" s="1"/>
  <c r="MV56" i="7" s="1"/>
  <c r="MX56" i="7" s="1"/>
  <c r="MZ56" i="7" s="1"/>
  <c r="NB56" i="7" s="1"/>
  <c r="ND56" i="7" s="1"/>
  <c r="NF56" i="7" s="1"/>
  <c r="NH56" i="7" s="1"/>
  <c r="NJ56" i="7" s="1"/>
  <c r="NL56" i="7" s="1"/>
  <c r="NN56" i="7" s="1"/>
  <c r="NP56" i="7" s="1"/>
  <c r="NR56" i="7" s="1"/>
  <c r="NT56" i="7" s="1"/>
  <c r="NV56" i="7" s="1"/>
  <c r="NX56" i="7" s="1"/>
  <c r="NZ56" i="7" s="1"/>
  <c r="OB56" i="7" s="1"/>
  <c r="OD56" i="7" s="1"/>
  <c r="OF56" i="7" s="1"/>
  <c r="OH56" i="7" s="1"/>
  <c r="OJ56" i="7" s="1"/>
  <c r="OL56" i="7" s="1"/>
  <c r="ON56" i="7" s="1"/>
  <c r="OP56" i="7" s="1"/>
  <c r="OR56" i="7" s="1"/>
  <c r="OT56" i="7" s="1"/>
  <c r="OV56" i="7" s="1"/>
  <c r="OX56" i="7" s="1"/>
  <c r="OZ56" i="7" s="1"/>
  <c r="PB56" i="7" s="1"/>
  <c r="PD56" i="7" s="1"/>
  <c r="PF56" i="7" s="1"/>
  <c r="PH56" i="7" s="1"/>
  <c r="PJ56" i="7" s="1"/>
  <c r="PL56" i="7" s="1"/>
  <c r="PN56" i="7" s="1"/>
  <c r="PP56" i="7" s="1"/>
  <c r="PR56" i="7" s="1"/>
  <c r="PT56" i="7" s="1"/>
  <c r="PV56" i="7" s="1"/>
  <c r="PX56" i="7" s="1"/>
  <c r="PZ56" i="7" s="1"/>
  <c r="QB56" i="7" s="1"/>
  <c r="QD56" i="7" s="1"/>
  <c r="QF56" i="7" s="1"/>
  <c r="QH56" i="7" s="1"/>
  <c r="QJ56" i="7" s="1"/>
  <c r="QL56" i="7" s="1"/>
  <c r="QN56" i="7" s="1"/>
  <c r="QP56" i="7" s="1"/>
  <c r="QR56" i="7" s="1"/>
  <c r="QT56" i="7" s="1"/>
  <c r="QV56" i="7" s="1"/>
  <c r="QX56" i="7" s="1"/>
  <c r="QZ56" i="7" s="1"/>
  <c r="RB56" i="7" s="1"/>
  <c r="RD56" i="7" s="1"/>
  <c r="RF56" i="7" s="1"/>
  <c r="RH56" i="7" s="1"/>
  <c r="RJ56" i="7" s="1"/>
  <c r="RL56" i="7" s="1"/>
  <c r="RN56" i="7" s="1"/>
  <c r="RP56" i="7" s="1"/>
  <c r="RR56" i="7" s="1"/>
  <c r="RT56" i="7" s="1"/>
  <c r="RV56" i="7" s="1"/>
  <c r="RX56" i="7" s="1"/>
  <c r="RZ56" i="7" s="1"/>
  <c r="SB56" i="7" s="1"/>
  <c r="SD56" i="7" s="1"/>
  <c r="SF56" i="7" s="1"/>
  <c r="SH56" i="7" s="1"/>
  <c r="SJ56" i="7" s="1"/>
  <c r="SL56" i="7" s="1"/>
  <c r="SN56" i="7" s="1"/>
  <c r="SP56" i="7" s="1"/>
  <c r="SR56" i="7" s="1"/>
  <c r="ST56" i="7" s="1"/>
  <c r="SV56" i="7" s="1"/>
  <c r="SX56" i="7" s="1"/>
  <c r="SZ56" i="7" s="1"/>
  <c r="TB56" i="7" s="1"/>
  <c r="TD56" i="7" s="1"/>
  <c r="TF56" i="7" s="1"/>
  <c r="TH56" i="7" s="1"/>
  <c r="TJ56" i="7" s="1"/>
  <c r="TL56" i="7" s="1"/>
  <c r="TN56" i="7" s="1"/>
  <c r="TP56" i="7" s="1"/>
  <c r="TR56" i="7" s="1"/>
  <c r="TT56" i="7" s="1"/>
  <c r="TV56" i="7" s="1"/>
  <c r="TX56" i="7" s="1"/>
  <c r="TZ56" i="7" s="1"/>
  <c r="UB56" i="7" s="1"/>
  <c r="UD56" i="7" s="1"/>
  <c r="UF56" i="7" s="1"/>
  <c r="UH56" i="7" s="1"/>
  <c r="UJ56" i="7" s="1"/>
  <c r="UL56" i="7" s="1"/>
  <c r="UN56" i="7" s="1"/>
  <c r="UP56" i="7" s="1"/>
  <c r="UR56" i="7" s="1"/>
  <c r="UT56" i="7" s="1"/>
  <c r="UV56" i="7" s="1"/>
  <c r="UX56" i="7" s="1"/>
  <c r="UZ56" i="7" s="1"/>
  <c r="VB56" i="7" s="1"/>
  <c r="VD56" i="7" s="1"/>
  <c r="VF56" i="7" s="1"/>
  <c r="VH56" i="7" s="1"/>
  <c r="VJ56" i="7" s="1"/>
  <c r="VL56" i="7" s="1"/>
  <c r="VN56" i="7" s="1"/>
  <c r="VP56" i="7" s="1"/>
  <c r="VR56" i="7" s="1"/>
  <c r="VT56" i="7" s="1"/>
  <c r="VV56" i="7" s="1"/>
  <c r="VX56" i="7" s="1"/>
  <c r="VZ56" i="7" s="1"/>
  <c r="WB56" i="7" s="1"/>
  <c r="WD56" i="7" s="1"/>
  <c r="WF56" i="7" s="1"/>
  <c r="WH56" i="7" s="1"/>
  <c r="WJ56" i="7" s="1"/>
  <c r="WL56" i="7" s="1"/>
  <c r="WN56" i="7" s="1"/>
  <c r="WP56" i="7" s="1"/>
  <c r="WR56" i="7" s="1"/>
  <c r="WT56" i="7" s="1"/>
  <c r="WV56" i="7" s="1"/>
  <c r="WX56" i="7" s="1"/>
  <c r="WZ56" i="7" s="1"/>
  <c r="XB56" i="7" s="1"/>
  <c r="XD56" i="7" s="1"/>
  <c r="XF56" i="7" s="1"/>
  <c r="XH56" i="7" s="1"/>
  <c r="XJ56" i="7" s="1"/>
  <c r="XL56" i="7" s="1"/>
  <c r="XN56" i="7" s="1"/>
  <c r="XP56" i="7" s="1"/>
  <c r="XR56" i="7" s="1"/>
  <c r="XT56" i="7" s="1"/>
  <c r="XV56" i="7" s="1"/>
  <c r="XX56" i="7" s="1"/>
  <c r="XZ56" i="7" s="1"/>
  <c r="YB56" i="7" s="1"/>
  <c r="YD56" i="7" s="1"/>
  <c r="YF56" i="7" s="1"/>
  <c r="YH56" i="7" s="1"/>
  <c r="YJ56" i="7" s="1"/>
  <c r="YL56" i="7" s="1"/>
  <c r="YN56" i="7" s="1"/>
  <c r="YP56" i="7" s="1"/>
  <c r="YR56" i="7" s="1"/>
  <c r="YT56" i="7" s="1"/>
  <c r="YV56" i="7" s="1"/>
  <c r="YX56" i="7" s="1"/>
  <c r="YZ56" i="7" s="1"/>
  <c r="ZB56" i="7" s="1"/>
  <c r="ZD56" i="7" s="1"/>
  <c r="ZF56" i="7" s="1"/>
  <c r="ZH56" i="7" s="1"/>
  <c r="ZJ56" i="7" s="1"/>
  <c r="ZL56" i="7" s="1"/>
  <c r="ZN56" i="7" s="1"/>
  <c r="ZP56" i="7" s="1"/>
  <c r="ZR56" i="7" s="1"/>
  <c r="ZT56" i="7" s="1"/>
  <c r="ZV56" i="7" s="1"/>
  <c r="ZX56" i="7" s="1"/>
  <c r="ZZ56" i="7" s="1"/>
  <c r="AAB56" i="7" s="1"/>
  <c r="AAD56" i="7" s="1"/>
  <c r="AAF56" i="7" s="1"/>
  <c r="AAH56" i="7" s="1"/>
  <c r="AAJ56" i="7" s="1"/>
  <c r="AAL56" i="7" s="1"/>
  <c r="AAN56" i="7" s="1"/>
  <c r="AAP56" i="7" s="1"/>
  <c r="AAR56" i="7" s="1"/>
  <c r="AAT56" i="7" s="1"/>
  <c r="AAV56" i="7" s="1"/>
  <c r="AAX56" i="7" s="1"/>
  <c r="AAZ56" i="7" s="1"/>
  <c r="ABB56" i="7" s="1"/>
  <c r="ABD56" i="7" s="1"/>
  <c r="ABF56" i="7" s="1"/>
  <c r="ABH56" i="7" s="1"/>
  <c r="ABJ56" i="7" s="1"/>
  <c r="ABL56" i="7" s="1"/>
  <c r="ABN56" i="7" s="1"/>
  <c r="ABP56" i="7" s="1"/>
  <c r="ABR56" i="7" s="1"/>
  <c r="ABT56" i="7" s="1"/>
  <c r="ABV56" i="7" s="1"/>
  <c r="ABX56" i="7" s="1"/>
  <c r="ABZ56" i="7" s="1"/>
  <c r="ACB56" i="7" s="1"/>
  <c r="ACD56" i="7" s="1"/>
  <c r="ACF56" i="7" s="1"/>
  <c r="ACH56" i="7" s="1"/>
  <c r="ACJ56" i="7" s="1"/>
  <c r="ACL56" i="7" s="1"/>
  <c r="ACN56" i="7" s="1"/>
  <c r="ACP56" i="7" s="1"/>
  <c r="ACR56" i="7" s="1"/>
  <c r="ACT56" i="7" s="1"/>
  <c r="ACV56" i="7" s="1"/>
  <c r="ACX56" i="7" s="1"/>
  <c r="ACZ56" i="7" s="1"/>
  <c r="ADB56" i="7" s="1"/>
  <c r="ADD56" i="7" s="1"/>
  <c r="ADF56" i="7" s="1"/>
  <c r="ADH56" i="7" s="1"/>
  <c r="ADJ56" i="7" s="1"/>
  <c r="ADL56" i="7" s="1"/>
  <c r="ADN56" i="7" s="1"/>
  <c r="ADP56" i="7" s="1"/>
  <c r="ADR56" i="7" s="1"/>
  <c r="ADT56" i="7" s="1"/>
  <c r="ADV56" i="7" s="1"/>
  <c r="ADX56" i="7" s="1"/>
  <c r="ADZ56" i="7" s="1"/>
  <c r="AEB56" i="7" s="1"/>
  <c r="AED56" i="7" s="1"/>
  <c r="AEF56" i="7" s="1"/>
  <c r="AEH56" i="7" s="1"/>
  <c r="AEJ56" i="7" s="1"/>
  <c r="AEL56" i="7" s="1"/>
  <c r="AEN56" i="7" s="1"/>
  <c r="AEP56" i="7" s="1"/>
  <c r="AER56" i="7" s="1"/>
  <c r="AET56" i="7" s="1"/>
  <c r="AEV56" i="7" s="1"/>
  <c r="AEX56" i="7" s="1"/>
  <c r="AEZ56" i="7" s="1"/>
  <c r="AFB56" i="7" s="1"/>
  <c r="AFD56" i="7" s="1"/>
  <c r="AFF56" i="7" s="1"/>
  <c r="AFH56" i="7" s="1"/>
  <c r="AFJ56" i="7" s="1"/>
  <c r="AFL56" i="7" s="1"/>
  <c r="AFN56" i="7" s="1"/>
  <c r="AFP56" i="7" s="1"/>
  <c r="AFR56" i="7" s="1"/>
  <c r="AFT56" i="7" s="1"/>
  <c r="AFV56" i="7" s="1"/>
  <c r="AFX56" i="7" s="1"/>
  <c r="AFZ56" i="7" s="1"/>
  <c r="AGB56" i="7" s="1"/>
  <c r="AGD56" i="7" s="1"/>
  <c r="AGF56" i="7" s="1"/>
  <c r="AGH56" i="7" s="1"/>
  <c r="AGJ56" i="7" s="1"/>
  <c r="AGL56" i="7" s="1"/>
  <c r="AGN56" i="7" s="1"/>
  <c r="AGP56" i="7" s="1"/>
  <c r="AGR56" i="7" s="1"/>
  <c r="AGT56" i="7" s="1"/>
  <c r="AGV56" i="7" s="1"/>
  <c r="AGX56" i="7" s="1"/>
  <c r="AGZ56" i="7" s="1"/>
  <c r="AHB56" i="7" s="1"/>
  <c r="AHD56" i="7" s="1"/>
  <c r="AHF56" i="7" s="1"/>
  <c r="AHH56" i="7" s="1"/>
  <c r="AHJ56" i="7" s="1"/>
  <c r="AHL56" i="7" s="1"/>
  <c r="AHN56" i="7" s="1"/>
  <c r="AHP56" i="7" s="1"/>
  <c r="AHR56" i="7" s="1"/>
  <c r="AHT56" i="7" s="1"/>
  <c r="AHV56" i="7" s="1"/>
  <c r="AHX56" i="7" s="1"/>
  <c r="AHZ56" i="7" s="1"/>
  <c r="AIB56" i="7" s="1"/>
  <c r="AID56" i="7" s="1"/>
  <c r="AIF56" i="7" s="1"/>
  <c r="AIH56" i="7" s="1"/>
  <c r="AIJ56" i="7" s="1"/>
  <c r="AIL56" i="7" s="1"/>
  <c r="AIN56" i="7" s="1"/>
  <c r="AIP56" i="7" s="1"/>
  <c r="AIR56" i="7" s="1"/>
  <c r="AIT56" i="7" s="1"/>
  <c r="AIV56" i="7" s="1"/>
  <c r="AIX56" i="7" s="1"/>
  <c r="AIZ56" i="7" s="1"/>
  <c r="AJB56" i="7" s="1"/>
  <c r="AJD56" i="7" s="1"/>
  <c r="AJF56" i="7" s="1"/>
  <c r="AJH56" i="7" s="1"/>
  <c r="AJJ56" i="7" s="1"/>
  <c r="AJL56" i="7" s="1"/>
  <c r="AJN56" i="7" s="1"/>
  <c r="AJP56" i="7" s="1"/>
  <c r="AJR56" i="7" s="1"/>
  <c r="AJT56" i="7" s="1"/>
  <c r="AJV56" i="7" s="1"/>
  <c r="AJX56" i="7" s="1"/>
  <c r="AJZ56" i="7" s="1"/>
  <c r="AKB56" i="7" s="1"/>
  <c r="AKD56" i="7" s="1"/>
  <c r="AKF56" i="7" s="1"/>
  <c r="AKH56" i="7" s="1"/>
  <c r="AKJ56" i="7" s="1"/>
  <c r="AKL56" i="7" s="1"/>
  <c r="AKN56" i="7" s="1"/>
  <c r="AKP56" i="7" s="1"/>
  <c r="AKR56" i="7" s="1"/>
  <c r="AKT56" i="7" s="1"/>
  <c r="AKV56" i="7" s="1"/>
  <c r="AKX56" i="7" s="1"/>
  <c r="AKZ56" i="7" s="1"/>
  <c r="ALB56" i="7" s="1"/>
  <c r="ALD56" i="7" s="1"/>
  <c r="ALF56" i="7" s="1"/>
  <c r="ALH56" i="7" s="1"/>
  <c r="ALJ56" i="7" s="1"/>
  <c r="ALL56" i="7" s="1"/>
  <c r="ALN56" i="7" s="1"/>
  <c r="ALP56" i="7" s="1"/>
  <c r="ALR56" i="7" s="1"/>
  <c r="ALT56" i="7" s="1"/>
  <c r="ALV56" i="7" s="1"/>
  <c r="ALX56" i="7" s="1"/>
  <c r="ALZ56" i="7" s="1"/>
  <c r="AMB56" i="7" s="1"/>
  <c r="AMD56" i="7" s="1"/>
  <c r="AMF56" i="7" s="1"/>
  <c r="AMH56" i="7" s="1"/>
  <c r="AMJ56" i="7" s="1"/>
  <c r="AML56" i="7" s="1"/>
  <c r="AMN56" i="7" s="1"/>
  <c r="AMP56" i="7" s="1"/>
  <c r="AMR56" i="7" s="1"/>
  <c r="AMT56" i="7" s="1"/>
  <c r="AMV56" i="7" s="1"/>
  <c r="AMX56" i="7" s="1"/>
  <c r="AMZ56" i="7" s="1"/>
  <c r="ANB56" i="7" s="1"/>
  <c r="AND56" i="7" s="1"/>
  <c r="ANF56" i="7" s="1"/>
  <c r="ANH56" i="7" s="1"/>
  <c r="ANJ56" i="7" s="1"/>
  <c r="ANL56" i="7" s="1"/>
  <c r="ANN56" i="7" s="1"/>
  <c r="ANP56" i="7" s="1"/>
  <c r="ANR56" i="7" s="1"/>
  <c r="ANT56" i="7" s="1"/>
  <c r="ANV56" i="7" s="1"/>
  <c r="ANX56" i="7" s="1"/>
  <c r="ANZ56" i="7" s="1"/>
  <c r="AOB56" i="7" s="1"/>
  <c r="AOD56" i="7" s="1"/>
  <c r="AOF56" i="7" s="1"/>
  <c r="AOH56" i="7" s="1"/>
  <c r="AOJ56" i="7" s="1"/>
  <c r="AOL56" i="7" s="1"/>
  <c r="AON56" i="7" s="1"/>
  <c r="AOP56" i="7" s="1"/>
  <c r="AOR56" i="7" s="1"/>
  <c r="AOT56" i="7" s="1"/>
  <c r="AOV56" i="7" s="1"/>
  <c r="AOX56" i="7" s="1"/>
  <c r="AOZ56" i="7" s="1"/>
  <c r="APB56" i="7" s="1"/>
  <c r="APD56" i="7" s="1"/>
  <c r="APF56" i="7" s="1"/>
  <c r="APH56" i="7" s="1"/>
  <c r="APJ56" i="7" s="1"/>
  <c r="APL56" i="7" s="1"/>
  <c r="APN56" i="7" s="1"/>
  <c r="APP56" i="7" s="1"/>
  <c r="APR56" i="7" s="1"/>
  <c r="APT56" i="7" s="1"/>
  <c r="APV56" i="7" s="1"/>
  <c r="APX56" i="7" s="1"/>
  <c r="APZ56" i="7" s="1"/>
  <c r="AQB56" i="7" s="1"/>
  <c r="AQD56" i="7" s="1"/>
  <c r="AQF56" i="7" s="1"/>
  <c r="AQH56" i="7" s="1"/>
  <c r="AQJ56" i="7" s="1"/>
  <c r="AQL56" i="7" s="1"/>
  <c r="AQN56" i="7" s="1"/>
  <c r="AQP56" i="7" s="1"/>
  <c r="AQR56" i="7" s="1"/>
  <c r="AQT56" i="7" s="1"/>
  <c r="AQV56" i="7" s="1"/>
  <c r="AQX56" i="7" s="1"/>
  <c r="AQZ56" i="7" s="1"/>
  <c r="ARB56" i="7" s="1"/>
  <c r="ARD56" i="7" s="1"/>
  <c r="ARF56" i="7" s="1"/>
  <c r="ARH56" i="7" s="1"/>
  <c r="ARJ56" i="7" s="1"/>
  <c r="ARL56" i="7" s="1"/>
  <c r="ARN56" i="7" s="1"/>
  <c r="ARP56" i="7" s="1"/>
  <c r="ARR56" i="7" s="1"/>
  <c r="ART56" i="7" s="1"/>
  <c r="ARV56" i="7" s="1"/>
  <c r="ARX56" i="7" s="1"/>
  <c r="ARZ56" i="7" s="1"/>
  <c r="ASB56" i="7" s="1"/>
  <c r="ASD56" i="7" s="1"/>
  <c r="ASF56" i="7" s="1"/>
  <c r="ASH56" i="7" s="1"/>
  <c r="ASJ56" i="7" s="1"/>
  <c r="ASL56" i="7" s="1"/>
  <c r="ASN56" i="7" s="1"/>
  <c r="ASP56" i="7" s="1"/>
  <c r="ASR56" i="7" s="1"/>
  <c r="AST56" i="7" s="1"/>
  <c r="ASV56" i="7" s="1"/>
  <c r="ASX56" i="7" s="1"/>
  <c r="ASZ56" i="7" s="1"/>
  <c r="ATB56" i="7" s="1"/>
  <c r="ATD56" i="7" s="1"/>
  <c r="ATF56" i="7" s="1"/>
  <c r="ATH56" i="7" s="1"/>
  <c r="ATJ56" i="7" s="1"/>
  <c r="ATL56" i="7" s="1"/>
  <c r="ATN56" i="7" s="1"/>
  <c r="ATP56" i="7" s="1"/>
  <c r="ATR56" i="7" s="1"/>
  <c r="ATT56" i="7" s="1"/>
  <c r="ATV56" i="7" s="1"/>
  <c r="ATX56" i="7" s="1"/>
  <c r="ATZ56" i="7" s="1"/>
  <c r="AUB56" i="7" s="1"/>
  <c r="AUD56" i="7" s="1"/>
  <c r="AUF56" i="7" s="1"/>
  <c r="AUH56" i="7" s="1"/>
  <c r="AUJ56" i="7" s="1"/>
  <c r="AUL56" i="7" s="1"/>
  <c r="AUN56" i="7" s="1"/>
  <c r="AUP56" i="7" s="1"/>
  <c r="AUR56" i="7" s="1"/>
  <c r="AUT56" i="7" s="1"/>
  <c r="AUV56" i="7" s="1"/>
  <c r="AUX56" i="7" s="1"/>
  <c r="AUZ56" i="7" s="1"/>
  <c r="AVB56" i="7" s="1"/>
  <c r="AVD56" i="7" s="1"/>
  <c r="AVF56" i="7" s="1"/>
  <c r="AVH56" i="7" s="1"/>
  <c r="AVJ56" i="7" s="1"/>
  <c r="AVL56" i="7" s="1"/>
  <c r="AVN56" i="7" s="1"/>
  <c r="AVP56" i="7" s="1"/>
  <c r="AVR56" i="7" s="1"/>
  <c r="AVT56" i="7" s="1"/>
  <c r="AVV56" i="7" s="1"/>
  <c r="AVX56" i="7" s="1"/>
  <c r="AVZ56" i="7" s="1"/>
  <c r="AWB56" i="7" s="1"/>
  <c r="AWD56" i="7" s="1"/>
  <c r="AWF56" i="7" s="1"/>
  <c r="AWH56" i="7" s="1"/>
  <c r="AWJ56" i="7" s="1"/>
  <c r="AWL56" i="7" s="1"/>
  <c r="AWN56" i="7" s="1"/>
  <c r="AWP56" i="7" s="1"/>
  <c r="AWR56" i="7" s="1"/>
  <c r="AWT56" i="7" s="1"/>
  <c r="AWV56" i="7" s="1"/>
  <c r="AWX56" i="7" s="1"/>
  <c r="AWZ56" i="7" s="1"/>
  <c r="AXB56" i="7" s="1"/>
  <c r="AXD56" i="7" s="1"/>
  <c r="AXF56" i="7" s="1"/>
  <c r="AXH56" i="7" s="1"/>
  <c r="AXJ56" i="7" s="1"/>
  <c r="AXL56" i="7" s="1"/>
  <c r="AXN56" i="7" s="1"/>
  <c r="AXP56" i="7" s="1"/>
  <c r="AXR56" i="7" s="1"/>
  <c r="AXT56" i="7" s="1"/>
  <c r="AXV56" i="7" s="1"/>
  <c r="AXX56" i="7" s="1"/>
  <c r="AXZ56" i="7" s="1"/>
  <c r="AYB56" i="7" s="1"/>
  <c r="AYD56" i="7" s="1"/>
  <c r="AYF56" i="7" s="1"/>
  <c r="AYH56" i="7" s="1"/>
  <c r="AYJ56" i="7" s="1"/>
  <c r="AYL56" i="7" s="1"/>
  <c r="AYN56" i="7" s="1"/>
  <c r="AYP56" i="7" s="1"/>
  <c r="AYR56" i="7" s="1"/>
  <c r="AYT56" i="7" s="1"/>
  <c r="AYV56" i="7" s="1"/>
  <c r="AYX56" i="7" s="1"/>
  <c r="AYZ56" i="7" s="1"/>
  <c r="AZB56" i="7" s="1"/>
  <c r="AZD56" i="7" s="1"/>
  <c r="AZF56" i="7" s="1"/>
  <c r="AZH56" i="7" s="1"/>
  <c r="AZJ56" i="7" s="1"/>
  <c r="AZL56" i="7" s="1"/>
  <c r="AZN56" i="7" s="1"/>
  <c r="AZP56" i="7" s="1"/>
  <c r="AZR56" i="7" s="1"/>
  <c r="AZT56" i="7" s="1"/>
  <c r="AZV56" i="7" s="1"/>
  <c r="AZX56" i="7" s="1"/>
  <c r="AZZ56" i="7" s="1"/>
  <c r="BAB56" i="7" s="1"/>
  <c r="BAD56" i="7" s="1"/>
  <c r="BAF56" i="7" s="1"/>
  <c r="BAH56" i="7" s="1"/>
  <c r="BAJ56" i="7" s="1"/>
  <c r="BAL56" i="7" s="1"/>
  <c r="BAN56" i="7" s="1"/>
  <c r="BAP56" i="7" s="1"/>
  <c r="BAR56" i="7" s="1"/>
  <c r="BAT56" i="7" s="1"/>
  <c r="BAV56" i="7" s="1"/>
  <c r="BAX56" i="7" s="1"/>
  <c r="BAZ56" i="7" s="1"/>
  <c r="BBB56" i="7" s="1"/>
  <c r="BBD56" i="7" s="1"/>
  <c r="BBF56" i="7" s="1"/>
  <c r="BBH56" i="7" s="1"/>
  <c r="BBJ56" i="7" s="1"/>
  <c r="BBL56" i="7" s="1"/>
  <c r="BBN56" i="7" s="1"/>
  <c r="BBP56" i="7" s="1"/>
  <c r="BBR56" i="7" s="1"/>
  <c r="BBT56" i="7" s="1"/>
  <c r="BBV56" i="7" s="1"/>
  <c r="BBX56" i="7" s="1"/>
  <c r="BBZ56" i="7" s="1"/>
  <c r="BCB56" i="7" s="1"/>
  <c r="BCD56" i="7" s="1"/>
  <c r="BCF56" i="7" s="1"/>
  <c r="BCH56" i="7" s="1"/>
  <c r="BCJ56" i="7" s="1"/>
  <c r="BCL56" i="7" s="1"/>
  <c r="BCN56" i="7" s="1"/>
  <c r="BCP56" i="7" s="1"/>
  <c r="BCR56" i="7" s="1"/>
  <c r="BCT56" i="7" s="1"/>
  <c r="BCV56" i="7" s="1"/>
  <c r="BCX56" i="7" s="1"/>
  <c r="BCZ56" i="7" s="1"/>
  <c r="BDB56" i="7" s="1"/>
  <c r="BDD56" i="7" s="1"/>
  <c r="BDF56" i="7" s="1"/>
  <c r="BDH56" i="7" s="1"/>
  <c r="BDJ56" i="7" s="1"/>
  <c r="BDL56" i="7" s="1"/>
  <c r="BDN56" i="7" s="1"/>
  <c r="BDP56" i="7" s="1"/>
  <c r="BDR56" i="7" s="1"/>
  <c r="BDT56" i="7" s="1"/>
  <c r="BDV56" i="7" s="1"/>
  <c r="BDX56" i="7" s="1"/>
  <c r="BDZ56" i="7" s="1"/>
  <c r="BEB56" i="7" s="1"/>
  <c r="BED56" i="7" s="1"/>
  <c r="BEF56" i="7" s="1"/>
  <c r="BEH56" i="7" s="1"/>
  <c r="BEJ56" i="7" s="1"/>
  <c r="BEL56" i="7" s="1"/>
  <c r="BEN56" i="7" s="1"/>
  <c r="BEP56" i="7" s="1"/>
  <c r="BER56" i="7" s="1"/>
  <c r="BET56" i="7" s="1"/>
  <c r="BEV56" i="7" s="1"/>
  <c r="BEX56" i="7" s="1"/>
  <c r="BEZ56" i="7" s="1"/>
  <c r="BFB56" i="7" s="1"/>
  <c r="BFD56" i="7" s="1"/>
  <c r="BFF56" i="7" s="1"/>
  <c r="BFH56" i="7" s="1"/>
  <c r="BFJ56" i="7" s="1"/>
  <c r="BFL56" i="7" s="1"/>
  <c r="BFN56" i="7" s="1"/>
  <c r="BFP56" i="7" s="1"/>
  <c r="BFR56" i="7" s="1"/>
  <c r="BFT56" i="7" s="1"/>
  <c r="BFV56" i="7" s="1"/>
  <c r="BFX56" i="7" s="1"/>
  <c r="BFZ56" i="7" s="1"/>
  <c r="BGB56" i="7" s="1"/>
  <c r="BGD56" i="7" s="1"/>
  <c r="BGF56" i="7" s="1"/>
  <c r="BGH56" i="7" s="1"/>
  <c r="BGJ56" i="7" s="1"/>
  <c r="BGL56" i="7" s="1"/>
  <c r="BGN56" i="7" s="1"/>
  <c r="BGP56" i="7" s="1"/>
  <c r="BGR56" i="7" s="1"/>
  <c r="BGT56" i="7" s="1"/>
  <c r="BGV56" i="7" s="1"/>
  <c r="BGX56" i="7" s="1"/>
  <c r="BGZ56" i="7" s="1"/>
  <c r="BHB56" i="7" s="1"/>
  <c r="BHD56" i="7" s="1"/>
  <c r="BHF56" i="7" s="1"/>
  <c r="BHH56" i="7" s="1"/>
  <c r="BHJ56" i="7" s="1"/>
  <c r="BHL56" i="7" s="1"/>
  <c r="BHN56" i="7" s="1"/>
  <c r="BHP56" i="7" s="1"/>
  <c r="BHR56" i="7" s="1"/>
  <c r="BHT56" i="7" s="1"/>
  <c r="BHV56" i="7" s="1"/>
  <c r="BHX56" i="7" s="1"/>
  <c r="BHZ56" i="7" s="1"/>
  <c r="BIB56" i="7" s="1"/>
  <c r="BID56" i="7" s="1"/>
  <c r="BIF56" i="7" s="1"/>
  <c r="BIH56" i="7" s="1"/>
  <c r="BIJ56" i="7" s="1"/>
  <c r="BIL56" i="7" s="1"/>
  <c r="BIN56" i="7" s="1"/>
  <c r="BIP56" i="7" s="1"/>
  <c r="BIR56" i="7" s="1"/>
  <c r="BIT56" i="7" s="1"/>
  <c r="BIV56" i="7" s="1"/>
  <c r="BIX56" i="7" s="1"/>
  <c r="BIZ56" i="7" s="1"/>
  <c r="BJB56" i="7" s="1"/>
  <c r="BJD56" i="7" s="1"/>
  <c r="BJF56" i="7" s="1"/>
  <c r="BJH56" i="7" s="1"/>
  <c r="BJJ56" i="7" s="1"/>
  <c r="BJL56" i="7" s="1"/>
  <c r="BJN56" i="7" s="1"/>
  <c r="BJP56" i="7" s="1"/>
  <c r="BJR56" i="7" s="1"/>
  <c r="BJT56" i="7" s="1"/>
  <c r="BJV56" i="7" s="1"/>
  <c r="BJX56" i="7" s="1"/>
  <c r="BJZ56" i="7" s="1"/>
  <c r="BKB56" i="7" s="1"/>
  <c r="BKD56" i="7" s="1"/>
  <c r="BKF56" i="7" s="1"/>
  <c r="BKH56" i="7" s="1"/>
  <c r="BKJ56" i="7" s="1"/>
  <c r="BKL56" i="7" s="1"/>
  <c r="BKN56" i="7" s="1"/>
  <c r="BKP56" i="7" s="1"/>
  <c r="BKR56" i="7" s="1"/>
  <c r="BKT56" i="7" s="1"/>
  <c r="BKV56" i="7" s="1"/>
  <c r="BKX56" i="7" s="1"/>
  <c r="BKZ56" i="7" s="1"/>
  <c r="BLB56" i="7" s="1"/>
  <c r="BLD56" i="7" s="1"/>
  <c r="BLF56" i="7" s="1"/>
  <c r="BLH56" i="7" s="1"/>
  <c r="BLJ56" i="7" s="1"/>
  <c r="BLL56" i="7" s="1"/>
  <c r="BLN56" i="7" s="1"/>
  <c r="BLP56" i="7" s="1"/>
  <c r="BLR56" i="7" s="1"/>
  <c r="BLT56" i="7" s="1"/>
  <c r="BLV56" i="7" s="1"/>
  <c r="BLX56" i="7" s="1"/>
  <c r="BLZ56" i="7" s="1"/>
  <c r="BMB56" i="7" s="1"/>
  <c r="BMD56" i="7" s="1"/>
  <c r="BMF56" i="7" s="1"/>
  <c r="BMH56" i="7" s="1"/>
  <c r="BMJ56" i="7" s="1"/>
  <c r="BML56" i="7" s="1"/>
  <c r="BMN56" i="7" s="1"/>
  <c r="BMP56" i="7" s="1"/>
  <c r="BMR56" i="7" s="1"/>
  <c r="BMT56" i="7" s="1"/>
  <c r="BMV56" i="7" s="1"/>
  <c r="BMX56" i="7" s="1"/>
  <c r="BMZ56" i="7" s="1"/>
  <c r="BNB56" i="7" s="1"/>
  <c r="BND56" i="7" s="1"/>
  <c r="BNF56" i="7" s="1"/>
  <c r="BNH56" i="7" s="1"/>
  <c r="BNJ56" i="7" s="1"/>
  <c r="BNL56" i="7" s="1"/>
  <c r="BNN56" i="7" s="1"/>
  <c r="BNP56" i="7" s="1"/>
  <c r="BNR56" i="7" s="1"/>
  <c r="BNT56" i="7" s="1"/>
  <c r="BNV56" i="7" s="1"/>
  <c r="BNX56" i="7" s="1"/>
  <c r="BNZ56" i="7" s="1"/>
  <c r="BOB56" i="7" s="1"/>
  <c r="BOD56" i="7" s="1"/>
  <c r="BOF56" i="7" s="1"/>
  <c r="BOH56" i="7" s="1"/>
  <c r="BOJ56" i="7" s="1"/>
  <c r="BOL56" i="7" s="1"/>
  <c r="BON56" i="7" s="1"/>
  <c r="BOP56" i="7" s="1"/>
  <c r="BOR56" i="7" s="1"/>
  <c r="BOT56" i="7" s="1"/>
  <c r="BOV56" i="7" s="1"/>
  <c r="BOX56" i="7" s="1"/>
  <c r="BOZ56" i="7" s="1"/>
  <c r="BPB56" i="7" s="1"/>
  <c r="BPD56" i="7" s="1"/>
  <c r="BPF56" i="7" s="1"/>
  <c r="BPH56" i="7" s="1"/>
  <c r="BPJ56" i="7" s="1"/>
  <c r="BPL56" i="7" s="1"/>
  <c r="BPN56" i="7" s="1"/>
  <c r="BPP56" i="7" s="1"/>
  <c r="BPR56" i="7" s="1"/>
  <c r="BPT56" i="7" s="1"/>
  <c r="BPV56" i="7" s="1"/>
  <c r="BPX56" i="7" s="1"/>
  <c r="BPZ56" i="7" s="1"/>
  <c r="BQB56" i="7" s="1"/>
  <c r="BQD56" i="7" s="1"/>
  <c r="BQF56" i="7" s="1"/>
  <c r="BQH56" i="7" s="1"/>
  <c r="BQJ56" i="7" s="1"/>
  <c r="BQL56" i="7" s="1"/>
  <c r="BQN56" i="7" s="1"/>
  <c r="BQP56" i="7" s="1"/>
  <c r="BQR56" i="7" s="1"/>
  <c r="BQT56" i="7" s="1"/>
  <c r="BQV56" i="7" s="1"/>
  <c r="BQX56" i="7" s="1"/>
  <c r="BQZ56" i="7" s="1"/>
  <c r="BRB56" i="7" s="1"/>
  <c r="BRD56" i="7" s="1"/>
  <c r="BRF56" i="7" s="1"/>
  <c r="BRH56" i="7" s="1"/>
  <c r="BRJ56" i="7" s="1"/>
  <c r="BRL56" i="7" s="1"/>
  <c r="BRN56" i="7" s="1"/>
  <c r="BRP56" i="7" s="1"/>
  <c r="BRR56" i="7" s="1"/>
  <c r="BRT56" i="7" s="1"/>
  <c r="BRV56" i="7" s="1"/>
  <c r="BRX56" i="7" s="1"/>
  <c r="BRZ56" i="7" s="1"/>
  <c r="BSB56" i="7" s="1"/>
  <c r="BSD56" i="7" s="1"/>
  <c r="BSF56" i="7" s="1"/>
  <c r="BSH56" i="7" s="1"/>
  <c r="BSJ56" i="7" s="1"/>
  <c r="BSL56" i="7" s="1"/>
  <c r="BSN56" i="7" s="1"/>
  <c r="BSP56" i="7" s="1"/>
  <c r="BSR56" i="7" s="1"/>
  <c r="BST56" i="7" s="1"/>
  <c r="BSV56" i="7" s="1"/>
  <c r="BSX56" i="7" s="1"/>
  <c r="BSZ56" i="7" s="1"/>
  <c r="BTB56" i="7" s="1"/>
  <c r="BTD56" i="7" s="1"/>
  <c r="BTF56" i="7" s="1"/>
  <c r="BTH56" i="7" s="1"/>
  <c r="BTJ56" i="7" s="1"/>
  <c r="BTL56" i="7" s="1"/>
  <c r="BTN56" i="7" s="1"/>
  <c r="BTP56" i="7" s="1"/>
  <c r="BTR56" i="7" s="1"/>
  <c r="BTT56" i="7" s="1"/>
  <c r="BTV56" i="7" s="1"/>
  <c r="BTX56" i="7" s="1"/>
  <c r="BTZ56" i="7" s="1"/>
  <c r="BUB56" i="7" s="1"/>
  <c r="BUD56" i="7" s="1"/>
  <c r="BUF56" i="7" s="1"/>
  <c r="BUH56" i="7" s="1"/>
  <c r="BUJ56" i="7" s="1"/>
  <c r="BUL56" i="7" s="1"/>
  <c r="BUN56" i="7" s="1"/>
  <c r="BUP56" i="7" s="1"/>
  <c r="BUR56" i="7" s="1"/>
  <c r="BUT56" i="7" s="1"/>
  <c r="BUV56" i="7" s="1"/>
  <c r="BUX56" i="7" s="1"/>
  <c r="BUZ56" i="7" s="1"/>
  <c r="BVB56" i="7" s="1"/>
  <c r="BVD56" i="7" s="1"/>
  <c r="BVF56" i="7" s="1"/>
  <c r="BVH56" i="7" s="1"/>
  <c r="BVJ56" i="7" s="1"/>
  <c r="BVL56" i="7" s="1"/>
  <c r="BVN56" i="7" s="1"/>
  <c r="BVP56" i="7" s="1"/>
  <c r="BVR56" i="7" s="1"/>
  <c r="BVT56" i="7" s="1"/>
  <c r="BVV56" i="7" s="1"/>
  <c r="BVX56" i="7" s="1"/>
  <c r="BVZ56" i="7" s="1"/>
  <c r="BWB56" i="7" s="1"/>
  <c r="BWD56" i="7" s="1"/>
  <c r="BWF56" i="7" s="1"/>
  <c r="BWH56" i="7" s="1"/>
  <c r="BWJ56" i="7" s="1"/>
  <c r="BWL56" i="7" s="1"/>
  <c r="BWN56" i="7" s="1"/>
  <c r="BWP56" i="7" s="1"/>
  <c r="BWR56" i="7" s="1"/>
  <c r="BWT56" i="7" s="1"/>
  <c r="BWV56" i="7" s="1"/>
  <c r="BWX56" i="7" s="1"/>
  <c r="BWZ56" i="7" s="1"/>
  <c r="BXB56" i="7" s="1"/>
  <c r="BXD56" i="7" s="1"/>
  <c r="BXF56" i="7" s="1"/>
  <c r="BXH56" i="7" s="1"/>
  <c r="BXJ56" i="7" s="1"/>
  <c r="BXL56" i="7" s="1"/>
  <c r="BXN56" i="7" s="1"/>
  <c r="BXP56" i="7" s="1"/>
  <c r="BXR56" i="7" s="1"/>
  <c r="BXT56" i="7" s="1"/>
  <c r="BXV56" i="7" s="1"/>
  <c r="BXX56" i="7" s="1"/>
  <c r="BXZ56" i="7" s="1"/>
  <c r="BYB56" i="7" s="1"/>
  <c r="BYD56" i="7" s="1"/>
  <c r="BYF56" i="7" s="1"/>
  <c r="BYH56" i="7" s="1"/>
  <c r="BYJ56" i="7" s="1"/>
  <c r="BYL56" i="7" s="1"/>
  <c r="BYN56" i="7" s="1"/>
  <c r="BYP56" i="7" s="1"/>
  <c r="BYR56" i="7" s="1"/>
  <c r="BYT56" i="7" s="1"/>
  <c r="BYV56" i="7" s="1"/>
  <c r="BYX56" i="7" s="1"/>
  <c r="BYZ56" i="7" s="1"/>
  <c r="BZB56" i="7" s="1"/>
  <c r="BZD56" i="7" s="1"/>
  <c r="BZF56" i="7" s="1"/>
  <c r="BZH56" i="7" s="1"/>
  <c r="BZJ56" i="7" s="1"/>
  <c r="BZL56" i="7" s="1"/>
  <c r="BZN56" i="7" s="1"/>
  <c r="BZP56" i="7" s="1"/>
  <c r="BZR56" i="7" s="1"/>
  <c r="BZT56" i="7" s="1"/>
  <c r="BZV56" i="7" s="1"/>
  <c r="BZX56" i="7" s="1"/>
  <c r="BZZ56" i="7" s="1"/>
  <c r="CAB56" i="7" s="1"/>
  <c r="CAD56" i="7" s="1"/>
  <c r="CAF56" i="7" s="1"/>
  <c r="CAH56" i="7" s="1"/>
  <c r="CAJ56" i="7" s="1"/>
  <c r="CAL56" i="7" s="1"/>
  <c r="CAN56" i="7" s="1"/>
  <c r="CAP56" i="7" s="1"/>
  <c r="CAR56" i="7" s="1"/>
  <c r="CAT56" i="7" s="1"/>
  <c r="CAV56" i="7" s="1"/>
  <c r="CAX56" i="7" s="1"/>
  <c r="CAZ56" i="7" s="1"/>
  <c r="CBB56" i="7" s="1"/>
  <c r="CBD56" i="7" s="1"/>
  <c r="CBF56" i="7" s="1"/>
  <c r="CBH56" i="7" s="1"/>
  <c r="CBJ56" i="7" s="1"/>
  <c r="CBL56" i="7" s="1"/>
  <c r="CBN56" i="7" s="1"/>
  <c r="CBP56" i="7" s="1"/>
  <c r="CBR56" i="7" s="1"/>
  <c r="CBT56" i="7" s="1"/>
  <c r="CBV56" i="7" s="1"/>
  <c r="CBX56" i="7" s="1"/>
  <c r="CBZ56" i="7" s="1"/>
  <c r="CCB56" i="7" s="1"/>
  <c r="CCD56" i="7" s="1"/>
  <c r="CCF56" i="7" s="1"/>
  <c r="CCH56" i="7" s="1"/>
  <c r="CCJ56" i="7" s="1"/>
  <c r="CCL56" i="7" s="1"/>
  <c r="CCN56" i="7" s="1"/>
  <c r="CCP56" i="7" s="1"/>
  <c r="CCR56" i="7" s="1"/>
  <c r="CCT56" i="7" s="1"/>
  <c r="CCV56" i="7" s="1"/>
  <c r="CCX56" i="7" s="1"/>
  <c r="CCZ56" i="7" s="1"/>
  <c r="CDB56" i="7" s="1"/>
  <c r="CDD56" i="7" s="1"/>
  <c r="CDF56" i="7" s="1"/>
  <c r="CDH56" i="7" s="1"/>
  <c r="CDJ56" i="7" s="1"/>
  <c r="CDL56" i="7" s="1"/>
  <c r="CDN56" i="7" s="1"/>
  <c r="CDP56" i="7" s="1"/>
  <c r="CDR56" i="7" s="1"/>
  <c r="CDT56" i="7" s="1"/>
  <c r="CDV56" i="7" s="1"/>
  <c r="CDX56" i="7" s="1"/>
  <c r="CDZ56" i="7" s="1"/>
  <c r="CEB56" i="7" s="1"/>
  <c r="CED56" i="7" s="1"/>
  <c r="CEF56" i="7" s="1"/>
  <c r="CEH56" i="7" s="1"/>
  <c r="CEJ56" i="7" s="1"/>
  <c r="CEL56" i="7" s="1"/>
  <c r="CEN56" i="7" s="1"/>
  <c r="CEP56" i="7" s="1"/>
  <c r="CER56" i="7" s="1"/>
  <c r="CET56" i="7" s="1"/>
  <c r="CEV56" i="7" s="1"/>
  <c r="CEX56" i="7" s="1"/>
  <c r="CEZ56" i="7" s="1"/>
  <c r="CFB56" i="7" s="1"/>
  <c r="CFD56" i="7" s="1"/>
  <c r="CFF56" i="7" s="1"/>
  <c r="CFH56" i="7" s="1"/>
  <c r="CFJ56" i="7" s="1"/>
  <c r="CFL56" i="7" s="1"/>
  <c r="CFN56" i="7" s="1"/>
  <c r="CFP56" i="7" s="1"/>
  <c r="CFR56" i="7" s="1"/>
  <c r="CFT56" i="7" s="1"/>
  <c r="CFV56" i="7" s="1"/>
  <c r="CFX56" i="7" s="1"/>
  <c r="CFZ56" i="7" s="1"/>
  <c r="CGB56" i="7" s="1"/>
  <c r="CGD56" i="7" s="1"/>
  <c r="CGF56" i="7" s="1"/>
  <c r="CGH56" i="7" s="1"/>
  <c r="CGJ56" i="7" s="1"/>
  <c r="CGL56" i="7" s="1"/>
  <c r="CGN56" i="7" s="1"/>
  <c r="CGP56" i="7" s="1"/>
  <c r="CGR56" i="7" s="1"/>
  <c r="CGT56" i="7" s="1"/>
  <c r="CGV56" i="7" s="1"/>
  <c r="CGX56" i="7" s="1"/>
  <c r="CGZ56" i="7" s="1"/>
  <c r="CHB56" i="7" s="1"/>
  <c r="CHD56" i="7" s="1"/>
  <c r="CHF56" i="7" s="1"/>
  <c r="CHH56" i="7" s="1"/>
  <c r="CHJ56" i="7" s="1"/>
  <c r="CHL56" i="7" s="1"/>
  <c r="CHN56" i="7" s="1"/>
  <c r="CHP56" i="7" s="1"/>
  <c r="CHR56" i="7" s="1"/>
  <c r="CHT56" i="7" s="1"/>
  <c r="CHV56" i="7" s="1"/>
  <c r="CHX56" i="7" s="1"/>
  <c r="CHZ56" i="7" s="1"/>
  <c r="CIB56" i="7" s="1"/>
  <c r="CID56" i="7" s="1"/>
  <c r="CIF56" i="7" s="1"/>
  <c r="CIH56" i="7" s="1"/>
  <c r="CIJ56" i="7" s="1"/>
  <c r="CIL56" i="7" s="1"/>
  <c r="CIN56" i="7" s="1"/>
  <c r="CIP56" i="7" s="1"/>
  <c r="CIR56" i="7" s="1"/>
  <c r="CIT56" i="7" s="1"/>
  <c r="CIV56" i="7" s="1"/>
  <c r="CIX56" i="7" s="1"/>
  <c r="CIZ56" i="7" s="1"/>
  <c r="CJB56" i="7" s="1"/>
  <c r="CJD56" i="7" s="1"/>
  <c r="CJF56" i="7" s="1"/>
  <c r="CJH56" i="7" s="1"/>
  <c r="CJJ56" i="7" s="1"/>
  <c r="CJL56" i="7" s="1"/>
  <c r="CJN56" i="7" s="1"/>
  <c r="CJP56" i="7" s="1"/>
  <c r="CJR56" i="7" s="1"/>
  <c r="CJT56" i="7" s="1"/>
  <c r="CJV56" i="7" s="1"/>
  <c r="CJX56" i="7" s="1"/>
  <c r="CJZ56" i="7" s="1"/>
  <c r="CKB56" i="7" s="1"/>
  <c r="CKD56" i="7" s="1"/>
  <c r="CKF56" i="7" s="1"/>
  <c r="CKH56" i="7" s="1"/>
  <c r="CKJ56" i="7" s="1"/>
  <c r="CKL56" i="7" s="1"/>
  <c r="CKN56" i="7" s="1"/>
  <c r="CKP56" i="7" s="1"/>
  <c r="CKR56" i="7" s="1"/>
  <c r="CKT56" i="7" s="1"/>
  <c r="CKV56" i="7" s="1"/>
  <c r="CKX56" i="7" s="1"/>
  <c r="CKZ56" i="7" s="1"/>
  <c r="CLB56" i="7" s="1"/>
  <c r="CLD56" i="7" s="1"/>
  <c r="CLF56" i="7" s="1"/>
  <c r="CLH56" i="7" s="1"/>
  <c r="CLJ56" i="7" s="1"/>
  <c r="CLL56" i="7" s="1"/>
  <c r="CLN56" i="7" s="1"/>
  <c r="CLP56" i="7" s="1"/>
  <c r="CLR56" i="7" s="1"/>
  <c r="CLT56" i="7" s="1"/>
  <c r="CLV56" i="7" s="1"/>
  <c r="CLX56" i="7" s="1"/>
  <c r="CLZ56" i="7" s="1"/>
  <c r="CMB56" i="7" s="1"/>
  <c r="CMD56" i="7" s="1"/>
  <c r="CMF56" i="7" s="1"/>
  <c r="CMH56" i="7" s="1"/>
  <c r="CMJ56" i="7" s="1"/>
  <c r="CML56" i="7" s="1"/>
  <c r="CMN56" i="7" s="1"/>
  <c r="CMP56" i="7" s="1"/>
  <c r="CMR56" i="7" s="1"/>
  <c r="CMT56" i="7" s="1"/>
  <c r="CMV56" i="7" s="1"/>
  <c r="CMX56" i="7" s="1"/>
  <c r="CMZ56" i="7" s="1"/>
  <c r="CNB56" i="7" s="1"/>
  <c r="CND56" i="7" s="1"/>
  <c r="CNF56" i="7" s="1"/>
  <c r="CNH56" i="7" s="1"/>
  <c r="CNJ56" i="7" s="1"/>
  <c r="CNL56" i="7" s="1"/>
  <c r="CNN56" i="7" s="1"/>
  <c r="CNP56" i="7" s="1"/>
  <c r="CNR56" i="7" s="1"/>
  <c r="CNT56" i="7" s="1"/>
  <c r="CNV56" i="7" s="1"/>
  <c r="CNX56" i="7" s="1"/>
  <c r="CNZ56" i="7" s="1"/>
  <c r="COB56" i="7" s="1"/>
  <c r="COD56" i="7" s="1"/>
  <c r="COF56" i="7" s="1"/>
  <c r="COH56" i="7" s="1"/>
  <c r="COJ56" i="7" s="1"/>
  <c r="COL56" i="7" s="1"/>
  <c r="CON56" i="7" s="1"/>
  <c r="COP56" i="7" s="1"/>
  <c r="COR56" i="7" s="1"/>
  <c r="COT56" i="7" s="1"/>
  <c r="COV56" i="7" s="1"/>
  <c r="COX56" i="7" s="1"/>
  <c r="COZ56" i="7" s="1"/>
  <c r="CPB56" i="7" s="1"/>
  <c r="CPD56" i="7" s="1"/>
  <c r="CPF56" i="7" s="1"/>
  <c r="CPH56" i="7" s="1"/>
  <c r="CPJ56" i="7" s="1"/>
  <c r="CPL56" i="7" s="1"/>
  <c r="CPN56" i="7" s="1"/>
  <c r="CPP56" i="7" s="1"/>
  <c r="CPR56" i="7" s="1"/>
  <c r="CPT56" i="7" s="1"/>
  <c r="CPV56" i="7" s="1"/>
  <c r="CPX56" i="7" s="1"/>
  <c r="CPZ56" i="7" s="1"/>
  <c r="CQB56" i="7" s="1"/>
  <c r="CQD56" i="7" s="1"/>
  <c r="CQF56" i="7" s="1"/>
  <c r="CQH56" i="7" s="1"/>
  <c r="CQJ56" i="7" s="1"/>
  <c r="CQL56" i="7" s="1"/>
  <c r="CQN56" i="7" s="1"/>
  <c r="CQP56" i="7" s="1"/>
  <c r="CQR56" i="7" s="1"/>
  <c r="CQT56" i="7" s="1"/>
  <c r="CQV56" i="7" s="1"/>
  <c r="CQX56" i="7" s="1"/>
  <c r="CQZ56" i="7" s="1"/>
  <c r="CRB56" i="7" s="1"/>
  <c r="CRD56" i="7" s="1"/>
  <c r="CRF56" i="7" s="1"/>
  <c r="CRH56" i="7" s="1"/>
  <c r="CRJ56" i="7" s="1"/>
  <c r="CRL56" i="7" s="1"/>
  <c r="CRN56" i="7" s="1"/>
  <c r="CRP56" i="7" s="1"/>
  <c r="CRR56" i="7" s="1"/>
  <c r="CRT56" i="7" s="1"/>
  <c r="CRV56" i="7" s="1"/>
  <c r="CRX56" i="7" s="1"/>
  <c r="CRZ56" i="7" s="1"/>
  <c r="CSB56" i="7" s="1"/>
  <c r="CSD56" i="7" s="1"/>
  <c r="CSF56" i="7" s="1"/>
  <c r="CSH56" i="7" s="1"/>
  <c r="CSJ56" i="7" s="1"/>
  <c r="CSL56" i="7" s="1"/>
  <c r="CSN56" i="7" s="1"/>
  <c r="CSP56" i="7" s="1"/>
  <c r="CSR56" i="7" s="1"/>
  <c r="CST56" i="7" s="1"/>
  <c r="CSV56" i="7" s="1"/>
  <c r="CSX56" i="7" s="1"/>
  <c r="CSZ56" i="7" s="1"/>
  <c r="CTB56" i="7" s="1"/>
  <c r="CTD56" i="7" s="1"/>
  <c r="CTF56" i="7" s="1"/>
  <c r="CTH56" i="7" s="1"/>
  <c r="CTJ56" i="7" s="1"/>
  <c r="CTL56" i="7" s="1"/>
  <c r="CTN56" i="7" s="1"/>
  <c r="CTP56" i="7" s="1"/>
  <c r="CTR56" i="7" s="1"/>
  <c r="CTT56" i="7" s="1"/>
  <c r="CTV56" i="7" s="1"/>
  <c r="CTX56" i="7" s="1"/>
  <c r="CTZ56" i="7" s="1"/>
  <c r="CUB56" i="7" s="1"/>
  <c r="CUD56" i="7" s="1"/>
  <c r="CUF56" i="7" s="1"/>
  <c r="CUH56" i="7" s="1"/>
  <c r="CUJ56" i="7" s="1"/>
  <c r="CUL56" i="7" s="1"/>
  <c r="CUN56" i="7" s="1"/>
  <c r="CUP56" i="7" s="1"/>
  <c r="CUR56" i="7" s="1"/>
  <c r="CUT56" i="7" s="1"/>
  <c r="CUV56" i="7" s="1"/>
  <c r="CUX56" i="7" s="1"/>
  <c r="CUZ56" i="7" s="1"/>
  <c r="CVB56" i="7" s="1"/>
  <c r="CVD56" i="7" s="1"/>
  <c r="CVF56" i="7" s="1"/>
  <c r="CVH56" i="7" s="1"/>
  <c r="CVJ56" i="7" s="1"/>
  <c r="CVL56" i="7" s="1"/>
  <c r="CVN56" i="7" s="1"/>
  <c r="CVP56" i="7" s="1"/>
  <c r="CVR56" i="7" s="1"/>
  <c r="CVT56" i="7" s="1"/>
  <c r="CVV56" i="7" s="1"/>
  <c r="CVX56" i="7" s="1"/>
  <c r="CVZ56" i="7" s="1"/>
  <c r="CWB56" i="7" s="1"/>
  <c r="CWD56" i="7" s="1"/>
  <c r="CWF56" i="7" s="1"/>
  <c r="CWH56" i="7" s="1"/>
  <c r="CWJ56" i="7" s="1"/>
  <c r="CWL56" i="7" s="1"/>
  <c r="CWN56" i="7" s="1"/>
  <c r="CWP56" i="7" s="1"/>
  <c r="CWR56" i="7" s="1"/>
  <c r="CWT56" i="7" s="1"/>
  <c r="CWV56" i="7" s="1"/>
  <c r="CWX56" i="7" s="1"/>
  <c r="CWZ56" i="7" s="1"/>
  <c r="CXB56" i="7" s="1"/>
  <c r="CXD56" i="7" s="1"/>
  <c r="CXF56" i="7" s="1"/>
  <c r="CXH56" i="7" s="1"/>
  <c r="CXJ56" i="7" s="1"/>
  <c r="CXL56" i="7" s="1"/>
  <c r="CXN56" i="7" s="1"/>
  <c r="CXP56" i="7" s="1"/>
  <c r="CXR56" i="7" s="1"/>
  <c r="CXT56" i="7" s="1"/>
  <c r="CXV56" i="7" s="1"/>
  <c r="CXX56" i="7" s="1"/>
  <c r="CXZ56" i="7" s="1"/>
  <c r="CYB56" i="7" s="1"/>
  <c r="CYD56" i="7" s="1"/>
  <c r="CYF56" i="7" s="1"/>
  <c r="CYH56" i="7" s="1"/>
  <c r="CYJ56" i="7" s="1"/>
  <c r="CYL56" i="7" s="1"/>
  <c r="CYN56" i="7" s="1"/>
  <c r="CYP56" i="7" s="1"/>
  <c r="CYR56" i="7" s="1"/>
  <c r="CYT56" i="7" s="1"/>
  <c r="CYV56" i="7" s="1"/>
  <c r="CYX56" i="7" s="1"/>
  <c r="CYZ56" i="7" s="1"/>
  <c r="CZB56" i="7" s="1"/>
  <c r="CZD56" i="7" s="1"/>
  <c r="CZF56" i="7" s="1"/>
  <c r="CZH56" i="7" s="1"/>
  <c r="CZJ56" i="7" s="1"/>
  <c r="CZL56" i="7" s="1"/>
  <c r="CZN56" i="7" s="1"/>
  <c r="CZP56" i="7" s="1"/>
  <c r="CZR56" i="7" s="1"/>
  <c r="CZT56" i="7" s="1"/>
  <c r="CZV56" i="7" s="1"/>
  <c r="CZX56" i="7" s="1"/>
  <c r="CZZ56" i="7" s="1"/>
  <c r="DAB56" i="7" s="1"/>
  <c r="DAD56" i="7" s="1"/>
  <c r="DAF56" i="7" s="1"/>
  <c r="DAH56" i="7" s="1"/>
  <c r="DAJ56" i="7" s="1"/>
  <c r="DAL56" i="7" s="1"/>
  <c r="DAN56" i="7" s="1"/>
  <c r="DAP56" i="7" s="1"/>
  <c r="DAR56" i="7" s="1"/>
  <c r="DAT56" i="7" s="1"/>
  <c r="DAV56" i="7" s="1"/>
  <c r="DAX56" i="7" s="1"/>
  <c r="DAZ56" i="7" s="1"/>
  <c r="DBB56" i="7" s="1"/>
  <c r="DBD56" i="7" s="1"/>
  <c r="DBF56" i="7" s="1"/>
  <c r="DBH56" i="7" s="1"/>
  <c r="DBJ56" i="7" s="1"/>
  <c r="DBL56" i="7" s="1"/>
  <c r="DBN56" i="7" s="1"/>
  <c r="DBP56" i="7" s="1"/>
  <c r="DBR56" i="7" s="1"/>
  <c r="DBT56" i="7" s="1"/>
  <c r="DBV56" i="7" s="1"/>
  <c r="DBX56" i="7" s="1"/>
  <c r="DBZ56" i="7" s="1"/>
  <c r="DCB56" i="7" s="1"/>
  <c r="DCD56" i="7" s="1"/>
  <c r="DCF56" i="7" s="1"/>
  <c r="DCH56" i="7" s="1"/>
  <c r="DCJ56" i="7" s="1"/>
  <c r="DCL56" i="7" s="1"/>
  <c r="DCN56" i="7" s="1"/>
  <c r="DCP56" i="7" s="1"/>
  <c r="DCR56" i="7" s="1"/>
  <c r="DCT56" i="7" s="1"/>
  <c r="DCV56" i="7" s="1"/>
  <c r="DCX56" i="7" s="1"/>
  <c r="DCZ56" i="7" s="1"/>
  <c r="DDB56" i="7" s="1"/>
  <c r="DDD56" i="7" s="1"/>
  <c r="DDF56" i="7" s="1"/>
  <c r="DDH56" i="7" s="1"/>
  <c r="DDJ56" i="7" s="1"/>
  <c r="DDL56" i="7" s="1"/>
  <c r="DDN56" i="7" s="1"/>
  <c r="DDP56" i="7" s="1"/>
  <c r="DDR56" i="7" s="1"/>
  <c r="DDT56" i="7" s="1"/>
  <c r="DDV56" i="7" s="1"/>
  <c r="DDX56" i="7" s="1"/>
  <c r="DDZ56" i="7" s="1"/>
  <c r="DEB56" i="7" s="1"/>
  <c r="DED56" i="7" s="1"/>
  <c r="DEF56" i="7" s="1"/>
  <c r="DEH56" i="7" s="1"/>
  <c r="DEJ56" i="7" s="1"/>
  <c r="DEL56" i="7" s="1"/>
  <c r="DEN56" i="7" s="1"/>
  <c r="DEP56" i="7" s="1"/>
  <c r="DER56" i="7" s="1"/>
  <c r="DET56" i="7" s="1"/>
  <c r="DEV56" i="7" s="1"/>
  <c r="DEX56" i="7" s="1"/>
  <c r="DEZ56" i="7" s="1"/>
  <c r="DFB56" i="7" s="1"/>
  <c r="DFD56" i="7" s="1"/>
  <c r="DFF56" i="7" s="1"/>
  <c r="DFH56" i="7" s="1"/>
  <c r="DFJ56" i="7" s="1"/>
  <c r="DFL56" i="7" s="1"/>
  <c r="DFN56" i="7" s="1"/>
  <c r="DFP56" i="7" s="1"/>
  <c r="DFR56" i="7" s="1"/>
  <c r="DFT56" i="7" s="1"/>
  <c r="DFV56" i="7" s="1"/>
  <c r="DFX56" i="7" s="1"/>
  <c r="DFZ56" i="7" s="1"/>
  <c r="DGB56" i="7" s="1"/>
  <c r="DGD56" i="7" s="1"/>
  <c r="DGF56" i="7" s="1"/>
  <c r="DGH56" i="7" s="1"/>
  <c r="DGJ56" i="7" s="1"/>
  <c r="DGL56" i="7" s="1"/>
  <c r="DGN56" i="7" s="1"/>
  <c r="DGP56" i="7" s="1"/>
  <c r="DGR56" i="7" s="1"/>
  <c r="DGT56" i="7" s="1"/>
  <c r="DGV56" i="7" s="1"/>
  <c r="DGX56" i="7" s="1"/>
  <c r="DGZ56" i="7" s="1"/>
  <c r="DHB56" i="7" s="1"/>
  <c r="DHD56" i="7" s="1"/>
  <c r="DHF56" i="7" s="1"/>
  <c r="DHH56" i="7" s="1"/>
  <c r="DHJ56" i="7" s="1"/>
  <c r="DHL56" i="7" s="1"/>
  <c r="DHN56" i="7" s="1"/>
  <c r="DHP56" i="7" s="1"/>
  <c r="DHR56" i="7" s="1"/>
  <c r="DHT56" i="7" s="1"/>
  <c r="DHV56" i="7" s="1"/>
  <c r="DHX56" i="7" s="1"/>
  <c r="DHZ56" i="7" s="1"/>
  <c r="DIB56" i="7" s="1"/>
  <c r="DID56" i="7" s="1"/>
  <c r="DIF56" i="7" s="1"/>
  <c r="DIH56" i="7" s="1"/>
  <c r="DIJ56" i="7" s="1"/>
  <c r="DIL56" i="7" s="1"/>
  <c r="DIN56" i="7" s="1"/>
  <c r="DIP56" i="7" s="1"/>
  <c r="DIR56" i="7" s="1"/>
  <c r="DIT56" i="7" s="1"/>
  <c r="DIV56" i="7" s="1"/>
  <c r="DIX56" i="7" s="1"/>
  <c r="DIZ56" i="7" s="1"/>
  <c r="DJB56" i="7" s="1"/>
  <c r="DJD56" i="7" s="1"/>
  <c r="DJF56" i="7" s="1"/>
  <c r="DJH56" i="7" s="1"/>
  <c r="DJJ56" i="7" s="1"/>
  <c r="DJL56" i="7" s="1"/>
  <c r="DJN56" i="7" s="1"/>
  <c r="DJP56" i="7" s="1"/>
  <c r="DJR56" i="7" s="1"/>
  <c r="DJT56" i="7" s="1"/>
  <c r="DJV56" i="7" s="1"/>
  <c r="DJX56" i="7" s="1"/>
  <c r="DJZ56" i="7" s="1"/>
  <c r="DKB56" i="7" s="1"/>
  <c r="DKD56" i="7" s="1"/>
  <c r="DKF56" i="7" s="1"/>
  <c r="DKH56" i="7" s="1"/>
  <c r="DKJ56" i="7" s="1"/>
  <c r="DKL56" i="7" s="1"/>
  <c r="DKN56" i="7" s="1"/>
  <c r="DKP56" i="7" s="1"/>
  <c r="DKR56" i="7" s="1"/>
  <c r="DKT56" i="7" s="1"/>
  <c r="DKV56" i="7" s="1"/>
  <c r="DKX56" i="7" s="1"/>
  <c r="DKZ56" i="7" s="1"/>
  <c r="DLB56" i="7" s="1"/>
  <c r="DLD56" i="7" s="1"/>
  <c r="DLF56" i="7" s="1"/>
  <c r="DLH56" i="7" s="1"/>
  <c r="DLJ56" i="7" s="1"/>
  <c r="DLL56" i="7" s="1"/>
  <c r="DLN56" i="7" s="1"/>
  <c r="DLP56" i="7" s="1"/>
  <c r="DLR56" i="7" s="1"/>
  <c r="DLT56" i="7" s="1"/>
  <c r="DLV56" i="7" s="1"/>
  <c r="DLX56" i="7" s="1"/>
  <c r="DLZ56" i="7" s="1"/>
  <c r="DMB56" i="7" s="1"/>
  <c r="DMD56" i="7" s="1"/>
  <c r="DMF56" i="7" s="1"/>
  <c r="DMH56" i="7" s="1"/>
  <c r="DMJ56" i="7" s="1"/>
  <c r="DML56" i="7" s="1"/>
  <c r="DMN56" i="7" s="1"/>
  <c r="DMP56" i="7" s="1"/>
  <c r="DMR56" i="7" s="1"/>
  <c r="DMT56" i="7" s="1"/>
  <c r="DMV56" i="7" s="1"/>
  <c r="DMX56" i="7" s="1"/>
  <c r="DMZ56" i="7" s="1"/>
  <c r="DNB56" i="7" s="1"/>
  <c r="DND56" i="7" s="1"/>
  <c r="DNF56" i="7" s="1"/>
  <c r="DNH56" i="7" s="1"/>
  <c r="DNJ56" i="7" s="1"/>
  <c r="DNL56" i="7" s="1"/>
  <c r="DNN56" i="7" s="1"/>
  <c r="DNP56" i="7" s="1"/>
  <c r="DNR56" i="7" s="1"/>
  <c r="DNT56" i="7" s="1"/>
  <c r="DNV56" i="7" s="1"/>
  <c r="DNX56" i="7" s="1"/>
  <c r="DNZ56" i="7" s="1"/>
  <c r="DOB56" i="7" s="1"/>
  <c r="DOD56" i="7" s="1"/>
  <c r="DOF56" i="7" s="1"/>
  <c r="DOH56" i="7" s="1"/>
  <c r="DOJ56" i="7" s="1"/>
  <c r="DOL56" i="7" s="1"/>
  <c r="DON56" i="7" s="1"/>
  <c r="DOP56" i="7" s="1"/>
  <c r="DOR56" i="7" s="1"/>
  <c r="DOT56" i="7" s="1"/>
  <c r="DOV56" i="7" s="1"/>
  <c r="DOX56" i="7" s="1"/>
  <c r="DOZ56" i="7" s="1"/>
  <c r="DPB56" i="7" s="1"/>
  <c r="DPD56" i="7" s="1"/>
  <c r="DPF56" i="7" s="1"/>
  <c r="DPH56" i="7" s="1"/>
  <c r="DPJ56" i="7" s="1"/>
  <c r="DPL56" i="7" s="1"/>
  <c r="DPN56" i="7" s="1"/>
  <c r="DPP56" i="7" s="1"/>
  <c r="DPR56" i="7" s="1"/>
  <c r="DPT56" i="7" s="1"/>
  <c r="DPV56" i="7" s="1"/>
  <c r="DPX56" i="7" s="1"/>
  <c r="DPZ56" i="7" s="1"/>
  <c r="DQB56" i="7" s="1"/>
  <c r="DQD56" i="7" s="1"/>
  <c r="DQF56" i="7" s="1"/>
  <c r="DQH56" i="7" s="1"/>
  <c r="DQJ56" i="7" s="1"/>
  <c r="DQL56" i="7" s="1"/>
  <c r="DQN56" i="7" s="1"/>
  <c r="DQP56" i="7" s="1"/>
  <c r="DQR56" i="7" s="1"/>
  <c r="DQT56" i="7" s="1"/>
  <c r="DQV56" i="7" s="1"/>
  <c r="DQX56" i="7" s="1"/>
  <c r="DQZ56" i="7" s="1"/>
  <c r="DRB56" i="7" s="1"/>
  <c r="DRD56" i="7" s="1"/>
  <c r="DRF56" i="7" s="1"/>
  <c r="DRH56" i="7" s="1"/>
  <c r="DRJ56" i="7" s="1"/>
  <c r="DRL56" i="7" s="1"/>
  <c r="DRN56" i="7" s="1"/>
  <c r="DRP56" i="7" s="1"/>
  <c r="DRR56" i="7" s="1"/>
  <c r="DRT56" i="7" s="1"/>
  <c r="DRV56" i="7" s="1"/>
  <c r="DRX56" i="7" s="1"/>
  <c r="DRZ56" i="7" s="1"/>
  <c r="DSB56" i="7" s="1"/>
  <c r="DSD56" i="7" s="1"/>
  <c r="DSF56" i="7" s="1"/>
  <c r="DSH56" i="7" s="1"/>
  <c r="DSJ56" i="7" s="1"/>
  <c r="DSL56" i="7" s="1"/>
  <c r="DSN56" i="7" s="1"/>
  <c r="DSP56" i="7" s="1"/>
  <c r="DSR56" i="7" s="1"/>
  <c r="DST56" i="7" s="1"/>
  <c r="DSV56" i="7" s="1"/>
  <c r="DSX56" i="7" s="1"/>
  <c r="DSZ56" i="7" s="1"/>
  <c r="DTB56" i="7" s="1"/>
  <c r="DTD56" i="7" s="1"/>
  <c r="DTF56" i="7" s="1"/>
  <c r="DTH56" i="7" s="1"/>
  <c r="DTJ56" i="7" s="1"/>
  <c r="DTL56" i="7" s="1"/>
  <c r="DTN56" i="7" s="1"/>
  <c r="DTP56" i="7" s="1"/>
  <c r="DTR56" i="7" s="1"/>
  <c r="DTT56" i="7" s="1"/>
  <c r="DTV56" i="7" s="1"/>
  <c r="DTX56" i="7" s="1"/>
  <c r="DTZ56" i="7" s="1"/>
  <c r="DUB56" i="7" s="1"/>
  <c r="DUD56" i="7" s="1"/>
  <c r="DUF56" i="7" s="1"/>
  <c r="DUH56" i="7" s="1"/>
  <c r="DUJ56" i="7" s="1"/>
  <c r="DUL56" i="7" s="1"/>
  <c r="DUN56" i="7" s="1"/>
  <c r="DUP56" i="7" s="1"/>
  <c r="DUR56" i="7" s="1"/>
  <c r="DUT56" i="7" s="1"/>
  <c r="DUV56" i="7" s="1"/>
  <c r="DUX56" i="7" s="1"/>
  <c r="DUZ56" i="7" s="1"/>
  <c r="DVB56" i="7" s="1"/>
  <c r="DVD56" i="7" s="1"/>
  <c r="DVF56" i="7" s="1"/>
  <c r="DVH56" i="7" s="1"/>
  <c r="DVJ56" i="7" s="1"/>
  <c r="DVL56" i="7" s="1"/>
  <c r="DVN56" i="7" s="1"/>
  <c r="DVP56" i="7" s="1"/>
  <c r="DVR56" i="7" s="1"/>
  <c r="DVT56" i="7" s="1"/>
  <c r="DVV56" i="7" s="1"/>
  <c r="DVX56" i="7" s="1"/>
  <c r="DVZ56" i="7" s="1"/>
  <c r="DWB56" i="7" s="1"/>
  <c r="DWD56" i="7" s="1"/>
  <c r="DWF56" i="7" s="1"/>
  <c r="DWH56" i="7" s="1"/>
  <c r="DWJ56" i="7" s="1"/>
  <c r="DWL56" i="7" s="1"/>
  <c r="DWN56" i="7" s="1"/>
  <c r="DWP56" i="7" s="1"/>
  <c r="DWR56" i="7" s="1"/>
  <c r="DWT56" i="7" s="1"/>
  <c r="DWV56" i="7" s="1"/>
  <c r="DWX56" i="7" s="1"/>
  <c r="DWZ56" i="7" s="1"/>
  <c r="DXB56" i="7" s="1"/>
  <c r="DXD56" i="7" s="1"/>
  <c r="DXF56" i="7" s="1"/>
  <c r="DXH56" i="7" s="1"/>
  <c r="DXJ56" i="7" s="1"/>
  <c r="DXL56" i="7" s="1"/>
  <c r="DXN56" i="7" s="1"/>
  <c r="DXP56" i="7" s="1"/>
  <c r="DXR56" i="7" s="1"/>
  <c r="DXT56" i="7" s="1"/>
  <c r="DXV56" i="7" s="1"/>
  <c r="DXX56" i="7" s="1"/>
  <c r="DXZ56" i="7" s="1"/>
  <c r="DYB56" i="7" s="1"/>
  <c r="DYD56" i="7" s="1"/>
  <c r="DYF56" i="7" s="1"/>
  <c r="DYH56" i="7" s="1"/>
  <c r="DYJ56" i="7" s="1"/>
  <c r="DYL56" i="7" s="1"/>
  <c r="DYN56" i="7" s="1"/>
  <c r="DYP56" i="7" s="1"/>
  <c r="DYR56" i="7" s="1"/>
  <c r="DYT56" i="7" s="1"/>
  <c r="DYV56" i="7" s="1"/>
  <c r="DYX56" i="7" s="1"/>
  <c r="DYZ56" i="7" s="1"/>
  <c r="DZB56" i="7" s="1"/>
  <c r="DZD56" i="7" s="1"/>
  <c r="DZF56" i="7" s="1"/>
  <c r="DZH56" i="7" s="1"/>
  <c r="DZJ56" i="7" s="1"/>
  <c r="DZL56" i="7" s="1"/>
  <c r="DZN56" i="7" s="1"/>
  <c r="DZP56" i="7" s="1"/>
  <c r="DZR56" i="7" s="1"/>
  <c r="DZT56" i="7" s="1"/>
  <c r="DZV56" i="7" s="1"/>
  <c r="DZX56" i="7" s="1"/>
  <c r="DZZ56" i="7" s="1"/>
  <c r="EAB56" i="7" s="1"/>
  <c r="EAD56" i="7" s="1"/>
  <c r="EAF56" i="7" s="1"/>
  <c r="EAH56" i="7" s="1"/>
  <c r="EAJ56" i="7" s="1"/>
  <c r="EAL56" i="7" s="1"/>
  <c r="EAN56" i="7" s="1"/>
  <c r="EAP56" i="7" s="1"/>
  <c r="EAR56" i="7" s="1"/>
  <c r="EAT56" i="7" s="1"/>
  <c r="EAV56" i="7" s="1"/>
  <c r="EAX56" i="7" s="1"/>
  <c r="EAZ56" i="7" s="1"/>
  <c r="EBB56" i="7" s="1"/>
  <c r="EBD56" i="7" s="1"/>
  <c r="EBF56" i="7" s="1"/>
  <c r="EBH56" i="7" s="1"/>
  <c r="EBJ56" i="7" s="1"/>
  <c r="EBL56" i="7" s="1"/>
  <c r="EBN56" i="7" s="1"/>
  <c r="EBP56" i="7" s="1"/>
  <c r="EBR56" i="7" s="1"/>
  <c r="EBT56" i="7" s="1"/>
  <c r="EBV56" i="7" s="1"/>
  <c r="EBX56" i="7" s="1"/>
  <c r="EBZ56" i="7" s="1"/>
  <c r="ECB56" i="7" s="1"/>
  <c r="ECD56" i="7" s="1"/>
  <c r="ECF56" i="7" s="1"/>
  <c r="ECH56" i="7" s="1"/>
  <c r="ECJ56" i="7" s="1"/>
  <c r="ECL56" i="7" s="1"/>
  <c r="ECN56" i="7" s="1"/>
  <c r="ECP56" i="7" s="1"/>
  <c r="ECR56" i="7" s="1"/>
  <c r="ECT56" i="7" s="1"/>
  <c r="ECV56" i="7" s="1"/>
  <c r="ECX56" i="7" s="1"/>
  <c r="ECZ56" i="7" s="1"/>
  <c r="EDB56" i="7" s="1"/>
  <c r="EDD56" i="7" s="1"/>
  <c r="EDF56" i="7" s="1"/>
  <c r="EDH56" i="7" s="1"/>
  <c r="EDJ56" i="7" s="1"/>
  <c r="EDL56" i="7" s="1"/>
  <c r="EDN56" i="7" s="1"/>
  <c r="EDP56" i="7" s="1"/>
  <c r="EDR56" i="7" s="1"/>
  <c r="EDT56" i="7" s="1"/>
  <c r="EDV56" i="7" s="1"/>
  <c r="EDX56" i="7" s="1"/>
  <c r="EDZ56" i="7" s="1"/>
  <c r="EEB56" i="7" s="1"/>
  <c r="EED56" i="7" s="1"/>
  <c r="EEF56" i="7" s="1"/>
  <c r="EEH56" i="7" s="1"/>
  <c r="EEJ56" i="7" s="1"/>
  <c r="EEL56" i="7" s="1"/>
  <c r="EEN56" i="7" s="1"/>
  <c r="EEP56" i="7" s="1"/>
  <c r="EER56" i="7" s="1"/>
  <c r="EET56" i="7" s="1"/>
  <c r="EEV56" i="7" s="1"/>
  <c r="EEX56" i="7" s="1"/>
  <c r="EEZ56" i="7" s="1"/>
  <c r="EFB56" i="7" s="1"/>
  <c r="EFD56" i="7" s="1"/>
  <c r="EFF56" i="7" s="1"/>
  <c r="EFH56" i="7" s="1"/>
  <c r="EFJ56" i="7" s="1"/>
  <c r="EFL56" i="7" s="1"/>
  <c r="EFN56" i="7" s="1"/>
  <c r="EFP56" i="7" s="1"/>
  <c r="EFR56" i="7" s="1"/>
  <c r="EFT56" i="7" s="1"/>
  <c r="EFV56" i="7" s="1"/>
  <c r="EFX56" i="7" s="1"/>
  <c r="EFZ56" i="7" s="1"/>
  <c r="EGB56" i="7" s="1"/>
  <c r="EGD56" i="7" s="1"/>
  <c r="EGF56" i="7" s="1"/>
  <c r="EGH56" i="7" s="1"/>
  <c r="EGJ56" i="7" s="1"/>
  <c r="EGL56" i="7" s="1"/>
  <c r="EGN56" i="7" s="1"/>
  <c r="EGP56" i="7" s="1"/>
  <c r="EGR56" i="7" s="1"/>
  <c r="EGT56" i="7" s="1"/>
  <c r="EGV56" i="7" s="1"/>
  <c r="EGX56" i="7" s="1"/>
  <c r="EGZ56" i="7" s="1"/>
  <c r="EHB56" i="7" s="1"/>
  <c r="EHD56" i="7" s="1"/>
  <c r="EHF56" i="7" s="1"/>
  <c r="EHH56" i="7" s="1"/>
  <c r="EHJ56" i="7" s="1"/>
  <c r="EHL56" i="7" s="1"/>
  <c r="EHN56" i="7" s="1"/>
  <c r="EHP56" i="7" s="1"/>
  <c r="EHR56" i="7" s="1"/>
  <c r="EHT56" i="7" s="1"/>
  <c r="EHV56" i="7" s="1"/>
  <c r="EHX56" i="7" s="1"/>
  <c r="EHZ56" i="7" s="1"/>
  <c r="EIB56" i="7" s="1"/>
  <c r="EID56" i="7" s="1"/>
  <c r="EIF56" i="7" s="1"/>
  <c r="EIH56" i="7" s="1"/>
  <c r="EIJ56" i="7" s="1"/>
  <c r="EIL56" i="7" s="1"/>
  <c r="EIN56" i="7" s="1"/>
  <c r="EIP56" i="7" s="1"/>
  <c r="EIR56" i="7" s="1"/>
  <c r="EIT56" i="7" s="1"/>
  <c r="EIV56" i="7" s="1"/>
  <c r="EIX56" i="7" s="1"/>
  <c r="EIZ56" i="7" s="1"/>
  <c r="EJB56" i="7" s="1"/>
  <c r="EJD56" i="7" s="1"/>
  <c r="EJF56" i="7" s="1"/>
  <c r="EJH56" i="7" s="1"/>
  <c r="EJJ56" i="7" s="1"/>
  <c r="EJL56" i="7" s="1"/>
  <c r="EJN56" i="7" s="1"/>
  <c r="EJP56" i="7" s="1"/>
  <c r="EJR56" i="7" s="1"/>
  <c r="EJT56" i="7" s="1"/>
  <c r="EJV56" i="7" s="1"/>
  <c r="EJX56" i="7" s="1"/>
  <c r="EJZ56" i="7" s="1"/>
  <c r="EKB56" i="7" s="1"/>
  <c r="EKD56" i="7" s="1"/>
  <c r="EKF56" i="7" s="1"/>
  <c r="EKH56" i="7" s="1"/>
  <c r="EKJ56" i="7" s="1"/>
  <c r="EKL56" i="7" s="1"/>
  <c r="EKN56" i="7" s="1"/>
  <c r="EKP56" i="7" s="1"/>
  <c r="EKR56" i="7" s="1"/>
  <c r="EKT56" i="7" s="1"/>
  <c r="EKV56" i="7" s="1"/>
  <c r="EKX56" i="7" s="1"/>
  <c r="EKZ56" i="7" s="1"/>
  <c r="ELB56" i="7" s="1"/>
  <c r="ELD56" i="7" s="1"/>
  <c r="ELF56" i="7" s="1"/>
  <c r="ELH56" i="7" s="1"/>
  <c r="ELJ56" i="7" s="1"/>
  <c r="ELL56" i="7" s="1"/>
  <c r="ELN56" i="7" s="1"/>
  <c r="ELP56" i="7" s="1"/>
  <c r="ELR56" i="7" s="1"/>
  <c r="ELT56" i="7" s="1"/>
  <c r="ELV56" i="7" s="1"/>
  <c r="ELX56" i="7" s="1"/>
  <c r="ELZ56" i="7" s="1"/>
  <c r="EMB56" i="7" s="1"/>
  <c r="EMD56" i="7" s="1"/>
  <c r="EMF56" i="7" s="1"/>
  <c r="EMH56" i="7" s="1"/>
  <c r="EMJ56" i="7" s="1"/>
  <c r="EML56" i="7" s="1"/>
  <c r="EMN56" i="7" s="1"/>
  <c r="EMP56" i="7" s="1"/>
  <c r="EMR56" i="7" s="1"/>
  <c r="EMT56" i="7" s="1"/>
  <c r="EMV56" i="7" s="1"/>
  <c r="EMX56" i="7" s="1"/>
  <c r="EMZ56" i="7" s="1"/>
  <c r="ENB56" i="7" s="1"/>
  <c r="END56" i="7" s="1"/>
  <c r="ENF56" i="7" s="1"/>
  <c r="ENH56" i="7" s="1"/>
  <c r="ENJ56" i="7" s="1"/>
  <c r="ENL56" i="7" s="1"/>
  <c r="ENN56" i="7" s="1"/>
  <c r="ENP56" i="7" s="1"/>
  <c r="ENR56" i="7" s="1"/>
  <c r="ENT56" i="7" s="1"/>
  <c r="ENV56" i="7" s="1"/>
  <c r="ENX56" i="7" s="1"/>
  <c r="ENZ56" i="7" s="1"/>
  <c r="EOB56" i="7" s="1"/>
  <c r="EOD56" i="7" s="1"/>
  <c r="EOF56" i="7" s="1"/>
  <c r="EOH56" i="7" s="1"/>
  <c r="EOJ56" i="7" s="1"/>
  <c r="EOL56" i="7" s="1"/>
  <c r="EON56" i="7" s="1"/>
  <c r="EOP56" i="7" s="1"/>
  <c r="EOR56" i="7" s="1"/>
  <c r="EOT56" i="7" s="1"/>
  <c r="EOV56" i="7" s="1"/>
  <c r="EOX56" i="7" s="1"/>
  <c r="EOZ56" i="7" s="1"/>
  <c r="EPB56" i="7" s="1"/>
  <c r="EPD56" i="7" s="1"/>
  <c r="EPF56" i="7" s="1"/>
  <c r="EPH56" i="7" s="1"/>
  <c r="EPJ56" i="7" s="1"/>
  <c r="EPL56" i="7" s="1"/>
  <c r="EPN56" i="7" s="1"/>
  <c r="EPP56" i="7" s="1"/>
  <c r="EPR56" i="7" s="1"/>
  <c r="EPT56" i="7" s="1"/>
  <c r="EPV56" i="7" s="1"/>
  <c r="EPX56" i="7" s="1"/>
  <c r="EPZ56" i="7" s="1"/>
  <c r="EQB56" i="7" s="1"/>
  <c r="EQD56" i="7" s="1"/>
  <c r="EQF56" i="7" s="1"/>
  <c r="EQH56" i="7" s="1"/>
  <c r="EQJ56" i="7" s="1"/>
  <c r="EQL56" i="7" s="1"/>
  <c r="EQN56" i="7" s="1"/>
  <c r="EQP56" i="7" s="1"/>
  <c r="EQR56" i="7" s="1"/>
  <c r="EQT56" i="7" s="1"/>
  <c r="EQV56" i="7" s="1"/>
  <c r="EQX56" i="7" s="1"/>
  <c r="EQZ56" i="7" s="1"/>
  <c r="ERB56" i="7" s="1"/>
  <c r="ERD56" i="7" s="1"/>
  <c r="ERF56" i="7" s="1"/>
  <c r="ERH56" i="7" s="1"/>
  <c r="ERJ56" i="7" s="1"/>
  <c r="ERL56" i="7" s="1"/>
  <c r="ERN56" i="7" s="1"/>
  <c r="ERP56" i="7" s="1"/>
  <c r="ERR56" i="7" s="1"/>
  <c r="ERT56" i="7" s="1"/>
  <c r="ERV56" i="7" s="1"/>
  <c r="ERX56" i="7" s="1"/>
  <c r="ERZ56" i="7" s="1"/>
  <c r="ESB56" i="7" s="1"/>
  <c r="ESD56" i="7" s="1"/>
  <c r="ESF56" i="7" s="1"/>
  <c r="ESH56" i="7" s="1"/>
  <c r="ESJ56" i="7" s="1"/>
  <c r="ESL56" i="7" s="1"/>
  <c r="ESN56" i="7" s="1"/>
  <c r="ESP56" i="7" s="1"/>
  <c r="ESR56" i="7" s="1"/>
  <c r="EST56" i="7" s="1"/>
  <c r="ESV56" i="7" s="1"/>
  <c r="ESX56" i="7" s="1"/>
  <c r="ESZ56" i="7" s="1"/>
  <c r="ETB56" i="7" s="1"/>
  <c r="ETD56" i="7" s="1"/>
  <c r="ETF56" i="7" s="1"/>
  <c r="ETH56" i="7" s="1"/>
  <c r="ETJ56" i="7" s="1"/>
  <c r="ETL56" i="7" s="1"/>
  <c r="ETN56" i="7" s="1"/>
  <c r="ETP56" i="7" s="1"/>
  <c r="ETR56" i="7" s="1"/>
  <c r="ETT56" i="7" s="1"/>
  <c r="ETV56" i="7" s="1"/>
  <c r="ETX56" i="7" s="1"/>
  <c r="ETZ56" i="7" s="1"/>
  <c r="EUB56" i="7" s="1"/>
  <c r="EUD56" i="7" s="1"/>
  <c r="EUF56" i="7" s="1"/>
  <c r="EUH56" i="7" s="1"/>
  <c r="EUJ56" i="7" s="1"/>
  <c r="EUL56" i="7" s="1"/>
  <c r="EUN56" i="7" s="1"/>
  <c r="EUP56" i="7" s="1"/>
  <c r="EUR56" i="7" s="1"/>
  <c r="EUT56" i="7" s="1"/>
  <c r="EUV56" i="7" s="1"/>
  <c r="EUX56" i="7" s="1"/>
  <c r="EUZ56" i="7" s="1"/>
  <c r="EVB56" i="7" s="1"/>
  <c r="EVD56" i="7" s="1"/>
  <c r="EVF56" i="7" s="1"/>
  <c r="EVH56" i="7" s="1"/>
  <c r="EVJ56" i="7" s="1"/>
  <c r="EVL56" i="7" s="1"/>
  <c r="EVN56" i="7" s="1"/>
  <c r="EVP56" i="7" s="1"/>
  <c r="EVR56" i="7" s="1"/>
  <c r="EVT56" i="7" s="1"/>
  <c r="EVV56" i="7" s="1"/>
  <c r="EVX56" i="7" s="1"/>
  <c r="EVZ56" i="7" s="1"/>
  <c r="EWB56" i="7" s="1"/>
  <c r="EWD56" i="7" s="1"/>
  <c r="EWF56" i="7" s="1"/>
  <c r="EWH56" i="7" s="1"/>
  <c r="EWJ56" i="7" s="1"/>
  <c r="EWL56" i="7" s="1"/>
  <c r="EWN56" i="7" s="1"/>
  <c r="EWP56" i="7" s="1"/>
  <c r="EWR56" i="7" s="1"/>
  <c r="EWT56" i="7" s="1"/>
  <c r="EWV56" i="7" s="1"/>
  <c r="EWX56" i="7" s="1"/>
  <c r="EWZ56" i="7" s="1"/>
  <c r="EXB56" i="7" s="1"/>
  <c r="EXD56" i="7" s="1"/>
  <c r="EXF56" i="7" s="1"/>
  <c r="EXH56" i="7" s="1"/>
  <c r="EXJ56" i="7" s="1"/>
  <c r="EXL56" i="7" s="1"/>
  <c r="EXN56" i="7" s="1"/>
  <c r="EXP56" i="7" s="1"/>
  <c r="EXR56" i="7" s="1"/>
  <c r="EXT56" i="7" s="1"/>
  <c r="EXV56" i="7" s="1"/>
  <c r="EXX56" i="7" s="1"/>
  <c r="EXZ56" i="7" s="1"/>
  <c r="EYB56" i="7" s="1"/>
  <c r="EYD56" i="7" s="1"/>
  <c r="EYF56" i="7" s="1"/>
  <c r="EYH56" i="7" s="1"/>
  <c r="EYJ56" i="7" s="1"/>
  <c r="EYL56" i="7" s="1"/>
  <c r="EYN56" i="7" s="1"/>
  <c r="EYP56" i="7" s="1"/>
  <c r="EYR56" i="7" s="1"/>
  <c r="EYT56" i="7" s="1"/>
  <c r="EYV56" i="7" s="1"/>
  <c r="EYX56" i="7" s="1"/>
  <c r="EYZ56" i="7" s="1"/>
  <c r="EZB56" i="7" s="1"/>
  <c r="EZD56" i="7" s="1"/>
  <c r="EZF56" i="7" s="1"/>
  <c r="EZH56" i="7" s="1"/>
  <c r="EZJ56" i="7" s="1"/>
  <c r="EZL56" i="7" s="1"/>
  <c r="EZN56" i="7" s="1"/>
  <c r="EZP56" i="7" s="1"/>
  <c r="EZR56" i="7" s="1"/>
  <c r="EZT56" i="7" s="1"/>
  <c r="EZV56" i="7" s="1"/>
  <c r="EZX56" i="7" s="1"/>
  <c r="EZZ56" i="7" s="1"/>
  <c r="FAB56" i="7" s="1"/>
  <c r="FAD56" i="7" s="1"/>
  <c r="FAF56" i="7" s="1"/>
  <c r="FAH56" i="7" s="1"/>
  <c r="FAJ56" i="7" s="1"/>
  <c r="FAL56" i="7" s="1"/>
  <c r="FAN56" i="7" s="1"/>
  <c r="FAP56" i="7" s="1"/>
  <c r="FAR56" i="7" s="1"/>
  <c r="FAT56" i="7" s="1"/>
  <c r="FAV56" i="7" s="1"/>
  <c r="FAX56" i="7" s="1"/>
  <c r="FAZ56" i="7" s="1"/>
  <c r="FBB56" i="7" s="1"/>
  <c r="FBD56" i="7" s="1"/>
  <c r="FBF56" i="7" s="1"/>
  <c r="FBH56" i="7" s="1"/>
  <c r="FBJ56" i="7" s="1"/>
  <c r="FBL56" i="7" s="1"/>
  <c r="FBN56" i="7" s="1"/>
  <c r="FBP56" i="7" s="1"/>
  <c r="FBR56" i="7" s="1"/>
  <c r="FBT56" i="7" s="1"/>
  <c r="FBV56" i="7" s="1"/>
  <c r="FBX56" i="7" s="1"/>
  <c r="FBZ56" i="7" s="1"/>
  <c r="FCB56" i="7" s="1"/>
  <c r="FCD56" i="7" s="1"/>
  <c r="FCF56" i="7" s="1"/>
  <c r="FCH56" i="7" s="1"/>
  <c r="FCJ56" i="7" s="1"/>
  <c r="FCL56" i="7" s="1"/>
  <c r="FCN56" i="7" s="1"/>
  <c r="FCP56" i="7" s="1"/>
  <c r="FCR56" i="7" s="1"/>
  <c r="FCT56" i="7" s="1"/>
  <c r="FCV56" i="7" s="1"/>
  <c r="FCX56" i="7" s="1"/>
  <c r="FCZ56" i="7" s="1"/>
  <c r="FDB56" i="7" s="1"/>
  <c r="FDD56" i="7" s="1"/>
  <c r="FDF56" i="7" s="1"/>
  <c r="FDH56" i="7" s="1"/>
  <c r="FDJ56" i="7" s="1"/>
  <c r="FDL56" i="7" s="1"/>
  <c r="FDN56" i="7" s="1"/>
  <c r="FDP56" i="7" s="1"/>
  <c r="FDR56" i="7" s="1"/>
  <c r="FDT56" i="7" s="1"/>
  <c r="FDV56" i="7" s="1"/>
  <c r="FDX56" i="7" s="1"/>
  <c r="FDZ56" i="7" s="1"/>
  <c r="FEB56" i="7" s="1"/>
  <c r="FED56" i="7" s="1"/>
  <c r="FEF56" i="7" s="1"/>
  <c r="FEH56" i="7" s="1"/>
  <c r="FEJ56" i="7" s="1"/>
  <c r="FEL56" i="7" s="1"/>
  <c r="FEN56" i="7" s="1"/>
  <c r="FEP56" i="7" s="1"/>
  <c r="FER56" i="7" s="1"/>
  <c r="FET56" i="7" s="1"/>
  <c r="FEV56" i="7" s="1"/>
  <c r="FEX56" i="7" s="1"/>
  <c r="FEZ56" i="7" s="1"/>
  <c r="FFB56" i="7" s="1"/>
  <c r="FFD56" i="7" s="1"/>
  <c r="FFF56" i="7" s="1"/>
  <c r="FFH56" i="7" s="1"/>
  <c r="FFJ56" i="7" s="1"/>
  <c r="FFL56" i="7" s="1"/>
  <c r="FFN56" i="7" s="1"/>
  <c r="FFP56" i="7" s="1"/>
  <c r="FFR56" i="7" s="1"/>
  <c r="FFT56" i="7" s="1"/>
  <c r="FFV56" i="7" s="1"/>
  <c r="FFX56" i="7" s="1"/>
  <c r="FFZ56" i="7" s="1"/>
  <c r="FGB56" i="7" s="1"/>
  <c r="FGD56" i="7" s="1"/>
  <c r="FGF56" i="7" s="1"/>
  <c r="FGH56" i="7" s="1"/>
  <c r="FGJ56" i="7" s="1"/>
  <c r="FGL56" i="7" s="1"/>
  <c r="FGN56" i="7" s="1"/>
  <c r="FGP56" i="7" s="1"/>
  <c r="FGR56" i="7" s="1"/>
  <c r="FGT56" i="7" s="1"/>
  <c r="FGV56" i="7" s="1"/>
  <c r="FGX56" i="7" s="1"/>
  <c r="FGZ56" i="7" s="1"/>
  <c r="FHB56" i="7" s="1"/>
  <c r="FHD56" i="7" s="1"/>
  <c r="FHF56" i="7" s="1"/>
  <c r="FHH56" i="7" s="1"/>
  <c r="FHJ56" i="7" s="1"/>
  <c r="FHL56" i="7" s="1"/>
  <c r="FHN56" i="7" s="1"/>
  <c r="FHP56" i="7" s="1"/>
  <c r="FHR56" i="7" s="1"/>
  <c r="FHT56" i="7" s="1"/>
  <c r="FHV56" i="7" s="1"/>
  <c r="FHX56" i="7" s="1"/>
  <c r="FHZ56" i="7" s="1"/>
  <c r="FIB56" i="7" s="1"/>
  <c r="FID56" i="7" s="1"/>
  <c r="FIF56" i="7" s="1"/>
  <c r="FIH56" i="7" s="1"/>
  <c r="FIJ56" i="7" s="1"/>
  <c r="FIL56" i="7" s="1"/>
  <c r="FIN56" i="7" s="1"/>
  <c r="FIP56" i="7" s="1"/>
  <c r="FIR56" i="7" s="1"/>
  <c r="FIT56" i="7" s="1"/>
  <c r="FIV56" i="7" s="1"/>
  <c r="FIX56" i="7" s="1"/>
  <c r="FIZ56" i="7" s="1"/>
  <c r="FJB56" i="7" s="1"/>
  <c r="FJD56" i="7" s="1"/>
  <c r="FJF56" i="7" s="1"/>
  <c r="FJH56" i="7" s="1"/>
  <c r="FJJ56" i="7" s="1"/>
  <c r="FJL56" i="7" s="1"/>
  <c r="FJN56" i="7" s="1"/>
  <c r="FJP56" i="7" s="1"/>
  <c r="FJR56" i="7" s="1"/>
  <c r="FJT56" i="7" s="1"/>
  <c r="FJV56" i="7" s="1"/>
  <c r="FJX56" i="7" s="1"/>
  <c r="FJZ56" i="7" s="1"/>
  <c r="FKB56" i="7" s="1"/>
  <c r="FKD56" i="7" s="1"/>
  <c r="FKF56" i="7" s="1"/>
  <c r="FKH56" i="7" s="1"/>
  <c r="FKJ56" i="7" s="1"/>
  <c r="FKL56" i="7" s="1"/>
  <c r="FKN56" i="7" s="1"/>
  <c r="FKP56" i="7" s="1"/>
  <c r="FKR56" i="7" s="1"/>
  <c r="FKT56" i="7" s="1"/>
  <c r="FKV56" i="7" s="1"/>
  <c r="FKX56" i="7" s="1"/>
  <c r="FKZ56" i="7" s="1"/>
  <c r="FLB56" i="7" s="1"/>
  <c r="FLD56" i="7" s="1"/>
  <c r="FLF56" i="7" s="1"/>
  <c r="FLH56" i="7" s="1"/>
  <c r="FLJ56" i="7" s="1"/>
  <c r="FLL56" i="7" s="1"/>
  <c r="FLN56" i="7" s="1"/>
  <c r="FLP56" i="7" s="1"/>
  <c r="FLR56" i="7" s="1"/>
  <c r="FLT56" i="7" s="1"/>
  <c r="FLV56" i="7" s="1"/>
  <c r="FLX56" i="7" s="1"/>
  <c r="FLZ56" i="7" s="1"/>
  <c r="FMB56" i="7" s="1"/>
  <c r="FMD56" i="7" s="1"/>
  <c r="FMF56" i="7" s="1"/>
  <c r="FMH56" i="7" s="1"/>
  <c r="FMJ56" i="7" s="1"/>
  <c r="FML56" i="7" s="1"/>
  <c r="FMN56" i="7" s="1"/>
  <c r="FMP56" i="7" s="1"/>
  <c r="FMR56" i="7" s="1"/>
  <c r="FMT56" i="7" s="1"/>
  <c r="FMV56" i="7" s="1"/>
  <c r="FMX56" i="7" s="1"/>
  <c r="FMZ56" i="7" s="1"/>
  <c r="FNB56" i="7" s="1"/>
  <c r="FND56" i="7" s="1"/>
  <c r="FNF56" i="7" s="1"/>
  <c r="FNH56" i="7" s="1"/>
  <c r="FNJ56" i="7" s="1"/>
  <c r="FNL56" i="7" s="1"/>
  <c r="FNN56" i="7" s="1"/>
  <c r="FNP56" i="7" s="1"/>
  <c r="FNR56" i="7" s="1"/>
  <c r="FNT56" i="7" s="1"/>
  <c r="FNV56" i="7" s="1"/>
  <c r="FNX56" i="7" s="1"/>
  <c r="FNZ56" i="7" s="1"/>
  <c r="FOB56" i="7" s="1"/>
  <c r="FOD56" i="7" s="1"/>
  <c r="FOF56" i="7" s="1"/>
  <c r="FOH56" i="7" s="1"/>
  <c r="FOJ56" i="7" s="1"/>
  <c r="FOL56" i="7" s="1"/>
  <c r="FON56" i="7" s="1"/>
  <c r="FOP56" i="7" s="1"/>
  <c r="FOR56" i="7" s="1"/>
  <c r="FOT56" i="7" s="1"/>
  <c r="FOV56" i="7" s="1"/>
  <c r="FOX56" i="7" s="1"/>
  <c r="FOZ56" i="7" s="1"/>
  <c r="FPB56" i="7" s="1"/>
  <c r="FPD56" i="7" s="1"/>
  <c r="FPF56" i="7" s="1"/>
  <c r="FPH56" i="7" s="1"/>
  <c r="FPJ56" i="7" s="1"/>
  <c r="FPL56" i="7" s="1"/>
  <c r="FPN56" i="7" s="1"/>
  <c r="FPP56" i="7" s="1"/>
  <c r="FPR56" i="7" s="1"/>
  <c r="FPT56" i="7" s="1"/>
  <c r="FPV56" i="7" s="1"/>
  <c r="FPX56" i="7" s="1"/>
  <c r="FPZ56" i="7" s="1"/>
  <c r="FQB56" i="7" s="1"/>
  <c r="FQD56" i="7" s="1"/>
  <c r="FQF56" i="7" s="1"/>
  <c r="FQH56" i="7" s="1"/>
  <c r="FQJ56" i="7" s="1"/>
  <c r="FQL56" i="7" s="1"/>
  <c r="FQN56" i="7" s="1"/>
  <c r="FQP56" i="7" s="1"/>
  <c r="FQR56" i="7" s="1"/>
  <c r="FQT56" i="7" s="1"/>
  <c r="FQV56" i="7" s="1"/>
  <c r="FQX56" i="7" s="1"/>
  <c r="FQZ56" i="7" s="1"/>
  <c r="FRB56" i="7" s="1"/>
  <c r="FRD56" i="7" s="1"/>
  <c r="FRF56" i="7" s="1"/>
  <c r="FRH56" i="7" s="1"/>
  <c r="FRJ56" i="7" s="1"/>
  <c r="FRL56" i="7" s="1"/>
  <c r="FRN56" i="7" s="1"/>
  <c r="FRP56" i="7" s="1"/>
  <c r="FRR56" i="7" s="1"/>
  <c r="FRT56" i="7" s="1"/>
  <c r="FRV56" i="7" s="1"/>
  <c r="FRX56" i="7" s="1"/>
  <c r="FRZ56" i="7" s="1"/>
  <c r="FSB56" i="7" s="1"/>
  <c r="FSD56" i="7" s="1"/>
  <c r="FSF56" i="7" s="1"/>
  <c r="FSH56" i="7" s="1"/>
  <c r="FSJ56" i="7" s="1"/>
  <c r="FSL56" i="7" s="1"/>
  <c r="FSN56" i="7" s="1"/>
  <c r="FSP56" i="7" s="1"/>
  <c r="FSR56" i="7" s="1"/>
  <c r="FST56" i="7" s="1"/>
  <c r="FSV56" i="7" s="1"/>
  <c r="FSX56" i="7" s="1"/>
  <c r="FSZ56" i="7" s="1"/>
  <c r="FTB56" i="7" s="1"/>
  <c r="FTD56" i="7" s="1"/>
  <c r="FTF56" i="7" s="1"/>
  <c r="FTH56" i="7" s="1"/>
  <c r="FTJ56" i="7" s="1"/>
  <c r="FTL56" i="7" s="1"/>
  <c r="FTN56" i="7" s="1"/>
  <c r="FTP56" i="7" s="1"/>
  <c r="FTR56" i="7" s="1"/>
  <c r="FTT56" i="7" s="1"/>
  <c r="FTV56" i="7" s="1"/>
  <c r="FTX56" i="7" s="1"/>
  <c r="FTZ56" i="7" s="1"/>
  <c r="FUB56" i="7" s="1"/>
  <c r="FUD56" i="7" s="1"/>
  <c r="FUF56" i="7" s="1"/>
  <c r="FUH56" i="7" s="1"/>
  <c r="FUJ56" i="7" s="1"/>
  <c r="FUL56" i="7" s="1"/>
  <c r="FUN56" i="7" s="1"/>
  <c r="FUP56" i="7" s="1"/>
  <c r="FUR56" i="7" s="1"/>
  <c r="FUT56" i="7" s="1"/>
  <c r="FUV56" i="7" s="1"/>
  <c r="FUX56" i="7" s="1"/>
  <c r="FUZ56" i="7" s="1"/>
  <c r="FVB56" i="7" s="1"/>
  <c r="FVD56" i="7" s="1"/>
  <c r="FVF56" i="7" s="1"/>
  <c r="FVH56" i="7" s="1"/>
  <c r="FVJ56" i="7" s="1"/>
  <c r="FVL56" i="7" s="1"/>
  <c r="FVN56" i="7" s="1"/>
  <c r="FVP56" i="7" s="1"/>
  <c r="FVR56" i="7" s="1"/>
  <c r="FVT56" i="7" s="1"/>
  <c r="FVV56" i="7" s="1"/>
  <c r="FVX56" i="7" s="1"/>
  <c r="FVZ56" i="7" s="1"/>
  <c r="FWB56" i="7" s="1"/>
  <c r="FWD56" i="7" s="1"/>
  <c r="FWF56" i="7" s="1"/>
  <c r="FWH56" i="7" s="1"/>
  <c r="FWJ56" i="7" s="1"/>
  <c r="FWL56" i="7" s="1"/>
  <c r="FWN56" i="7" s="1"/>
  <c r="FWP56" i="7" s="1"/>
  <c r="FWR56" i="7" s="1"/>
  <c r="FWT56" i="7" s="1"/>
  <c r="FWV56" i="7" s="1"/>
  <c r="FWX56" i="7" s="1"/>
  <c r="FWZ56" i="7" s="1"/>
  <c r="FXB56" i="7" s="1"/>
  <c r="FXD56" i="7" s="1"/>
  <c r="FXF56" i="7" s="1"/>
  <c r="FXH56" i="7" s="1"/>
  <c r="FXJ56" i="7" s="1"/>
  <c r="FXL56" i="7" s="1"/>
  <c r="FXN56" i="7" s="1"/>
  <c r="FXP56" i="7" s="1"/>
  <c r="FXR56" i="7" s="1"/>
  <c r="FXT56" i="7" s="1"/>
  <c r="FXV56" i="7" s="1"/>
  <c r="FXX56" i="7" s="1"/>
  <c r="FXZ56" i="7" s="1"/>
  <c r="FYB56" i="7" s="1"/>
  <c r="FYD56" i="7" s="1"/>
  <c r="FYF56" i="7" s="1"/>
  <c r="FYH56" i="7" s="1"/>
  <c r="FYJ56" i="7" s="1"/>
  <c r="FYL56" i="7" s="1"/>
  <c r="FYN56" i="7" s="1"/>
  <c r="FYP56" i="7" s="1"/>
  <c r="FYR56" i="7" s="1"/>
  <c r="FYT56" i="7" s="1"/>
  <c r="FYV56" i="7" s="1"/>
  <c r="FYX56" i="7" s="1"/>
  <c r="FYZ56" i="7" s="1"/>
  <c r="FZB56" i="7" s="1"/>
  <c r="FZD56" i="7" s="1"/>
  <c r="FZF56" i="7" s="1"/>
  <c r="FZH56" i="7" s="1"/>
  <c r="FZJ56" i="7" s="1"/>
  <c r="FZL56" i="7" s="1"/>
  <c r="FZN56" i="7" s="1"/>
  <c r="FZP56" i="7" s="1"/>
  <c r="FZR56" i="7" s="1"/>
  <c r="FZT56" i="7" s="1"/>
  <c r="FZV56" i="7" s="1"/>
  <c r="FZX56" i="7" s="1"/>
  <c r="FZZ56" i="7" s="1"/>
  <c r="GAB56" i="7" s="1"/>
  <c r="GAD56" i="7" s="1"/>
  <c r="GAF56" i="7" s="1"/>
  <c r="GAH56" i="7" s="1"/>
  <c r="GAJ56" i="7" s="1"/>
  <c r="GAL56" i="7" s="1"/>
  <c r="GAN56" i="7" s="1"/>
  <c r="GAP56" i="7" s="1"/>
  <c r="GAR56" i="7" s="1"/>
  <c r="GAT56" i="7" s="1"/>
  <c r="GAV56" i="7" s="1"/>
  <c r="GAX56" i="7" s="1"/>
  <c r="GAZ56" i="7" s="1"/>
  <c r="GBB56" i="7" s="1"/>
  <c r="GBD56" i="7" s="1"/>
  <c r="GBF56" i="7" s="1"/>
  <c r="GBH56" i="7" s="1"/>
  <c r="GBJ56" i="7" s="1"/>
  <c r="GBL56" i="7" s="1"/>
  <c r="GBN56" i="7" s="1"/>
  <c r="GBP56" i="7" s="1"/>
  <c r="GBR56" i="7" s="1"/>
  <c r="GBT56" i="7" s="1"/>
  <c r="GBV56" i="7" s="1"/>
  <c r="GBX56" i="7" s="1"/>
  <c r="GBZ56" i="7" s="1"/>
  <c r="GCB56" i="7" s="1"/>
  <c r="GCD56" i="7" s="1"/>
  <c r="GCF56" i="7" s="1"/>
  <c r="GCH56" i="7" s="1"/>
  <c r="GCJ56" i="7" s="1"/>
  <c r="GCL56" i="7" s="1"/>
  <c r="GCN56" i="7" s="1"/>
  <c r="GCP56" i="7" s="1"/>
  <c r="GCR56" i="7" s="1"/>
  <c r="GCT56" i="7" s="1"/>
  <c r="GCV56" i="7" s="1"/>
  <c r="GCX56" i="7" s="1"/>
  <c r="GCZ56" i="7" s="1"/>
  <c r="GDB56" i="7" s="1"/>
  <c r="GDD56" i="7" s="1"/>
  <c r="GDF56" i="7" s="1"/>
  <c r="GDH56" i="7" s="1"/>
  <c r="GDJ56" i="7" s="1"/>
  <c r="GDL56" i="7" s="1"/>
  <c r="GDN56" i="7" s="1"/>
  <c r="GDP56" i="7" s="1"/>
  <c r="GDR56" i="7" s="1"/>
  <c r="GDT56" i="7" s="1"/>
  <c r="GDV56" i="7" s="1"/>
  <c r="GDX56" i="7" s="1"/>
  <c r="GDZ56" i="7" s="1"/>
  <c r="GEB56" i="7" s="1"/>
  <c r="GED56" i="7" s="1"/>
  <c r="GEF56" i="7" s="1"/>
  <c r="GEH56" i="7" s="1"/>
  <c r="GEJ56" i="7" s="1"/>
  <c r="GEL56" i="7" s="1"/>
  <c r="GEN56" i="7" s="1"/>
  <c r="GEP56" i="7" s="1"/>
  <c r="GER56" i="7" s="1"/>
  <c r="GET56" i="7" s="1"/>
  <c r="GEV56" i="7" s="1"/>
  <c r="GEX56" i="7" s="1"/>
  <c r="GEZ56" i="7" s="1"/>
  <c r="GFB56" i="7" s="1"/>
  <c r="GFD56" i="7" s="1"/>
  <c r="GFF56" i="7" s="1"/>
  <c r="GFH56" i="7" s="1"/>
  <c r="GFJ56" i="7" s="1"/>
  <c r="GFL56" i="7" s="1"/>
  <c r="GFN56" i="7" s="1"/>
  <c r="GFP56" i="7" s="1"/>
  <c r="GFR56" i="7" s="1"/>
  <c r="GFT56" i="7" s="1"/>
  <c r="GFV56" i="7" s="1"/>
  <c r="GFX56" i="7" s="1"/>
  <c r="GFZ56" i="7" s="1"/>
  <c r="GGB56" i="7" s="1"/>
  <c r="GGD56" i="7" s="1"/>
  <c r="GGF56" i="7" s="1"/>
  <c r="GGH56" i="7" s="1"/>
  <c r="GGJ56" i="7" s="1"/>
  <c r="GGL56" i="7" s="1"/>
  <c r="GGN56" i="7" s="1"/>
  <c r="GGP56" i="7" s="1"/>
  <c r="GGR56" i="7" s="1"/>
  <c r="GGT56" i="7" s="1"/>
  <c r="GGV56" i="7" s="1"/>
  <c r="GGX56" i="7" s="1"/>
  <c r="GGZ56" i="7" s="1"/>
  <c r="GHB56" i="7" s="1"/>
  <c r="GHD56" i="7" s="1"/>
  <c r="GHF56" i="7" s="1"/>
  <c r="GHH56" i="7" s="1"/>
  <c r="GHJ56" i="7" s="1"/>
  <c r="GHL56" i="7" s="1"/>
  <c r="GHN56" i="7" s="1"/>
  <c r="GHP56" i="7" s="1"/>
  <c r="GHR56" i="7" s="1"/>
  <c r="GHT56" i="7" s="1"/>
  <c r="GHV56" i="7" s="1"/>
  <c r="GHX56" i="7" s="1"/>
  <c r="GHZ56" i="7" s="1"/>
  <c r="GIB56" i="7" s="1"/>
  <c r="GID56" i="7" s="1"/>
  <c r="GIF56" i="7" s="1"/>
  <c r="GIH56" i="7" s="1"/>
  <c r="GIJ56" i="7" s="1"/>
  <c r="GIL56" i="7" s="1"/>
  <c r="GIN56" i="7" s="1"/>
  <c r="GIP56" i="7" s="1"/>
  <c r="GIR56" i="7" s="1"/>
  <c r="GIT56" i="7" s="1"/>
  <c r="GIV56" i="7" s="1"/>
  <c r="GIX56" i="7" s="1"/>
  <c r="GIZ56" i="7" s="1"/>
  <c r="GJB56" i="7" s="1"/>
  <c r="GJD56" i="7" s="1"/>
  <c r="GJF56" i="7" s="1"/>
  <c r="GJH56" i="7" s="1"/>
  <c r="GJJ56" i="7" s="1"/>
  <c r="GJL56" i="7" s="1"/>
  <c r="GJN56" i="7" s="1"/>
  <c r="GJP56" i="7" s="1"/>
  <c r="GJR56" i="7" s="1"/>
  <c r="GJT56" i="7" s="1"/>
  <c r="GJV56" i="7" s="1"/>
  <c r="GJX56" i="7" s="1"/>
  <c r="GJZ56" i="7" s="1"/>
  <c r="GKB56" i="7" s="1"/>
  <c r="GKD56" i="7" s="1"/>
  <c r="GKF56" i="7" s="1"/>
  <c r="GKH56" i="7" s="1"/>
  <c r="GKJ56" i="7" s="1"/>
  <c r="GKL56" i="7" s="1"/>
  <c r="GKN56" i="7" s="1"/>
  <c r="GKP56" i="7" s="1"/>
  <c r="GKR56" i="7" s="1"/>
  <c r="GKT56" i="7" s="1"/>
  <c r="GKV56" i="7" s="1"/>
  <c r="GKX56" i="7" s="1"/>
  <c r="GKZ56" i="7" s="1"/>
  <c r="GLB56" i="7" s="1"/>
  <c r="GLD56" i="7" s="1"/>
  <c r="GLF56" i="7" s="1"/>
  <c r="GLH56" i="7" s="1"/>
  <c r="GLJ56" i="7" s="1"/>
  <c r="GLL56" i="7" s="1"/>
  <c r="GLN56" i="7" s="1"/>
  <c r="GLP56" i="7" s="1"/>
  <c r="GLR56" i="7" s="1"/>
  <c r="GLT56" i="7" s="1"/>
  <c r="GLV56" i="7" s="1"/>
  <c r="GLX56" i="7" s="1"/>
  <c r="GLZ56" i="7" s="1"/>
  <c r="GMB56" i="7" s="1"/>
  <c r="GMD56" i="7" s="1"/>
  <c r="GMF56" i="7" s="1"/>
  <c r="GMH56" i="7" s="1"/>
  <c r="GMJ56" i="7" s="1"/>
  <c r="GML56" i="7" s="1"/>
  <c r="GMN56" i="7" s="1"/>
  <c r="GMP56" i="7" s="1"/>
  <c r="GMR56" i="7" s="1"/>
  <c r="GMT56" i="7" s="1"/>
  <c r="GMV56" i="7" s="1"/>
  <c r="GMX56" i="7" s="1"/>
  <c r="GMZ56" i="7" s="1"/>
  <c r="GNB56" i="7" s="1"/>
  <c r="GND56" i="7" s="1"/>
  <c r="GNF56" i="7" s="1"/>
  <c r="GNH56" i="7" s="1"/>
  <c r="GNJ56" i="7" s="1"/>
  <c r="GNL56" i="7" s="1"/>
  <c r="GNN56" i="7" s="1"/>
  <c r="GNP56" i="7" s="1"/>
  <c r="GNR56" i="7" s="1"/>
  <c r="GNT56" i="7" s="1"/>
  <c r="GNV56" i="7" s="1"/>
  <c r="GNX56" i="7" s="1"/>
  <c r="GNZ56" i="7" s="1"/>
  <c r="GOB56" i="7" s="1"/>
  <c r="GOD56" i="7" s="1"/>
  <c r="GOF56" i="7" s="1"/>
  <c r="GOH56" i="7" s="1"/>
  <c r="GOJ56" i="7" s="1"/>
  <c r="GOL56" i="7" s="1"/>
  <c r="GON56" i="7" s="1"/>
  <c r="GOP56" i="7" s="1"/>
  <c r="GOR56" i="7" s="1"/>
  <c r="GOT56" i="7" s="1"/>
  <c r="GOV56" i="7" s="1"/>
  <c r="GOX56" i="7" s="1"/>
  <c r="GOZ56" i="7" s="1"/>
  <c r="GPB56" i="7" s="1"/>
  <c r="GPD56" i="7" s="1"/>
  <c r="GPF56" i="7" s="1"/>
  <c r="GPH56" i="7" s="1"/>
  <c r="GPJ56" i="7" s="1"/>
  <c r="GPL56" i="7" s="1"/>
  <c r="GPN56" i="7" s="1"/>
  <c r="GPP56" i="7" s="1"/>
  <c r="GPR56" i="7" s="1"/>
  <c r="GPT56" i="7" s="1"/>
  <c r="GPV56" i="7" s="1"/>
  <c r="GPX56" i="7" s="1"/>
  <c r="GPZ56" i="7" s="1"/>
  <c r="GQB56" i="7" s="1"/>
  <c r="GQD56" i="7" s="1"/>
  <c r="GQF56" i="7" s="1"/>
  <c r="GQH56" i="7" s="1"/>
  <c r="GQJ56" i="7" s="1"/>
  <c r="GQL56" i="7" s="1"/>
  <c r="GQN56" i="7" s="1"/>
  <c r="GQP56" i="7" s="1"/>
  <c r="GQR56" i="7" s="1"/>
  <c r="GQT56" i="7" s="1"/>
  <c r="GQV56" i="7" s="1"/>
  <c r="GQX56" i="7" s="1"/>
  <c r="GQZ56" i="7" s="1"/>
  <c r="GRB56" i="7" s="1"/>
  <c r="GRD56" i="7" s="1"/>
  <c r="GRF56" i="7" s="1"/>
  <c r="GRH56" i="7" s="1"/>
  <c r="GRJ56" i="7" s="1"/>
  <c r="GRL56" i="7" s="1"/>
  <c r="GRN56" i="7" s="1"/>
  <c r="GRP56" i="7" s="1"/>
  <c r="GRR56" i="7" s="1"/>
  <c r="GRT56" i="7" s="1"/>
  <c r="GRV56" i="7" s="1"/>
  <c r="GRX56" i="7" s="1"/>
  <c r="GRZ56" i="7" s="1"/>
  <c r="GSB56" i="7" s="1"/>
  <c r="GSD56" i="7" s="1"/>
  <c r="GSF56" i="7" s="1"/>
  <c r="GSH56" i="7" s="1"/>
  <c r="GSJ56" i="7" s="1"/>
  <c r="GSL56" i="7" s="1"/>
  <c r="GSN56" i="7" s="1"/>
  <c r="GSP56" i="7" s="1"/>
  <c r="GSR56" i="7" s="1"/>
  <c r="GST56" i="7" s="1"/>
  <c r="GSV56" i="7" s="1"/>
  <c r="GSX56" i="7" s="1"/>
  <c r="GSZ56" i="7" s="1"/>
  <c r="GTB56" i="7" s="1"/>
  <c r="GTD56" i="7" s="1"/>
  <c r="GTF56" i="7" s="1"/>
  <c r="GTH56" i="7" s="1"/>
  <c r="GTJ56" i="7" s="1"/>
  <c r="GTL56" i="7" s="1"/>
  <c r="GTN56" i="7" s="1"/>
  <c r="GTP56" i="7" s="1"/>
  <c r="GTR56" i="7" s="1"/>
  <c r="GTT56" i="7" s="1"/>
  <c r="GTV56" i="7" s="1"/>
  <c r="GTX56" i="7" s="1"/>
  <c r="GTZ56" i="7" s="1"/>
  <c r="GUB56" i="7" s="1"/>
  <c r="GUD56" i="7" s="1"/>
  <c r="GUF56" i="7" s="1"/>
  <c r="GUH56" i="7" s="1"/>
  <c r="GUJ56" i="7" s="1"/>
  <c r="GUL56" i="7" s="1"/>
  <c r="GUN56" i="7" s="1"/>
  <c r="GUP56" i="7" s="1"/>
  <c r="GUR56" i="7" s="1"/>
  <c r="GUT56" i="7" s="1"/>
  <c r="GUV56" i="7" s="1"/>
  <c r="GUX56" i="7" s="1"/>
  <c r="GUZ56" i="7" s="1"/>
  <c r="GVB56" i="7" s="1"/>
  <c r="GVD56" i="7" s="1"/>
  <c r="GVF56" i="7" s="1"/>
  <c r="GVH56" i="7" s="1"/>
  <c r="GVJ56" i="7" s="1"/>
  <c r="GVL56" i="7" s="1"/>
  <c r="GVN56" i="7" s="1"/>
  <c r="GVP56" i="7" s="1"/>
  <c r="GVR56" i="7" s="1"/>
  <c r="GVT56" i="7" s="1"/>
  <c r="GVV56" i="7" s="1"/>
  <c r="GVX56" i="7" s="1"/>
  <c r="GVZ56" i="7" s="1"/>
  <c r="GWB56" i="7" s="1"/>
  <c r="GWD56" i="7" s="1"/>
  <c r="GWF56" i="7" s="1"/>
  <c r="GWH56" i="7" s="1"/>
  <c r="GWJ56" i="7" s="1"/>
  <c r="GWL56" i="7" s="1"/>
  <c r="GWN56" i="7" s="1"/>
  <c r="GWP56" i="7" s="1"/>
  <c r="GWR56" i="7" s="1"/>
  <c r="GWT56" i="7" s="1"/>
  <c r="GWV56" i="7" s="1"/>
  <c r="GWX56" i="7" s="1"/>
  <c r="GWZ56" i="7" s="1"/>
  <c r="GXB56" i="7" s="1"/>
  <c r="GXD56" i="7" s="1"/>
  <c r="GXF56" i="7" s="1"/>
  <c r="GXH56" i="7" s="1"/>
  <c r="GXJ56" i="7" s="1"/>
  <c r="GXL56" i="7" s="1"/>
  <c r="GXN56" i="7" s="1"/>
  <c r="GXP56" i="7" s="1"/>
  <c r="GXR56" i="7" s="1"/>
  <c r="GXT56" i="7" s="1"/>
  <c r="GXV56" i="7" s="1"/>
  <c r="GXX56" i="7" s="1"/>
  <c r="GXZ56" i="7" s="1"/>
  <c r="GYB56" i="7" s="1"/>
  <c r="GYD56" i="7" s="1"/>
  <c r="GYF56" i="7" s="1"/>
  <c r="GYH56" i="7" s="1"/>
  <c r="GYJ56" i="7" s="1"/>
  <c r="GYL56" i="7" s="1"/>
  <c r="GYN56" i="7" s="1"/>
  <c r="GYP56" i="7" s="1"/>
  <c r="GYR56" i="7" s="1"/>
  <c r="GYT56" i="7" s="1"/>
  <c r="GYV56" i="7" s="1"/>
  <c r="GYX56" i="7" s="1"/>
  <c r="GYZ56" i="7" s="1"/>
  <c r="GZB56" i="7" s="1"/>
  <c r="GZD56" i="7" s="1"/>
  <c r="GZF56" i="7" s="1"/>
  <c r="GZH56" i="7" s="1"/>
  <c r="GZJ56" i="7" s="1"/>
  <c r="GZL56" i="7" s="1"/>
  <c r="GZN56" i="7" s="1"/>
  <c r="GZP56" i="7" s="1"/>
  <c r="GZR56" i="7" s="1"/>
  <c r="GZT56" i="7" s="1"/>
  <c r="GZV56" i="7" s="1"/>
  <c r="GZX56" i="7" s="1"/>
  <c r="GZZ56" i="7" s="1"/>
  <c r="HAB56" i="7" s="1"/>
  <c r="HAD56" i="7" s="1"/>
  <c r="HAF56" i="7" s="1"/>
  <c r="HAH56" i="7" s="1"/>
  <c r="HAJ56" i="7" s="1"/>
  <c r="HAL56" i="7" s="1"/>
  <c r="HAN56" i="7" s="1"/>
  <c r="HAP56" i="7" s="1"/>
  <c r="HAR56" i="7" s="1"/>
  <c r="HAT56" i="7" s="1"/>
  <c r="HAV56" i="7" s="1"/>
  <c r="HAX56" i="7" s="1"/>
  <c r="HAZ56" i="7" s="1"/>
  <c r="HBB56" i="7" s="1"/>
  <c r="HBD56" i="7" s="1"/>
  <c r="HBF56" i="7" s="1"/>
  <c r="HBH56" i="7" s="1"/>
  <c r="HBJ56" i="7" s="1"/>
  <c r="HBL56" i="7" s="1"/>
  <c r="HBN56" i="7" s="1"/>
  <c r="HBP56" i="7" s="1"/>
  <c r="HBR56" i="7" s="1"/>
  <c r="HBT56" i="7" s="1"/>
  <c r="HBV56" i="7" s="1"/>
  <c r="HBX56" i="7" s="1"/>
  <c r="HBZ56" i="7" s="1"/>
  <c r="HCB56" i="7" s="1"/>
  <c r="HCD56" i="7" s="1"/>
  <c r="HCF56" i="7" s="1"/>
  <c r="HCH56" i="7" s="1"/>
  <c r="HCJ56" i="7" s="1"/>
  <c r="HCL56" i="7" s="1"/>
  <c r="HCN56" i="7" s="1"/>
  <c r="HCP56" i="7" s="1"/>
  <c r="HCR56" i="7" s="1"/>
  <c r="HCT56" i="7" s="1"/>
  <c r="HCV56" i="7" s="1"/>
  <c r="HCX56" i="7" s="1"/>
  <c r="HCZ56" i="7" s="1"/>
  <c r="HDB56" i="7" s="1"/>
  <c r="HDD56" i="7" s="1"/>
  <c r="HDF56" i="7" s="1"/>
  <c r="HDH56" i="7" s="1"/>
  <c r="HDJ56" i="7" s="1"/>
  <c r="HDL56" i="7" s="1"/>
  <c r="HDN56" i="7" s="1"/>
  <c r="HDP56" i="7" s="1"/>
  <c r="HDR56" i="7" s="1"/>
  <c r="HDT56" i="7" s="1"/>
  <c r="HDV56" i="7" s="1"/>
  <c r="HDX56" i="7" s="1"/>
  <c r="HDZ56" i="7" s="1"/>
  <c r="HEB56" i="7" s="1"/>
  <c r="HED56" i="7" s="1"/>
  <c r="HEF56" i="7" s="1"/>
  <c r="HEH56" i="7" s="1"/>
  <c r="HEJ56" i="7" s="1"/>
  <c r="HEL56" i="7" s="1"/>
  <c r="HEN56" i="7" s="1"/>
  <c r="HEP56" i="7" s="1"/>
  <c r="HER56" i="7" s="1"/>
  <c r="HET56" i="7" s="1"/>
  <c r="HEV56" i="7" s="1"/>
  <c r="HEX56" i="7" s="1"/>
  <c r="HEZ56" i="7" s="1"/>
  <c r="HFB56" i="7" s="1"/>
  <c r="HFD56" i="7" s="1"/>
  <c r="HFF56" i="7" s="1"/>
  <c r="HFH56" i="7" s="1"/>
  <c r="HFJ56" i="7" s="1"/>
  <c r="HFL56" i="7" s="1"/>
  <c r="HFN56" i="7" s="1"/>
  <c r="HFP56" i="7" s="1"/>
  <c r="HFR56" i="7" s="1"/>
  <c r="HFT56" i="7" s="1"/>
  <c r="HFV56" i="7" s="1"/>
  <c r="HFX56" i="7" s="1"/>
  <c r="HFZ56" i="7" s="1"/>
  <c r="HGB56" i="7" s="1"/>
  <c r="HGD56" i="7" s="1"/>
  <c r="HGF56" i="7" s="1"/>
  <c r="HGH56" i="7" s="1"/>
  <c r="HGJ56" i="7" s="1"/>
  <c r="HGL56" i="7" s="1"/>
  <c r="HGN56" i="7" s="1"/>
  <c r="HGP56" i="7" s="1"/>
  <c r="HGR56" i="7" s="1"/>
  <c r="HGT56" i="7" s="1"/>
  <c r="HGV56" i="7" s="1"/>
  <c r="HGX56" i="7" s="1"/>
  <c r="HGZ56" i="7" s="1"/>
  <c r="HHB56" i="7" s="1"/>
  <c r="HHD56" i="7" s="1"/>
  <c r="HHF56" i="7" s="1"/>
  <c r="HHH56" i="7" s="1"/>
  <c r="HHJ56" i="7" s="1"/>
  <c r="HHL56" i="7" s="1"/>
  <c r="HHN56" i="7" s="1"/>
  <c r="HHP56" i="7" s="1"/>
  <c r="HHR56" i="7" s="1"/>
  <c r="HHT56" i="7" s="1"/>
  <c r="HHV56" i="7" s="1"/>
  <c r="HHX56" i="7" s="1"/>
  <c r="HHZ56" i="7" s="1"/>
  <c r="HIB56" i="7" s="1"/>
  <c r="HID56" i="7" s="1"/>
  <c r="HIF56" i="7" s="1"/>
  <c r="HIH56" i="7" s="1"/>
  <c r="HIJ56" i="7" s="1"/>
  <c r="HIL56" i="7" s="1"/>
  <c r="HIN56" i="7" s="1"/>
  <c r="HIP56" i="7" s="1"/>
  <c r="HIR56" i="7" s="1"/>
  <c r="HIT56" i="7" s="1"/>
  <c r="HIV56" i="7" s="1"/>
  <c r="HIX56" i="7" s="1"/>
  <c r="HIZ56" i="7" s="1"/>
  <c r="HJB56" i="7" s="1"/>
  <c r="HJD56" i="7" s="1"/>
  <c r="HJF56" i="7" s="1"/>
  <c r="HJH56" i="7" s="1"/>
  <c r="HJJ56" i="7" s="1"/>
  <c r="HJL56" i="7" s="1"/>
  <c r="HJN56" i="7" s="1"/>
  <c r="HJP56" i="7" s="1"/>
  <c r="HJR56" i="7" s="1"/>
  <c r="HJT56" i="7" s="1"/>
  <c r="HJV56" i="7" s="1"/>
  <c r="HJX56" i="7" s="1"/>
  <c r="HJZ56" i="7" s="1"/>
  <c r="HKB56" i="7" s="1"/>
  <c r="HKD56" i="7" s="1"/>
  <c r="HKF56" i="7" s="1"/>
  <c r="HKH56" i="7" s="1"/>
  <c r="HKJ56" i="7" s="1"/>
  <c r="HKL56" i="7" s="1"/>
  <c r="HKN56" i="7" s="1"/>
  <c r="HKP56" i="7" s="1"/>
  <c r="HKR56" i="7" s="1"/>
  <c r="HKT56" i="7" s="1"/>
  <c r="HKV56" i="7" s="1"/>
  <c r="HKX56" i="7" s="1"/>
  <c r="HKZ56" i="7" s="1"/>
  <c r="HLB56" i="7" s="1"/>
  <c r="HLD56" i="7" s="1"/>
  <c r="HLF56" i="7" s="1"/>
  <c r="HLH56" i="7" s="1"/>
  <c r="HLJ56" i="7" s="1"/>
  <c r="HLL56" i="7" s="1"/>
  <c r="HLN56" i="7" s="1"/>
  <c r="HLP56" i="7" s="1"/>
  <c r="HLR56" i="7" s="1"/>
  <c r="HLT56" i="7" s="1"/>
  <c r="HLV56" i="7" s="1"/>
  <c r="HLX56" i="7" s="1"/>
  <c r="HLZ56" i="7" s="1"/>
  <c r="HMB56" i="7" s="1"/>
  <c r="HMD56" i="7" s="1"/>
  <c r="HMF56" i="7" s="1"/>
  <c r="HMH56" i="7" s="1"/>
  <c r="HMJ56" i="7" s="1"/>
  <c r="HML56" i="7" s="1"/>
  <c r="HMN56" i="7" s="1"/>
  <c r="HMP56" i="7" s="1"/>
  <c r="HMR56" i="7" s="1"/>
  <c r="HMT56" i="7" s="1"/>
  <c r="HMV56" i="7" s="1"/>
  <c r="HMX56" i="7" s="1"/>
  <c r="HMZ56" i="7" s="1"/>
  <c r="HNB56" i="7" s="1"/>
  <c r="HND56" i="7" s="1"/>
  <c r="HNF56" i="7" s="1"/>
  <c r="HNH56" i="7" s="1"/>
  <c r="HNJ56" i="7" s="1"/>
  <c r="HNL56" i="7" s="1"/>
  <c r="HNN56" i="7" s="1"/>
  <c r="HNP56" i="7" s="1"/>
  <c r="HNR56" i="7" s="1"/>
  <c r="HNT56" i="7" s="1"/>
  <c r="HNV56" i="7" s="1"/>
  <c r="HNX56" i="7" s="1"/>
  <c r="HNZ56" i="7" s="1"/>
  <c r="HOB56" i="7" s="1"/>
  <c r="HOD56" i="7" s="1"/>
  <c r="HOF56" i="7" s="1"/>
  <c r="HOH56" i="7" s="1"/>
  <c r="HOJ56" i="7" s="1"/>
  <c r="HOL56" i="7" s="1"/>
  <c r="HON56" i="7" s="1"/>
  <c r="HOP56" i="7" s="1"/>
  <c r="HOR56" i="7" s="1"/>
  <c r="HOT56" i="7" s="1"/>
  <c r="HOV56" i="7" s="1"/>
  <c r="HOX56" i="7" s="1"/>
  <c r="HOZ56" i="7" s="1"/>
  <c r="HPB56" i="7" s="1"/>
  <c r="HPD56" i="7" s="1"/>
  <c r="HPF56" i="7" s="1"/>
  <c r="HPH56" i="7" s="1"/>
  <c r="HPJ56" i="7" s="1"/>
  <c r="HPL56" i="7" s="1"/>
  <c r="HPN56" i="7" s="1"/>
  <c r="HPP56" i="7" s="1"/>
  <c r="HPR56" i="7" s="1"/>
  <c r="HPT56" i="7" s="1"/>
  <c r="HPV56" i="7" s="1"/>
  <c r="HPX56" i="7" s="1"/>
  <c r="HPZ56" i="7" s="1"/>
  <c r="HQB56" i="7" s="1"/>
  <c r="HQD56" i="7" s="1"/>
  <c r="HQF56" i="7" s="1"/>
  <c r="HQH56" i="7" s="1"/>
  <c r="HQJ56" i="7" s="1"/>
  <c r="HQL56" i="7" s="1"/>
  <c r="HQN56" i="7" s="1"/>
  <c r="HQP56" i="7" s="1"/>
  <c r="HQR56" i="7" s="1"/>
  <c r="HQT56" i="7" s="1"/>
  <c r="HQV56" i="7" s="1"/>
  <c r="HQX56" i="7" s="1"/>
  <c r="HQZ56" i="7" s="1"/>
  <c r="HRB56" i="7" s="1"/>
  <c r="HRD56" i="7" s="1"/>
  <c r="HRF56" i="7" s="1"/>
  <c r="HRH56" i="7" s="1"/>
  <c r="HRJ56" i="7" s="1"/>
  <c r="HRL56" i="7" s="1"/>
  <c r="HRN56" i="7" s="1"/>
  <c r="HRP56" i="7" s="1"/>
  <c r="HRR56" i="7" s="1"/>
  <c r="HRT56" i="7" s="1"/>
  <c r="HRV56" i="7" s="1"/>
  <c r="HRX56" i="7" s="1"/>
  <c r="HRZ56" i="7" s="1"/>
  <c r="HSB56" i="7" s="1"/>
  <c r="HSD56" i="7" s="1"/>
  <c r="HSF56" i="7" s="1"/>
  <c r="HSH56" i="7" s="1"/>
  <c r="HSJ56" i="7" s="1"/>
  <c r="HSL56" i="7" s="1"/>
  <c r="HSN56" i="7" s="1"/>
  <c r="HSP56" i="7" s="1"/>
  <c r="HSR56" i="7" s="1"/>
  <c r="HST56" i="7" s="1"/>
  <c r="HSV56" i="7" s="1"/>
  <c r="HSX56" i="7" s="1"/>
  <c r="HSZ56" i="7" s="1"/>
  <c r="HTB56" i="7" s="1"/>
  <c r="HTD56" i="7" s="1"/>
  <c r="HTF56" i="7" s="1"/>
  <c r="HTH56" i="7" s="1"/>
  <c r="HTJ56" i="7" s="1"/>
  <c r="HTL56" i="7" s="1"/>
  <c r="HTN56" i="7" s="1"/>
  <c r="HTP56" i="7" s="1"/>
  <c r="HTR56" i="7" s="1"/>
  <c r="HTT56" i="7" s="1"/>
  <c r="HTV56" i="7" s="1"/>
  <c r="HTX56" i="7" s="1"/>
  <c r="HTZ56" i="7" s="1"/>
  <c r="HUB56" i="7" s="1"/>
  <c r="HUD56" i="7" s="1"/>
  <c r="HUF56" i="7" s="1"/>
  <c r="HUH56" i="7" s="1"/>
  <c r="HUJ56" i="7" s="1"/>
  <c r="HUL56" i="7" s="1"/>
  <c r="HUN56" i="7" s="1"/>
  <c r="HUP56" i="7" s="1"/>
  <c r="HUR56" i="7" s="1"/>
  <c r="HUT56" i="7" s="1"/>
  <c r="HUV56" i="7" s="1"/>
  <c r="HUX56" i="7" s="1"/>
  <c r="HUZ56" i="7" s="1"/>
  <c r="HVB56" i="7" s="1"/>
  <c r="HVD56" i="7" s="1"/>
  <c r="HVF56" i="7" s="1"/>
  <c r="HVH56" i="7" s="1"/>
  <c r="HVJ56" i="7" s="1"/>
  <c r="HVL56" i="7" s="1"/>
  <c r="HVN56" i="7" s="1"/>
  <c r="HVP56" i="7" s="1"/>
  <c r="HVR56" i="7" s="1"/>
  <c r="HVT56" i="7" s="1"/>
  <c r="HVV56" i="7" s="1"/>
  <c r="HVX56" i="7" s="1"/>
  <c r="HVZ56" i="7" s="1"/>
  <c r="HWB56" i="7" s="1"/>
  <c r="HWD56" i="7" s="1"/>
  <c r="HWF56" i="7" s="1"/>
  <c r="HWH56" i="7" s="1"/>
  <c r="HWJ56" i="7" s="1"/>
  <c r="HWL56" i="7" s="1"/>
  <c r="HWN56" i="7" s="1"/>
  <c r="HWP56" i="7" s="1"/>
  <c r="HWR56" i="7" s="1"/>
  <c r="HWT56" i="7" s="1"/>
  <c r="HWV56" i="7" s="1"/>
  <c r="HWX56" i="7" s="1"/>
  <c r="HWZ56" i="7" s="1"/>
  <c r="HXB56" i="7" s="1"/>
  <c r="HXD56" i="7" s="1"/>
  <c r="HXF56" i="7" s="1"/>
  <c r="HXH56" i="7" s="1"/>
  <c r="HXJ56" i="7" s="1"/>
  <c r="HXL56" i="7" s="1"/>
  <c r="HXN56" i="7" s="1"/>
  <c r="HXP56" i="7" s="1"/>
  <c r="HXR56" i="7" s="1"/>
  <c r="HXT56" i="7" s="1"/>
  <c r="HXV56" i="7" s="1"/>
  <c r="HXX56" i="7" s="1"/>
  <c r="HXZ56" i="7" s="1"/>
  <c r="HYB56" i="7" s="1"/>
  <c r="HYD56" i="7" s="1"/>
  <c r="HYF56" i="7" s="1"/>
  <c r="HYH56" i="7" s="1"/>
  <c r="HYJ56" i="7" s="1"/>
  <c r="HYL56" i="7" s="1"/>
  <c r="HYN56" i="7" s="1"/>
  <c r="HYP56" i="7" s="1"/>
  <c r="HYR56" i="7" s="1"/>
  <c r="HYT56" i="7" s="1"/>
  <c r="HYV56" i="7" s="1"/>
  <c r="HYX56" i="7" s="1"/>
  <c r="HYZ56" i="7" s="1"/>
  <c r="HZB56" i="7" s="1"/>
  <c r="HZD56" i="7" s="1"/>
  <c r="HZF56" i="7" s="1"/>
  <c r="HZH56" i="7" s="1"/>
  <c r="HZJ56" i="7" s="1"/>
  <c r="HZL56" i="7" s="1"/>
  <c r="HZN56" i="7" s="1"/>
  <c r="HZP56" i="7" s="1"/>
  <c r="HZR56" i="7" s="1"/>
  <c r="HZT56" i="7" s="1"/>
  <c r="HZV56" i="7" s="1"/>
  <c r="HZX56" i="7" s="1"/>
  <c r="HZZ56" i="7" s="1"/>
  <c r="IAB56" i="7" s="1"/>
  <c r="IAD56" i="7" s="1"/>
  <c r="IAF56" i="7" s="1"/>
  <c r="IAH56" i="7" s="1"/>
  <c r="IAJ56" i="7" s="1"/>
  <c r="IAL56" i="7" s="1"/>
  <c r="IAN56" i="7" s="1"/>
  <c r="IAP56" i="7" s="1"/>
  <c r="IAR56" i="7" s="1"/>
  <c r="IAT56" i="7" s="1"/>
  <c r="IAV56" i="7" s="1"/>
  <c r="IAX56" i="7" s="1"/>
  <c r="IAZ56" i="7" s="1"/>
  <c r="IBB56" i="7" s="1"/>
  <c r="IBD56" i="7" s="1"/>
  <c r="IBF56" i="7" s="1"/>
  <c r="IBH56" i="7" s="1"/>
  <c r="IBJ56" i="7" s="1"/>
  <c r="IBL56" i="7" s="1"/>
  <c r="IBN56" i="7" s="1"/>
  <c r="IBP56" i="7" s="1"/>
  <c r="IBR56" i="7" s="1"/>
  <c r="IBT56" i="7" s="1"/>
  <c r="IBV56" i="7" s="1"/>
  <c r="IBX56" i="7" s="1"/>
  <c r="IBZ56" i="7" s="1"/>
  <c r="ICB56" i="7" s="1"/>
  <c r="ICD56" i="7" s="1"/>
  <c r="ICF56" i="7" s="1"/>
  <c r="ICH56" i="7" s="1"/>
  <c r="ICJ56" i="7" s="1"/>
  <c r="ICL56" i="7" s="1"/>
  <c r="ICN56" i="7" s="1"/>
  <c r="ICP56" i="7" s="1"/>
  <c r="ICR56" i="7" s="1"/>
  <c r="ICT56" i="7" s="1"/>
  <c r="ICV56" i="7" s="1"/>
  <c r="ICX56" i="7" s="1"/>
  <c r="ICZ56" i="7" s="1"/>
  <c r="IDB56" i="7" s="1"/>
  <c r="IDD56" i="7" s="1"/>
  <c r="IDF56" i="7" s="1"/>
  <c r="IDH56" i="7" s="1"/>
  <c r="IDJ56" i="7" s="1"/>
  <c r="IDL56" i="7" s="1"/>
  <c r="IDN56" i="7" s="1"/>
  <c r="IDP56" i="7" s="1"/>
  <c r="IDR56" i="7" s="1"/>
  <c r="IDT56" i="7" s="1"/>
  <c r="IDV56" i="7" s="1"/>
  <c r="IDX56" i="7" s="1"/>
  <c r="IDZ56" i="7" s="1"/>
  <c r="IEB56" i="7" s="1"/>
  <c r="IED56" i="7" s="1"/>
  <c r="IEF56" i="7" s="1"/>
  <c r="IEH56" i="7" s="1"/>
  <c r="IEJ56" i="7" s="1"/>
  <c r="IEL56" i="7" s="1"/>
  <c r="IEN56" i="7" s="1"/>
  <c r="IEP56" i="7" s="1"/>
  <c r="IER56" i="7" s="1"/>
  <c r="IET56" i="7" s="1"/>
  <c r="IEV56" i="7" s="1"/>
  <c r="IEX56" i="7" s="1"/>
  <c r="IEZ56" i="7" s="1"/>
  <c r="IFB56" i="7" s="1"/>
  <c r="IFD56" i="7" s="1"/>
  <c r="IFF56" i="7" s="1"/>
  <c r="IFH56" i="7" s="1"/>
  <c r="IFJ56" i="7" s="1"/>
  <c r="IFL56" i="7" s="1"/>
  <c r="IFN56" i="7" s="1"/>
  <c r="IFP56" i="7" s="1"/>
  <c r="IFR56" i="7" s="1"/>
  <c r="IFT56" i="7" s="1"/>
  <c r="IFV56" i="7" s="1"/>
  <c r="IFX56" i="7" s="1"/>
  <c r="IFZ56" i="7" s="1"/>
  <c r="IGB56" i="7" s="1"/>
  <c r="IGD56" i="7" s="1"/>
  <c r="IGF56" i="7" s="1"/>
  <c r="IGH56" i="7" s="1"/>
  <c r="IGJ56" i="7" s="1"/>
  <c r="IGL56" i="7" s="1"/>
  <c r="IGN56" i="7" s="1"/>
  <c r="IGP56" i="7" s="1"/>
  <c r="IGR56" i="7" s="1"/>
  <c r="IGT56" i="7" s="1"/>
  <c r="IGV56" i="7" s="1"/>
  <c r="IGX56" i="7" s="1"/>
  <c r="IGZ56" i="7" s="1"/>
  <c r="IHB56" i="7" s="1"/>
  <c r="IHD56" i="7" s="1"/>
  <c r="IHF56" i="7" s="1"/>
  <c r="IHH56" i="7" s="1"/>
  <c r="IHJ56" i="7" s="1"/>
  <c r="IHL56" i="7" s="1"/>
  <c r="IHN56" i="7" s="1"/>
  <c r="IHP56" i="7" s="1"/>
  <c r="IHR56" i="7" s="1"/>
  <c r="IHT56" i="7" s="1"/>
  <c r="IHV56" i="7" s="1"/>
  <c r="IHX56" i="7" s="1"/>
  <c r="IHZ56" i="7" s="1"/>
  <c r="IIB56" i="7" s="1"/>
  <c r="IID56" i="7" s="1"/>
  <c r="IIF56" i="7" s="1"/>
  <c r="IIH56" i="7" s="1"/>
  <c r="IIJ56" i="7" s="1"/>
  <c r="IIL56" i="7" s="1"/>
  <c r="IIN56" i="7" s="1"/>
  <c r="IIP56" i="7" s="1"/>
  <c r="IIR56" i="7" s="1"/>
  <c r="IIT56" i="7" s="1"/>
  <c r="IIV56" i="7" s="1"/>
  <c r="IIX56" i="7" s="1"/>
  <c r="IIZ56" i="7" s="1"/>
  <c r="IJB56" i="7" s="1"/>
  <c r="IJD56" i="7" s="1"/>
  <c r="IJF56" i="7" s="1"/>
  <c r="IJH56" i="7" s="1"/>
  <c r="IJJ56" i="7" s="1"/>
  <c r="IJL56" i="7" s="1"/>
  <c r="IJN56" i="7" s="1"/>
  <c r="IJP56" i="7" s="1"/>
  <c r="IJR56" i="7" s="1"/>
  <c r="IJT56" i="7" s="1"/>
  <c r="IJV56" i="7" s="1"/>
  <c r="IJX56" i="7" s="1"/>
  <c r="IJZ56" i="7" s="1"/>
  <c r="IKB56" i="7" s="1"/>
  <c r="IKD56" i="7" s="1"/>
  <c r="IKF56" i="7" s="1"/>
  <c r="IKH56" i="7" s="1"/>
  <c r="IKJ56" i="7" s="1"/>
  <c r="IKL56" i="7" s="1"/>
  <c r="IKN56" i="7" s="1"/>
  <c r="IKP56" i="7" s="1"/>
  <c r="IKR56" i="7" s="1"/>
  <c r="IKT56" i="7" s="1"/>
  <c r="IKV56" i="7" s="1"/>
  <c r="IKX56" i="7" s="1"/>
  <c r="IKZ56" i="7" s="1"/>
  <c r="ILB56" i="7" s="1"/>
  <c r="ILD56" i="7" s="1"/>
  <c r="ILF56" i="7" s="1"/>
  <c r="ILH56" i="7" s="1"/>
  <c r="ILJ56" i="7" s="1"/>
  <c r="ILL56" i="7" s="1"/>
  <c r="ILN56" i="7" s="1"/>
  <c r="ILP56" i="7" s="1"/>
  <c r="ILR56" i="7" s="1"/>
  <c r="ILT56" i="7" s="1"/>
  <c r="ILV56" i="7" s="1"/>
  <c r="ILX56" i="7" s="1"/>
  <c r="ILZ56" i="7" s="1"/>
  <c r="IMB56" i="7" s="1"/>
  <c r="IMD56" i="7" s="1"/>
  <c r="IMF56" i="7" s="1"/>
  <c r="IMH56" i="7" s="1"/>
  <c r="IMJ56" i="7" s="1"/>
  <c r="IML56" i="7" s="1"/>
  <c r="IMN56" i="7" s="1"/>
  <c r="IMP56" i="7" s="1"/>
  <c r="IMR56" i="7" s="1"/>
  <c r="IMT56" i="7" s="1"/>
  <c r="IMV56" i="7" s="1"/>
  <c r="IMX56" i="7" s="1"/>
  <c r="IMZ56" i="7" s="1"/>
  <c r="INB56" i="7" s="1"/>
  <c r="IND56" i="7" s="1"/>
  <c r="INF56" i="7" s="1"/>
  <c r="INH56" i="7" s="1"/>
  <c r="INJ56" i="7" s="1"/>
  <c r="INL56" i="7" s="1"/>
  <c r="INN56" i="7" s="1"/>
  <c r="INP56" i="7" s="1"/>
  <c r="INR56" i="7" s="1"/>
  <c r="INT56" i="7" s="1"/>
  <c r="INV56" i="7" s="1"/>
  <c r="INX56" i="7" s="1"/>
  <c r="INZ56" i="7" s="1"/>
  <c r="IOB56" i="7" s="1"/>
  <c r="IOD56" i="7" s="1"/>
  <c r="IOF56" i="7" s="1"/>
  <c r="IOH56" i="7" s="1"/>
  <c r="IOJ56" i="7" s="1"/>
  <c r="IOL56" i="7" s="1"/>
  <c r="ION56" i="7" s="1"/>
  <c r="IOP56" i="7" s="1"/>
  <c r="IOR56" i="7" s="1"/>
  <c r="IOT56" i="7" s="1"/>
  <c r="IOV56" i="7" s="1"/>
  <c r="IOX56" i="7" s="1"/>
  <c r="IOZ56" i="7" s="1"/>
  <c r="IPB56" i="7" s="1"/>
  <c r="IPD56" i="7" s="1"/>
  <c r="IPF56" i="7" s="1"/>
  <c r="IPH56" i="7" s="1"/>
  <c r="IPJ56" i="7" s="1"/>
  <c r="IPL56" i="7" s="1"/>
  <c r="IPN56" i="7" s="1"/>
  <c r="IPP56" i="7" s="1"/>
  <c r="IPR56" i="7" s="1"/>
  <c r="IPT56" i="7" s="1"/>
  <c r="IPV56" i="7" s="1"/>
  <c r="IPX56" i="7" s="1"/>
  <c r="IPZ56" i="7" s="1"/>
  <c r="IQB56" i="7" s="1"/>
  <c r="IQD56" i="7" s="1"/>
  <c r="IQF56" i="7" s="1"/>
  <c r="IQH56" i="7" s="1"/>
  <c r="IQJ56" i="7" s="1"/>
  <c r="IQL56" i="7" s="1"/>
  <c r="IQN56" i="7" s="1"/>
  <c r="IQP56" i="7" s="1"/>
  <c r="IQR56" i="7" s="1"/>
  <c r="IQT56" i="7" s="1"/>
  <c r="IQV56" i="7" s="1"/>
  <c r="IQX56" i="7" s="1"/>
  <c r="IQZ56" i="7" s="1"/>
  <c r="IRB56" i="7" s="1"/>
  <c r="IRD56" i="7" s="1"/>
  <c r="IRF56" i="7" s="1"/>
  <c r="IRH56" i="7" s="1"/>
  <c r="IRJ56" i="7" s="1"/>
  <c r="IRL56" i="7" s="1"/>
  <c r="IRN56" i="7" s="1"/>
  <c r="IRP56" i="7" s="1"/>
  <c r="IRR56" i="7" s="1"/>
  <c r="IRT56" i="7" s="1"/>
  <c r="IRV56" i="7" s="1"/>
  <c r="IRX56" i="7" s="1"/>
  <c r="IRZ56" i="7" s="1"/>
  <c r="ISB56" i="7" s="1"/>
  <c r="ISD56" i="7" s="1"/>
  <c r="ISF56" i="7" s="1"/>
  <c r="ISH56" i="7" s="1"/>
  <c r="ISJ56" i="7" s="1"/>
  <c r="ISL56" i="7" s="1"/>
  <c r="ISN56" i="7" s="1"/>
  <c r="ISP56" i="7" s="1"/>
  <c r="ISR56" i="7" s="1"/>
  <c r="IST56" i="7" s="1"/>
  <c r="ISV56" i="7" s="1"/>
  <c r="ISX56" i="7" s="1"/>
  <c r="ISZ56" i="7" s="1"/>
  <c r="ITB56" i="7" s="1"/>
  <c r="ITD56" i="7" s="1"/>
  <c r="ITF56" i="7" s="1"/>
  <c r="ITH56" i="7" s="1"/>
  <c r="ITJ56" i="7" s="1"/>
  <c r="ITL56" i="7" s="1"/>
  <c r="ITN56" i="7" s="1"/>
  <c r="ITP56" i="7" s="1"/>
  <c r="ITR56" i="7" s="1"/>
  <c r="ITT56" i="7" s="1"/>
  <c r="ITV56" i="7" s="1"/>
  <c r="ITX56" i="7" s="1"/>
  <c r="ITZ56" i="7" s="1"/>
  <c r="IUB56" i="7" s="1"/>
  <c r="IUD56" i="7" s="1"/>
  <c r="IUF56" i="7" s="1"/>
  <c r="IUH56" i="7" s="1"/>
  <c r="IUJ56" i="7" s="1"/>
  <c r="IUL56" i="7" s="1"/>
  <c r="IUN56" i="7" s="1"/>
  <c r="IUP56" i="7" s="1"/>
  <c r="IUR56" i="7" s="1"/>
  <c r="IUT56" i="7" s="1"/>
  <c r="IUV56" i="7" s="1"/>
  <c r="IUX56" i="7" s="1"/>
  <c r="IUZ56" i="7" s="1"/>
  <c r="IVB56" i="7" s="1"/>
  <c r="IVD56" i="7" s="1"/>
  <c r="IVF56" i="7" s="1"/>
  <c r="IVH56" i="7" s="1"/>
  <c r="IVJ56" i="7" s="1"/>
  <c r="IVL56" i="7" s="1"/>
  <c r="IVN56" i="7" s="1"/>
  <c r="IVP56" i="7" s="1"/>
  <c r="IVR56" i="7" s="1"/>
  <c r="IVT56" i="7" s="1"/>
  <c r="IVV56" i="7" s="1"/>
  <c r="IVX56" i="7" s="1"/>
  <c r="IVZ56" i="7" s="1"/>
  <c r="IWB56" i="7" s="1"/>
  <c r="IWD56" i="7" s="1"/>
  <c r="IWF56" i="7" s="1"/>
  <c r="IWH56" i="7" s="1"/>
  <c r="IWJ56" i="7" s="1"/>
  <c r="IWL56" i="7" s="1"/>
  <c r="IWN56" i="7" s="1"/>
  <c r="IWP56" i="7" s="1"/>
  <c r="IWR56" i="7" s="1"/>
  <c r="IWT56" i="7" s="1"/>
  <c r="IWV56" i="7" s="1"/>
  <c r="IWX56" i="7" s="1"/>
  <c r="IWZ56" i="7" s="1"/>
  <c r="IXB56" i="7" s="1"/>
  <c r="IXD56" i="7" s="1"/>
  <c r="IXF56" i="7" s="1"/>
  <c r="IXH56" i="7" s="1"/>
  <c r="IXJ56" i="7" s="1"/>
  <c r="IXL56" i="7" s="1"/>
  <c r="IXN56" i="7" s="1"/>
  <c r="IXP56" i="7" s="1"/>
  <c r="IXR56" i="7" s="1"/>
  <c r="IXT56" i="7" s="1"/>
  <c r="IXV56" i="7" s="1"/>
  <c r="IXX56" i="7" s="1"/>
  <c r="IXZ56" i="7" s="1"/>
  <c r="IYB56" i="7" s="1"/>
  <c r="IYD56" i="7" s="1"/>
  <c r="IYF56" i="7" s="1"/>
  <c r="IYH56" i="7" s="1"/>
  <c r="IYJ56" i="7" s="1"/>
  <c r="IYL56" i="7" s="1"/>
  <c r="IYN56" i="7" s="1"/>
  <c r="IYP56" i="7" s="1"/>
  <c r="IYR56" i="7" s="1"/>
  <c r="IYT56" i="7" s="1"/>
  <c r="IYV56" i="7" s="1"/>
  <c r="IYX56" i="7" s="1"/>
  <c r="IYZ56" i="7" s="1"/>
  <c r="IZB56" i="7" s="1"/>
  <c r="IZD56" i="7" s="1"/>
  <c r="IZF56" i="7" s="1"/>
  <c r="IZH56" i="7" s="1"/>
  <c r="IZJ56" i="7" s="1"/>
  <c r="IZL56" i="7" s="1"/>
  <c r="IZN56" i="7" s="1"/>
  <c r="IZP56" i="7" s="1"/>
  <c r="IZR56" i="7" s="1"/>
  <c r="IZT56" i="7" s="1"/>
  <c r="IZV56" i="7" s="1"/>
  <c r="IZX56" i="7" s="1"/>
  <c r="IZZ56" i="7" s="1"/>
  <c r="JAB56" i="7" s="1"/>
  <c r="JAD56" i="7" s="1"/>
  <c r="JAF56" i="7" s="1"/>
  <c r="JAH56" i="7" s="1"/>
  <c r="JAJ56" i="7" s="1"/>
  <c r="JAL56" i="7" s="1"/>
  <c r="JAN56" i="7" s="1"/>
  <c r="JAP56" i="7" s="1"/>
  <c r="JAR56" i="7" s="1"/>
  <c r="JAT56" i="7" s="1"/>
  <c r="JAV56" i="7" s="1"/>
  <c r="JAX56" i="7" s="1"/>
  <c r="JAZ56" i="7" s="1"/>
  <c r="JBB56" i="7" s="1"/>
  <c r="JBD56" i="7" s="1"/>
  <c r="JBF56" i="7" s="1"/>
  <c r="JBH56" i="7" s="1"/>
  <c r="JBJ56" i="7" s="1"/>
  <c r="JBL56" i="7" s="1"/>
  <c r="JBN56" i="7" s="1"/>
  <c r="JBP56" i="7" s="1"/>
  <c r="JBR56" i="7" s="1"/>
  <c r="JBT56" i="7" s="1"/>
  <c r="JBV56" i="7" s="1"/>
  <c r="JBX56" i="7" s="1"/>
  <c r="JBZ56" i="7" s="1"/>
  <c r="JCB56" i="7" s="1"/>
  <c r="JCD56" i="7" s="1"/>
  <c r="JCF56" i="7" s="1"/>
  <c r="JCH56" i="7" s="1"/>
  <c r="JCJ56" i="7" s="1"/>
  <c r="JCL56" i="7" s="1"/>
  <c r="JCN56" i="7" s="1"/>
  <c r="JCP56" i="7" s="1"/>
  <c r="JCR56" i="7" s="1"/>
  <c r="JCT56" i="7" s="1"/>
  <c r="JCV56" i="7" s="1"/>
  <c r="JCX56" i="7" s="1"/>
  <c r="JCZ56" i="7" s="1"/>
  <c r="JDB56" i="7" s="1"/>
  <c r="JDD56" i="7" s="1"/>
  <c r="JDF56" i="7" s="1"/>
  <c r="JDH56" i="7" s="1"/>
  <c r="JDJ56" i="7" s="1"/>
  <c r="JDL56" i="7" s="1"/>
  <c r="JDN56" i="7" s="1"/>
  <c r="JDP56" i="7" s="1"/>
  <c r="JDR56" i="7" s="1"/>
  <c r="JDT56" i="7" s="1"/>
  <c r="JDV56" i="7" s="1"/>
  <c r="JDX56" i="7" s="1"/>
  <c r="JDZ56" i="7" s="1"/>
  <c r="JEB56" i="7" s="1"/>
  <c r="JED56" i="7" s="1"/>
  <c r="JEF56" i="7" s="1"/>
  <c r="JEH56" i="7" s="1"/>
  <c r="JEJ56" i="7" s="1"/>
  <c r="JEL56" i="7" s="1"/>
  <c r="JEN56" i="7" s="1"/>
  <c r="JEP56" i="7" s="1"/>
  <c r="JER56" i="7" s="1"/>
  <c r="JET56" i="7" s="1"/>
  <c r="JEV56" i="7" s="1"/>
  <c r="JEX56" i="7" s="1"/>
  <c r="JEZ56" i="7" s="1"/>
  <c r="JFB56" i="7" s="1"/>
  <c r="JFD56" i="7" s="1"/>
  <c r="JFF56" i="7" s="1"/>
  <c r="JFH56" i="7" s="1"/>
  <c r="JFJ56" i="7" s="1"/>
  <c r="JFL56" i="7" s="1"/>
  <c r="JFN56" i="7" s="1"/>
  <c r="JFP56" i="7" s="1"/>
  <c r="JFR56" i="7" s="1"/>
  <c r="JFT56" i="7" s="1"/>
  <c r="JFV56" i="7" s="1"/>
  <c r="JFX56" i="7" s="1"/>
  <c r="JFZ56" i="7" s="1"/>
  <c r="JGB56" i="7" s="1"/>
  <c r="JGD56" i="7" s="1"/>
  <c r="JGF56" i="7" s="1"/>
  <c r="JGH56" i="7" s="1"/>
  <c r="JGJ56" i="7" s="1"/>
  <c r="JGL56" i="7" s="1"/>
  <c r="JGN56" i="7" s="1"/>
  <c r="JGP56" i="7" s="1"/>
  <c r="JGR56" i="7" s="1"/>
  <c r="JGT56" i="7" s="1"/>
  <c r="JGV56" i="7" s="1"/>
  <c r="JGX56" i="7" s="1"/>
  <c r="JGZ56" i="7" s="1"/>
  <c r="JHB56" i="7" s="1"/>
  <c r="JHD56" i="7" s="1"/>
  <c r="JHF56" i="7" s="1"/>
  <c r="JHH56" i="7" s="1"/>
  <c r="JHJ56" i="7" s="1"/>
  <c r="JHL56" i="7" s="1"/>
  <c r="JHN56" i="7" s="1"/>
  <c r="JHP56" i="7" s="1"/>
  <c r="JHR56" i="7" s="1"/>
  <c r="JHT56" i="7" s="1"/>
  <c r="JHV56" i="7" s="1"/>
  <c r="JHX56" i="7" s="1"/>
  <c r="JHZ56" i="7" s="1"/>
  <c r="JIB56" i="7" s="1"/>
  <c r="JID56" i="7" s="1"/>
  <c r="JIF56" i="7" s="1"/>
  <c r="JIH56" i="7" s="1"/>
  <c r="JIJ56" i="7" s="1"/>
  <c r="JIL56" i="7" s="1"/>
  <c r="JIN56" i="7" s="1"/>
  <c r="JIP56" i="7" s="1"/>
  <c r="JIR56" i="7" s="1"/>
  <c r="JIT56" i="7" s="1"/>
  <c r="JIV56" i="7" s="1"/>
  <c r="JIX56" i="7" s="1"/>
  <c r="JIZ56" i="7" s="1"/>
  <c r="JJB56" i="7" s="1"/>
  <c r="JJD56" i="7" s="1"/>
  <c r="JJF56" i="7" s="1"/>
  <c r="JJH56" i="7" s="1"/>
  <c r="JJJ56" i="7" s="1"/>
  <c r="JJL56" i="7" s="1"/>
  <c r="JJN56" i="7" s="1"/>
  <c r="JJP56" i="7" s="1"/>
  <c r="JJR56" i="7" s="1"/>
  <c r="JJT56" i="7" s="1"/>
  <c r="JJV56" i="7" s="1"/>
  <c r="JJX56" i="7" s="1"/>
  <c r="JJZ56" i="7" s="1"/>
  <c r="JKB56" i="7" s="1"/>
  <c r="JKD56" i="7" s="1"/>
  <c r="JKF56" i="7" s="1"/>
  <c r="JKH56" i="7" s="1"/>
  <c r="JKJ56" i="7" s="1"/>
  <c r="JKL56" i="7" s="1"/>
  <c r="JKN56" i="7" s="1"/>
  <c r="JKP56" i="7" s="1"/>
  <c r="JKR56" i="7" s="1"/>
  <c r="JKT56" i="7" s="1"/>
  <c r="JKV56" i="7" s="1"/>
  <c r="JKX56" i="7" s="1"/>
  <c r="JKZ56" i="7" s="1"/>
  <c r="JLB56" i="7" s="1"/>
  <c r="JLD56" i="7" s="1"/>
  <c r="JLF56" i="7" s="1"/>
  <c r="JLH56" i="7" s="1"/>
  <c r="JLJ56" i="7" s="1"/>
  <c r="JLL56" i="7" s="1"/>
  <c r="JLN56" i="7" s="1"/>
  <c r="JLP56" i="7" s="1"/>
  <c r="JLR56" i="7" s="1"/>
  <c r="JLT56" i="7" s="1"/>
  <c r="JLV56" i="7" s="1"/>
  <c r="JLX56" i="7" s="1"/>
  <c r="JLZ56" i="7" s="1"/>
  <c r="JMB56" i="7" s="1"/>
  <c r="JMD56" i="7" s="1"/>
  <c r="JMF56" i="7" s="1"/>
  <c r="JMH56" i="7" s="1"/>
  <c r="JMJ56" i="7" s="1"/>
  <c r="JML56" i="7" s="1"/>
  <c r="JMN56" i="7" s="1"/>
  <c r="JMP56" i="7" s="1"/>
  <c r="JMR56" i="7" s="1"/>
  <c r="JMT56" i="7" s="1"/>
  <c r="JMV56" i="7" s="1"/>
  <c r="JMX56" i="7" s="1"/>
  <c r="JMZ56" i="7" s="1"/>
  <c r="JNB56" i="7" s="1"/>
  <c r="JND56" i="7" s="1"/>
  <c r="JNF56" i="7" s="1"/>
  <c r="JNH56" i="7" s="1"/>
  <c r="JNJ56" i="7" s="1"/>
  <c r="JNL56" i="7" s="1"/>
  <c r="JNN56" i="7" s="1"/>
  <c r="JNP56" i="7" s="1"/>
  <c r="JNR56" i="7" s="1"/>
  <c r="JNT56" i="7" s="1"/>
  <c r="JNV56" i="7" s="1"/>
  <c r="JNX56" i="7" s="1"/>
  <c r="JNZ56" i="7" s="1"/>
  <c r="JOB56" i="7" s="1"/>
  <c r="JOD56" i="7" s="1"/>
  <c r="JOF56" i="7" s="1"/>
  <c r="JOH56" i="7" s="1"/>
  <c r="JOJ56" i="7" s="1"/>
  <c r="JOL56" i="7" s="1"/>
  <c r="JON56" i="7" s="1"/>
  <c r="JOP56" i="7" s="1"/>
  <c r="JOR56" i="7" s="1"/>
  <c r="JOT56" i="7" s="1"/>
  <c r="JOV56" i="7" s="1"/>
  <c r="JOX56" i="7" s="1"/>
  <c r="JOZ56" i="7" s="1"/>
  <c r="JPB56" i="7" s="1"/>
  <c r="JPD56" i="7" s="1"/>
  <c r="JPF56" i="7" s="1"/>
  <c r="JPH56" i="7" s="1"/>
  <c r="JPJ56" i="7" s="1"/>
  <c r="JPL56" i="7" s="1"/>
  <c r="JPN56" i="7" s="1"/>
  <c r="JPP56" i="7" s="1"/>
  <c r="JPR56" i="7" s="1"/>
  <c r="JPT56" i="7" s="1"/>
  <c r="JPV56" i="7" s="1"/>
  <c r="JPX56" i="7" s="1"/>
  <c r="JPZ56" i="7" s="1"/>
  <c r="JQB56" i="7" s="1"/>
  <c r="JQD56" i="7" s="1"/>
  <c r="JQF56" i="7" s="1"/>
  <c r="JQH56" i="7" s="1"/>
  <c r="JQJ56" i="7" s="1"/>
  <c r="JQL56" i="7" s="1"/>
  <c r="JQN56" i="7" s="1"/>
  <c r="JQP56" i="7" s="1"/>
  <c r="JQR56" i="7" s="1"/>
  <c r="JQT56" i="7" s="1"/>
  <c r="JQV56" i="7" s="1"/>
  <c r="JQX56" i="7" s="1"/>
  <c r="JQZ56" i="7" s="1"/>
  <c r="JRB56" i="7" s="1"/>
  <c r="JRD56" i="7" s="1"/>
  <c r="JRF56" i="7" s="1"/>
  <c r="JRH56" i="7" s="1"/>
  <c r="JRJ56" i="7" s="1"/>
  <c r="JRL56" i="7" s="1"/>
  <c r="JRN56" i="7" s="1"/>
  <c r="JRP56" i="7" s="1"/>
  <c r="JRR56" i="7" s="1"/>
  <c r="JRT56" i="7" s="1"/>
  <c r="JRV56" i="7" s="1"/>
  <c r="JRX56" i="7" s="1"/>
  <c r="JRZ56" i="7" s="1"/>
  <c r="JSB56" i="7" s="1"/>
  <c r="JSD56" i="7" s="1"/>
  <c r="JSF56" i="7" s="1"/>
  <c r="JSH56" i="7" s="1"/>
  <c r="JSJ56" i="7" s="1"/>
  <c r="JSL56" i="7" s="1"/>
  <c r="JSN56" i="7" s="1"/>
  <c r="JSP56" i="7" s="1"/>
  <c r="JSR56" i="7" s="1"/>
  <c r="JST56" i="7" s="1"/>
  <c r="JSV56" i="7" s="1"/>
  <c r="JSX56" i="7" s="1"/>
  <c r="JSZ56" i="7" s="1"/>
  <c r="JTB56" i="7" s="1"/>
  <c r="JTD56" i="7" s="1"/>
  <c r="JTF56" i="7" s="1"/>
  <c r="JTH56" i="7" s="1"/>
  <c r="JTJ56" i="7" s="1"/>
  <c r="JTL56" i="7" s="1"/>
  <c r="JTN56" i="7" s="1"/>
  <c r="JTP56" i="7" s="1"/>
  <c r="JTR56" i="7" s="1"/>
  <c r="JTT56" i="7" s="1"/>
  <c r="JTV56" i="7" s="1"/>
  <c r="JTX56" i="7" s="1"/>
  <c r="JTZ56" i="7" s="1"/>
  <c r="JUB56" i="7" s="1"/>
  <c r="JUD56" i="7" s="1"/>
  <c r="JUF56" i="7" s="1"/>
  <c r="JUH56" i="7" s="1"/>
  <c r="JUJ56" i="7" s="1"/>
  <c r="JUL56" i="7" s="1"/>
  <c r="JUN56" i="7" s="1"/>
  <c r="JUP56" i="7" s="1"/>
  <c r="JUR56" i="7" s="1"/>
  <c r="JUT56" i="7" s="1"/>
  <c r="JUV56" i="7" s="1"/>
  <c r="JUX56" i="7" s="1"/>
  <c r="JUZ56" i="7" s="1"/>
  <c r="JVB56" i="7" s="1"/>
  <c r="JVD56" i="7" s="1"/>
  <c r="JVF56" i="7" s="1"/>
  <c r="JVH56" i="7" s="1"/>
  <c r="JVJ56" i="7" s="1"/>
  <c r="JVL56" i="7" s="1"/>
  <c r="JVN56" i="7" s="1"/>
  <c r="JVP56" i="7" s="1"/>
  <c r="JVR56" i="7" s="1"/>
  <c r="JVT56" i="7" s="1"/>
  <c r="JVV56" i="7" s="1"/>
  <c r="JVX56" i="7" s="1"/>
  <c r="JVZ56" i="7" s="1"/>
  <c r="JWB56" i="7" s="1"/>
  <c r="JWD56" i="7" s="1"/>
  <c r="JWF56" i="7" s="1"/>
  <c r="JWH56" i="7" s="1"/>
  <c r="JWJ56" i="7" s="1"/>
  <c r="JWL56" i="7" s="1"/>
  <c r="JWN56" i="7" s="1"/>
  <c r="JWP56" i="7" s="1"/>
  <c r="JWR56" i="7" s="1"/>
  <c r="JWT56" i="7" s="1"/>
  <c r="JWV56" i="7" s="1"/>
  <c r="JWX56" i="7" s="1"/>
  <c r="JWZ56" i="7" s="1"/>
  <c r="JXB56" i="7" s="1"/>
  <c r="JXD56" i="7" s="1"/>
  <c r="JXF56" i="7" s="1"/>
  <c r="JXH56" i="7" s="1"/>
  <c r="JXJ56" i="7" s="1"/>
  <c r="JXL56" i="7" s="1"/>
  <c r="JXN56" i="7" s="1"/>
  <c r="JXP56" i="7" s="1"/>
  <c r="JXR56" i="7" s="1"/>
  <c r="JXT56" i="7" s="1"/>
  <c r="JXV56" i="7" s="1"/>
  <c r="JXX56" i="7" s="1"/>
  <c r="JXZ56" i="7" s="1"/>
  <c r="JYB56" i="7" s="1"/>
  <c r="JYD56" i="7" s="1"/>
  <c r="JYF56" i="7" s="1"/>
  <c r="JYH56" i="7" s="1"/>
  <c r="JYJ56" i="7" s="1"/>
  <c r="JYL56" i="7" s="1"/>
  <c r="JYN56" i="7" s="1"/>
  <c r="JYP56" i="7" s="1"/>
  <c r="JYR56" i="7" s="1"/>
  <c r="JYT56" i="7" s="1"/>
  <c r="JYV56" i="7" s="1"/>
  <c r="JYX56" i="7" s="1"/>
  <c r="JYZ56" i="7" s="1"/>
  <c r="JZB56" i="7" s="1"/>
  <c r="JZD56" i="7" s="1"/>
  <c r="JZF56" i="7" s="1"/>
  <c r="JZH56" i="7" s="1"/>
  <c r="JZJ56" i="7" s="1"/>
  <c r="JZL56" i="7" s="1"/>
  <c r="JZN56" i="7" s="1"/>
  <c r="JZP56" i="7" s="1"/>
  <c r="JZR56" i="7" s="1"/>
  <c r="JZT56" i="7" s="1"/>
  <c r="JZV56" i="7" s="1"/>
  <c r="JZX56" i="7" s="1"/>
  <c r="JZZ56" i="7" s="1"/>
  <c r="KAB56" i="7" s="1"/>
  <c r="KAD56" i="7" s="1"/>
  <c r="KAF56" i="7" s="1"/>
  <c r="KAH56" i="7" s="1"/>
  <c r="KAJ56" i="7" s="1"/>
  <c r="KAL56" i="7" s="1"/>
  <c r="KAN56" i="7" s="1"/>
  <c r="KAP56" i="7" s="1"/>
  <c r="KAR56" i="7" s="1"/>
  <c r="KAT56" i="7" s="1"/>
  <c r="KAV56" i="7" s="1"/>
  <c r="KAX56" i="7" s="1"/>
  <c r="KAZ56" i="7" s="1"/>
  <c r="KBB56" i="7" s="1"/>
  <c r="KBD56" i="7" s="1"/>
  <c r="KBF56" i="7" s="1"/>
  <c r="KBH56" i="7" s="1"/>
  <c r="KBJ56" i="7" s="1"/>
  <c r="KBL56" i="7" s="1"/>
  <c r="KBN56" i="7" s="1"/>
  <c r="KBP56" i="7" s="1"/>
  <c r="KBR56" i="7" s="1"/>
  <c r="KBT56" i="7" s="1"/>
  <c r="KBV56" i="7" s="1"/>
  <c r="KBX56" i="7" s="1"/>
  <c r="KBZ56" i="7" s="1"/>
  <c r="KCB56" i="7" s="1"/>
  <c r="KCD56" i="7" s="1"/>
  <c r="KCF56" i="7" s="1"/>
  <c r="KCH56" i="7" s="1"/>
  <c r="KCJ56" i="7" s="1"/>
  <c r="KCL56" i="7" s="1"/>
  <c r="KCN56" i="7" s="1"/>
  <c r="KCP56" i="7" s="1"/>
  <c r="KCR56" i="7" s="1"/>
  <c r="KCT56" i="7" s="1"/>
  <c r="KCV56" i="7" s="1"/>
  <c r="KCX56" i="7" s="1"/>
  <c r="KCZ56" i="7" s="1"/>
  <c r="KDB56" i="7" s="1"/>
  <c r="KDD56" i="7" s="1"/>
  <c r="KDF56" i="7" s="1"/>
  <c r="KDH56" i="7" s="1"/>
  <c r="KDJ56" i="7" s="1"/>
  <c r="KDL56" i="7" s="1"/>
  <c r="KDN56" i="7" s="1"/>
  <c r="KDP56" i="7" s="1"/>
  <c r="KDR56" i="7" s="1"/>
  <c r="KDT56" i="7" s="1"/>
  <c r="KDV56" i="7" s="1"/>
  <c r="KDX56" i="7" s="1"/>
  <c r="KDZ56" i="7" s="1"/>
  <c r="KEB56" i="7" s="1"/>
  <c r="KED56" i="7" s="1"/>
  <c r="KEF56" i="7" s="1"/>
  <c r="KEH56" i="7" s="1"/>
  <c r="KEJ56" i="7" s="1"/>
  <c r="KEL56" i="7" s="1"/>
  <c r="KEN56" i="7" s="1"/>
  <c r="KEP56" i="7" s="1"/>
  <c r="KER56" i="7" s="1"/>
  <c r="KET56" i="7" s="1"/>
  <c r="KEV56" i="7" s="1"/>
  <c r="KEX56" i="7" s="1"/>
  <c r="KEZ56" i="7" s="1"/>
  <c r="KFB56" i="7" s="1"/>
  <c r="KFD56" i="7" s="1"/>
  <c r="KFF56" i="7" s="1"/>
  <c r="KFH56" i="7" s="1"/>
  <c r="KFJ56" i="7" s="1"/>
  <c r="KFL56" i="7" s="1"/>
  <c r="KFN56" i="7" s="1"/>
  <c r="KFP56" i="7" s="1"/>
  <c r="KFR56" i="7" s="1"/>
  <c r="KFT56" i="7" s="1"/>
  <c r="KFV56" i="7" s="1"/>
  <c r="KFX56" i="7" s="1"/>
  <c r="KFZ56" i="7" s="1"/>
  <c r="KGB56" i="7" s="1"/>
  <c r="KGD56" i="7" s="1"/>
  <c r="KGF56" i="7" s="1"/>
  <c r="KGH56" i="7" s="1"/>
  <c r="KGJ56" i="7" s="1"/>
  <c r="KGL56" i="7" s="1"/>
  <c r="KGN56" i="7" s="1"/>
  <c r="KGP56" i="7" s="1"/>
  <c r="KGR56" i="7" s="1"/>
  <c r="KGT56" i="7" s="1"/>
  <c r="KGV56" i="7" s="1"/>
  <c r="KGX56" i="7" s="1"/>
  <c r="KGZ56" i="7" s="1"/>
  <c r="KHB56" i="7" s="1"/>
  <c r="KHD56" i="7" s="1"/>
  <c r="KHF56" i="7" s="1"/>
  <c r="KHH56" i="7" s="1"/>
  <c r="KHJ56" i="7" s="1"/>
  <c r="KHL56" i="7" s="1"/>
  <c r="KHN56" i="7" s="1"/>
  <c r="KHP56" i="7" s="1"/>
  <c r="KHR56" i="7" s="1"/>
  <c r="KHT56" i="7" s="1"/>
  <c r="KHV56" i="7" s="1"/>
  <c r="KHX56" i="7" s="1"/>
  <c r="KHZ56" i="7" s="1"/>
  <c r="KIB56" i="7" s="1"/>
  <c r="KID56" i="7" s="1"/>
  <c r="KIF56" i="7" s="1"/>
  <c r="KIH56" i="7" s="1"/>
  <c r="KIJ56" i="7" s="1"/>
  <c r="KIL56" i="7" s="1"/>
  <c r="KIN56" i="7" s="1"/>
  <c r="KIP56" i="7" s="1"/>
  <c r="KIR56" i="7" s="1"/>
  <c r="KIT56" i="7" s="1"/>
  <c r="KIV56" i="7" s="1"/>
  <c r="KIX56" i="7" s="1"/>
  <c r="KIZ56" i="7" s="1"/>
  <c r="KJB56" i="7" s="1"/>
  <c r="KJD56" i="7" s="1"/>
  <c r="KJF56" i="7" s="1"/>
  <c r="KJH56" i="7" s="1"/>
  <c r="KJJ56" i="7" s="1"/>
  <c r="KJL56" i="7" s="1"/>
  <c r="KJN56" i="7" s="1"/>
  <c r="KJP56" i="7" s="1"/>
  <c r="KJR56" i="7" s="1"/>
  <c r="KJT56" i="7" s="1"/>
  <c r="KJV56" i="7" s="1"/>
  <c r="KJX56" i="7" s="1"/>
  <c r="KJZ56" i="7" s="1"/>
  <c r="KKB56" i="7" s="1"/>
  <c r="KKD56" i="7" s="1"/>
  <c r="KKF56" i="7" s="1"/>
  <c r="KKH56" i="7" s="1"/>
  <c r="KKJ56" i="7" s="1"/>
  <c r="KKL56" i="7" s="1"/>
  <c r="KKN56" i="7" s="1"/>
  <c r="KKP56" i="7" s="1"/>
  <c r="KKR56" i="7" s="1"/>
  <c r="KKT56" i="7" s="1"/>
  <c r="KKV56" i="7" s="1"/>
  <c r="KKX56" i="7" s="1"/>
  <c r="KKZ56" i="7" s="1"/>
  <c r="KLB56" i="7" s="1"/>
  <c r="KLD56" i="7" s="1"/>
  <c r="KLF56" i="7" s="1"/>
  <c r="KLH56" i="7" s="1"/>
  <c r="KLJ56" i="7" s="1"/>
  <c r="KLL56" i="7" s="1"/>
  <c r="KLN56" i="7" s="1"/>
  <c r="KLP56" i="7" s="1"/>
  <c r="KLR56" i="7" s="1"/>
  <c r="KLT56" i="7" s="1"/>
  <c r="KLV56" i="7" s="1"/>
  <c r="KLX56" i="7" s="1"/>
  <c r="KLZ56" i="7" s="1"/>
  <c r="KMB56" i="7" s="1"/>
  <c r="KMD56" i="7" s="1"/>
  <c r="KMF56" i="7" s="1"/>
  <c r="KMH56" i="7" s="1"/>
  <c r="KMJ56" i="7" s="1"/>
  <c r="KML56" i="7" s="1"/>
  <c r="KMN56" i="7" s="1"/>
  <c r="KMP56" i="7" s="1"/>
  <c r="KMR56" i="7" s="1"/>
  <c r="KMT56" i="7" s="1"/>
  <c r="KMV56" i="7" s="1"/>
  <c r="KMX56" i="7" s="1"/>
  <c r="KMZ56" i="7" s="1"/>
  <c r="KNB56" i="7" s="1"/>
  <c r="KND56" i="7" s="1"/>
  <c r="KNF56" i="7" s="1"/>
  <c r="KNH56" i="7" s="1"/>
  <c r="KNJ56" i="7" s="1"/>
  <c r="KNL56" i="7" s="1"/>
  <c r="KNN56" i="7" s="1"/>
  <c r="KNP56" i="7" s="1"/>
  <c r="KNR56" i="7" s="1"/>
  <c r="KNT56" i="7" s="1"/>
  <c r="KNV56" i="7" s="1"/>
  <c r="KNX56" i="7" s="1"/>
  <c r="KNZ56" i="7" s="1"/>
  <c r="KOB56" i="7" s="1"/>
  <c r="KOD56" i="7" s="1"/>
  <c r="KOF56" i="7" s="1"/>
  <c r="KOH56" i="7" s="1"/>
  <c r="KOJ56" i="7" s="1"/>
  <c r="KOL56" i="7" s="1"/>
  <c r="KON56" i="7" s="1"/>
  <c r="KOP56" i="7" s="1"/>
  <c r="KOR56" i="7" s="1"/>
  <c r="KOT56" i="7" s="1"/>
  <c r="KOV56" i="7" s="1"/>
  <c r="KOX56" i="7" s="1"/>
  <c r="KOZ56" i="7" s="1"/>
  <c r="KPB56" i="7" s="1"/>
  <c r="KPD56" i="7" s="1"/>
  <c r="KPF56" i="7" s="1"/>
  <c r="KPH56" i="7" s="1"/>
  <c r="KPJ56" i="7" s="1"/>
  <c r="KPL56" i="7" s="1"/>
  <c r="KPN56" i="7" s="1"/>
  <c r="KPP56" i="7" s="1"/>
  <c r="KPR56" i="7" s="1"/>
  <c r="KPT56" i="7" s="1"/>
  <c r="KPV56" i="7" s="1"/>
  <c r="KPX56" i="7" s="1"/>
  <c r="KPZ56" i="7" s="1"/>
  <c r="KQB56" i="7" s="1"/>
  <c r="KQD56" i="7" s="1"/>
  <c r="KQF56" i="7" s="1"/>
  <c r="KQH56" i="7" s="1"/>
  <c r="KQJ56" i="7" s="1"/>
  <c r="KQL56" i="7" s="1"/>
  <c r="KQN56" i="7" s="1"/>
  <c r="KQP56" i="7" s="1"/>
  <c r="KQR56" i="7" s="1"/>
  <c r="KQT56" i="7" s="1"/>
  <c r="KQV56" i="7" s="1"/>
  <c r="KQX56" i="7" s="1"/>
  <c r="KQZ56" i="7" s="1"/>
  <c r="KRB56" i="7" s="1"/>
  <c r="KRD56" i="7" s="1"/>
  <c r="KRF56" i="7" s="1"/>
  <c r="KRH56" i="7" s="1"/>
  <c r="KRJ56" i="7" s="1"/>
  <c r="KRL56" i="7" s="1"/>
  <c r="KRN56" i="7" s="1"/>
  <c r="KRP56" i="7" s="1"/>
  <c r="KRR56" i="7" s="1"/>
  <c r="KRT56" i="7" s="1"/>
  <c r="KRV56" i="7" s="1"/>
  <c r="KRX56" i="7" s="1"/>
  <c r="KRZ56" i="7" s="1"/>
  <c r="KSB56" i="7" s="1"/>
  <c r="KSD56" i="7" s="1"/>
  <c r="KSF56" i="7" s="1"/>
  <c r="KSH56" i="7" s="1"/>
  <c r="KSJ56" i="7" s="1"/>
  <c r="KSL56" i="7" s="1"/>
  <c r="KSN56" i="7" s="1"/>
  <c r="KSP56" i="7" s="1"/>
  <c r="KSR56" i="7" s="1"/>
  <c r="KST56" i="7" s="1"/>
  <c r="KSV56" i="7" s="1"/>
  <c r="KSX56" i="7" s="1"/>
  <c r="KSZ56" i="7" s="1"/>
  <c r="KTB56" i="7" s="1"/>
  <c r="KTD56" i="7" s="1"/>
  <c r="KTF56" i="7" s="1"/>
  <c r="KTH56" i="7" s="1"/>
  <c r="KTJ56" i="7" s="1"/>
  <c r="KTL56" i="7" s="1"/>
  <c r="KTN56" i="7" s="1"/>
  <c r="KTP56" i="7" s="1"/>
  <c r="KTR56" i="7" s="1"/>
  <c r="KTT56" i="7" s="1"/>
  <c r="KTV56" i="7" s="1"/>
  <c r="KTX56" i="7" s="1"/>
  <c r="KTZ56" i="7" s="1"/>
  <c r="KUB56" i="7" s="1"/>
  <c r="KUD56" i="7" s="1"/>
  <c r="KUF56" i="7" s="1"/>
  <c r="KUH56" i="7" s="1"/>
  <c r="KUJ56" i="7" s="1"/>
  <c r="KUL56" i="7" s="1"/>
  <c r="KUN56" i="7" s="1"/>
  <c r="KUP56" i="7" s="1"/>
  <c r="KUR56" i="7" s="1"/>
  <c r="KUT56" i="7" s="1"/>
  <c r="KUV56" i="7" s="1"/>
  <c r="KUX56" i="7" s="1"/>
  <c r="KUZ56" i="7" s="1"/>
  <c r="KVB56" i="7" s="1"/>
  <c r="KVD56" i="7" s="1"/>
  <c r="KVF56" i="7" s="1"/>
  <c r="KVH56" i="7" s="1"/>
  <c r="KVJ56" i="7" s="1"/>
  <c r="KVL56" i="7" s="1"/>
  <c r="KVN56" i="7" s="1"/>
  <c r="KVP56" i="7" s="1"/>
  <c r="KVR56" i="7" s="1"/>
  <c r="KVT56" i="7" s="1"/>
  <c r="KVV56" i="7" s="1"/>
  <c r="KVX56" i="7" s="1"/>
  <c r="KVZ56" i="7" s="1"/>
  <c r="KWB56" i="7" s="1"/>
  <c r="KWD56" i="7" s="1"/>
  <c r="KWF56" i="7" s="1"/>
  <c r="KWH56" i="7" s="1"/>
  <c r="KWJ56" i="7" s="1"/>
  <c r="KWL56" i="7" s="1"/>
  <c r="KWN56" i="7" s="1"/>
  <c r="KWP56" i="7" s="1"/>
  <c r="KWR56" i="7" s="1"/>
  <c r="KWT56" i="7" s="1"/>
  <c r="KWV56" i="7" s="1"/>
  <c r="KWX56" i="7" s="1"/>
  <c r="KWZ56" i="7" s="1"/>
  <c r="KXB56" i="7" s="1"/>
  <c r="KXD56" i="7" s="1"/>
  <c r="KXF56" i="7" s="1"/>
  <c r="KXH56" i="7" s="1"/>
  <c r="KXJ56" i="7" s="1"/>
  <c r="KXL56" i="7" s="1"/>
  <c r="KXN56" i="7" s="1"/>
  <c r="KXP56" i="7" s="1"/>
  <c r="KXR56" i="7" s="1"/>
  <c r="KXT56" i="7" s="1"/>
  <c r="KXV56" i="7" s="1"/>
  <c r="KXX56" i="7" s="1"/>
  <c r="KXZ56" i="7" s="1"/>
  <c r="KYB56" i="7" s="1"/>
  <c r="KYD56" i="7" s="1"/>
  <c r="KYF56" i="7" s="1"/>
  <c r="KYH56" i="7" s="1"/>
  <c r="KYJ56" i="7" s="1"/>
  <c r="KYL56" i="7" s="1"/>
  <c r="KYN56" i="7" s="1"/>
  <c r="KYP56" i="7" s="1"/>
  <c r="KYR56" i="7" s="1"/>
  <c r="KYT56" i="7" s="1"/>
  <c r="KYV56" i="7" s="1"/>
  <c r="KYX56" i="7" s="1"/>
  <c r="KYZ56" i="7" s="1"/>
  <c r="KZB56" i="7" s="1"/>
  <c r="KZD56" i="7" s="1"/>
  <c r="KZF56" i="7" s="1"/>
  <c r="KZH56" i="7" s="1"/>
  <c r="KZJ56" i="7" s="1"/>
  <c r="KZL56" i="7" s="1"/>
  <c r="KZN56" i="7" s="1"/>
  <c r="KZP56" i="7" s="1"/>
  <c r="KZR56" i="7" s="1"/>
  <c r="KZT56" i="7" s="1"/>
  <c r="KZV56" i="7" s="1"/>
  <c r="KZX56" i="7" s="1"/>
  <c r="KZZ56" i="7" s="1"/>
  <c r="LAB56" i="7" s="1"/>
  <c r="LAD56" i="7" s="1"/>
  <c r="LAF56" i="7" s="1"/>
  <c r="LAH56" i="7" s="1"/>
  <c r="LAJ56" i="7" s="1"/>
  <c r="LAL56" i="7" s="1"/>
  <c r="LAN56" i="7" s="1"/>
  <c r="LAP56" i="7" s="1"/>
  <c r="LAR56" i="7" s="1"/>
  <c r="LAT56" i="7" s="1"/>
  <c r="LAV56" i="7" s="1"/>
  <c r="LAX56" i="7" s="1"/>
  <c r="LAZ56" i="7" s="1"/>
  <c r="LBB56" i="7" s="1"/>
  <c r="LBD56" i="7" s="1"/>
  <c r="LBF56" i="7" s="1"/>
  <c r="LBH56" i="7" s="1"/>
  <c r="LBJ56" i="7" s="1"/>
  <c r="LBL56" i="7" s="1"/>
  <c r="LBN56" i="7" s="1"/>
  <c r="LBP56" i="7" s="1"/>
  <c r="LBR56" i="7" s="1"/>
  <c r="LBT56" i="7" s="1"/>
  <c r="LBV56" i="7" s="1"/>
  <c r="LBX56" i="7" s="1"/>
  <c r="LBZ56" i="7" s="1"/>
  <c r="LCB56" i="7" s="1"/>
  <c r="LCD56" i="7" s="1"/>
  <c r="LCF56" i="7" s="1"/>
  <c r="LCH56" i="7" s="1"/>
  <c r="LCJ56" i="7" s="1"/>
  <c r="LCL56" i="7" s="1"/>
  <c r="LCN56" i="7" s="1"/>
  <c r="LCP56" i="7" s="1"/>
  <c r="LCR56" i="7" s="1"/>
  <c r="LCT56" i="7" s="1"/>
  <c r="LCV56" i="7" s="1"/>
  <c r="LCX56" i="7" s="1"/>
  <c r="LCZ56" i="7" s="1"/>
  <c r="LDB56" i="7" s="1"/>
  <c r="LDD56" i="7" s="1"/>
  <c r="LDF56" i="7" s="1"/>
  <c r="LDH56" i="7" s="1"/>
  <c r="LDJ56" i="7" s="1"/>
  <c r="LDL56" i="7" s="1"/>
  <c r="LDN56" i="7" s="1"/>
  <c r="LDP56" i="7" s="1"/>
  <c r="LDR56" i="7" s="1"/>
  <c r="LDT56" i="7" s="1"/>
  <c r="LDV56" i="7" s="1"/>
  <c r="LDX56" i="7" s="1"/>
  <c r="LDZ56" i="7" s="1"/>
  <c r="LEB56" i="7" s="1"/>
  <c r="LED56" i="7" s="1"/>
  <c r="LEF56" i="7" s="1"/>
  <c r="LEH56" i="7" s="1"/>
  <c r="LEJ56" i="7" s="1"/>
  <c r="LEL56" i="7" s="1"/>
  <c r="LEN56" i="7" s="1"/>
  <c r="LEP56" i="7" s="1"/>
  <c r="LER56" i="7" s="1"/>
  <c r="LET56" i="7" s="1"/>
  <c r="LEV56" i="7" s="1"/>
  <c r="LEX56" i="7" s="1"/>
  <c r="LEZ56" i="7" s="1"/>
  <c r="LFB56" i="7" s="1"/>
  <c r="LFD56" i="7" s="1"/>
  <c r="LFF56" i="7" s="1"/>
  <c r="LFH56" i="7" s="1"/>
  <c r="LFJ56" i="7" s="1"/>
  <c r="LFL56" i="7" s="1"/>
  <c r="LFN56" i="7" s="1"/>
  <c r="LFP56" i="7" s="1"/>
  <c r="LFR56" i="7" s="1"/>
  <c r="LFT56" i="7" s="1"/>
  <c r="LFV56" i="7" s="1"/>
  <c r="LFX56" i="7" s="1"/>
  <c r="LFZ56" i="7" s="1"/>
  <c r="LGB56" i="7" s="1"/>
  <c r="LGD56" i="7" s="1"/>
  <c r="LGF56" i="7" s="1"/>
  <c r="LGH56" i="7" s="1"/>
  <c r="LGJ56" i="7" s="1"/>
  <c r="LGL56" i="7" s="1"/>
  <c r="LGN56" i="7" s="1"/>
  <c r="LGP56" i="7" s="1"/>
  <c r="LGR56" i="7" s="1"/>
  <c r="LGT56" i="7" s="1"/>
  <c r="LGV56" i="7" s="1"/>
  <c r="LGX56" i="7" s="1"/>
  <c r="LGZ56" i="7" s="1"/>
  <c r="LHB56" i="7" s="1"/>
  <c r="LHD56" i="7" s="1"/>
  <c r="LHF56" i="7" s="1"/>
  <c r="LHH56" i="7" s="1"/>
  <c r="LHJ56" i="7" s="1"/>
  <c r="LHL56" i="7" s="1"/>
  <c r="LHN56" i="7" s="1"/>
  <c r="LHP56" i="7" s="1"/>
  <c r="LHR56" i="7" s="1"/>
  <c r="LHT56" i="7" s="1"/>
  <c r="LHV56" i="7" s="1"/>
  <c r="LHX56" i="7" s="1"/>
  <c r="LHZ56" i="7" s="1"/>
  <c r="LIB56" i="7" s="1"/>
  <c r="LID56" i="7" s="1"/>
  <c r="LIF56" i="7" s="1"/>
  <c r="LIH56" i="7" s="1"/>
  <c r="LIJ56" i="7" s="1"/>
  <c r="LIL56" i="7" s="1"/>
  <c r="LIN56" i="7" s="1"/>
  <c r="LIP56" i="7" s="1"/>
  <c r="LIR56" i="7" s="1"/>
  <c r="LIT56" i="7" s="1"/>
  <c r="LIV56" i="7" s="1"/>
  <c r="LIX56" i="7" s="1"/>
  <c r="LIZ56" i="7" s="1"/>
  <c r="LJB56" i="7" s="1"/>
  <c r="LJD56" i="7" s="1"/>
  <c r="LJF56" i="7" s="1"/>
  <c r="LJH56" i="7" s="1"/>
  <c r="LJJ56" i="7" s="1"/>
  <c r="LJL56" i="7" s="1"/>
  <c r="LJN56" i="7" s="1"/>
  <c r="LJP56" i="7" s="1"/>
  <c r="LJR56" i="7" s="1"/>
  <c r="LJT56" i="7" s="1"/>
  <c r="LJV56" i="7" s="1"/>
  <c r="LJX56" i="7" s="1"/>
  <c r="LJZ56" i="7" s="1"/>
  <c r="LKB56" i="7" s="1"/>
  <c r="LKD56" i="7" s="1"/>
  <c r="LKF56" i="7" s="1"/>
  <c r="LKH56" i="7" s="1"/>
  <c r="LKJ56" i="7" s="1"/>
  <c r="LKL56" i="7" s="1"/>
  <c r="LKN56" i="7" s="1"/>
  <c r="LKP56" i="7" s="1"/>
  <c r="LKR56" i="7" s="1"/>
  <c r="LKT56" i="7" s="1"/>
  <c r="LKV56" i="7" s="1"/>
  <c r="LKX56" i="7" s="1"/>
  <c r="LKZ56" i="7" s="1"/>
  <c r="LLB56" i="7" s="1"/>
  <c r="LLD56" i="7" s="1"/>
  <c r="LLF56" i="7" s="1"/>
  <c r="LLH56" i="7" s="1"/>
  <c r="LLJ56" i="7" s="1"/>
  <c r="LLL56" i="7" s="1"/>
  <c r="LLN56" i="7" s="1"/>
  <c r="LLP56" i="7" s="1"/>
  <c r="LLR56" i="7" s="1"/>
  <c r="LLT56" i="7" s="1"/>
  <c r="LLV56" i="7" s="1"/>
  <c r="LLX56" i="7" s="1"/>
  <c r="LLZ56" i="7" s="1"/>
  <c r="LMB56" i="7" s="1"/>
  <c r="LMD56" i="7" s="1"/>
  <c r="LMF56" i="7" s="1"/>
  <c r="LMH56" i="7" s="1"/>
  <c r="LMJ56" i="7" s="1"/>
  <c r="LML56" i="7" s="1"/>
  <c r="LMN56" i="7" s="1"/>
  <c r="LMP56" i="7" s="1"/>
  <c r="LMR56" i="7" s="1"/>
  <c r="LMT56" i="7" s="1"/>
  <c r="LMV56" i="7" s="1"/>
  <c r="LMX56" i="7" s="1"/>
  <c r="LMZ56" i="7" s="1"/>
  <c r="LNB56" i="7" s="1"/>
  <c r="LND56" i="7" s="1"/>
  <c r="LNF56" i="7" s="1"/>
  <c r="LNH56" i="7" s="1"/>
  <c r="LNJ56" i="7" s="1"/>
  <c r="LNL56" i="7" s="1"/>
  <c r="LNN56" i="7" s="1"/>
  <c r="LNP56" i="7" s="1"/>
  <c r="LNR56" i="7" s="1"/>
  <c r="LNT56" i="7" s="1"/>
  <c r="LNV56" i="7" s="1"/>
  <c r="LNX56" i="7" s="1"/>
  <c r="LNZ56" i="7" s="1"/>
  <c r="LOB56" i="7" s="1"/>
  <c r="LOD56" i="7" s="1"/>
  <c r="LOF56" i="7" s="1"/>
  <c r="LOH56" i="7" s="1"/>
  <c r="LOJ56" i="7" s="1"/>
  <c r="LOL56" i="7" s="1"/>
  <c r="LON56" i="7" s="1"/>
  <c r="LOP56" i="7" s="1"/>
  <c r="LOR56" i="7" s="1"/>
  <c r="LOT56" i="7" s="1"/>
  <c r="LOV56" i="7" s="1"/>
  <c r="LOX56" i="7" s="1"/>
  <c r="LOZ56" i="7" s="1"/>
  <c r="LPB56" i="7" s="1"/>
  <c r="LPD56" i="7" s="1"/>
  <c r="LPF56" i="7" s="1"/>
  <c r="LPH56" i="7" s="1"/>
  <c r="LPJ56" i="7" s="1"/>
  <c r="LPL56" i="7" s="1"/>
  <c r="LPN56" i="7" s="1"/>
  <c r="LPP56" i="7" s="1"/>
  <c r="LPR56" i="7" s="1"/>
  <c r="LPT56" i="7" s="1"/>
  <c r="LPV56" i="7" s="1"/>
  <c r="LPX56" i="7" s="1"/>
  <c r="LPZ56" i="7" s="1"/>
  <c r="LQB56" i="7" s="1"/>
  <c r="LQD56" i="7" s="1"/>
  <c r="LQF56" i="7" s="1"/>
  <c r="LQH56" i="7" s="1"/>
  <c r="LQJ56" i="7" s="1"/>
  <c r="LQL56" i="7" s="1"/>
  <c r="LQN56" i="7" s="1"/>
  <c r="LQP56" i="7" s="1"/>
  <c r="LQR56" i="7" s="1"/>
  <c r="LQT56" i="7" s="1"/>
  <c r="LQV56" i="7" s="1"/>
  <c r="LQX56" i="7" s="1"/>
  <c r="LQZ56" i="7" s="1"/>
  <c r="LRB56" i="7" s="1"/>
  <c r="LRD56" i="7" s="1"/>
  <c r="LRF56" i="7" s="1"/>
  <c r="LRH56" i="7" s="1"/>
  <c r="LRJ56" i="7" s="1"/>
  <c r="LRL56" i="7" s="1"/>
  <c r="LRN56" i="7" s="1"/>
  <c r="LRP56" i="7" s="1"/>
  <c r="LRR56" i="7" s="1"/>
  <c r="LRT56" i="7" s="1"/>
  <c r="LRV56" i="7" s="1"/>
  <c r="LRX56" i="7" s="1"/>
  <c r="LRZ56" i="7" s="1"/>
  <c r="LSB56" i="7" s="1"/>
  <c r="LSD56" i="7" s="1"/>
  <c r="LSF56" i="7" s="1"/>
  <c r="LSH56" i="7" s="1"/>
  <c r="LSJ56" i="7" s="1"/>
  <c r="LSL56" i="7" s="1"/>
  <c r="LSN56" i="7" s="1"/>
  <c r="LSP56" i="7" s="1"/>
  <c r="LSR56" i="7" s="1"/>
  <c r="LST56" i="7" s="1"/>
  <c r="LSV56" i="7" s="1"/>
  <c r="LSX56" i="7" s="1"/>
  <c r="LSZ56" i="7" s="1"/>
  <c r="LTB56" i="7" s="1"/>
  <c r="LTD56" i="7" s="1"/>
  <c r="LTF56" i="7" s="1"/>
  <c r="LTH56" i="7" s="1"/>
  <c r="LTJ56" i="7" s="1"/>
  <c r="LTL56" i="7" s="1"/>
  <c r="LTN56" i="7" s="1"/>
  <c r="LTP56" i="7" s="1"/>
  <c r="LTR56" i="7" s="1"/>
  <c r="LTT56" i="7" s="1"/>
  <c r="LTV56" i="7" s="1"/>
  <c r="LTX56" i="7" s="1"/>
  <c r="LTZ56" i="7" s="1"/>
  <c r="LUB56" i="7" s="1"/>
  <c r="LUD56" i="7" s="1"/>
  <c r="LUF56" i="7" s="1"/>
  <c r="LUH56" i="7" s="1"/>
  <c r="LUJ56" i="7" s="1"/>
  <c r="LUL56" i="7" s="1"/>
  <c r="LUN56" i="7" s="1"/>
  <c r="LUP56" i="7" s="1"/>
  <c r="LUR56" i="7" s="1"/>
  <c r="LUT56" i="7" s="1"/>
  <c r="LUV56" i="7" s="1"/>
  <c r="LUX56" i="7" s="1"/>
  <c r="LUZ56" i="7" s="1"/>
  <c r="LVB56" i="7" s="1"/>
  <c r="LVD56" i="7" s="1"/>
  <c r="LVF56" i="7" s="1"/>
  <c r="LVH56" i="7" s="1"/>
  <c r="LVJ56" i="7" s="1"/>
  <c r="LVL56" i="7" s="1"/>
  <c r="LVN56" i="7" s="1"/>
  <c r="LVP56" i="7" s="1"/>
  <c r="LVR56" i="7" s="1"/>
  <c r="LVT56" i="7" s="1"/>
  <c r="LVV56" i="7" s="1"/>
  <c r="LVX56" i="7" s="1"/>
  <c r="LVZ56" i="7" s="1"/>
  <c r="LWB56" i="7" s="1"/>
  <c r="LWD56" i="7" s="1"/>
  <c r="LWF56" i="7" s="1"/>
  <c r="LWH56" i="7" s="1"/>
  <c r="LWJ56" i="7" s="1"/>
  <c r="LWL56" i="7" s="1"/>
  <c r="LWN56" i="7" s="1"/>
  <c r="LWP56" i="7" s="1"/>
  <c r="LWR56" i="7" s="1"/>
  <c r="LWT56" i="7" s="1"/>
  <c r="LWV56" i="7" s="1"/>
  <c r="LWX56" i="7" s="1"/>
  <c r="LWZ56" i="7" s="1"/>
  <c r="LXB56" i="7" s="1"/>
  <c r="LXD56" i="7" s="1"/>
  <c r="LXF56" i="7" s="1"/>
  <c r="LXH56" i="7" s="1"/>
  <c r="LXJ56" i="7" s="1"/>
  <c r="LXL56" i="7" s="1"/>
  <c r="LXN56" i="7" s="1"/>
  <c r="LXP56" i="7" s="1"/>
  <c r="LXR56" i="7" s="1"/>
  <c r="LXT56" i="7" s="1"/>
  <c r="LXV56" i="7" s="1"/>
  <c r="LXX56" i="7" s="1"/>
  <c r="LXZ56" i="7" s="1"/>
  <c r="LYB56" i="7" s="1"/>
  <c r="LYD56" i="7" s="1"/>
  <c r="LYF56" i="7" s="1"/>
  <c r="LYH56" i="7" s="1"/>
  <c r="LYJ56" i="7" s="1"/>
  <c r="LYL56" i="7" s="1"/>
  <c r="LYN56" i="7" s="1"/>
  <c r="LYP56" i="7" s="1"/>
  <c r="LYR56" i="7" s="1"/>
  <c r="LYT56" i="7" s="1"/>
  <c r="LYV56" i="7" s="1"/>
  <c r="LYX56" i="7" s="1"/>
  <c r="LYZ56" i="7" s="1"/>
  <c r="LZB56" i="7" s="1"/>
  <c r="LZD56" i="7" s="1"/>
  <c r="LZF56" i="7" s="1"/>
  <c r="LZH56" i="7" s="1"/>
  <c r="LZJ56" i="7" s="1"/>
  <c r="LZL56" i="7" s="1"/>
  <c r="LZN56" i="7" s="1"/>
  <c r="LZP56" i="7" s="1"/>
  <c r="LZR56" i="7" s="1"/>
  <c r="LZT56" i="7" s="1"/>
  <c r="LZV56" i="7" s="1"/>
  <c r="LZX56" i="7" s="1"/>
  <c r="LZZ56" i="7" s="1"/>
  <c r="MAB56" i="7" s="1"/>
  <c r="MAD56" i="7" s="1"/>
  <c r="MAF56" i="7" s="1"/>
  <c r="MAH56" i="7" s="1"/>
  <c r="MAJ56" i="7" s="1"/>
  <c r="MAL56" i="7" s="1"/>
  <c r="MAN56" i="7" s="1"/>
  <c r="MAP56" i="7" s="1"/>
  <c r="MAR56" i="7" s="1"/>
  <c r="MAT56" i="7" s="1"/>
  <c r="MAV56" i="7" s="1"/>
  <c r="MAX56" i="7" s="1"/>
  <c r="MAZ56" i="7" s="1"/>
  <c r="MBB56" i="7" s="1"/>
  <c r="MBD56" i="7" s="1"/>
  <c r="MBF56" i="7" s="1"/>
  <c r="MBH56" i="7" s="1"/>
  <c r="MBJ56" i="7" s="1"/>
  <c r="MBL56" i="7" s="1"/>
  <c r="MBN56" i="7" s="1"/>
  <c r="MBP56" i="7" s="1"/>
  <c r="MBR56" i="7" s="1"/>
  <c r="MBT56" i="7" s="1"/>
  <c r="MBV56" i="7" s="1"/>
  <c r="MBX56" i="7" s="1"/>
  <c r="MBZ56" i="7" s="1"/>
  <c r="MCB56" i="7" s="1"/>
  <c r="MCD56" i="7" s="1"/>
  <c r="MCF56" i="7" s="1"/>
  <c r="MCH56" i="7" s="1"/>
  <c r="MCJ56" i="7" s="1"/>
  <c r="MCL56" i="7" s="1"/>
  <c r="MCN56" i="7" s="1"/>
  <c r="MCP56" i="7" s="1"/>
  <c r="MCR56" i="7" s="1"/>
  <c r="MCT56" i="7" s="1"/>
  <c r="MCV56" i="7" s="1"/>
  <c r="MCX56" i="7" s="1"/>
  <c r="MCZ56" i="7" s="1"/>
  <c r="MDB56" i="7" s="1"/>
  <c r="MDD56" i="7" s="1"/>
  <c r="MDF56" i="7" s="1"/>
  <c r="MDH56" i="7" s="1"/>
  <c r="MDJ56" i="7" s="1"/>
  <c r="MDL56" i="7" s="1"/>
  <c r="MDN56" i="7" s="1"/>
  <c r="MDP56" i="7" s="1"/>
  <c r="MDR56" i="7" s="1"/>
  <c r="MDT56" i="7" s="1"/>
  <c r="MDV56" i="7" s="1"/>
  <c r="MDX56" i="7" s="1"/>
  <c r="MDZ56" i="7" s="1"/>
  <c r="MEB56" i="7" s="1"/>
  <c r="MED56" i="7" s="1"/>
  <c r="MEF56" i="7" s="1"/>
  <c r="MEH56" i="7" s="1"/>
  <c r="MEJ56" i="7" s="1"/>
  <c r="MEL56" i="7" s="1"/>
  <c r="MEN56" i="7" s="1"/>
  <c r="MEP56" i="7" s="1"/>
  <c r="MER56" i="7" s="1"/>
  <c r="MET56" i="7" s="1"/>
  <c r="MEV56" i="7" s="1"/>
  <c r="MEX56" i="7" s="1"/>
  <c r="MEZ56" i="7" s="1"/>
  <c r="MFB56" i="7" s="1"/>
  <c r="MFD56" i="7" s="1"/>
  <c r="MFF56" i="7" s="1"/>
  <c r="MFH56" i="7" s="1"/>
  <c r="MFJ56" i="7" s="1"/>
  <c r="MFL56" i="7" s="1"/>
  <c r="MFN56" i="7" s="1"/>
  <c r="MFP56" i="7" s="1"/>
  <c r="MFR56" i="7" s="1"/>
  <c r="MFT56" i="7" s="1"/>
  <c r="MFV56" i="7" s="1"/>
  <c r="MFX56" i="7" s="1"/>
  <c r="MFZ56" i="7" s="1"/>
  <c r="MGB56" i="7" s="1"/>
  <c r="MGD56" i="7" s="1"/>
  <c r="MGF56" i="7" s="1"/>
  <c r="MGH56" i="7" s="1"/>
  <c r="MGJ56" i="7" s="1"/>
  <c r="MGL56" i="7" s="1"/>
  <c r="MGN56" i="7" s="1"/>
  <c r="MGP56" i="7" s="1"/>
  <c r="MGR56" i="7" s="1"/>
  <c r="MGT56" i="7" s="1"/>
  <c r="MGV56" i="7" s="1"/>
  <c r="MGX56" i="7" s="1"/>
  <c r="MGZ56" i="7" s="1"/>
  <c r="MHB56" i="7" s="1"/>
  <c r="MHD56" i="7" s="1"/>
  <c r="MHF56" i="7" s="1"/>
  <c r="MHH56" i="7" s="1"/>
  <c r="MHJ56" i="7" s="1"/>
  <c r="MHL56" i="7" s="1"/>
  <c r="MHN56" i="7" s="1"/>
  <c r="MHP56" i="7" s="1"/>
  <c r="MHR56" i="7" s="1"/>
  <c r="MHT56" i="7" s="1"/>
  <c r="MHV56" i="7" s="1"/>
  <c r="MHX56" i="7" s="1"/>
  <c r="MHZ56" i="7" s="1"/>
  <c r="MIB56" i="7" s="1"/>
  <c r="MID56" i="7" s="1"/>
  <c r="MIF56" i="7" s="1"/>
  <c r="MIH56" i="7" s="1"/>
  <c r="MIJ56" i="7" s="1"/>
  <c r="MIL56" i="7" s="1"/>
  <c r="MIN56" i="7" s="1"/>
  <c r="MIP56" i="7" s="1"/>
  <c r="MIR56" i="7" s="1"/>
  <c r="MIT56" i="7" s="1"/>
  <c r="MIV56" i="7" s="1"/>
  <c r="MIX56" i="7" s="1"/>
  <c r="MIZ56" i="7" s="1"/>
  <c r="MJB56" i="7" s="1"/>
  <c r="MJD56" i="7" s="1"/>
  <c r="MJF56" i="7" s="1"/>
  <c r="MJH56" i="7" s="1"/>
  <c r="MJJ56" i="7" s="1"/>
  <c r="MJL56" i="7" s="1"/>
  <c r="MJN56" i="7" s="1"/>
  <c r="MJP56" i="7" s="1"/>
  <c r="MJR56" i="7" s="1"/>
  <c r="MJT56" i="7" s="1"/>
  <c r="MJV56" i="7" s="1"/>
  <c r="MJX56" i="7" s="1"/>
  <c r="MJZ56" i="7" s="1"/>
  <c r="MKB56" i="7" s="1"/>
  <c r="MKD56" i="7" s="1"/>
  <c r="MKF56" i="7" s="1"/>
  <c r="MKH56" i="7" s="1"/>
  <c r="MKJ56" i="7" s="1"/>
  <c r="MKL56" i="7" s="1"/>
  <c r="MKN56" i="7" s="1"/>
  <c r="MKP56" i="7" s="1"/>
  <c r="MKR56" i="7" s="1"/>
  <c r="MKT56" i="7" s="1"/>
  <c r="MKV56" i="7" s="1"/>
  <c r="MKX56" i="7" s="1"/>
  <c r="MKZ56" i="7" s="1"/>
  <c r="MLB56" i="7" s="1"/>
  <c r="MLD56" i="7" s="1"/>
  <c r="MLF56" i="7" s="1"/>
  <c r="MLH56" i="7" s="1"/>
  <c r="MLJ56" i="7" s="1"/>
  <c r="MLL56" i="7" s="1"/>
  <c r="MLN56" i="7" s="1"/>
  <c r="MLP56" i="7" s="1"/>
  <c r="MLR56" i="7" s="1"/>
  <c r="MLT56" i="7" s="1"/>
  <c r="MLV56" i="7" s="1"/>
  <c r="MLX56" i="7" s="1"/>
  <c r="MLZ56" i="7" s="1"/>
  <c r="MMB56" i="7" s="1"/>
  <c r="MMD56" i="7" s="1"/>
  <c r="MMF56" i="7" s="1"/>
  <c r="MMH56" i="7" s="1"/>
  <c r="MMJ56" i="7" s="1"/>
  <c r="MML56" i="7" s="1"/>
  <c r="MMN56" i="7" s="1"/>
  <c r="MMP56" i="7" s="1"/>
  <c r="MMR56" i="7" s="1"/>
  <c r="MMT56" i="7" s="1"/>
  <c r="MMV56" i="7" s="1"/>
  <c r="MMX56" i="7" s="1"/>
  <c r="MMZ56" i="7" s="1"/>
  <c r="MNB56" i="7" s="1"/>
  <c r="MND56" i="7" s="1"/>
  <c r="MNF56" i="7" s="1"/>
  <c r="MNH56" i="7" s="1"/>
  <c r="MNJ56" i="7" s="1"/>
  <c r="MNL56" i="7" s="1"/>
  <c r="MNN56" i="7" s="1"/>
  <c r="MNP56" i="7" s="1"/>
  <c r="MNR56" i="7" s="1"/>
  <c r="MNT56" i="7" s="1"/>
  <c r="MNV56" i="7" s="1"/>
  <c r="MNX56" i="7" s="1"/>
  <c r="MNZ56" i="7" s="1"/>
  <c r="MOB56" i="7" s="1"/>
  <c r="MOD56" i="7" s="1"/>
  <c r="MOF56" i="7" s="1"/>
  <c r="MOH56" i="7" s="1"/>
  <c r="MOJ56" i="7" s="1"/>
  <c r="MOL56" i="7" s="1"/>
  <c r="MON56" i="7" s="1"/>
  <c r="MOP56" i="7" s="1"/>
  <c r="MOR56" i="7" s="1"/>
  <c r="MOT56" i="7" s="1"/>
  <c r="MOV56" i="7" s="1"/>
  <c r="MOX56" i="7" s="1"/>
  <c r="MOZ56" i="7" s="1"/>
  <c r="MPB56" i="7" s="1"/>
  <c r="MPD56" i="7" s="1"/>
  <c r="MPF56" i="7" s="1"/>
  <c r="MPH56" i="7" s="1"/>
  <c r="MPJ56" i="7" s="1"/>
  <c r="MPL56" i="7" s="1"/>
  <c r="MPN56" i="7" s="1"/>
  <c r="MPP56" i="7" s="1"/>
  <c r="MPR56" i="7" s="1"/>
  <c r="MPT56" i="7" s="1"/>
  <c r="MPV56" i="7" s="1"/>
  <c r="MPX56" i="7" s="1"/>
  <c r="MPZ56" i="7" s="1"/>
  <c r="MQB56" i="7" s="1"/>
  <c r="MQD56" i="7" s="1"/>
  <c r="MQF56" i="7" s="1"/>
  <c r="MQH56" i="7" s="1"/>
  <c r="MQJ56" i="7" s="1"/>
  <c r="MQL56" i="7" s="1"/>
  <c r="MQN56" i="7" s="1"/>
  <c r="MQP56" i="7" s="1"/>
  <c r="MQR56" i="7" s="1"/>
  <c r="MQT56" i="7" s="1"/>
  <c r="MQV56" i="7" s="1"/>
  <c r="MQX56" i="7" s="1"/>
  <c r="MQZ56" i="7" s="1"/>
  <c r="MRB56" i="7" s="1"/>
  <c r="MRD56" i="7" s="1"/>
  <c r="MRF56" i="7" s="1"/>
  <c r="MRH56" i="7" s="1"/>
  <c r="MRJ56" i="7" s="1"/>
  <c r="MRL56" i="7" s="1"/>
  <c r="MRN56" i="7" s="1"/>
  <c r="MRP56" i="7" s="1"/>
  <c r="MRR56" i="7" s="1"/>
  <c r="MRT56" i="7" s="1"/>
  <c r="MRV56" i="7" s="1"/>
  <c r="MRX56" i="7" s="1"/>
  <c r="MRZ56" i="7" s="1"/>
  <c r="MSB56" i="7" s="1"/>
  <c r="MSD56" i="7" s="1"/>
  <c r="MSF56" i="7" s="1"/>
  <c r="MSH56" i="7" s="1"/>
  <c r="MSJ56" i="7" s="1"/>
  <c r="MSL56" i="7" s="1"/>
  <c r="MSN56" i="7" s="1"/>
  <c r="MSP56" i="7" s="1"/>
  <c r="MSR56" i="7" s="1"/>
  <c r="MST56" i="7" s="1"/>
  <c r="MSV56" i="7" s="1"/>
  <c r="MSX56" i="7" s="1"/>
  <c r="MSZ56" i="7" s="1"/>
  <c r="MTB56" i="7" s="1"/>
  <c r="MTD56" i="7" s="1"/>
  <c r="MTF56" i="7" s="1"/>
  <c r="MTH56" i="7" s="1"/>
  <c r="MTJ56" i="7" s="1"/>
  <c r="MTL56" i="7" s="1"/>
  <c r="MTN56" i="7" s="1"/>
  <c r="MTP56" i="7" s="1"/>
  <c r="MTR56" i="7" s="1"/>
  <c r="MTT56" i="7" s="1"/>
  <c r="MTV56" i="7" s="1"/>
  <c r="MTX56" i="7" s="1"/>
  <c r="MTZ56" i="7" s="1"/>
  <c r="MUB56" i="7" s="1"/>
  <c r="MUD56" i="7" s="1"/>
  <c r="MUF56" i="7" s="1"/>
  <c r="MUH56" i="7" s="1"/>
  <c r="MUJ56" i="7" s="1"/>
  <c r="MUL56" i="7" s="1"/>
  <c r="MUN56" i="7" s="1"/>
  <c r="MUP56" i="7" s="1"/>
  <c r="MUR56" i="7" s="1"/>
  <c r="MUT56" i="7" s="1"/>
  <c r="MUV56" i="7" s="1"/>
  <c r="MUX56" i="7" s="1"/>
  <c r="MUZ56" i="7" s="1"/>
  <c r="MVB56" i="7" s="1"/>
  <c r="MVD56" i="7" s="1"/>
  <c r="MVF56" i="7" s="1"/>
  <c r="MVH56" i="7" s="1"/>
  <c r="MVJ56" i="7" s="1"/>
  <c r="MVL56" i="7" s="1"/>
  <c r="MVN56" i="7" s="1"/>
  <c r="MVP56" i="7" s="1"/>
  <c r="MVR56" i="7" s="1"/>
  <c r="MVT56" i="7" s="1"/>
  <c r="MVV56" i="7" s="1"/>
  <c r="MVX56" i="7" s="1"/>
  <c r="MVZ56" i="7" s="1"/>
  <c r="MWB56" i="7" s="1"/>
  <c r="MWD56" i="7" s="1"/>
  <c r="MWF56" i="7" s="1"/>
  <c r="MWH56" i="7" s="1"/>
  <c r="MWJ56" i="7" s="1"/>
  <c r="MWL56" i="7" s="1"/>
  <c r="MWN56" i="7" s="1"/>
  <c r="MWP56" i="7" s="1"/>
  <c r="MWR56" i="7" s="1"/>
  <c r="MWT56" i="7" s="1"/>
  <c r="MWV56" i="7" s="1"/>
  <c r="MWX56" i="7" s="1"/>
  <c r="MWZ56" i="7" s="1"/>
  <c r="MXB56" i="7" s="1"/>
  <c r="MXD56" i="7" s="1"/>
  <c r="MXF56" i="7" s="1"/>
  <c r="MXH56" i="7" s="1"/>
  <c r="MXJ56" i="7" s="1"/>
  <c r="MXL56" i="7" s="1"/>
  <c r="MXN56" i="7" s="1"/>
  <c r="MXP56" i="7" s="1"/>
  <c r="MXR56" i="7" s="1"/>
  <c r="MXT56" i="7" s="1"/>
  <c r="MXV56" i="7" s="1"/>
  <c r="MXX56" i="7" s="1"/>
  <c r="MXZ56" i="7" s="1"/>
  <c r="MYB56" i="7" s="1"/>
  <c r="MYD56" i="7" s="1"/>
  <c r="MYF56" i="7" s="1"/>
  <c r="MYH56" i="7" s="1"/>
  <c r="MYJ56" i="7" s="1"/>
  <c r="MYL56" i="7" s="1"/>
  <c r="MYN56" i="7" s="1"/>
  <c r="MYP56" i="7" s="1"/>
  <c r="MYR56" i="7" s="1"/>
  <c r="MYT56" i="7" s="1"/>
  <c r="MYV56" i="7" s="1"/>
  <c r="MYX56" i="7" s="1"/>
  <c r="MYZ56" i="7" s="1"/>
  <c r="MZB56" i="7" s="1"/>
  <c r="MZD56" i="7" s="1"/>
  <c r="MZF56" i="7" s="1"/>
  <c r="MZH56" i="7" s="1"/>
  <c r="MZJ56" i="7" s="1"/>
  <c r="MZL56" i="7" s="1"/>
  <c r="MZN56" i="7" s="1"/>
  <c r="MZP56" i="7" s="1"/>
  <c r="MZR56" i="7" s="1"/>
  <c r="MZT56" i="7" s="1"/>
  <c r="MZV56" i="7" s="1"/>
  <c r="MZX56" i="7" s="1"/>
  <c r="MZZ56" i="7" s="1"/>
  <c r="NAB56" i="7" s="1"/>
  <c r="NAD56" i="7" s="1"/>
  <c r="NAF56" i="7" s="1"/>
  <c r="NAH56" i="7" s="1"/>
  <c r="NAJ56" i="7" s="1"/>
  <c r="NAL56" i="7" s="1"/>
  <c r="NAN56" i="7" s="1"/>
  <c r="NAP56" i="7" s="1"/>
  <c r="NAR56" i="7" s="1"/>
  <c r="NAT56" i="7" s="1"/>
  <c r="NAV56" i="7" s="1"/>
  <c r="NAX56" i="7" s="1"/>
  <c r="NAZ56" i="7" s="1"/>
  <c r="NBB56" i="7" s="1"/>
  <c r="NBD56" i="7" s="1"/>
  <c r="NBF56" i="7" s="1"/>
  <c r="NBH56" i="7" s="1"/>
  <c r="NBJ56" i="7" s="1"/>
  <c r="NBL56" i="7" s="1"/>
  <c r="NBN56" i="7" s="1"/>
  <c r="NBP56" i="7" s="1"/>
  <c r="NBR56" i="7" s="1"/>
  <c r="NBT56" i="7" s="1"/>
  <c r="NBV56" i="7" s="1"/>
  <c r="NBX56" i="7" s="1"/>
  <c r="NBZ56" i="7" s="1"/>
  <c r="NCB56" i="7" s="1"/>
  <c r="NCD56" i="7" s="1"/>
  <c r="NCF56" i="7" s="1"/>
  <c r="NCH56" i="7" s="1"/>
  <c r="NCJ56" i="7" s="1"/>
  <c r="NCL56" i="7" s="1"/>
  <c r="NCN56" i="7" s="1"/>
  <c r="NCP56" i="7" s="1"/>
  <c r="NCR56" i="7" s="1"/>
  <c r="NCT56" i="7" s="1"/>
  <c r="NCV56" i="7" s="1"/>
  <c r="NCX56" i="7" s="1"/>
  <c r="NCZ56" i="7" s="1"/>
  <c r="NDB56" i="7" s="1"/>
  <c r="NDD56" i="7" s="1"/>
  <c r="NDF56" i="7" s="1"/>
  <c r="NDH56" i="7" s="1"/>
  <c r="NDJ56" i="7" s="1"/>
  <c r="NDL56" i="7" s="1"/>
  <c r="NDN56" i="7" s="1"/>
  <c r="NDP56" i="7" s="1"/>
  <c r="NDR56" i="7" s="1"/>
  <c r="NDT56" i="7" s="1"/>
  <c r="NDV56" i="7" s="1"/>
  <c r="NDX56" i="7" s="1"/>
  <c r="NDZ56" i="7" s="1"/>
  <c r="NEB56" i="7" s="1"/>
  <c r="NED56" i="7" s="1"/>
  <c r="NEF56" i="7" s="1"/>
  <c r="NEH56" i="7" s="1"/>
  <c r="NEJ56" i="7" s="1"/>
  <c r="NEL56" i="7" s="1"/>
  <c r="NEN56" i="7" s="1"/>
  <c r="NEP56" i="7" s="1"/>
  <c r="NER56" i="7" s="1"/>
  <c r="NET56" i="7" s="1"/>
  <c r="NEV56" i="7" s="1"/>
  <c r="NEX56" i="7" s="1"/>
  <c r="NEZ56" i="7" s="1"/>
  <c r="NFB56" i="7" s="1"/>
  <c r="NFD56" i="7" s="1"/>
  <c r="NFF56" i="7" s="1"/>
  <c r="NFH56" i="7" s="1"/>
  <c r="NFJ56" i="7" s="1"/>
  <c r="NFL56" i="7" s="1"/>
  <c r="NFN56" i="7" s="1"/>
  <c r="NFP56" i="7" s="1"/>
  <c r="NFR56" i="7" s="1"/>
  <c r="NFT56" i="7" s="1"/>
  <c r="NFV56" i="7" s="1"/>
  <c r="NFX56" i="7" s="1"/>
  <c r="NFZ56" i="7" s="1"/>
  <c r="NGB56" i="7" s="1"/>
  <c r="NGD56" i="7" s="1"/>
  <c r="NGF56" i="7" s="1"/>
  <c r="NGH56" i="7" s="1"/>
  <c r="NGJ56" i="7" s="1"/>
  <c r="NGL56" i="7" s="1"/>
  <c r="NGN56" i="7" s="1"/>
  <c r="NGP56" i="7" s="1"/>
  <c r="NGR56" i="7" s="1"/>
  <c r="NGT56" i="7" s="1"/>
  <c r="NGV56" i="7" s="1"/>
  <c r="NGX56" i="7" s="1"/>
  <c r="NGZ56" i="7" s="1"/>
  <c r="NHB56" i="7" s="1"/>
  <c r="NHD56" i="7" s="1"/>
  <c r="NHF56" i="7" s="1"/>
  <c r="NHH56" i="7" s="1"/>
  <c r="NHJ56" i="7" s="1"/>
  <c r="NHL56" i="7" s="1"/>
  <c r="NHN56" i="7" s="1"/>
  <c r="NHP56" i="7" s="1"/>
  <c r="NHR56" i="7" s="1"/>
  <c r="NHT56" i="7" s="1"/>
  <c r="NHV56" i="7" s="1"/>
  <c r="NHX56" i="7" s="1"/>
  <c r="NHZ56" i="7" s="1"/>
  <c r="NIB56" i="7" s="1"/>
  <c r="NID56" i="7" s="1"/>
  <c r="NIF56" i="7" s="1"/>
  <c r="NIH56" i="7" s="1"/>
  <c r="NIJ56" i="7" s="1"/>
  <c r="NIL56" i="7" s="1"/>
  <c r="NIN56" i="7" s="1"/>
  <c r="NIP56" i="7" s="1"/>
  <c r="NIR56" i="7" s="1"/>
  <c r="NIT56" i="7" s="1"/>
  <c r="NIV56" i="7" s="1"/>
  <c r="NIX56" i="7" s="1"/>
  <c r="NIZ56" i="7" s="1"/>
  <c r="NJB56" i="7" s="1"/>
  <c r="NJD56" i="7" s="1"/>
  <c r="NJF56" i="7" s="1"/>
  <c r="NJH56" i="7" s="1"/>
  <c r="NJJ56" i="7" s="1"/>
  <c r="NJL56" i="7" s="1"/>
  <c r="NJN56" i="7" s="1"/>
  <c r="NJP56" i="7" s="1"/>
  <c r="NJR56" i="7" s="1"/>
  <c r="NJT56" i="7" s="1"/>
  <c r="NJV56" i="7" s="1"/>
  <c r="NJX56" i="7" s="1"/>
  <c r="NJZ56" i="7" s="1"/>
  <c r="NKB56" i="7" s="1"/>
  <c r="NKD56" i="7" s="1"/>
  <c r="NKF56" i="7" s="1"/>
  <c r="NKH56" i="7" s="1"/>
  <c r="NKJ56" i="7" s="1"/>
  <c r="NKL56" i="7" s="1"/>
  <c r="NKN56" i="7" s="1"/>
  <c r="NKP56" i="7" s="1"/>
  <c r="NKR56" i="7" s="1"/>
  <c r="NKT56" i="7" s="1"/>
  <c r="NKV56" i="7" s="1"/>
  <c r="NKX56" i="7" s="1"/>
  <c r="NKZ56" i="7" s="1"/>
  <c r="NLB56" i="7" s="1"/>
  <c r="NLD56" i="7" s="1"/>
  <c r="NLF56" i="7" s="1"/>
  <c r="NLH56" i="7" s="1"/>
  <c r="NLJ56" i="7" s="1"/>
  <c r="NLL56" i="7" s="1"/>
  <c r="NLN56" i="7" s="1"/>
  <c r="NLP56" i="7" s="1"/>
  <c r="NLR56" i="7" s="1"/>
  <c r="NLT56" i="7" s="1"/>
  <c r="NLV56" i="7" s="1"/>
  <c r="NLX56" i="7" s="1"/>
  <c r="NLZ56" i="7" s="1"/>
  <c r="NMB56" i="7" s="1"/>
  <c r="NMD56" i="7" s="1"/>
  <c r="NMF56" i="7" s="1"/>
  <c r="NMH56" i="7" s="1"/>
  <c r="NMJ56" i="7" s="1"/>
  <c r="NML56" i="7" s="1"/>
  <c r="NMN56" i="7" s="1"/>
  <c r="NMP56" i="7" s="1"/>
  <c r="NMR56" i="7" s="1"/>
  <c r="NMT56" i="7" s="1"/>
  <c r="NMV56" i="7" s="1"/>
  <c r="NMX56" i="7" s="1"/>
  <c r="NMZ56" i="7" s="1"/>
  <c r="NNB56" i="7" s="1"/>
  <c r="NND56" i="7" s="1"/>
  <c r="NNF56" i="7" s="1"/>
  <c r="NNH56" i="7" s="1"/>
  <c r="NNJ56" i="7" s="1"/>
  <c r="NNL56" i="7" s="1"/>
  <c r="NNN56" i="7" s="1"/>
  <c r="NNP56" i="7" s="1"/>
  <c r="NNR56" i="7" s="1"/>
  <c r="NNT56" i="7" s="1"/>
  <c r="NNV56" i="7" s="1"/>
  <c r="NNX56" i="7" s="1"/>
  <c r="NNZ56" i="7" s="1"/>
  <c r="NOB56" i="7" s="1"/>
  <c r="NOD56" i="7" s="1"/>
  <c r="NOF56" i="7" s="1"/>
  <c r="NOH56" i="7" s="1"/>
  <c r="NOJ56" i="7" s="1"/>
  <c r="NOL56" i="7" s="1"/>
  <c r="NON56" i="7" s="1"/>
  <c r="NOP56" i="7" s="1"/>
  <c r="NOR56" i="7" s="1"/>
  <c r="NOT56" i="7" s="1"/>
  <c r="NOV56" i="7" s="1"/>
  <c r="NOX56" i="7" s="1"/>
  <c r="NOZ56" i="7" s="1"/>
  <c r="NPB56" i="7" s="1"/>
  <c r="NPD56" i="7" s="1"/>
  <c r="NPF56" i="7" s="1"/>
  <c r="NPH56" i="7" s="1"/>
  <c r="NPJ56" i="7" s="1"/>
  <c r="NPL56" i="7" s="1"/>
  <c r="NPN56" i="7" s="1"/>
  <c r="NPP56" i="7" s="1"/>
  <c r="NPR56" i="7" s="1"/>
  <c r="NPT56" i="7" s="1"/>
  <c r="NPV56" i="7" s="1"/>
  <c r="NPX56" i="7" s="1"/>
  <c r="NPZ56" i="7" s="1"/>
  <c r="NQB56" i="7" s="1"/>
  <c r="NQD56" i="7" s="1"/>
  <c r="NQF56" i="7" s="1"/>
  <c r="NQH56" i="7" s="1"/>
  <c r="NQJ56" i="7" s="1"/>
  <c r="NQL56" i="7" s="1"/>
  <c r="NQN56" i="7" s="1"/>
  <c r="NQP56" i="7" s="1"/>
  <c r="NQR56" i="7" s="1"/>
  <c r="NQT56" i="7" s="1"/>
  <c r="NQV56" i="7" s="1"/>
  <c r="NQX56" i="7" s="1"/>
  <c r="NQZ56" i="7" s="1"/>
  <c r="NRB56" i="7" s="1"/>
  <c r="NRD56" i="7" s="1"/>
  <c r="NRF56" i="7" s="1"/>
  <c r="NRH56" i="7" s="1"/>
  <c r="NRJ56" i="7" s="1"/>
  <c r="NRL56" i="7" s="1"/>
  <c r="NRN56" i="7" s="1"/>
  <c r="NRP56" i="7" s="1"/>
  <c r="NRR56" i="7" s="1"/>
  <c r="NRT56" i="7" s="1"/>
  <c r="NRV56" i="7" s="1"/>
  <c r="NRX56" i="7" s="1"/>
  <c r="NRZ56" i="7" s="1"/>
  <c r="NSB56" i="7" s="1"/>
  <c r="NSD56" i="7" s="1"/>
  <c r="NSF56" i="7" s="1"/>
  <c r="NSH56" i="7" s="1"/>
  <c r="NSJ56" i="7" s="1"/>
  <c r="NSL56" i="7" s="1"/>
  <c r="NSN56" i="7" s="1"/>
  <c r="NSP56" i="7" s="1"/>
  <c r="NSR56" i="7" s="1"/>
  <c r="NST56" i="7" s="1"/>
  <c r="NSV56" i="7" s="1"/>
  <c r="NSX56" i="7" s="1"/>
  <c r="NSZ56" i="7" s="1"/>
  <c r="NTB56" i="7" s="1"/>
  <c r="NTD56" i="7" s="1"/>
  <c r="NTF56" i="7" s="1"/>
  <c r="NTH56" i="7" s="1"/>
  <c r="NTJ56" i="7" s="1"/>
  <c r="NTL56" i="7" s="1"/>
  <c r="NTN56" i="7" s="1"/>
  <c r="NTP56" i="7" s="1"/>
  <c r="NTR56" i="7" s="1"/>
  <c r="NTT56" i="7" s="1"/>
  <c r="NTV56" i="7" s="1"/>
  <c r="NTX56" i="7" s="1"/>
  <c r="NTZ56" i="7" s="1"/>
  <c r="NUB56" i="7" s="1"/>
  <c r="NUD56" i="7" s="1"/>
  <c r="NUF56" i="7" s="1"/>
  <c r="NUH56" i="7" s="1"/>
  <c r="NUJ56" i="7" s="1"/>
  <c r="NUL56" i="7" s="1"/>
  <c r="NUN56" i="7" s="1"/>
  <c r="NUP56" i="7" s="1"/>
  <c r="NUR56" i="7" s="1"/>
  <c r="NUT56" i="7" s="1"/>
  <c r="NUV56" i="7" s="1"/>
  <c r="NUX56" i="7" s="1"/>
  <c r="NUZ56" i="7" s="1"/>
  <c r="NVB56" i="7" s="1"/>
  <c r="NVD56" i="7" s="1"/>
  <c r="NVF56" i="7" s="1"/>
  <c r="NVH56" i="7" s="1"/>
  <c r="NVJ56" i="7" s="1"/>
  <c r="NVL56" i="7" s="1"/>
  <c r="NVN56" i="7" s="1"/>
  <c r="NVP56" i="7" s="1"/>
  <c r="NVR56" i="7" s="1"/>
  <c r="NVT56" i="7" s="1"/>
  <c r="NVV56" i="7" s="1"/>
  <c r="NVX56" i="7" s="1"/>
  <c r="NVZ56" i="7" s="1"/>
  <c r="NWB56" i="7" s="1"/>
  <c r="NWD56" i="7" s="1"/>
  <c r="NWF56" i="7" s="1"/>
  <c r="NWH56" i="7" s="1"/>
  <c r="NWJ56" i="7" s="1"/>
  <c r="NWL56" i="7" s="1"/>
  <c r="NWN56" i="7" s="1"/>
  <c r="NWP56" i="7" s="1"/>
  <c r="NWR56" i="7" s="1"/>
  <c r="NWT56" i="7" s="1"/>
  <c r="NWV56" i="7" s="1"/>
  <c r="NWX56" i="7" s="1"/>
  <c r="NWZ56" i="7" s="1"/>
  <c r="NXB56" i="7" s="1"/>
  <c r="NXD56" i="7" s="1"/>
  <c r="NXF56" i="7" s="1"/>
  <c r="NXH56" i="7" s="1"/>
  <c r="NXJ56" i="7" s="1"/>
  <c r="NXL56" i="7" s="1"/>
  <c r="NXN56" i="7" s="1"/>
  <c r="NXP56" i="7" s="1"/>
  <c r="NXR56" i="7" s="1"/>
  <c r="NXT56" i="7" s="1"/>
  <c r="NXV56" i="7" s="1"/>
  <c r="NXX56" i="7" s="1"/>
  <c r="NXZ56" i="7" s="1"/>
  <c r="NYB56" i="7" s="1"/>
  <c r="NYD56" i="7" s="1"/>
  <c r="NYF56" i="7" s="1"/>
  <c r="NYH56" i="7" s="1"/>
  <c r="NYJ56" i="7" s="1"/>
  <c r="NYL56" i="7" s="1"/>
  <c r="NYN56" i="7" s="1"/>
  <c r="NYP56" i="7" s="1"/>
  <c r="NYR56" i="7" s="1"/>
  <c r="NYT56" i="7" s="1"/>
  <c r="NYV56" i="7" s="1"/>
  <c r="NYX56" i="7" s="1"/>
  <c r="NYZ56" i="7" s="1"/>
  <c r="NZB56" i="7" s="1"/>
  <c r="NZD56" i="7" s="1"/>
  <c r="NZF56" i="7" s="1"/>
  <c r="NZH56" i="7" s="1"/>
  <c r="NZJ56" i="7" s="1"/>
  <c r="NZL56" i="7" s="1"/>
  <c r="NZN56" i="7" s="1"/>
  <c r="NZP56" i="7" s="1"/>
  <c r="NZR56" i="7" s="1"/>
  <c r="NZT56" i="7" s="1"/>
  <c r="NZV56" i="7" s="1"/>
  <c r="NZX56" i="7" s="1"/>
  <c r="NZZ56" i="7" s="1"/>
  <c r="OAB56" i="7" s="1"/>
  <c r="OAD56" i="7" s="1"/>
  <c r="OAF56" i="7" s="1"/>
  <c r="OAH56" i="7" s="1"/>
  <c r="OAJ56" i="7" s="1"/>
  <c r="OAL56" i="7" s="1"/>
  <c r="OAN56" i="7" s="1"/>
  <c r="OAP56" i="7" s="1"/>
  <c r="OAR56" i="7" s="1"/>
  <c r="OAT56" i="7" s="1"/>
  <c r="OAV56" i="7" s="1"/>
  <c r="OAX56" i="7" s="1"/>
  <c r="OAZ56" i="7" s="1"/>
  <c r="OBB56" i="7" s="1"/>
  <c r="OBD56" i="7" s="1"/>
  <c r="OBF56" i="7" s="1"/>
  <c r="OBH56" i="7" s="1"/>
  <c r="OBJ56" i="7" s="1"/>
  <c r="OBL56" i="7" s="1"/>
  <c r="OBN56" i="7" s="1"/>
  <c r="OBP56" i="7" s="1"/>
  <c r="OBR56" i="7" s="1"/>
  <c r="OBT56" i="7" s="1"/>
  <c r="OBV56" i="7" s="1"/>
  <c r="OBX56" i="7" s="1"/>
  <c r="OBZ56" i="7" s="1"/>
  <c r="OCB56" i="7" s="1"/>
  <c r="OCD56" i="7" s="1"/>
  <c r="OCF56" i="7" s="1"/>
  <c r="OCH56" i="7" s="1"/>
  <c r="OCJ56" i="7" s="1"/>
  <c r="OCL56" i="7" s="1"/>
  <c r="OCN56" i="7" s="1"/>
  <c r="OCP56" i="7" s="1"/>
  <c r="OCR56" i="7" s="1"/>
  <c r="OCT56" i="7" s="1"/>
  <c r="OCV56" i="7" s="1"/>
  <c r="OCX56" i="7" s="1"/>
  <c r="OCZ56" i="7" s="1"/>
  <c r="ODB56" i="7" s="1"/>
  <c r="ODD56" i="7" s="1"/>
  <c r="ODF56" i="7" s="1"/>
  <c r="ODH56" i="7" s="1"/>
  <c r="ODJ56" i="7" s="1"/>
  <c r="ODL56" i="7" s="1"/>
  <c r="ODN56" i="7" s="1"/>
  <c r="ODP56" i="7" s="1"/>
  <c r="ODR56" i="7" s="1"/>
  <c r="ODT56" i="7" s="1"/>
  <c r="ODV56" i="7" s="1"/>
  <c r="ODX56" i="7" s="1"/>
  <c r="ODZ56" i="7" s="1"/>
  <c r="OEB56" i="7" s="1"/>
  <c r="OED56" i="7" s="1"/>
  <c r="OEF56" i="7" s="1"/>
  <c r="OEH56" i="7" s="1"/>
  <c r="OEJ56" i="7" s="1"/>
  <c r="OEL56" i="7" s="1"/>
  <c r="OEN56" i="7" s="1"/>
  <c r="OEP56" i="7" s="1"/>
  <c r="OER56" i="7" s="1"/>
  <c r="OET56" i="7" s="1"/>
  <c r="OEV56" i="7" s="1"/>
  <c r="OEX56" i="7" s="1"/>
  <c r="OEZ56" i="7" s="1"/>
  <c r="OFB56" i="7" s="1"/>
  <c r="OFD56" i="7" s="1"/>
  <c r="OFF56" i="7" s="1"/>
  <c r="OFH56" i="7" s="1"/>
  <c r="OFJ56" i="7" s="1"/>
  <c r="OFL56" i="7" s="1"/>
  <c r="OFN56" i="7" s="1"/>
  <c r="OFP56" i="7" s="1"/>
  <c r="OFR56" i="7" s="1"/>
  <c r="OFT56" i="7" s="1"/>
  <c r="OFV56" i="7" s="1"/>
  <c r="OFX56" i="7" s="1"/>
  <c r="OFZ56" i="7" s="1"/>
  <c r="OGB56" i="7" s="1"/>
  <c r="OGD56" i="7" s="1"/>
  <c r="OGF56" i="7" s="1"/>
  <c r="OGH56" i="7" s="1"/>
  <c r="OGJ56" i="7" s="1"/>
  <c r="OGL56" i="7" s="1"/>
  <c r="OGN56" i="7" s="1"/>
  <c r="OGP56" i="7" s="1"/>
  <c r="OGR56" i="7" s="1"/>
  <c r="OGT56" i="7" s="1"/>
  <c r="OGV56" i="7" s="1"/>
  <c r="OGX56" i="7" s="1"/>
  <c r="OGZ56" i="7" s="1"/>
  <c r="OHB56" i="7" s="1"/>
  <c r="OHD56" i="7" s="1"/>
  <c r="OHF56" i="7" s="1"/>
  <c r="OHH56" i="7" s="1"/>
  <c r="OHJ56" i="7" s="1"/>
  <c r="OHL56" i="7" s="1"/>
  <c r="OHN56" i="7" s="1"/>
  <c r="OHP56" i="7" s="1"/>
  <c r="OHR56" i="7" s="1"/>
  <c r="OHT56" i="7" s="1"/>
  <c r="OHV56" i="7" s="1"/>
  <c r="OHX56" i="7" s="1"/>
  <c r="OHZ56" i="7" s="1"/>
  <c r="OIB56" i="7" s="1"/>
  <c r="OID56" i="7" s="1"/>
  <c r="OIF56" i="7" s="1"/>
  <c r="OIH56" i="7" s="1"/>
  <c r="OIJ56" i="7" s="1"/>
  <c r="OIL56" i="7" s="1"/>
  <c r="OIN56" i="7" s="1"/>
  <c r="OIP56" i="7" s="1"/>
  <c r="OIR56" i="7" s="1"/>
  <c r="OIT56" i="7" s="1"/>
  <c r="OIV56" i="7" s="1"/>
  <c r="OIX56" i="7" s="1"/>
  <c r="OIZ56" i="7" s="1"/>
  <c r="OJB56" i="7" s="1"/>
  <c r="OJD56" i="7" s="1"/>
  <c r="OJF56" i="7" s="1"/>
  <c r="OJH56" i="7" s="1"/>
  <c r="OJJ56" i="7" s="1"/>
  <c r="OJL56" i="7" s="1"/>
  <c r="OJN56" i="7" s="1"/>
  <c r="OJP56" i="7" s="1"/>
  <c r="OJR56" i="7" s="1"/>
  <c r="OJT56" i="7" s="1"/>
  <c r="OJV56" i="7" s="1"/>
  <c r="OJX56" i="7" s="1"/>
  <c r="OJZ56" i="7" s="1"/>
  <c r="OKB56" i="7" s="1"/>
  <c r="OKD56" i="7" s="1"/>
  <c r="OKF56" i="7" s="1"/>
  <c r="OKH56" i="7" s="1"/>
  <c r="OKJ56" i="7" s="1"/>
  <c r="OKL56" i="7" s="1"/>
  <c r="OKN56" i="7" s="1"/>
  <c r="OKP56" i="7" s="1"/>
  <c r="OKR56" i="7" s="1"/>
  <c r="OKT56" i="7" s="1"/>
  <c r="OKV56" i="7" s="1"/>
  <c r="OKX56" i="7" s="1"/>
  <c r="OKZ56" i="7" s="1"/>
  <c r="OLB56" i="7" s="1"/>
  <c r="OLD56" i="7" s="1"/>
  <c r="OLF56" i="7" s="1"/>
  <c r="OLH56" i="7" s="1"/>
  <c r="OLJ56" i="7" s="1"/>
  <c r="OLL56" i="7" s="1"/>
  <c r="OLN56" i="7" s="1"/>
  <c r="OLP56" i="7" s="1"/>
  <c r="OLR56" i="7" s="1"/>
  <c r="OLT56" i="7" s="1"/>
  <c r="OLV56" i="7" s="1"/>
  <c r="OLX56" i="7" s="1"/>
  <c r="OLZ56" i="7" s="1"/>
  <c r="OMB56" i="7" s="1"/>
  <c r="OMD56" i="7" s="1"/>
  <c r="OMF56" i="7" s="1"/>
  <c r="OMH56" i="7" s="1"/>
  <c r="OMJ56" i="7" s="1"/>
  <c r="OML56" i="7" s="1"/>
  <c r="OMN56" i="7" s="1"/>
  <c r="OMP56" i="7" s="1"/>
  <c r="OMR56" i="7" s="1"/>
  <c r="OMT56" i="7" s="1"/>
  <c r="OMV56" i="7" s="1"/>
  <c r="OMX56" i="7" s="1"/>
  <c r="OMZ56" i="7" s="1"/>
  <c r="ONB56" i="7" s="1"/>
  <c r="OND56" i="7" s="1"/>
  <c r="ONF56" i="7" s="1"/>
  <c r="ONH56" i="7" s="1"/>
  <c r="ONJ56" i="7" s="1"/>
  <c r="ONL56" i="7" s="1"/>
  <c r="ONN56" i="7" s="1"/>
  <c r="ONP56" i="7" s="1"/>
  <c r="ONR56" i="7" s="1"/>
  <c r="ONT56" i="7" s="1"/>
  <c r="ONV56" i="7" s="1"/>
  <c r="ONX56" i="7" s="1"/>
  <c r="ONZ56" i="7" s="1"/>
  <c r="OOB56" i="7" s="1"/>
  <c r="OOD56" i="7" s="1"/>
  <c r="OOF56" i="7" s="1"/>
  <c r="OOH56" i="7" s="1"/>
  <c r="OOJ56" i="7" s="1"/>
  <c r="OOL56" i="7" s="1"/>
  <c r="OON56" i="7" s="1"/>
  <c r="OOP56" i="7" s="1"/>
  <c r="OOR56" i="7" s="1"/>
  <c r="OOT56" i="7" s="1"/>
  <c r="OOV56" i="7" s="1"/>
  <c r="OOX56" i="7" s="1"/>
  <c r="OOZ56" i="7" s="1"/>
  <c r="OPB56" i="7" s="1"/>
  <c r="OPD56" i="7" s="1"/>
  <c r="OPF56" i="7" s="1"/>
  <c r="OPH56" i="7" s="1"/>
  <c r="OPJ56" i="7" s="1"/>
  <c r="OPL56" i="7" s="1"/>
  <c r="OPN56" i="7" s="1"/>
  <c r="OPP56" i="7" s="1"/>
  <c r="OPR56" i="7" s="1"/>
  <c r="OPT56" i="7" s="1"/>
  <c r="OPV56" i="7" s="1"/>
  <c r="OPX56" i="7" s="1"/>
  <c r="OPZ56" i="7" s="1"/>
  <c r="OQB56" i="7" s="1"/>
  <c r="OQD56" i="7" s="1"/>
  <c r="OQF56" i="7" s="1"/>
  <c r="OQH56" i="7" s="1"/>
  <c r="OQJ56" i="7" s="1"/>
  <c r="OQL56" i="7" s="1"/>
  <c r="OQN56" i="7" s="1"/>
  <c r="OQP56" i="7" s="1"/>
  <c r="OQR56" i="7" s="1"/>
  <c r="OQT56" i="7" s="1"/>
  <c r="OQV56" i="7" s="1"/>
  <c r="OQX56" i="7" s="1"/>
  <c r="OQZ56" i="7" s="1"/>
  <c r="ORB56" i="7" s="1"/>
  <c r="ORD56" i="7" s="1"/>
  <c r="ORF56" i="7" s="1"/>
  <c r="ORH56" i="7" s="1"/>
  <c r="ORJ56" i="7" s="1"/>
  <c r="ORL56" i="7" s="1"/>
  <c r="ORN56" i="7" s="1"/>
  <c r="ORP56" i="7" s="1"/>
  <c r="ORR56" i="7" s="1"/>
  <c r="ORT56" i="7" s="1"/>
  <c r="ORV56" i="7" s="1"/>
  <c r="ORX56" i="7" s="1"/>
  <c r="ORZ56" i="7" s="1"/>
  <c r="OSB56" i="7" s="1"/>
  <c r="OSD56" i="7" s="1"/>
  <c r="OSF56" i="7" s="1"/>
  <c r="OSH56" i="7" s="1"/>
  <c r="OSJ56" i="7" s="1"/>
  <c r="OSL56" i="7" s="1"/>
  <c r="OSN56" i="7" s="1"/>
  <c r="OSP56" i="7" s="1"/>
  <c r="OSR56" i="7" s="1"/>
  <c r="OST56" i="7" s="1"/>
  <c r="OSV56" i="7" s="1"/>
  <c r="OSX56" i="7" s="1"/>
  <c r="OSZ56" i="7" s="1"/>
  <c r="OTB56" i="7" s="1"/>
  <c r="OTD56" i="7" s="1"/>
  <c r="OTF56" i="7" s="1"/>
  <c r="OTH56" i="7" s="1"/>
  <c r="OTJ56" i="7" s="1"/>
  <c r="OTL56" i="7" s="1"/>
  <c r="OTN56" i="7" s="1"/>
  <c r="OTP56" i="7" s="1"/>
  <c r="OTR56" i="7" s="1"/>
  <c r="OTT56" i="7" s="1"/>
  <c r="OTV56" i="7" s="1"/>
  <c r="OTX56" i="7" s="1"/>
  <c r="OTZ56" i="7" s="1"/>
  <c r="OUB56" i="7" s="1"/>
  <c r="OUD56" i="7" s="1"/>
  <c r="OUF56" i="7" s="1"/>
  <c r="OUH56" i="7" s="1"/>
  <c r="OUJ56" i="7" s="1"/>
  <c r="OUL56" i="7" s="1"/>
  <c r="OUN56" i="7" s="1"/>
  <c r="OUP56" i="7" s="1"/>
  <c r="OUR56" i="7" s="1"/>
  <c r="OUT56" i="7" s="1"/>
  <c r="OUV56" i="7" s="1"/>
  <c r="OUX56" i="7" s="1"/>
  <c r="OUZ56" i="7" s="1"/>
  <c r="OVB56" i="7" s="1"/>
  <c r="OVD56" i="7" s="1"/>
  <c r="OVF56" i="7" s="1"/>
  <c r="OVH56" i="7" s="1"/>
  <c r="OVJ56" i="7" s="1"/>
  <c r="OVL56" i="7" s="1"/>
  <c r="OVN56" i="7" s="1"/>
  <c r="OVP56" i="7" s="1"/>
  <c r="OVR56" i="7" s="1"/>
  <c r="OVT56" i="7" s="1"/>
  <c r="OVV56" i="7" s="1"/>
  <c r="OVX56" i="7" s="1"/>
  <c r="OVZ56" i="7" s="1"/>
  <c r="OWB56" i="7" s="1"/>
  <c r="OWD56" i="7" s="1"/>
  <c r="OWF56" i="7" s="1"/>
  <c r="OWH56" i="7" s="1"/>
  <c r="OWJ56" i="7" s="1"/>
  <c r="OWL56" i="7" s="1"/>
  <c r="OWN56" i="7" s="1"/>
  <c r="OWP56" i="7" s="1"/>
  <c r="OWR56" i="7" s="1"/>
  <c r="OWT56" i="7" s="1"/>
  <c r="OWV56" i="7" s="1"/>
  <c r="OWX56" i="7" s="1"/>
  <c r="OWZ56" i="7" s="1"/>
  <c r="OXB56" i="7" s="1"/>
  <c r="OXD56" i="7" s="1"/>
  <c r="OXF56" i="7" s="1"/>
  <c r="OXH56" i="7" s="1"/>
  <c r="OXJ56" i="7" s="1"/>
  <c r="OXL56" i="7" s="1"/>
  <c r="OXN56" i="7" s="1"/>
  <c r="OXP56" i="7" s="1"/>
  <c r="OXR56" i="7" s="1"/>
  <c r="OXT56" i="7" s="1"/>
  <c r="OXV56" i="7" s="1"/>
  <c r="OXX56" i="7" s="1"/>
  <c r="OXZ56" i="7" s="1"/>
  <c r="OYB56" i="7" s="1"/>
  <c r="OYD56" i="7" s="1"/>
  <c r="OYF56" i="7" s="1"/>
  <c r="OYH56" i="7" s="1"/>
  <c r="OYJ56" i="7" s="1"/>
  <c r="OYL56" i="7" s="1"/>
  <c r="OYN56" i="7" s="1"/>
  <c r="OYP56" i="7" s="1"/>
  <c r="OYR56" i="7" s="1"/>
  <c r="OYT56" i="7" s="1"/>
  <c r="OYV56" i="7" s="1"/>
  <c r="OYX56" i="7" s="1"/>
  <c r="OYZ56" i="7" s="1"/>
  <c r="OZB56" i="7" s="1"/>
  <c r="OZD56" i="7" s="1"/>
  <c r="OZF56" i="7" s="1"/>
  <c r="OZH56" i="7" s="1"/>
  <c r="OZJ56" i="7" s="1"/>
  <c r="OZL56" i="7" s="1"/>
  <c r="OZN56" i="7" s="1"/>
  <c r="OZP56" i="7" s="1"/>
  <c r="OZR56" i="7" s="1"/>
  <c r="OZT56" i="7" s="1"/>
  <c r="OZV56" i="7" s="1"/>
  <c r="OZX56" i="7" s="1"/>
  <c r="OZZ56" i="7" s="1"/>
  <c r="PAB56" i="7" s="1"/>
  <c r="PAD56" i="7" s="1"/>
  <c r="PAF56" i="7" s="1"/>
  <c r="PAH56" i="7" s="1"/>
  <c r="PAJ56" i="7" s="1"/>
  <c r="PAL56" i="7" s="1"/>
  <c r="PAN56" i="7" s="1"/>
  <c r="PAP56" i="7" s="1"/>
  <c r="PAR56" i="7" s="1"/>
  <c r="PAT56" i="7" s="1"/>
  <c r="PAV56" i="7" s="1"/>
  <c r="PAX56" i="7" s="1"/>
  <c r="PAZ56" i="7" s="1"/>
  <c r="PBB56" i="7" s="1"/>
  <c r="PBD56" i="7" s="1"/>
  <c r="PBF56" i="7" s="1"/>
  <c r="PBH56" i="7" s="1"/>
  <c r="PBJ56" i="7" s="1"/>
  <c r="PBL56" i="7" s="1"/>
  <c r="PBN56" i="7" s="1"/>
  <c r="PBP56" i="7" s="1"/>
  <c r="PBR56" i="7" s="1"/>
  <c r="PBT56" i="7" s="1"/>
  <c r="PBV56" i="7" s="1"/>
  <c r="PBX56" i="7" s="1"/>
  <c r="PBZ56" i="7" s="1"/>
  <c r="PCB56" i="7" s="1"/>
  <c r="PCD56" i="7" s="1"/>
  <c r="PCF56" i="7" s="1"/>
  <c r="PCH56" i="7" s="1"/>
  <c r="PCJ56" i="7" s="1"/>
  <c r="PCL56" i="7" s="1"/>
  <c r="PCN56" i="7" s="1"/>
  <c r="PCP56" i="7" s="1"/>
  <c r="PCR56" i="7" s="1"/>
  <c r="PCT56" i="7" s="1"/>
  <c r="PCV56" i="7" s="1"/>
  <c r="PCX56" i="7" s="1"/>
  <c r="PCZ56" i="7" s="1"/>
  <c r="PDB56" i="7" s="1"/>
  <c r="PDD56" i="7" s="1"/>
  <c r="PDF56" i="7" s="1"/>
  <c r="PDH56" i="7" s="1"/>
  <c r="PDJ56" i="7" s="1"/>
  <c r="PDL56" i="7" s="1"/>
  <c r="PDN56" i="7" s="1"/>
  <c r="PDP56" i="7" s="1"/>
  <c r="PDR56" i="7" s="1"/>
  <c r="PDT56" i="7" s="1"/>
  <c r="PDV56" i="7" s="1"/>
  <c r="PDX56" i="7" s="1"/>
  <c r="PDZ56" i="7" s="1"/>
  <c r="PEB56" i="7" s="1"/>
  <c r="PED56" i="7" s="1"/>
  <c r="PEF56" i="7" s="1"/>
  <c r="PEH56" i="7" s="1"/>
  <c r="PEJ56" i="7" s="1"/>
  <c r="PEL56" i="7" s="1"/>
  <c r="PEN56" i="7" s="1"/>
  <c r="PEP56" i="7" s="1"/>
  <c r="PER56" i="7" s="1"/>
  <c r="PET56" i="7" s="1"/>
  <c r="PEV56" i="7" s="1"/>
  <c r="PEX56" i="7" s="1"/>
  <c r="PEZ56" i="7" s="1"/>
  <c r="PFB56" i="7" s="1"/>
  <c r="PFD56" i="7" s="1"/>
  <c r="PFF56" i="7" s="1"/>
  <c r="PFH56" i="7" s="1"/>
  <c r="PFJ56" i="7" s="1"/>
  <c r="PFL56" i="7" s="1"/>
  <c r="PFN56" i="7" s="1"/>
  <c r="PFP56" i="7" s="1"/>
  <c r="PFR56" i="7" s="1"/>
  <c r="PFT56" i="7" s="1"/>
  <c r="PFV56" i="7" s="1"/>
  <c r="PFX56" i="7" s="1"/>
  <c r="PFZ56" i="7" s="1"/>
  <c r="PGB56" i="7" s="1"/>
  <c r="PGD56" i="7" s="1"/>
  <c r="PGF56" i="7" s="1"/>
  <c r="PGH56" i="7" s="1"/>
  <c r="PGJ56" i="7" s="1"/>
  <c r="PGL56" i="7" s="1"/>
  <c r="PGN56" i="7" s="1"/>
  <c r="PGP56" i="7" s="1"/>
  <c r="PGR56" i="7" s="1"/>
  <c r="PGT56" i="7" s="1"/>
  <c r="PGV56" i="7" s="1"/>
  <c r="PGX56" i="7" s="1"/>
  <c r="PGZ56" i="7" s="1"/>
  <c r="PHB56" i="7" s="1"/>
  <c r="PHD56" i="7" s="1"/>
  <c r="PHF56" i="7" s="1"/>
  <c r="PHH56" i="7" s="1"/>
  <c r="PHJ56" i="7" s="1"/>
  <c r="PHL56" i="7" s="1"/>
  <c r="PHN56" i="7" s="1"/>
  <c r="PHP56" i="7" s="1"/>
  <c r="PHR56" i="7" s="1"/>
  <c r="PHT56" i="7" s="1"/>
  <c r="PHV56" i="7" s="1"/>
  <c r="PHX56" i="7" s="1"/>
  <c r="PHZ56" i="7" s="1"/>
  <c r="PIB56" i="7" s="1"/>
  <c r="PID56" i="7" s="1"/>
  <c r="PIF56" i="7" s="1"/>
  <c r="PIH56" i="7" s="1"/>
  <c r="PIJ56" i="7" s="1"/>
  <c r="PIL56" i="7" s="1"/>
  <c r="PIN56" i="7" s="1"/>
  <c r="PIP56" i="7" s="1"/>
  <c r="PIR56" i="7" s="1"/>
  <c r="PIT56" i="7" s="1"/>
  <c r="PIV56" i="7" s="1"/>
  <c r="PIX56" i="7" s="1"/>
  <c r="PIZ56" i="7" s="1"/>
  <c r="PJB56" i="7" s="1"/>
  <c r="PJD56" i="7" s="1"/>
  <c r="PJF56" i="7" s="1"/>
  <c r="PJH56" i="7" s="1"/>
  <c r="PJJ56" i="7" s="1"/>
  <c r="PJL56" i="7" s="1"/>
  <c r="PJN56" i="7" s="1"/>
  <c r="PJP56" i="7" s="1"/>
  <c r="PJR56" i="7" s="1"/>
  <c r="PJT56" i="7" s="1"/>
  <c r="PJV56" i="7" s="1"/>
  <c r="PJX56" i="7" s="1"/>
  <c r="PJZ56" i="7" s="1"/>
  <c r="PKB56" i="7" s="1"/>
  <c r="PKD56" i="7" s="1"/>
  <c r="PKF56" i="7" s="1"/>
  <c r="PKH56" i="7" s="1"/>
  <c r="PKJ56" i="7" s="1"/>
  <c r="PKL56" i="7" s="1"/>
  <c r="PKN56" i="7" s="1"/>
  <c r="PKP56" i="7" s="1"/>
  <c r="PKR56" i="7" s="1"/>
  <c r="PKT56" i="7" s="1"/>
  <c r="PKV56" i="7" s="1"/>
  <c r="PKX56" i="7" s="1"/>
  <c r="PKZ56" i="7" s="1"/>
  <c r="PLB56" i="7" s="1"/>
  <c r="PLD56" i="7" s="1"/>
  <c r="PLF56" i="7" s="1"/>
  <c r="PLH56" i="7" s="1"/>
  <c r="PLJ56" i="7" s="1"/>
  <c r="PLL56" i="7" s="1"/>
  <c r="PLN56" i="7" s="1"/>
  <c r="PLP56" i="7" s="1"/>
  <c r="PLR56" i="7" s="1"/>
  <c r="PLT56" i="7" s="1"/>
  <c r="PLV56" i="7" s="1"/>
  <c r="PLX56" i="7" s="1"/>
  <c r="PLZ56" i="7" s="1"/>
  <c r="PMB56" i="7" s="1"/>
  <c r="PMD56" i="7" s="1"/>
  <c r="PMF56" i="7" s="1"/>
  <c r="PMH56" i="7" s="1"/>
  <c r="PMJ56" i="7" s="1"/>
  <c r="PML56" i="7" s="1"/>
  <c r="PMN56" i="7" s="1"/>
  <c r="PMP56" i="7" s="1"/>
  <c r="PMR56" i="7" s="1"/>
  <c r="PMT56" i="7" s="1"/>
  <c r="PMV56" i="7" s="1"/>
  <c r="PMX56" i="7" s="1"/>
  <c r="PMZ56" i="7" s="1"/>
  <c r="PNB56" i="7" s="1"/>
  <c r="PND56" i="7" s="1"/>
  <c r="PNF56" i="7" s="1"/>
  <c r="PNH56" i="7" s="1"/>
  <c r="PNJ56" i="7" s="1"/>
  <c r="PNL56" i="7" s="1"/>
  <c r="PNN56" i="7" s="1"/>
  <c r="PNP56" i="7" s="1"/>
  <c r="PNR56" i="7" s="1"/>
  <c r="PNT56" i="7" s="1"/>
  <c r="PNV56" i="7" s="1"/>
  <c r="PNX56" i="7" s="1"/>
  <c r="PNZ56" i="7" s="1"/>
  <c r="POB56" i="7" s="1"/>
  <c r="POD56" i="7" s="1"/>
  <c r="POF56" i="7" s="1"/>
  <c r="POH56" i="7" s="1"/>
  <c r="POJ56" i="7" s="1"/>
  <c r="POL56" i="7" s="1"/>
  <c r="PON56" i="7" s="1"/>
  <c r="POP56" i="7" s="1"/>
  <c r="POR56" i="7" s="1"/>
  <c r="POT56" i="7" s="1"/>
  <c r="POV56" i="7" s="1"/>
  <c r="POX56" i="7" s="1"/>
  <c r="POZ56" i="7" s="1"/>
  <c r="PPB56" i="7" s="1"/>
  <c r="PPD56" i="7" s="1"/>
  <c r="PPF56" i="7" s="1"/>
  <c r="PPH56" i="7" s="1"/>
  <c r="PPJ56" i="7" s="1"/>
  <c r="PPL56" i="7" s="1"/>
  <c r="PPN56" i="7" s="1"/>
  <c r="PPP56" i="7" s="1"/>
  <c r="PPR56" i="7" s="1"/>
  <c r="PPT56" i="7" s="1"/>
  <c r="PPV56" i="7" s="1"/>
  <c r="PPX56" i="7" s="1"/>
  <c r="PPZ56" i="7" s="1"/>
  <c r="PQB56" i="7" s="1"/>
  <c r="PQD56" i="7" s="1"/>
  <c r="PQF56" i="7" s="1"/>
  <c r="PQH56" i="7" s="1"/>
  <c r="PQJ56" i="7" s="1"/>
  <c r="PQL56" i="7" s="1"/>
  <c r="PQN56" i="7" s="1"/>
  <c r="PQP56" i="7" s="1"/>
  <c r="PQR56" i="7" s="1"/>
  <c r="PQT56" i="7" s="1"/>
  <c r="PQV56" i="7" s="1"/>
  <c r="PQX56" i="7" s="1"/>
  <c r="PQZ56" i="7" s="1"/>
  <c r="PRB56" i="7" s="1"/>
  <c r="PRD56" i="7" s="1"/>
  <c r="PRF56" i="7" s="1"/>
  <c r="PRH56" i="7" s="1"/>
  <c r="PRJ56" i="7" s="1"/>
  <c r="PRL56" i="7" s="1"/>
  <c r="PRN56" i="7" s="1"/>
  <c r="PRP56" i="7" s="1"/>
  <c r="PRR56" i="7" s="1"/>
  <c r="PRT56" i="7" s="1"/>
  <c r="PRV56" i="7" s="1"/>
  <c r="PRX56" i="7" s="1"/>
  <c r="PRZ56" i="7" s="1"/>
  <c r="PSB56" i="7" s="1"/>
  <c r="PSD56" i="7" s="1"/>
  <c r="PSF56" i="7" s="1"/>
  <c r="PSH56" i="7" s="1"/>
  <c r="PSJ56" i="7" s="1"/>
  <c r="PSL56" i="7" s="1"/>
  <c r="PSN56" i="7" s="1"/>
  <c r="PSP56" i="7" s="1"/>
  <c r="PSR56" i="7" s="1"/>
  <c r="PST56" i="7" s="1"/>
  <c r="PSV56" i="7" s="1"/>
  <c r="PSX56" i="7" s="1"/>
  <c r="PSZ56" i="7" s="1"/>
  <c r="PTB56" i="7" s="1"/>
  <c r="PTD56" i="7" s="1"/>
  <c r="PTF56" i="7" s="1"/>
  <c r="PTH56" i="7" s="1"/>
  <c r="PTJ56" i="7" s="1"/>
  <c r="PTL56" i="7" s="1"/>
  <c r="PTN56" i="7" s="1"/>
  <c r="PTP56" i="7" s="1"/>
  <c r="PTR56" i="7" s="1"/>
  <c r="PTT56" i="7" s="1"/>
  <c r="PTV56" i="7" s="1"/>
  <c r="PTX56" i="7" s="1"/>
  <c r="PTZ56" i="7" s="1"/>
  <c r="PUB56" i="7" s="1"/>
  <c r="PUD56" i="7" s="1"/>
  <c r="PUF56" i="7" s="1"/>
  <c r="PUH56" i="7" s="1"/>
  <c r="PUJ56" i="7" s="1"/>
  <c r="PUL56" i="7" s="1"/>
  <c r="PUN56" i="7" s="1"/>
  <c r="PUP56" i="7" s="1"/>
  <c r="PUR56" i="7" s="1"/>
  <c r="PUT56" i="7" s="1"/>
  <c r="PUV56" i="7" s="1"/>
  <c r="PUX56" i="7" s="1"/>
  <c r="PUZ56" i="7" s="1"/>
  <c r="PVB56" i="7" s="1"/>
  <c r="PVD56" i="7" s="1"/>
  <c r="PVF56" i="7" s="1"/>
  <c r="PVH56" i="7" s="1"/>
  <c r="PVJ56" i="7" s="1"/>
  <c r="PVL56" i="7" s="1"/>
  <c r="PVN56" i="7" s="1"/>
  <c r="PVP56" i="7" s="1"/>
  <c r="PVR56" i="7" s="1"/>
  <c r="PVT56" i="7" s="1"/>
  <c r="PVV56" i="7" s="1"/>
  <c r="PVX56" i="7" s="1"/>
  <c r="PVZ56" i="7" s="1"/>
  <c r="PWB56" i="7" s="1"/>
  <c r="PWD56" i="7" s="1"/>
  <c r="PWF56" i="7" s="1"/>
  <c r="PWH56" i="7" s="1"/>
  <c r="PWJ56" i="7" s="1"/>
  <c r="PWL56" i="7" s="1"/>
  <c r="PWN56" i="7" s="1"/>
  <c r="PWP56" i="7" s="1"/>
  <c r="PWR56" i="7" s="1"/>
  <c r="PWT56" i="7" s="1"/>
  <c r="PWV56" i="7" s="1"/>
  <c r="PWX56" i="7" s="1"/>
  <c r="PWZ56" i="7" s="1"/>
  <c r="PXB56" i="7" s="1"/>
  <c r="PXD56" i="7" s="1"/>
  <c r="PXF56" i="7" s="1"/>
  <c r="PXH56" i="7" s="1"/>
  <c r="PXJ56" i="7" s="1"/>
  <c r="PXL56" i="7" s="1"/>
  <c r="PXN56" i="7" s="1"/>
  <c r="PXP56" i="7" s="1"/>
  <c r="PXR56" i="7" s="1"/>
  <c r="PXT56" i="7" s="1"/>
  <c r="PXV56" i="7" s="1"/>
  <c r="PXX56" i="7" s="1"/>
  <c r="PXZ56" i="7" s="1"/>
  <c r="PYB56" i="7" s="1"/>
  <c r="PYD56" i="7" s="1"/>
  <c r="PYF56" i="7" s="1"/>
  <c r="PYH56" i="7" s="1"/>
  <c r="PYJ56" i="7" s="1"/>
  <c r="PYL56" i="7" s="1"/>
  <c r="PYN56" i="7" s="1"/>
  <c r="PYP56" i="7" s="1"/>
  <c r="PYR56" i="7" s="1"/>
  <c r="PYT56" i="7" s="1"/>
  <c r="PYV56" i="7" s="1"/>
  <c r="PYX56" i="7" s="1"/>
  <c r="PYZ56" i="7" s="1"/>
  <c r="PZB56" i="7" s="1"/>
  <c r="PZD56" i="7" s="1"/>
  <c r="PZF56" i="7" s="1"/>
  <c r="PZH56" i="7" s="1"/>
  <c r="PZJ56" i="7" s="1"/>
  <c r="PZL56" i="7" s="1"/>
  <c r="PZN56" i="7" s="1"/>
  <c r="PZP56" i="7" s="1"/>
  <c r="PZR56" i="7" s="1"/>
  <c r="PZT56" i="7" s="1"/>
  <c r="PZV56" i="7" s="1"/>
  <c r="PZX56" i="7" s="1"/>
  <c r="PZZ56" i="7" s="1"/>
  <c r="QAB56" i="7" s="1"/>
  <c r="QAD56" i="7" s="1"/>
  <c r="QAF56" i="7" s="1"/>
  <c r="QAH56" i="7" s="1"/>
  <c r="QAJ56" i="7" s="1"/>
  <c r="QAL56" i="7" s="1"/>
  <c r="QAN56" i="7" s="1"/>
  <c r="QAP56" i="7" s="1"/>
  <c r="QAR56" i="7" s="1"/>
  <c r="QAT56" i="7" s="1"/>
  <c r="QAV56" i="7" s="1"/>
  <c r="QAX56" i="7" s="1"/>
  <c r="QAZ56" i="7" s="1"/>
  <c r="QBB56" i="7" s="1"/>
  <c r="QBD56" i="7" s="1"/>
  <c r="QBF56" i="7" s="1"/>
  <c r="QBH56" i="7" s="1"/>
  <c r="QBJ56" i="7" s="1"/>
  <c r="QBL56" i="7" s="1"/>
  <c r="QBN56" i="7" s="1"/>
  <c r="QBP56" i="7" s="1"/>
  <c r="QBR56" i="7" s="1"/>
  <c r="QBT56" i="7" s="1"/>
  <c r="QBV56" i="7" s="1"/>
  <c r="QBX56" i="7" s="1"/>
  <c r="QBZ56" i="7" s="1"/>
  <c r="QCB56" i="7" s="1"/>
  <c r="QCD56" i="7" s="1"/>
  <c r="QCF56" i="7" s="1"/>
  <c r="QCH56" i="7" s="1"/>
  <c r="QCJ56" i="7" s="1"/>
  <c r="QCL56" i="7" s="1"/>
  <c r="QCN56" i="7" s="1"/>
  <c r="QCP56" i="7" s="1"/>
  <c r="QCR56" i="7" s="1"/>
  <c r="QCT56" i="7" s="1"/>
  <c r="QCV56" i="7" s="1"/>
  <c r="QCX56" i="7" s="1"/>
  <c r="QCZ56" i="7" s="1"/>
  <c r="QDB56" i="7" s="1"/>
  <c r="QDD56" i="7" s="1"/>
  <c r="QDF56" i="7" s="1"/>
  <c r="QDH56" i="7" s="1"/>
  <c r="QDJ56" i="7" s="1"/>
  <c r="QDL56" i="7" s="1"/>
  <c r="QDN56" i="7" s="1"/>
  <c r="QDP56" i="7" s="1"/>
  <c r="QDR56" i="7" s="1"/>
  <c r="QDT56" i="7" s="1"/>
  <c r="QDV56" i="7" s="1"/>
  <c r="QDX56" i="7" s="1"/>
  <c r="QDZ56" i="7" s="1"/>
  <c r="QEB56" i="7" s="1"/>
  <c r="QED56" i="7" s="1"/>
  <c r="QEF56" i="7" s="1"/>
  <c r="QEH56" i="7" s="1"/>
  <c r="QEJ56" i="7" s="1"/>
  <c r="QEL56" i="7" s="1"/>
  <c r="QEN56" i="7" s="1"/>
  <c r="QEP56" i="7" s="1"/>
  <c r="QER56" i="7" s="1"/>
  <c r="QET56" i="7" s="1"/>
  <c r="QEV56" i="7" s="1"/>
  <c r="QEX56" i="7" s="1"/>
  <c r="QEZ56" i="7" s="1"/>
  <c r="QFB56" i="7" s="1"/>
  <c r="QFD56" i="7" s="1"/>
  <c r="QFF56" i="7" s="1"/>
  <c r="QFH56" i="7" s="1"/>
  <c r="QFJ56" i="7" s="1"/>
  <c r="QFL56" i="7" s="1"/>
  <c r="QFN56" i="7" s="1"/>
  <c r="QFP56" i="7" s="1"/>
  <c r="QFR56" i="7" s="1"/>
  <c r="QFT56" i="7" s="1"/>
  <c r="QFV56" i="7" s="1"/>
  <c r="QFX56" i="7" s="1"/>
  <c r="QFZ56" i="7" s="1"/>
  <c r="QGB56" i="7" s="1"/>
  <c r="QGD56" i="7" s="1"/>
  <c r="QGF56" i="7" s="1"/>
  <c r="QGH56" i="7" s="1"/>
  <c r="QGJ56" i="7" s="1"/>
  <c r="QGL56" i="7" s="1"/>
  <c r="QGN56" i="7" s="1"/>
  <c r="QGP56" i="7" s="1"/>
  <c r="QGR56" i="7" s="1"/>
  <c r="QGT56" i="7" s="1"/>
  <c r="QGV56" i="7" s="1"/>
  <c r="QGX56" i="7" s="1"/>
  <c r="QGZ56" i="7" s="1"/>
  <c r="QHB56" i="7" s="1"/>
  <c r="QHD56" i="7" s="1"/>
  <c r="QHF56" i="7" s="1"/>
  <c r="QHH56" i="7" s="1"/>
  <c r="QHJ56" i="7" s="1"/>
  <c r="QHL56" i="7" s="1"/>
  <c r="QHN56" i="7" s="1"/>
  <c r="QHP56" i="7" s="1"/>
  <c r="QHR56" i="7" s="1"/>
  <c r="QHT56" i="7" s="1"/>
  <c r="QHV56" i="7" s="1"/>
  <c r="QHX56" i="7" s="1"/>
  <c r="QHZ56" i="7" s="1"/>
  <c r="QIB56" i="7" s="1"/>
  <c r="QID56" i="7" s="1"/>
  <c r="QIF56" i="7" s="1"/>
  <c r="QIH56" i="7" s="1"/>
  <c r="QIJ56" i="7" s="1"/>
  <c r="QIL56" i="7" s="1"/>
  <c r="QIN56" i="7" s="1"/>
  <c r="QIP56" i="7" s="1"/>
  <c r="QIR56" i="7" s="1"/>
  <c r="QIT56" i="7" s="1"/>
  <c r="QIV56" i="7" s="1"/>
  <c r="QIX56" i="7" s="1"/>
  <c r="QIZ56" i="7" s="1"/>
  <c r="QJB56" i="7" s="1"/>
  <c r="QJD56" i="7" s="1"/>
  <c r="QJF56" i="7" s="1"/>
  <c r="QJH56" i="7" s="1"/>
  <c r="QJJ56" i="7" s="1"/>
  <c r="QJL56" i="7" s="1"/>
  <c r="QJN56" i="7" s="1"/>
  <c r="QJP56" i="7" s="1"/>
  <c r="QJR56" i="7" s="1"/>
  <c r="QJT56" i="7" s="1"/>
  <c r="QJV56" i="7" s="1"/>
  <c r="QJX56" i="7" s="1"/>
  <c r="QJZ56" i="7" s="1"/>
  <c r="QKB56" i="7" s="1"/>
  <c r="QKD56" i="7" s="1"/>
  <c r="QKF56" i="7" s="1"/>
  <c r="QKH56" i="7" s="1"/>
  <c r="QKJ56" i="7" s="1"/>
  <c r="QKL56" i="7" s="1"/>
  <c r="QKN56" i="7" s="1"/>
  <c r="QKP56" i="7" s="1"/>
  <c r="QKR56" i="7" s="1"/>
  <c r="QKT56" i="7" s="1"/>
  <c r="QKV56" i="7" s="1"/>
  <c r="QKX56" i="7" s="1"/>
  <c r="QKZ56" i="7" s="1"/>
  <c r="QLB56" i="7" s="1"/>
  <c r="QLD56" i="7" s="1"/>
  <c r="QLF56" i="7" s="1"/>
  <c r="QLH56" i="7" s="1"/>
  <c r="QLJ56" i="7" s="1"/>
  <c r="QLL56" i="7" s="1"/>
  <c r="QLN56" i="7" s="1"/>
  <c r="QLP56" i="7" s="1"/>
  <c r="QLR56" i="7" s="1"/>
  <c r="QLT56" i="7" s="1"/>
  <c r="QLV56" i="7" s="1"/>
  <c r="QLX56" i="7" s="1"/>
  <c r="QLZ56" i="7" s="1"/>
  <c r="QMB56" i="7" s="1"/>
  <c r="QMD56" i="7" s="1"/>
  <c r="QMF56" i="7" s="1"/>
  <c r="QMH56" i="7" s="1"/>
  <c r="QMJ56" i="7" s="1"/>
  <c r="QML56" i="7" s="1"/>
  <c r="QMN56" i="7" s="1"/>
  <c r="QMP56" i="7" s="1"/>
  <c r="QMR56" i="7" s="1"/>
  <c r="QMT56" i="7" s="1"/>
  <c r="QMV56" i="7" s="1"/>
  <c r="QMX56" i="7" s="1"/>
  <c r="QMZ56" i="7" s="1"/>
  <c r="QNB56" i="7" s="1"/>
  <c r="QND56" i="7" s="1"/>
  <c r="QNF56" i="7" s="1"/>
  <c r="QNH56" i="7" s="1"/>
  <c r="QNJ56" i="7" s="1"/>
  <c r="QNL56" i="7" s="1"/>
  <c r="QNN56" i="7" s="1"/>
  <c r="QNP56" i="7" s="1"/>
  <c r="QNR56" i="7" s="1"/>
  <c r="QNT56" i="7" s="1"/>
  <c r="QNV56" i="7" s="1"/>
  <c r="QNX56" i="7" s="1"/>
  <c r="QNZ56" i="7" s="1"/>
  <c r="QOB56" i="7" s="1"/>
  <c r="QOD56" i="7" s="1"/>
  <c r="QOF56" i="7" s="1"/>
  <c r="QOH56" i="7" s="1"/>
  <c r="QOJ56" i="7" s="1"/>
  <c r="QOL56" i="7" s="1"/>
  <c r="QON56" i="7" s="1"/>
  <c r="QOP56" i="7" s="1"/>
  <c r="QOR56" i="7" s="1"/>
  <c r="QOT56" i="7" s="1"/>
  <c r="QOV56" i="7" s="1"/>
  <c r="QOX56" i="7" s="1"/>
  <c r="QOZ56" i="7" s="1"/>
  <c r="QPB56" i="7" s="1"/>
  <c r="QPD56" i="7" s="1"/>
  <c r="QPF56" i="7" s="1"/>
  <c r="QPH56" i="7" s="1"/>
  <c r="QPJ56" i="7" s="1"/>
  <c r="QPL56" i="7" s="1"/>
  <c r="QPN56" i="7" s="1"/>
  <c r="QPP56" i="7" s="1"/>
  <c r="QPR56" i="7" s="1"/>
  <c r="QPT56" i="7" s="1"/>
  <c r="QPV56" i="7" s="1"/>
  <c r="QPX56" i="7" s="1"/>
  <c r="QPZ56" i="7" s="1"/>
  <c r="QQB56" i="7" s="1"/>
  <c r="QQD56" i="7" s="1"/>
  <c r="QQF56" i="7" s="1"/>
  <c r="QQH56" i="7" s="1"/>
  <c r="QQJ56" i="7" s="1"/>
  <c r="QQL56" i="7" s="1"/>
  <c r="QQN56" i="7" s="1"/>
  <c r="QQP56" i="7" s="1"/>
  <c r="QQR56" i="7" s="1"/>
  <c r="QQT56" i="7" s="1"/>
  <c r="QQV56" i="7" s="1"/>
  <c r="QQX56" i="7" s="1"/>
  <c r="QQZ56" i="7" s="1"/>
  <c r="QRB56" i="7" s="1"/>
  <c r="QRD56" i="7" s="1"/>
  <c r="QRF56" i="7" s="1"/>
  <c r="QRH56" i="7" s="1"/>
  <c r="QRJ56" i="7" s="1"/>
  <c r="QRL56" i="7" s="1"/>
  <c r="QRN56" i="7" s="1"/>
  <c r="QRP56" i="7" s="1"/>
  <c r="QRR56" i="7" s="1"/>
  <c r="QRT56" i="7" s="1"/>
  <c r="QRV56" i="7" s="1"/>
  <c r="QRX56" i="7" s="1"/>
  <c r="QRZ56" i="7" s="1"/>
  <c r="QSB56" i="7" s="1"/>
  <c r="QSD56" i="7" s="1"/>
  <c r="QSF56" i="7" s="1"/>
  <c r="QSH56" i="7" s="1"/>
  <c r="QSJ56" i="7" s="1"/>
  <c r="QSL56" i="7" s="1"/>
  <c r="QSN56" i="7" s="1"/>
  <c r="QSP56" i="7" s="1"/>
  <c r="QSR56" i="7" s="1"/>
  <c r="QST56" i="7" s="1"/>
  <c r="QSV56" i="7" s="1"/>
  <c r="QSX56" i="7" s="1"/>
  <c r="QSZ56" i="7" s="1"/>
  <c r="QTB56" i="7" s="1"/>
  <c r="QTD56" i="7" s="1"/>
  <c r="QTF56" i="7" s="1"/>
  <c r="QTH56" i="7" s="1"/>
  <c r="QTJ56" i="7" s="1"/>
  <c r="QTL56" i="7" s="1"/>
  <c r="QTN56" i="7" s="1"/>
  <c r="QTP56" i="7" s="1"/>
  <c r="QTR56" i="7" s="1"/>
  <c r="QTT56" i="7" s="1"/>
  <c r="QTV56" i="7" s="1"/>
  <c r="QTX56" i="7" s="1"/>
  <c r="QTZ56" i="7" s="1"/>
  <c r="QUB56" i="7" s="1"/>
  <c r="QUD56" i="7" s="1"/>
  <c r="QUF56" i="7" s="1"/>
  <c r="QUH56" i="7" s="1"/>
  <c r="QUJ56" i="7" s="1"/>
  <c r="QUL56" i="7" s="1"/>
  <c r="QUN56" i="7" s="1"/>
  <c r="QUP56" i="7" s="1"/>
  <c r="QUR56" i="7" s="1"/>
  <c r="QUT56" i="7" s="1"/>
  <c r="QUV56" i="7" s="1"/>
  <c r="QUX56" i="7" s="1"/>
  <c r="QUZ56" i="7" s="1"/>
  <c r="QVB56" i="7" s="1"/>
  <c r="QVD56" i="7" s="1"/>
  <c r="QVF56" i="7" s="1"/>
  <c r="QVH56" i="7" s="1"/>
  <c r="QVJ56" i="7" s="1"/>
  <c r="QVL56" i="7" s="1"/>
  <c r="QVN56" i="7" s="1"/>
  <c r="QVP56" i="7" s="1"/>
  <c r="QVR56" i="7" s="1"/>
  <c r="QVT56" i="7" s="1"/>
  <c r="QVV56" i="7" s="1"/>
  <c r="QVX56" i="7" s="1"/>
  <c r="QVZ56" i="7" s="1"/>
  <c r="QWB56" i="7" s="1"/>
  <c r="QWD56" i="7" s="1"/>
  <c r="QWF56" i="7" s="1"/>
  <c r="QWH56" i="7" s="1"/>
  <c r="QWJ56" i="7" s="1"/>
  <c r="QWL56" i="7" s="1"/>
  <c r="QWN56" i="7" s="1"/>
  <c r="QWP56" i="7" s="1"/>
  <c r="QWR56" i="7" s="1"/>
  <c r="QWT56" i="7" s="1"/>
  <c r="QWV56" i="7" s="1"/>
  <c r="QWX56" i="7" s="1"/>
  <c r="QWZ56" i="7" s="1"/>
  <c r="QXB56" i="7" s="1"/>
  <c r="QXD56" i="7" s="1"/>
  <c r="QXF56" i="7" s="1"/>
  <c r="QXH56" i="7" s="1"/>
  <c r="QXJ56" i="7" s="1"/>
  <c r="QXL56" i="7" s="1"/>
  <c r="QXN56" i="7" s="1"/>
  <c r="QXP56" i="7" s="1"/>
  <c r="QXR56" i="7" s="1"/>
  <c r="QXT56" i="7" s="1"/>
  <c r="QXV56" i="7" s="1"/>
  <c r="QXX56" i="7" s="1"/>
  <c r="QXZ56" i="7" s="1"/>
  <c r="QYB56" i="7" s="1"/>
  <c r="QYD56" i="7" s="1"/>
  <c r="QYF56" i="7" s="1"/>
  <c r="QYH56" i="7" s="1"/>
  <c r="QYJ56" i="7" s="1"/>
  <c r="QYL56" i="7" s="1"/>
  <c r="QYN56" i="7" s="1"/>
  <c r="QYP56" i="7" s="1"/>
  <c r="QYR56" i="7" s="1"/>
  <c r="QYT56" i="7" s="1"/>
  <c r="QYV56" i="7" s="1"/>
  <c r="QYX56" i="7" s="1"/>
  <c r="QYZ56" i="7" s="1"/>
  <c r="QZB56" i="7" s="1"/>
  <c r="QZD56" i="7" s="1"/>
  <c r="QZF56" i="7" s="1"/>
  <c r="QZH56" i="7" s="1"/>
  <c r="QZJ56" i="7" s="1"/>
  <c r="QZL56" i="7" s="1"/>
  <c r="QZN56" i="7" s="1"/>
  <c r="QZP56" i="7" s="1"/>
  <c r="QZR56" i="7" s="1"/>
  <c r="QZT56" i="7" s="1"/>
  <c r="QZV56" i="7" s="1"/>
  <c r="QZX56" i="7" s="1"/>
  <c r="QZZ56" i="7" s="1"/>
  <c r="RAB56" i="7" s="1"/>
  <c r="RAD56" i="7" s="1"/>
  <c r="RAF56" i="7" s="1"/>
  <c r="RAH56" i="7" s="1"/>
  <c r="RAJ56" i="7" s="1"/>
  <c r="RAL56" i="7" s="1"/>
  <c r="RAN56" i="7" s="1"/>
  <c r="RAP56" i="7" s="1"/>
  <c r="RAR56" i="7" s="1"/>
  <c r="RAT56" i="7" s="1"/>
  <c r="RAV56" i="7" s="1"/>
  <c r="RAX56" i="7" s="1"/>
  <c r="RAZ56" i="7" s="1"/>
  <c r="RBB56" i="7" s="1"/>
  <c r="RBD56" i="7" s="1"/>
  <c r="RBF56" i="7" s="1"/>
  <c r="RBH56" i="7" s="1"/>
  <c r="RBJ56" i="7" s="1"/>
  <c r="RBL56" i="7" s="1"/>
  <c r="RBN56" i="7" s="1"/>
  <c r="RBP56" i="7" s="1"/>
  <c r="RBR56" i="7" s="1"/>
  <c r="RBT56" i="7" s="1"/>
  <c r="RBV56" i="7" s="1"/>
  <c r="RBX56" i="7" s="1"/>
  <c r="RBZ56" i="7" s="1"/>
  <c r="RCB56" i="7" s="1"/>
  <c r="RCD56" i="7" s="1"/>
  <c r="RCF56" i="7" s="1"/>
  <c r="RCH56" i="7" s="1"/>
  <c r="RCJ56" i="7" s="1"/>
  <c r="RCL56" i="7" s="1"/>
  <c r="RCN56" i="7" s="1"/>
  <c r="RCP56" i="7" s="1"/>
  <c r="RCR56" i="7" s="1"/>
  <c r="RCT56" i="7" s="1"/>
  <c r="RCV56" i="7" s="1"/>
  <c r="RCX56" i="7" s="1"/>
  <c r="RCZ56" i="7" s="1"/>
  <c r="RDB56" i="7" s="1"/>
  <c r="RDD56" i="7" s="1"/>
  <c r="RDF56" i="7" s="1"/>
  <c r="RDH56" i="7" s="1"/>
  <c r="RDJ56" i="7" s="1"/>
  <c r="RDL56" i="7" s="1"/>
  <c r="RDN56" i="7" s="1"/>
  <c r="RDP56" i="7" s="1"/>
  <c r="RDR56" i="7" s="1"/>
  <c r="RDT56" i="7" s="1"/>
  <c r="RDV56" i="7" s="1"/>
  <c r="RDX56" i="7" s="1"/>
  <c r="RDZ56" i="7" s="1"/>
  <c r="REB56" i="7" s="1"/>
  <c r="RED56" i="7" s="1"/>
  <c r="REF56" i="7" s="1"/>
  <c r="REH56" i="7" s="1"/>
  <c r="REJ56" i="7" s="1"/>
  <c r="REL56" i="7" s="1"/>
  <c r="REN56" i="7" s="1"/>
  <c r="REP56" i="7" s="1"/>
  <c r="RER56" i="7" s="1"/>
  <c r="RET56" i="7" s="1"/>
  <c r="REV56" i="7" s="1"/>
  <c r="REX56" i="7" s="1"/>
  <c r="REZ56" i="7" s="1"/>
  <c r="RFB56" i="7" s="1"/>
  <c r="RFD56" i="7" s="1"/>
  <c r="RFF56" i="7" s="1"/>
  <c r="RFH56" i="7" s="1"/>
  <c r="RFJ56" i="7" s="1"/>
  <c r="RFL56" i="7" s="1"/>
  <c r="RFN56" i="7" s="1"/>
  <c r="RFP56" i="7" s="1"/>
  <c r="RFR56" i="7" s="1"/>
  <c r="RFT56" i="7" s="1"/>
  <c r="RFV56" i="7" s="1"/>
  <c r="RFX56" i="7" s="1"/>
  <c r="RFZ56" i="7" s="1"/>
  <c r="RGB56" i="7" s="1"/>
  <c r="RGD56" i="7" s="1"/>
  <c r="RGF56" i="7" s="1"/>
  <c r="RGH56" i="7" s="1"/>
  <c r="RGJ56" i="7" s="1"/>
  <c r="RGL56" i="7" s="1"/>
  <c r="RGN56" i="7" s="1"/>
  <c r="RGP56" i="7" s="1"/>
  <c r="RGR56" i="7" s="1"/>
  <c r="RGT56" i="7" s="1"/>
  <c r="RGV56" i="7" s="1"/>
  <c r="RGX56" i="7" s="1"/>
  <c r="RGZ56" i="7" s="1"/>
  <c r="RHB56" i="7" s="1"/>
  <c r="RHD56" i="7" s="1"/>
  <c r="RHF56" i="7" s="1"/>
  <c r="RHH56" i="7" s="1"/>
  <c r="RHJ56" i="7" s="1"/>
  <c r="RHL56" i="7" s="1"/>
  <c r="RHN56" i="7" s="1"/>
  <c r="RHP56" i="7" s="1"/>
  <c r="RHR56" i="7" s="1"/>
  <c r="RHT56" i="7" s="1"/>
  <c r="RHV56" i="7" s="1"/>
  <c r="RHX56" i="7" s="1"/>
  <c r="RHZ56" i="7" s="1"/>
  <c r="RIB56" i="7" s="1"/>
  <c r="RID56" i="7" s="1"/>
  <c r="RIF56" i="7" s="1"/>
  <c r="RIH56" i="7" s="1"/>
  <c r="RIJ56" i="7" s="1"/>
  <c r="RIL56" i="7" s="1"/>
  <c r="RIN56" i="7" s="1"/>
  <c r="RIP56" i="7" s="1"/>
  <c r="RIR56" i="7" s="1"/>
  <c r="RIT56" i="7" s="1"/>
  <c r="RIV56" i="7" s="1"/>
  <c r="RIX56" i="7" s="1"/>
  <c r="RIZ56" i="7" s="1"/>
  <c r="RJB56" i="7" s="1"/>
  <c r="RJD56" i="7" s="1"/>
  <c r="RJF56" i="7" s="1"/>
  <c r="RJH56" i="7" s="1"/>
  <c r="RJJ56" i="7" s="1"/>
  <c r="RJL56" i="7" s="1"/>
  <c r="RJN56" i="7" s="1"/>
  <c r="RJP56" i="7" s="1"/>
  <c r="RJR56" i="7" s="1"/>
  <c r="RJT56" i="7" s="1"/>
  <c r="RJV56" i="7" s="1"/>
  <c r="RJX56" i="7" s="1"/>
  <c r="RJZ56" i="7" s="1"/>
  <c r="RKB56" i="7" s="1"/>
  <c r="RKD56" i="7" s="1"/>
  <c r="RKF56" i="7" s="1"/>
  <c r="RKH56" i="7" s="1"/>
  <c r="RKJ56" i="7" s="1"/>
  <c r="RKL56" i="7" s="1"/>
  <c r="RKN56" i="7" s="1"/>
  <c r="RKP56" i="7" s="1"/>
  <c r="RKR56" i="7" s="1"/>
  <c r="RKT56" i="7" s="1"/>
  <c r="RKV56" i="7" s="1"/>
  <c r="RKX56" i="7" s="1"/>
  <c r="RKZ56" i="7" s="1"/>
  <c r="RLB56" i="7" s="1"/>
  <c r="RLD56" i="7" s="1"/>
  <c r="RLF56" i="7" s="1"/>
  <c r="RLH56" i="7" s="1"/>
  <c r="RLJ56" i="7" s="1"/>
  <c r="RLL56" i="7" s="1"/>
  <c r="RLN56" i="7" s="1"/>
  <c r="RLP56" i="7" s="1"/>
  <c r="RLR56" i="7" s="1"/>
  <c r="RLT56" i="7" s="1"/>
  <c r="RLV56" i="7" s="1"/>
  <c r="RLX56" i="7" s="1"/>
  <c r="RLZ56" i="7" s="1"/>
  <c r="RMB56" i="7" s="1"/>
  <c r="RMD56" i="7" s="1"/>
  <c r="RMF56" i="7" s="1"/>
  <c r="RMH56" i="7" s="1"/>
  <c r="RMJ56" i="7" s="1"/>
  <c r="RML56" i="7" s="1"/>
  <c r="RMN56" i="7" s="1"/>
  <c r="RMP56" i="7" s="1"/>
  <c r="RMR56" i="7" s="1"/>
  <c r="RMT56" i="7" s="1"/>
  <c r="RMV56" i="7" s="1"/>
  <c r="RMX56" i="7" s="1"/>
  <c r="RMZ56" i="7" s="1"/>
  <c r="RNB56" i="7" s="1"/>
  <c r="RND56" i="7" s="1"/>
  <c r="RNF56" i="7" s="1"/>
  <c r="RNH56" i="7" s="1"/>
  <c r="RNJ56" i="7" s="1"/>
  <c r="RNL56" i="7" s="1"/>
  <c r="RNN56" i="7" s="1"/>
  <c r="RNP56" i="7" s="1"/>
  <c r="RNR56" i="7" s="1"/>
  <c r="RNT56" i="7" s="1"/>
  <c r="RNV56" i="7" s="1"/>
  <c r="RNX56" i="7" s="1"/>
  <c r="RNZ56" i="7" s="1"/>
  <c r="ROB56" i="7" s="1"/>
  <c r="ROD56" i="7" s="1"/>
  <c r="ROF56" i="7" s="1"/>
  <c r="ROH56" i="7" s="1"/>
  <c r="ROJ56" i="7" s="1"/>
  <c r="ROL56" i="7" s="1"/>
  <c r="RON56" i="7" s="1"/>
  <c r="ROP56" i="7" s="1"/>
  <c r="ROR56" i="7" s="1"/>
  <c r="ROT56" i="7" s="1"/>
  <c r="ROV56" i="7" s="1"/>
  <c r="ROX56" i="7" s="1"/>
  <c r="ROZ56" i="7" s="1"/>
  <c r="RPB56" i="7" s="1"/>
  <c r="RPD56" i="7" s="1"/>
  <c r="RPF56" i="7" s="1"/>
  <c r="RPH56" i="7" s="1"/>
  <c r="RPJ56" i="7" s="1"/>
  <c r="RPL56" i="7" s="1"/>
  <c r="RPN56" i="7" s="1"/>
  <c r="RPP56" i="7" s="1"/>
  <c r="RPR56" i="7" s="1"/>
  <c r="RPT56" i="7" s="1"/>
  <c r="RPV56" i="7" s="1"/>
  <c r="RPX56" i="7" s="1"/>
  <c r="RPZ56" i="7" s="1"/>
  <c r="RQB56" i="7" s="1"/>
  <c r="RQD56" i="7" s="1"/>
  <c r="RQF56" i="7" s="1"/>
  <c r="RQH56" i="7" s="1"/>
  <c r="RQJ56" i="7" s="1"/>
  <c r="RQL56" i="7" s="1"/>
  <c r="RQN56" i="7" s="1"/>
  <c r="RQP56" i="7" s="1"/>
  <c r="RQR56" i="7" s="1"/>
  <c r="RQT56" i="7" s="1"/>
  <c r="RQV56" i="7" s="1"/>
  <c r="RQX56" i="7" s="1"/>
  <c r="RQZ56" i="7" s="1"/>
  <c r="RRB56" i="7" s="1"/>
  <c r="RRD56" i="7" s="1"/>
  <c r="RRF56" i="7" s="1"/>
  <c r="RRH56" i="7" s="1"/>
  <c r="RRJ56" i="7" s="1"/>
  <c r="RRL56" i="7" s="1"/>
  <c r="RRN56" i="7" s="1"/>
  <c r="RRP56" i="7" s="1"/>
  <c r="RRR56" i="7" s="1"/>
  <c r="RRT56" i="7" s="1"/>
  <c r="RRV56" i="7" s="1"/>
  <c r="RRX56" i="7" s="1"/>
  <c r="RRZ56" i="7" s="1"/>
  <c r="RSB56" i="7" s="1"/>
  <c r="RSD56" i="7" s="1"/>
  <c r="RSF56" i="7" s="1"/>
  <c r="RSH56" i="7" s="1"/>
  <c r="RSJ56" i="7" s="1"/>
  <c r="RSL56" i="7" s="1"/>
  <c r="RSN56" i="7" s="1"/>
  <c r="RSP56" i="7" s="1"/>
  <c r="RSR56" i="7" s="1"/>
  <c r="RST56" i="7" s="1"/>
  <c r="RSV56" i="7" s="1"/>
  <c r="RSX56" i="7" s="1"/>
  <c r="RSZ56" i="7" s="1"/>
  <c r="RTB56" i="7" s="1"/>
  <c r="RTD56" i="7" s="1"/>
  <c r="RTF56" i="7" s="1"/>
  <c r="RTH56" i="7" s="1"/>
  <c r="RTJ56" i="7" s="1"/>
  <c r="RTL56" i="7" s="1"/>
  <c r="RTN56" i="7" s="1"/>
  <c r="RTP56" i="7" s="1"/>
  <c r="RTR56" i="7" s="1"/>
  <c r="RTT56" i="7" s="1"/>
  <c r="RTV56" i="7" s="1"/>
  <c r="RTX56" i="7" s="1"/>
  <c r="RTZ56" i="7" s="1"/>
  <c r="RUB56" i="7" s="1"/>
  <c r="RUD56" i="7" s="1"/>
  <c r="RUF56" i="7" s="1"/>
  <c r="RUH56" i="7" s="1"/>
  <c r="RUJ56" i="7" s="1"/>
  <c r="RUL56" i="7" s="1"/>
  <c r="RUN56" i="7" s="1"/>
  <c r="RUP56" i="7" s="1"/>
  <c r="RUR56" i="7" s="1"/>
  <c r="RUT56" i="7" s="1"/>
  <c r="RUV56" i="7" s="1"/>
  <c r="RUX56" i="7" s="1"/>
  <c r="RUZ56" i="7" s="1"/>
  <c r="RVB56" i="7" s="1"/>
  <c r="RVD56" i="7" s="1"/>
  <c r="RVF56" i="7" s="1"/>
  <c r="RVH56" i="7" s="1"/>
  <c r="RVJ56" i="7" s="1"/>
  <c r="RVL56" i="7" s="1"/>
  <c r="RVN56" i="7" s="1"/>
  <c r="RVP56" i="7" s="1"/>
  <c r="RVR56" i="7" s="1"/>
  <c r="RVT56" i="7" s="1"/>
  <c r="RVV56" i="7" s="1"/>
  <c r="RVX56" i="7" s="1"/>
  <c r="RVZ56" i="7" s="1"/>
  <c r="RWB56" i="7" s="1"/>
  <c r="RWD56" i="7" s="1"/>
  <c r="RWF56" i="7" s="1"/>
  <c r="RWH56" i="7" s="1"/>
  <c r="RWJ56" i="7" s="1"/>
  <c r="RWL56" i="7" s="1"/>
  <c r="RWN56" i="7" s="1"/>
  <c r="RWP56" i="7" s="1"/>
  <c r="RWR56" i="7" s="1"/>
  <c r="RWT56" i="7" s="1"/>
  <c r="RWV56" i="7" s="1"/>
  <c r="RWX56" i="7" s="1"/>
  <c r="RWZ56" i="7" s="1"/>
  <c r="RXB56" i="7" s="1"/>
  <c r="RXD56" i="7" s="1"/>
  <c r="RXF56" i="7" s="1"/>
  <c r="RXH56" i="7" s="1"/>
  <c r="RXJ56" i="7" s="1"/>
  <c r="RXL56" i="7" s="1"/>
  <c r="RXN56" i="7" s="1"/>
  <c r="RXP56" i="7" s="1"/>
  <c r="RXR56" i="7" s="1"/>
  <c r="RXT56" i="7" s="1"/>
  <c r="RXV56" i="7" s="1"/>
  <c r="RXX56" i="7" s="1"/>
  <c r="RXZ56" i="7" s="1"/>
  <c r="RYB56" i="7" s="1"/>
  <c r="RYD56" i="7" s="1"/>
  <c r="RYF56" i="7" s="1"/>
  <c r="RYH56" i="7" s="1"/>
  <c r="RYJ56" i="7" s="1"/>
  <c r="RYL56" i="7" s="1"/>
  <c r="RYN56" i="7" s="1"/>
  <c r="RYP56" i="7" s="1"/>
  <c r="RYR56" i="7" s="1"/>
  <c r="RYT56" i="7" s="1"/>
  <c r="RYV56" i="7" s="1"/>
  <c r="RYX56" i="7" s="1"/>
  <c r="RYZ56" i="7" s="1"/>
  <c r="RZB56" i="7" s="1"/>
  <c r="RZD56" i="7" s="1"/>
  <c r="RZF56" i="7" s="1"/>
  <c r="RZH56" i="7" s="1"/>
  <c r="RZJ56" i="7" s="1"/>
  <c r="RZL56" i="7" s="1"/>
  <c r="RZN56" i="7" s="1"/>
  <c r="RZP56" i="7" s="1"/>
  <c r="RZR56" i="7" s="1"/>
  <c r="RZT56" i="7" s="1"/>
  <c r="RZV56" i="7" s="1"/>
  <c r="RZX56" i="7" s="1"/>
  <c r="RZZ56" i="7" s="1"/>
  <c r="SAB56" i="7" s="1"/>
  <c r="SAD56" i="7" s="1"/>
  <c r="SAF56" i="7" s="1"/>
  <c r="SAH56" i="7" s="1"/>
  <c r="SAJ56" i="7" s="1"/>
  <c r="SAL56" i="7" s="1"/>
  <c r="SAN56" i="7" s="1"/>
  <c r="SAP56" i="7" s="1"/>
  <c r="SAR56" i="7" s="1"/>
  <c r="SAT56" i="7" s="1"/>
  <c r="SAV56" i="7" s="1"/>
  <c r="SAX56" i="7" s="1"/>
  <c r="SAZ56" i="7" s="1"/>
  <c r="SBB56" i="7" s="1"/>
  <c r="SBD56" i="7" s="1"/>
  <c r="SBF56" i="7" s="1"/>
  <c r="SBH56" i="7" s="1"/>
  <c r="SBJ56" i="7" s="1"/>
  <c r="SBL56" i="7" s="1"/>
  <c r="SBN56" i="7" s="1"/>
  <c r="SBP56" i="7" s="1"/>
  <c r="SBR56" i="7" s="1"/>
  <c r="SBT56" i="7" s="1"/>
  <c r="SBV56" i="7" s="1"/>
  <c r="SBX56" i="7" s="1"/>
  <c r="SBZ56" i="7" s="1"/>
  <c r="SCB56" i="7" s="1"/>
  <c r="SCD56" i="7" s="1"/>
  <c r="SCF56" i="7" s="1"/>
  <c r="SCH56" i="7" s="1"/>
  <c r="SCJ56" i="7" s="1"/>
  <c r="SCL56" i="7" s="1"/>
  <c r="SCN56" i="7" s="1"/>
  <c r="SCP56" i="7" s="1"/>
  <c r="SCR56" i="7" s="1"/>
  <c r="SCT56" i="7" s="1"/>
  <c r="SCV56" i="7" s="1"/>
  <c r="SCX56" i="7" s="1"/>
  <c r="SCZ56" i="7" s="1"/>
  <c r="SDB56" i="7" s="1"/>
  <c r="SDD56" i="7" s="1"/>
  <c r="SDF56" i="7" s="1"/>
  <c r="SDH56" i="7" s="1"/>
  <c r="SDJ56" i="7" s="1"/>
  <c r="SDL56" i="7" s="1"/>
  <c r="SDN56" i="7" s="1"/>
  <c r="SDP56" i="7" s="1"/>
  <c r="SDR56" i="7" s="1"/>
  <c r="SDT56" i="7" s="1"/>
  <c r="SDV56" i="7" s="1"/>
  <c r="SDX56" i="7" s="1"/>
  <c r="SDZ56" i="7" s="1"/>
  <c r="SEB56" i="7" s="1"/>
  <c r="SED56" i="7" s="1"/>
  <c r="SEF56" i="7" s="1"/>
  <c r="SEH56" i="7" s="1"/>
  <c r="SEJ56" i="7" s="1"/>
  <c r="SEL56" i="7" s="1"/>
  <c r="SEN56" i="7" s="1"/>
  <c r="SEP56" i="7" s="1"/>
  <c r="SER56" i="7" s="1"/>
  <c r="SET56" i="7" s="1"/>
  <c r="SEV56" i="7" s="1"/>
  <c r="SEX56" i="7" s="1"/>
  <c r="SEZ56" i="7" s="1"/>
  <c r="SFB56" i="7" s="1"/>
  <c r="SFD56" i="7" s="1"/>
  <c r="SFF56" i="7" s="1"/>
  <c r="SFH56" i="7" s="1"/>
  <c r="SFJ56" i="7" s="1"/>
  <c r="SFL56" i="7" s="1"/>
  <c r="SFN56" i="7" s="1"/>
  <c r="SFP56" i="7" s="1"/>
  <c r="SFR56" i="7" s="1"/>
  <c r="SFT56" i="7" s="1"/>
  <c r="SFV56" i="7" s="1"/>
  <c r="SFX56" i="7" s="1"/>
  <c r="SFZ56" i="7" s="1"/>
  <c r="SGB56" i="7" s="1"/>
  <c r="SGD56" i="7" s="1"/>
  <c r="SGF56" i="7" s="1"/>
  <c r="SGH56" i="7" s="1"/>
  <c r="SGJ56" i="7" s="1"/>
  <c r="SGL56" i="7" s="1"/>
  <c r="SGN56" i="7" s="1"/>
  <c r="SGP56" i="7" s="1"/>
  <c r="SGR56" i="7" s="1"/>
  <c r="SGT56" i="7" s="1"/>
  <c r="SGV56" i="7" s="1"/>
  <c r="SGX56" i="7" s="1"/>
  <c r="SGZ56" i="7" s="1"/>
  <c r="SHB56" i="7" s="1"/>
  <c r="SHD56" i="7" s="1"/>
  <c r="SHF56" i="7" s="1"/>
  <c r="SHH56" i="7" s="1"/>
  <c r="SHJ56" i="7" s="1"/>
  <c r="SHL56" i="7" s="1"/>
  <c r="SHN56" i="7" s="1"/>
  <c r="SHP56" i="7" s="1"/>
  <c r="SHR56" i="7" s="1"/>
  <c r="SHT56" i="7" s="1"/>
  <c r="SHV56" i="7" s="1"/>
  <c r="SHX56" i="7" s="1"/>
  <c r="SHZ56" i="7" s="1"/>
  <c r="SIB56" i="7" s="1"/>
  <c r="SID56" i="7" s="1"/>
  <c r="SIF56" i="7" s="1"/>
  <c r="SIH56" i="7" s="1"/>
  <c r="SIJ56" i="7" s="1"/>
  <c r="SIL56" i="7" s="1"/>
  <c r="SIN56" i="7" s="1"/>
  <c r="SIP56" i="7" s="1"/>
  <c r="SIR56" i="7" s="1"/>
  <c r="SIT56" i="7" s="1"/>
  <c r="SIV56" i="7" s="1"/>
  <c r="SIX56" i="7" s="1"/>
  <c r="SIZ56" i="7" s="1"/>
  <c r="SJB56" i="7" s="1"/>
  <c r="SJD56" i="7" s="1"/>
  <c r="SJF56" i="7" s="1"/>
  <c r="SJH56" i="7" s="1"/>
  <c r="SJJ56" i="7" s="1"/>
  <c r="SJL56" i="7" s="1"/>
  <c r="SJN56" i="7" s="1"/>
  <c r="SJP56" i="7" s="1"/>
  <c r="SJR56" i="7" s="1"/>
  <c r="SJT56" i="7" s="1"/>
  <c r="SJV56" i="7" s="1"/>
  <c r="SJX56" i="7" s="1"/>
  <c r="SJZ56" i="7" s="1"/>
  <c r="SKB56" i="7" s="1"/>
  <c r="SKD56" i="7" s="1"/>
  <c r="SKF56" i="7" s="1"/>
  <c r="SKH56" i="7" s="1"/>
  <c r="SKJ56" i="7" s="1"/>
  <c r="SKL56" i="7" s="1"/>
  <c r="SKN56" i="7" s="1"/>
  <c r="SKP56" i="7" s="1"/>
  <c r="SKR56" i="7" s="1"/>
  <c r="SKT56" i="7" s="1"/>
  <c r="SKV56" i="7" s="1"/>
  <c r="SKX56" i="7" s="1"/>
  <c r="SKZ56" i="7" s="1"/>
  <c r="SLB56" i="7" s="1"/>
  <c r="SLD56" i="7" s="1"/>
  <c r="SLF56" i="7" s="1"/>
  <c r="SLH56" i="7" s="1"/>
  <c r="SLJ56" i="7" s="1"/>
  <c r="SLL56" i="7" s="1"/>
  <c r="SLN56" i="7" s="1"/>
  <c r="SLP56" i="7" s="1"/>
  <c r="SLR56" i="7" s="1"/>
  <c r="SLT56" i="7" s="1"/>
  <c r="SLV56" i="7" s="1"/>
  <c r="SLX56" i="7" s="1"/>
  <c r="SLZ56" i="7" s="1"/>
  <c r="SMB56" i="7" s="1"/>
  <c r="SMD56" i="7" s="1"/>
  <c r="SMF56" i="7" s="1"/>
  <c r="SMH56" i="7" s="1"/>
  <c r="SMJ56" i="7" s="1"/>
  <c r="SML56" i="7" s="1"/>
  <c r="SMN56" i="7" s="1"/>
  <c r="SMP56" i="7" s="1"/>
  <c r="SMR56" i="7" s="1"/>
  <c r="SMT56" i="7" s="1"/>
  <c r="SMV56" i="7" s="1"/>
  <c r="SMX56" i="7" s="1"/>
  <c r="SMZ56" i="7" s="1"/>
  <c r="SNB56" i="7" s="1"/>
  <c r="SND56" i="7" s="1"/>
  <c r="SNF56" i="7" s="1"/>
  <c r="SNH56" i="7" s="1"/>
  <c r="SNJ56" i="7" s="1"/>
  <c r="SNL56" i="7" s="1"/>
  <c r="SNN56" i="7" s="1"/>
  <c r="SNP56" i="7" s="1"/>
  <c r="SNR56" i="7" s="1"/>
  <c r="SNT56" i="7" s="1"/>
  <c r="SNV56" i="7" s="1"/>
  <c r="SNX56" i="7" s="1"/>
  <c r="SNZ56" i="7" s="1"/>
  <c r="SOB56" i="7" s="1"/>
  <c r="SOD56" i="7" s="1"/>
  <c r="SOF56" i="7" s="1"/>
  <c r="SOH56" i="7" s="1"/>
  <c r="SOJ56" i="7" s="1"/>
  <c r="SOL56" i="7" s="1"/>
  <c r="SON56" i="7" s="1"/>
  <c r="SOP56" i="7" s="1"/>
  <c r="SOR56" i="7" s="1"/>
  <c r="SOT56" i="7" s="1"/>
  <c r="SOV56" i="7" s="1"/>
  <c r="SOX56" i="7" s="1"/>
  <c r="SOZ56" i="7" s="1"/>
  <c r="SPB56" i="7" s="1"/>
  <c r="SPD56" i="7" s="1"/>
  <c r="SPF56" i="7" s="1"/>
  <c r="SPH56" i="7" s="1"/>
  <c r="SPJ56" i="7" s="1"/>
  <c r="SPL56" i="7" s="1"/>
  <c r="SPN56" i="7" s="1"/>
  <c r="SPP56" i="7" s="1"/>
  <c r="SPR56" i="7" s="1"/>
  <c r="SPT56" i="7" s="1"/>
  <c r="SPV56" i="7" s="1"/>
  <c r="SPX56" i="7" s="1"/>
  <c r="SPZ56" i="7" s="1"/>
  <c r="SQB56" i="7" s="1"/>
  <c r="SQD56" i="7" s="1"/>
  <c r="SQF56" i="7" s="1"/>
  <c r="SQH56" i="7" s="1"/>
  <c r="SQJ56" i="7" s="1"/>
  <c r="SQL56" i="7" s="1"/>
  <c r="SQN56" i="7" s="1"/>
  <c r="SQP56" i="7" s="1"/>
  <c r="SQR56" i="7" s="1"/>
  <c r="SQT56" i="7" s="1"/>
  <c r="SQV56" i="7" s="1"/>
  <c r="SQX56" i="7" s="1"/>
  <c r="SQZ56" i="7" s="1"/>
  <c r="SRB56" i="7" s="1"/>
  <c r="SRD56" i="7" s="1"/>
  <c r="SRF56" i="7" s="1"/>
  <c r="SRH56" i="7" s="1"/>
  <c r="SRJ56" i="7" s="1"/>
  <c r="SRL56" i="7" s="1"/>
  <c r="SRN56" i="7" s="1"/>
  <c r="SRP56" i="7" s="1"/>
  <c r="SRR56" i="7" s="1"/>
  <c r="SRT56" i="7" s="1"/>
  <c r="SRV56" i="7" s="1"/>
  <c r="SRX56" i="7" s="1"/>
  <c r="SRZ56" i="7" s="1"/>
  <c r="SSB56" i="7" s="1"/>
  <c r="SSD56" i="7" s="1"/>
  <c r="SSF56" i="7" s="1"/>
  <c r="SSH56" i="7" s="1"/>
  <c r="SSJ56" i="7" s="1"/>
  <c r="SSL56" i="7" s="1"/>
  <c r="SSN56" i="7" s="1"/>
  <c r="SSP56" i="7" s="1"/>
  <c r="SSR56" i="7" s="1"/>
  <c r="SST56" i="7" s="1"/>
  <c r="SSV56" i="7" s="1"/>
  <c r="SSX56" i="7" s="1"/>
  <c r="SSZ56" i="7" s="1"/>
  <c r="STB56" i="7" s="1"/>
  <c r="STD56" i="7" s="1"/>
  <c r="STF56" i="7" s="1"/>
  <c r="STH56" i="7" s="1"/>
  <c r="STJ56" i="7" s="1"/>
  <c r="STL56" i="7" s="1"/>
  <c r="STN56" i="7" s="1"/>
  <c r="STP56" i="7" s="1"/>
  <c r="STR56" i="7" s="1"/>
  <c r="STT56" i="7" s="1"/>
  <c r="STV56" i="7" s="1"/>
  <c r="STX56" i="7" s="1"/>
  <c r="STZ56" i="7" s="1"/>
  <c r="SUB56" i="7" s="1"/>
  <c r="SUD56" i="7" s="1"/>
  <c r="SUF56" i="7" s="1"/>
  <c r="SUH56" i="7" s="1"/>
  <c r="SUJ56" i="7" s="1"/>
  <c r="SUL56" i="7" s="1"/>
  <c r="SUN56" i="7" s="1"/>
  <c r="SUP56" i="7" s="1"/>
  <c r="SUR56" i="7" s="1"/>
  <c r="SUT56" i="7" s="1"/>
  <c r="SUV56" i="7" s="1"/>
  <c r="SUX56" i="7" s="1"/>
  <c r="SUZ56" i="7" s="1"/>
  <c r="SVB56" i="7" s="1"/>
  <c r="SVD56" i="7" s="1"/>
  <c r="SVF56" i="7" s="1"/>
  <c r="SVH56" i="7" s="1"/>
  <c r="SVJ56" i="7" s="1"/>
  <c r="SVL56" i="7" s="1"/>
  <c r="SVN56" i="7" s="1"/>
  <c r="SVP56" i="7" s="1"/>
  <c r="SVR56" i="7" s="1"/>
  <c r="SVT56" i="7" s="1"/>
  <c r="SVV56" i="7" s="1"/>
  <c r="SVX56" i="7" s="1"/>
  <c r="SVZ56" i="7" s="1"/>
  <c r="SWB56" i="7" s="1"/>
  <c r="SWD56" i="7" s="1"/>
  <c r="SWF56" i="7" s="1"/>
  <c r="SWH56" i="7" s="1"/>
  <c r="SWJ56" i="7" s="1"/>
  <c r="SWL56" i="7" s="1"/>
  <c r="SWN56" i="7" s="1"/>
  <c r="SWP56" i="7" s="1"/>
  <c r="SWR56" i="7" s="1"/>
  <c r="SWT56" i="7" s="1"/>
  <c r="SWV56" i="7" s="1"/>
  <c r="SWX56" i="7" s="1"/>
  <c r="SWZ56" i="7" s="1"/>
  <c r="SXB56" i="7" s="1"/>
  <c r="SXD56" i="7" s="1"/>
  <c r="SXF56" i="7" s="1"/>
  <c r="SXH56" i="7" s="1"/>
  <c r="SXJ56" i="7" s="1"/>
  <c r="SXL56" i="7" s="1"/>
  <c r="SXN56" i="7" s="1"/>
  <c r="SXP56" i="7" s="1"/>
  <c r="SXR56" i="7" s="1"/>
  <c r="SXT56" i="7" s="1"/>
  <c r="SXV56" i="7" s="1"/>
  <c r="SXX56" i="7" s="1"/>
  <c r="SXZ56" i="7" s="1"/>
  <c r="SYB56" i="7" s="1"/>
  <c r="SYD56" i="7" s="1"/>
  <c r="SYF56" i="7" s="1"/>
  <c r="SYH56" i="7" s="1"/>
  <c r="SYJ56" i="7" s="1"/>
  <c r="SYL56" i="7" s="1"/>
  <c r="SYN56" i="7" s="1"/>
  <c r="SYP56" i="7" s="1"/>
  <c r="SYR56" i="7" s="1"/>
  <c r="SYT56" i="7" s="1"/>
  <c r="SYV56" i="7" s="1"/>
  <c r="SYX56" i="7" s="1"/>
  <c r="SYZ56" i="7" s="1"/>
  <c r="SZB56" i="7" s="1"/>
  <c r="SZD56" i="7" s="1"/>
  <c r="SZF56" i="7" s="1"/>
  <c r="SZH56" i="7" s="1"/>
  <c r="SZJ56" i="7" s="1"/>
  <c r="SZL56" i="7" s="1"/>
  <c r="SZN56" i="7" s="1"/>
  <c r="SZP56" i="7" s="1"/>
  <c r="SZR56" i="7" s="1"/>
  <c r="SZT56" i="7" s="1"/>
  <c r="SZV56" i="7" s="1"/>
  <c r="SZX56" i="7" s="1"/>
  <c r="SZZ56" i="7" s="1"/>
  <c r="TAB56" i="7" s="1"/>
  <c r="TAD56" i="7" s="1"/>
  <c r="TAF56" i="7" s="1"/>
  <c r="TAH56" i="7" s="1"/>
  <c r="TAJ56" i="7" s="1"/>
  <c r="TAL56" i="7" s="1"/>
  <c r="TAN56" i="7" s="1"/>
  <c r="TAP56" i="7" s="1"/>
  <c r="TAR56" i="7" s="1"/>
  <c r="TAT56" i="7" s="1"/>
  <c r="TAV56" i="7" s="1"/>
  <c r="TAX56" i="7" s="1"/>
  <c r="TAZ56" i="7" s="1"/>
  <c r="TBB56" i="7" s="1"/>
  <c r="TBD56" i="7" s="1"/>
  <c r="TBF56" i="7" s="1"/>
  <c r="TBH56" i="7" s="1"/>
  <c r="TBJ56" i="7" s="1"/>
  <c r="TBL56" i="7" s="1"/>
  <c r="TBN56" i="7" s="1"/>
  <c r="TBP56" i="7" s="1"/>
  <c r="TBR56" i="7" s="1"/>
  <c r="TBT56" i="7" s="1"/>
  <c r="TBV56" i="7" s="1"/>
  <c r="TBX56" i="7" s="1"/>
  <c r="TBZ56" i="7" s="1"/>
  <c r="TCB56" i="7" s="1"/>
  <c r="TCD56" i="7" s="1"/>
  <c r="TCF56" i="7" s="1"/>
  <c r="TCH56" i="7" s="1"/>
  <c r="TCJ56" i="7" s="1"/>
  <c r="TCL56" i="7" s="1"/>
  <c r="TCN56" i="7" s="1"/>
  <c r="TCP56" i="7" s="1"/>
  <c r="TCR56" i="7" s="1"/>
  <c r="TCT56" i="7" s="1"/>
  <c r="TCV56" i="7" s="1"/>
  <c r="TCX56" i="7" s="1"/>
  <c r="TCZ56" i="7" s="1"/>
  <c r="TDB56" i="7" s="1"/>
  <c r="TDD56" i="7" s="1"/>
  <c r="TDF56" i="7" s="1"/>
  <c r="TDH56" i="7" s="1"/>
  <c r="TDJ56" i="7" s="1"/>
  <c r="TDL56" i="7" s="1"/>
  <c r="TDN56" i="7" s="1"/>
  <c r="TDP56" i="7" s="1"/>
  <c r="TDR56" i="7" s="1"/>
  <c r="TDT56" i="7" s="1"/>
  <c r="TDV56" i="7" s="1"/>
  <c r="TDX56" i="7" s="1"/>
  <c r="TDZ56" i="7" s="1"/>
  <c r="TEB56" i="7" s="1"/>
  <c r="TED56" i="7" s="1"/>
  <c r="TEF56" i="7" s="1"/>
  <c r="TEH56" i="7" s="1"/>
  <c r="TEJ56" i="7" s="1"/>
  <c r="TEL56" i="7" s="1"/>
  <c r="TEN56" i="7" s="1"/>
  <c r="TEP56" i="7" s="1"/>
  <c r="TER56" i="7" s="1"/>
  <c r="TET56" i="7" s="1"/>
  <c r="TEV56" i="7" s="1"/>
  <c r="TEX56" i="7" s="1"/>
  <c r="TEZ56" i="7" s="1"/>
  <c r="TFB56" i="7" s="1"/>
  <c r="TFD56" i="7" s="1"/>
  <c r="TFF56" i="7" s="1"/>
  <c r="TFH56" i="7" s="1"/>
  <c r="TFJ56" i="7" s="1"/>
  <c r="TFL56" i="7" s="1"/>
  <c r="TFN56" i="7" s="1"/>
  <c r="TFP56" i="7" s="1"/>
  <c r="TFR56" i="7" s="1"/>
  <c r="TFT56" i="7" s="1"/>
  <c r="TFV56" i="7" s="1"/>
  <c r="TFX56" i="7" s="1"/>
  <c r="TFZ56" i="7" s="1"/>
  <c r="TGB56" i="7" s="1"/>
  <c r="TGD56" i="7" s="1"/>
  <c r="TGF56" i="7" s="1"/>
  <c r="TGH56" i="7" s="1"/>
  <c r="TGJ56" i="7" s="1"/>
  <c r="TGL56" i="7" s="1"/>
  <c r="TGN56" i="7" s="1"/>
  <c r="TGP56" i="7" s="1"/>
  <c r="TGR56" i="7" s="1"/>
  <c r="TGT56" i="7" s="1"/>
  <c r="TGV56" i="7" s="1"/>
  <c r="TGX56" i="7" s="1"/>
  <c r="TGZ56" i="7" s="1"/>
  <c r="THB56" i="7" s="1"/>
  <c r="THD56" i="7" s="1"/>
  <c r="THF56" i="7" s="1"/>
  <c r="THH56" i="7" s="1"/>
  <c r="THJ56" i="7" s="1"/>
  <c r="THL56" i="7" s="1"/>
  <c r="THN56" i="7" s="1"/>
  <c r="THP56" i="7" s="1"/>
  <c r="THR56" i="7" s="1"/>
  <c r="THT56" i="7" s="1"/>
  <c r="THV56" i="7" s="1"/>
  <c r="THX56" i="7" s="1"/>
  <c r="THZ56" i="7" s="1"/>
  <c r="TIB56" i="7" s="1"/>
  <c r="TID56" i="7" s="1"/>
  <c r="TIF56" i="7" s="1"/>
  <c r="TIH56" i="7" s="1"/>
  <c r="TIJ56" i="7" s="1"/>
  <c r="TIL56" i="7" s="1"/>
  <c r="TIN56" i="7" s="1"/>
  <c r="TIP56" i="7" s="1"/>
  <c r="TIR56" i="7" s="1"/>
  <c r="TIT56" i="7" s="1"/>
  <c r="TIV56" i="7" s="1"/>
  <c r="TIX56" i="7" s="1"/>
  <c r="TIZ56" i="7" s="1"/>
  <c r="TJB56" i="7" s="1"/>
  <c r="TJD56" i="7" s="1"/>
  <c r="TJF56" i="7" s="1"/>
  <c r="TJH56" i="7" s="1"/>
  <c r="TJJ56" i="7" s="1"/>
  <c r="TJL56" i="7" s="1"/>
  <c r="TJN56" i="7" s="1"/>
  <c r="TJP56" i="7" s="1"/>
  <c r="TJR56" i="7" s="1"/>
  <c r="TJT56" i="7" s="1"/>
  <c r="TJV56" i="7" s="1"/>
  <c r="TJX56" i="7" s="1"/>
  <c r="TJZ56" i="7" s="1"/>
  <c r="TKB56" i="7" s="1"/>
  <c r="TKD56" i="7" s="1"/>
  <c r="TKF56" i="7" s="1"/>
  <c r="TKH56" i="7" s="1"/>
  <c r="TKJ56" i="7" s="1"/>
  <c r="TKL56" i="7" s="1"/>
  <c r="TKN56" i="7" s="1"/>
  <c r="TKP56" i="7" s="1"/>
  <c r="TKR56" i="7" s="1"/>
  <c r="TKT56" i="7" s="1"/>
  <c r="TKV56" i="7" s="1"/>
  <c r="TKX56" i="7" s="1"/>
  <c r="TKZ56" i="7" s="1"/>
  <c r="TLB56" i="7" s="1"/>
  <c r="TLD56" i="7" s="1"/>
  <c r="TLF56" i="7" s="1"/>
  <c r="TLH56" i="7" s="1"/>
  <c r="TLJ56" i="7" s="1"/>
  <c r="TLL56" i="7" s="1"/>
  <c r="TLN56" i="7" s="1"/>
  <c r="TLP56" i="7" s="1"/>
  <c r="TLR56" i="7" s="1"/>
  <c r="TLT56" i="7" s="1"/>
  <c r="TLV56" i="7" s="1"/>
  <c r="TLX56" i="7" s="1"/>
  <c r="TLZ56" i="7" s="1"/>
  <c r="TMB56" i="7" s="1"/>
  <c r="TMD56" i="7" s="1"/>
  <c r="TMF56" i="7" s="1"/>
  <c r="TMH56" i="7" s="1"/>
  <c r="TMJ56" i="7" s="1"/>
  <c r="TML56" i="7" s="1"/>
  <c r="TMN56" i="7" s="1"/>
  <c r="TMP56" i="7" s="1"/>
  <c r="TMR56" i="7" s="1"/>
  <c r="TMT56" i="7" s="1"/>
  <c r="TMV56" i="7" s="1"/>
  <c r="TMX56" i="7" s="1"/>
  <c r="TMZ56" i="7" s="1"/>
  <c r="TNB56" i="7" s="1"/>
  <c r="TND56" i="7" s="1"/>
  <c r="TNF56" i="7" s="1"/>
  <c r="TNH56" i="7" s="1"/>
  <c r="TNJ56" i="7" s="1"/>
  <c r="TNL56" i="7" s="1"/>
  <c r="TNN56" i="7" s="1"/>
  <c r="TNP56" i="7" s="1"/>
  <c r="TNR56" i="7" s="1"/>
  <c r="TNT56" i="7" s="1"/>
  <c r="TNV56" i="7" s="1"/>
  <c r="TNX56" i="7" s="1"/>
  <c r="TNZ56" i="7" s="1"/>
  <c r="TOB56" i="7" s="1"/>
  <c r="TOD56" i="7" s="1"/>
  <c r="TOF56" i="7" s="1"/>
  <c r="TOH56" i="7" s="1"/>
  <c r="TOJ56" i="7" s="1"/>
  <c r="TOL56" i="7" s="1"/>
  <c r="TON56" i="7" s="1"/>
  <c r="TOP56" i="7" s="1"/>
  <c r="TOR56" i="7" s="1"/>
  <c r="TOT56" i="7" s="1"/>
  <c r="TOV56" i="7" s="1"/>
  <c r="TOX56" i="7" s="1"/>
  <c r="TOZ56" i="7" s="1"/>
  <c r="TPB56" i="7" s="1"/>
  <c r="TPD56" i="7" s="1"/>
  <c r="TPF56" i="7" s="1"/>
  <c r="TPH56" i="7" s="1"/>
  <c r="TPJ56" i="7" s="1"/>
  <c r="TPL56" i="7" s="1"/>
  <c r="TPN56" i="7" s="1"/>
  <c r="TPP56" i="7" s="1"/>
  <c r="TPR56" i="7" s="1"/>
  <c r="TPT56" i="7" s="1"/>
  <c r="TPV56" i="7" s="1"/>
  <c r="TPX56" i="7" s="1"/>
  <c r="TPZ56" i="7" s="1"/>
  <c r="TQB56" i="7" s="1"/>
  <c r="TQD56" i="7" s="1"/>
  <c r="TQF56" i="7" s="1"/>
  <c r="TQH56" i="7" s="1"/>
  <c r="TQJ56" i="7" s="1"/>
  <c r="TQL56" i="7" s="1"/>
  <c r="TQN56" i="7" s="1"/>
  <c r="TQP56" i="7" s="1"/>
  <c r="TQR56" i="7" s="1"/>
  <c r="TQT56" i="7" s="1"/>
  <c r="TQV56" i="7" s="1"/>
  <c r="TQX56" i="7" s="1"/>
  <c r="TQZ56" i="7" s="1"/>
  <c r="TRB56" i="7" s="1"/>
  <c r="TRD56" i="7" s="1"/>
  <c r="TRF56" i="7" s="1"/>
  <c r="TRH56" i="7" s="1"/>
  <c r="TRJ56" i="7" s="1"/>
  <c r="TRL56" i="7" s="1"/>
  <c r="TRN56" i="7" s="1"/>
  <c r="TRP56" i="7" s="1"/>
  <c r="TRR56" i="7" s="1"/>
  <c r="TRT56" i="7" s="1"/>
  <c r="TRV56" i="7" s="1"/>
  <c r="TRX56" i="7" s="1"/>
  <c r="TRZ56" i="7" s="1"/>
  <c r="TSB56" i="7" s="1"/>
  <c r="TSD56" i="7" s="1"/>
  <c r="TSF56" i="7" s="1"/>
  <c r="TSH56" i="7" s="1"/>
  <c r="TSJ56" i="7" s="1"/>
  <c r="TSL56" i="7" s="1"/>
  <c r="TSN56" i="7" s="1"/>
  <c r="TSP56" i="7" s="1"/>
  <c r="TSR56" i="7" s="1"/>
  <c r="TST56" i="7" s="1"/>
  <c r="TSV56" i="7" s="1"/>
  <c r="TSX56" i="7" s="1"/>
  <c r="TSZ56" i="7" s="1"/>
  <c r="TTB56" i="7" s="1"/>
  <c r="TTD56" i="7" s="1"/>
  <c r="TTF56" i="7" s="1"/>
  <c r="TTH56" i="7" s="1"/>
  <c r="TTJ56" i="7" s="1"/>
  <c r="TTL56" i="7" s="1"/>
  <c r="TTN56" i="7" s="1"/>
  <c r="TTP56" i="7" s="1"/>
  <c r="TTR56" i="7" s="1"/>
  <c r="TTT56" i="7" s="1"/>
  <c r="TTV56" i="7" s="1"/>
  <c r="TTX56" i="7" s="1"/>
  <c r="TTZ56" i="7" s="1"/>
  <c r="TUB56" i="7" s="1"/>
  <c r="TUD56" i="7" s="1"/>
  <c r="TUF56" i="7" s="1"/>
  <c r="TUH56" i="7" s="1"/>
  <c r="TUJ56" i="7" s="1"/>
  <c r="TUL56" i="7" s="1"/>
  <c r="TUN56" i="7" s="1"/>
  <c r="TUP56" i="7" s="1"/>
  <c r="TUR56" i="7" s="1"/>
  <c r="TUT56" i="7" s="1"/>
  <c r="TUV56" i="7" s="1"/>
  <c r="TUX56" i="7" s="1"/>
  <c r="TUZ56" i="7" s="1"/>
  <c r="TVB56" i="7" s="1"/>
  <c r="TVD56" i="7" s="1"/>
  <c r="TVF56" i="7" s="1"/>
  <c r="TVH56" i="7" s="1"/>
  <c r="TVJ56" i="7" s="1"/>
  <c r="TVL56" i="7" s="1"/>
  <c r="TVN56" i="7" s="1"/>
  <c r="TVP56" i="7" s="1"/>
  <c r="TVR56" i="7" s="1"/>
  <c r="TVT56" i="7" s="1"/>
  <c r="TVV56" i="7" s="1"/>
  <c r="TVX56" i="7" s="1"/>
  <c r="TVZ56" i="7" s="1"/>
  <c r="TWB56" i="7" s="1"/>
  <c r="TWD56" i="7" s="1"/>
  <c r="TWF56" i="7" s="1"/>
  <c r="TWH56" i="7" s="1"/>
  <c r="TWJ56" i="7" s="1"/>
  <c r="TWL56" i="7" s="1"/>
  <c r="TWN56" i="7" s="1"/>
  <c r="TWP56" i="7" s="1"/>
  <c r="TWR56" i="7" s="1"/>
  <c r="TWT56" i="7" s="1"/>
  <c r="TWV56" i="7" s="1"/>
  <c r="TWX56" i="7" s="1"/>
  <c r="TWZ56" i="7" s="1"/>
  <c r="TXB56" i="7" s="1"/>
  <c r="TXD56" i="7" s="1"/>
  <c r="TXF56" i="7" s="1"/>
  <c r="TXH56" i="7" s="1"/>
  <c r="TXJ56" i="7" s="1"/>
  <c r="TXL56" i="7" s="1"/>
  <c r="TXN56" i="7" s="1"/>
  <c r="TXP56" i="7" s="1"/>
  <c r="TXR56" i="7" s="1"/>
  <c r="TXT56" i="7" s="1"/>
  <c r="TXV56" i="7" s="1"/>
  <c r="TXX56" i="7" s="1"/>
  <c r="TXZ56" i="7" s="1"/>
  <c r="TYB56" i="7" s="1"/>
  <c r="TYD56" i="7" s="1"/>
  <c r="TYF56" i="7" s="1"/>
  <c r="TYH56" i="7" s="1"/>
  <c r="TYJ56" i="7" s="1"/>
  <c r="TYL56" i="7" s="1"/>
  <c r="TYN56" i="7" s="1"/>
  <c r="TYP56" i="7" s="1"/>
  <c r="TYR56" i="7" s="1"/>
  <c r="TYT56" i="7" s="1"/>
  <c r="TYV56" i="7" s="1"/>
  <c r="TYX56" i="7" s="1"/>
  <c r="TYZ56" i="7" s="1"/>
  <c r="TZB56" i="7" s="1"/>
  <c r="TZD56" i="7" s="1"/>
  <c r="TZF56" i="7" s="1"/>
  <c r="TZH56" i="7" s="1"/>
  <c r="TZJ56" i="7" s="1"/>
  <c r="TZL56" i="7" s="1"/>
  <c r="TZN56" i="7" s="1"/>
  <c r="TZP56" i="7" s="1"/>
  <c r="TZR56" i="7" s="1"/>
  <c r="TZT56" i="7" s="1"/>
  <c r="TZV56" i="7" s="1"/>
  <c r="TZX56" i="7" s="1"/>
  <c r="TZZ56" i="7" s="1"/>
  <c r="UAB56" i="7" s="1"/>
  <c r="UAD56" i="7" s="1"/>
  <c r="UAF56" i="7" s="1"/>
  <c r="UAH56" i="7" s="1"/>
  <c r="UAJ56" i="7" s="1"/>
  <c r="UAL56" i="7" s="1"/>
  <c r="UAN56" i="7" s="1"/>
  <c r="UAP56" i="7" s="1"/>
  <c r="UAR56" i="7" s="1"/>
  <c r="UAT56" i="7" s="1"/>
  <c r="UAV56" i="7" s="1"/>
  <c r="UAX56" i="7" s="1"/>
  <c r="UAZ56" i="7" s="1"/>
  <c r="UBB56" i="7" s="1"/>
  <c r="UBD56" i="7" s="1"/>
  <c r="UBF56" i="7" s="1"/>
  <c r="UBH56" i="7" s="1"/>
  <c r="UBJ56" i="7" s="1"/>
  <c r="UBL56" i="7" s="1"/>
  <c r="UBN56" i="7" s="1"/>
  <c r="UBP56" i="7" s="1"/>
  <c r="UBR56" i="7" s="1"/>
  <c r="UBT56" i="7" s="1"/>
  <c r="UBV56" i="7" s="1"/>
  <c r="UBX56" i="7" s="1"/>
  <c r="UBZ56" i="7" s="1"/>
  <c r="UCB56" i="7" s="1"/>
  <c r="UCD56" i="7" s="1"/>
  <c r="UCF56" i="7" s="1"/>
  <c r="UCH56" i="7" s="1"/>
  <c r="UCJ56" i="7" s="1"/>
  <c r="UCL56" i="7" s="1"/>
  <c r="UCN56" i="7" s="1"/>
  <c r="UCP56" i="7" s="1"/>
  <c r="UCR56" i="7" s="1"/>
  <c r="UCT56" i="7" s="1"/>
  <c r="UCV56" i="7" s="1"/>
  <c r="UCX56" i="7" s="1"/>
  <c r="UCZ56" i="7" s="1"/>
  <c r="UDB56" i="7" s="1"/>
  <c r="UDD56" i="7" s="1"/>
  <c r="UDF56" i="7" s="1"/>
  <c r="UDH56" i="7" s="1"/>
  <c r="UDJ56" i="7" s="1"/>
  <c r="UDL56" i="7" s="1"/>
  <c r="UDN56" i="7" s="1"/>
  <c r="UDP56" i="7" s="1"/>
  <c r="UDR56" i="7" s="1"/>
  <c r="UDT56" i="7" s="1"/>
  <c r="UDV56" i="7" s="1"/>
  <c r="UDX56" i="7" s="1"/>
  <c r="UDZ56" i="7" s="1"/>
  <c r="UEB56" i="7" s="1"/>
  <c r="UED56" i="7" s="1"/>
  <c r="UEF56" i="7" s="1"/>
  <c r="UEH56" i="7" s="1"/>
  <c r="UEJ56" i="7" s="1"/>
  <c r="UEL56" i="7" s="1"/>
  <c r="UEN56" i="7" s="1"/>
  <c r="UEP56" i="7" s="1"/>
  <c r="UER56" i="7" s="1"/>
  <c r="UET56" i="7" s="1"/>
  <c r="UEV56" i="7" s="1"/>
  <c r="UEX56" i="7" s="1"/>
  <c r="UEZ56" i="7" s="1"/>
  <c r="UFB56" i="7" s="1"/>
  <c r="UFD56" i="7" s="1"/>
  <c r="UFF56" i="7" s="1"/>
  <c r="UFH56" i="7" s="1"/>
  <c r="UFJ56" i="7" s="1"/>
  <c r="UFL56" i="7" s="1"/>
  <c r="UFN56" i="7" s="1"/>
  <c r="UFP56" i="7" s="1"/>
  <c r="UFR56" i="7" s="1"/>
  <c r="UFT56" i="7" s="1"/>
  <c r="UFV56" i="7" s="1"/>
  <c r="UFX56" i="7" s="1"/>
  <c r="UFZ56" i="7" s="1"/>
  <c r="UGB56" i="7" s="1"/>
  <c r="UGD56" i="7" s="1"/>
  <c r="UGF56" i="7" s="1"/>
  <c r="UGH56" i="7" s="1"/>
  <c r="UGJ56" i="7" s="1"/>
  <c r="UGL56" i="7" s="1"/>
  <c r="UGN56" i="7" s="1"/>
  <c r="UGP56" i="7" s="1"/>
  <c r="UGR56" i="7" s="1"/>
  <c r="UGT56" i="7" s="1"/>
  <c r="UGV56" i="7" s="1"/>
  <c r="UGX56" i="7" s="1"/>
  <c r="UGZ56" i="7" s="1"/>
  <c r="UHB56" i="7" s="1"/>
  <c r="UHD56" i="7" s="1"/>
  <c r="UHF56" i="7" s="1"/>
  <c r="UHH56" i="7" s="1"/>
  <c r="UHJ56" i="7" s="1"/>
  <c r="UHL56" i="7" s="1"/>
  <c r="UHN56" i="7" s="1"/>
  <c r="UHP56" i="7" s="1"/>
  <c r="UHR56" i="7" s="1"/>
  <c r="UHT56" i="7" s="1"/>
  <c r="UHV56" i="7" s="1"/>
  <c r="UHX56" i="7" s="1"/>
  <c r="UHZ56" i="7" s="1"/>
  <c r="UIB56" i="7" s="1"/>
  <c r="UID56" i="7" s="1"/>
  <c r="UIF56" i="7" s="1"/>
  <c r="UIH56" i="7" s="1"/>
  <c r="UIJ56" i="7" s="1"/>
  <c r="UIL56" i="7" s="1"/>
  <c r="UIN56" i="7" s="1"/>
  <c r="UIP56" i="7" s="1"/>
  <c r="UIR56" i="7" s="1"/>
  <c r="UIT56" i="7" s="1"/>
  <c r="UIV56" i="7" s="1"/>
  <c r="UIX56" i="7" s="1"/>
  <c r="UIZ56" i="7" s="1"/>
  <c r="UJB56" i="7" s="1"/>
  <c r="UJD56" i="7" s="1"/>
  <c r="UJF56" i="7" s="1"/>
  <c r="UJH56" i="7" s="1"/>
  <c r="UJJ56" i="7" s="1"/>
  <c r="UJL56" i="7" s="1"/>
  <c r="UJN56" i="7" s="1"/>
  <c r="UJP56" i="7" s="1"/>
  <c r="UJR56" i="7" s="1"/>
  <c r="UJT56" i="7" s="1"/>
  <c r="UJV56" i="7" s="1"/>
  <c r="UJX56" i="7" s="1"/>
  <c r="UJZ56" i="7" s="1"/>
  <c r="UKB56" i="7" s="1"/>
  <c r="UKD56" i="7" s="1"/>
  <c r="UKF56" i="7" s="1"/>
  <c r="UKH56" i="7" s="1"/>
  <c r="UKJ56" i="7" s="1"/>
  <c r="UKL56" i="7" s="1"/>
  <c r="UKN56" i="7" s="1"/>
  <c r="UKP56" i="7" s="1"/>
  <c r="UKR56" i="7" s="1"/>
  <c r="UKT56" i="7" s="1"/>
  <c r="UKV56" i="7" s="1"/>
  <c r="UKX56" i="7" s="1"/>
  <c r="UKZ56" i="7" s="1"/>
  <c r="ULB56" i="7" s="1"/>
  <c r="ULD56" i="7" s="1"/>
  <c r="ULF56" i="7" s="1"/>
  <c r="ULH56" i="7" s="1"/>
  <c r="ULJ56" i="7" s="1"/>
  <c r="ULL56" i="7" s="1"/>
  <c r="ULN56" i="7" s="1"/>
  <c r="ULP56" i="7" s="1"/>
  <c r="ULR56" i="7" s="1"/>
  <c r="ULT56" i="7" s="1"/>
  <c r="ULV56" i="7" s="1"/>
  <c r="ULX56" i="7" s="1"/>
  <c r="ULZ56" i="7" s="1"/>
  <c r="UMB56" i="7" s="1"/>
  <c r="UMD56" i="7" s="1"/>
  <c r="UMF56" i="7" s="1"/>
  <c r="UMH56" i="7" s="1"/>
  <c r="UMJ56" i="7" s="1"/>
  <c r="UML56" i="7" s="1"/>
  <c r="UMN56" i="7" s="1"/>
  <c r="UMP56" i="7" s="1"/>
  <c r="UMR56" i="7" s="1"/>
  <c r="UMT56" i="7" s="1"/>
  <c r="UMV56" i="7" s="1"/>
  <c r="UMX56" i="7" s="1"/>
  <c r="UMZ56" i="7" s="1"/>
  <c r="UNB56" i="7" s="1"/>
  <c r="UND56" i="7" s="1"/>
  <c r="UNF56" i="7" s="1"/>
  <c r="UNH56" i="7" s="1"/>
  <c r="UNJ56" i="7" s="1"/>
  <c r="UNL56" i="7" s="1"/>
  <c r="UNN56" i="7" s="1"/>
  <c r="UNP56" i="7" s="1"/>
  <c r="UNR56" i="7" s="1"/>
  <c r="UNT56" i="7" s="1"/>
  <c r="UNV56" i="7" s="1"/>
  <c r="UNX56" i="7" s="1"/>
  <c r="UNZ56" i="7" s="1"/>
  <c r="UOB56" i="7" s="1"/>
  <c r="UOD56" i="7" s="1"/>
  <c r="UOF56" i="7" s="1"/>
  <c r="UOH56" i="7" s="1"/>
  <c r="UOJ56" i="7" s="1"/>
  <c r="UOL56" i="7" s="1"/>
  <c r="UON56" i="7" s="1"/>
  <c r="UOP56" i="7" s="1"/>
  <c r="UOR56" i="7" s="1"/>
  <c r="UOT56" i="7" s="1"/>
  <c r="UOV56" i="7" s="1"/>
  <c r="UOX56" i="7" s="1"/>
  <c r="UOZ56" i="7" s="1"/>
  <c r="UPB56" i="7" s="1"/>
  <c r="UPD56" i="7" s="1"/>
  <c r="UPF56" i="7" s="1"/>
  <c r="UPH56" i="7" s="1"/>
  <c r="UPJ56" i="7" s="1"/>
  <c r="UPL56" i="7" s="1"/>
  <c r="UPN56" i="7" s="1"/>
  <c r="UPP56" i="7" s="1"/>
  <c r="UPR56" i="7" s="1"/>
  <c r="UPT56" i="7" s="1"/>
  <c r="UPV56" i="7" s="1"/>
  <c r="UPX56" i="7" s="1"/>
  <c r="UPZ56" i="7" s="1"/>
  <c r="UQB56" i="7" s="1"/>
  <c r="UQD56" i="7" s="1"/>
  <c r="UQF56" i="7" s="1"/>
  <c r="UQH56" i="7" s="1"/>
  <c r="UQJ56" i="7" s="1"/>
  <c r="UQL56" i="7" s="1"/>
  <c r="UQN56" i="7" s="1"/>
  <c r="UQP56" i="7" s="1"/>
  <c r="UQR56" i="7" s="1"/>
  <c r="UQT56" i="7" s="1"/>
  <c r="UQV56" i="7" s="1"/>
  <c r="UQX56" i="7" s="1"/>
  <c r="UQZ56" i="7" s="1"/>
  <c r="URB56" i="7" s="1"/>
  <c r="URD56" i="7" s="1"/>
  <c r="URF56" i="7" s="1"/>
  <c r="URH56" i="7" s="1"/>
  <c r="URJ56" i="7" s="1"/>
  <c r="URL56" i="7" s="1"/>
  <c r="URN56" i="7" s="1"/>
  <c r="URP56" i="7" s="1"/>
  <c r="URR56" i="7" s="1"/>
  <c r="URT56" i="7" s="1"/>
  <c r="URV56" i="7" s="1"/>
  <c r="URX56" i="7" s="1"/>
  <c r="URZ56" i="7" s="1"/>
  <c r="USB56" i="7" s="1"/>
  <c r="USD56" i="7" s="1"/>
  <c r="USF56" i="7" s="1"/>
  <c r="USH56" i="7" s="1"/>
  <c r="USJ56" i="7" s="1"/>
  <c r="USL56" i="7" s="1"/>
  <c r="USN56" i="7" s="1"/>
  <c r="USP56" i="7" s="1"/>
  <c r="USR56" i="7" s="1"/>
  <c r="UST56" i="7" s="1"/>
  <c r="USV56" i="7" s="1"/>
  <c r="USX56" i="7" s="1"/>
  <c r="USZ56" i="7" s="1"/>
  <c r="UTB56" i="7" s="1"/>
  <c r="UTD56" i="7" s="1"/>
  <c r="UTF56" i="7" s="1"/>
  <c r="UTH56" i="7" s="1"/>
  <c r="UTJ56" i="7" s="1"/>
  <c r="UTL56" i="7" s="1"/>
  <c r="UTN56" i="7" s="1"/>
  <c r="UTP56" i="7" s="1"/>
  <c r="UTR56" i="7" s="1"/>
  <c r="UTT56" i="7" s="1"/>
  <c r="UTV56" i="7" s="1"/>
  <c r="UTX56" i="7" s="1"/>
  <c r="UTZ56" i="7" s="1"/>
  <c r="UUB56" i="7" s="1"/>
  <c r="UUD56" i="7" s="1"/>
  <c r="UUF56" i="7" s="1"/>
  <c r="UUH56" i="7" s="1"/>
  <c r="UUJ56" i="7" s="1"/>
  <c r="UUL56" i="7" s="1"/>
  <c r="UUN56" i="7" s="1"/>
  <c r="UUP56" i="7" s="1"/>
  <c r="UUR56" i="7" s="1"/>
  <c r="UUT56" i="7" s="1"/>
  <c r="UUV56" i="7" s="1"/>
  <c r="UUX56" i="7" s="1"/>
  <c r="UUZ56" i="7" s="1"/>
  <c r="UVB56" i="7" s="1"/>
  <c r="UVD56" i="7" s="1"/>
  <c r="UVF56" i="7" s="1"/>
  <c r="UVH56" i="7" s="1"/>
  <c r="UVJ56" i="7" s="1"/>
  <c r="UVL56" i="7" s="1"/>
  <c r="UVN56" i="7" s="1"/>
  <c r="UVP56" i="7" s="1"/>
  <c r="UVR56" i="7" s="1"/>
  <c r="UVT56" i="7" s="1"/>
  <c r="UVV56" i="7" s="1"/>
  <c r="UVX56" i="7" s="1"/>
  <c r="UVZ56" i="7" s="1"/>
  <c r="UWB56" i="7" s="1"/>
  <c r="UWD56" i="7" s="1"/>
  <c r="UWF56" i="7" s="1"/>
  <c r="UWH56" i="7" s="1"/>
  <c r="UWJ56" i="7" s="1"/>
  <c r="UWL56" i="7" s="1"/>
  <c r="UWN56" i="7" s="1"/>
  <c r="UWP56" i="7" s="1"/>
  <c r="UWR56" i="7" s="1"/>
  <c r="UWT56" i="7" s="1"/>
  <c r="UWV56" i="7" s="1"/>
  <c r="UWX56" i="7" s="1"/>
  <c r="UWZ56" i="7" s="1"/>
  <c r="UXB56" i="7" s="1"/>
  <c r="UXD56" i="7" s="1"/>
  <c r="UXF56" i="7" s="1"/>
  <c r="UXH56" i="7" s="1"/>
  <c r="UXJ56" i="7" s="1"/>
  <c r="UXL56" i="7" s="1"/>
  <c r="UXN56" i="7" s="1"/>
  <c r="UXP56" i="7" s="1"/>
  <c r="UXR56" i="7" s="1"/>
  <c r="UXT56" i="7" s="1"/>
  <c r="UXV56" i="7" s="1"/>
  <c r="UXX56" i="7" s="1"/>
  <c r="UXZ56" i="7" s="1"/>
  <c r="UYB56" i="7" s="1"/>
  <c r="UYD56" i="7" s="1"/>
  <c r="UYF56" i="7" s="1"/>
  <c r="UYH56" i="7" s="1"/>
  <c r="UYJ56" i="7" s="1"/>
  <c r="UYL56" i="7" s="1"/>
  <c r="UYN56" i="7" s="1"/>
  <c r="UYP56" i="7" s="1"/>
  <c r="UYR56" i="7" s="1"/>
  <c r="UYT56" i="7" s="1"/>
  <c r="UYV56" i="7" s="1"/>
  <c r="UYX56" i="7" s="1"/>
  <c r="UYZ56" i="7" s="1"/>
  <c r="UZB56" i="7" s="1"/>
  <c r="UZD56" i="7" s="1"/>
  <c r="UZF56" i="7" s="1"/>
  <c r="UZH56" i="7" s="1"/>
  <c r="UZJ56" i="7" s="1"/>
  <c r="UZL56" i="7" s="1"/>
  <c r="UZN56" i="7" s="1"/>
  <c r="UZP56" i="7" s="1"/>
  <c r="UZR56" i="7" s="1"/>
  <c r="UZT56" i="7" s="1"/>
  <c r="UZV56" i="7" s="1"/>
  <c r="UZX56" i="7" s="1"/>
  <c r="UZZ56" i="7" s="1"/>
  <c r="VAB56" i="7" s="1"/>
  <c r="VAD56" i="7" s="1"/>
  <c r="VAF56" i="7" s="1"/>
  <c r="VAH56" i="7" s="1"/>
  <c r="VAJ56" i="7" s="1"/>
  <c r="VAL56" i="7" s="1"/>
  <c r="VAN56" i="7" s="1"/>
  <c r="VAP56" i="7" s="1"/>
  <c r="VAR56" i="7" s="1"/>
  <c r="VAT56" i="7" s="1"/>
  <c r="VAV56" i="7" s="1"/>
  <c r="VAX56" i="7" s="1"/>
  <c r="VAZ56" i="7" s="1"/>
  <c r="VBB56" i="7" s="1"/>
  <c r="VBD56" i="7" s="1"/>
  <c r="VBF56" i="7" s="1"/>
  <c r="VBH56" i="7" s="1"/>
  <c r="VBJ56" i="7" s="1"/>
  <c r="VBL56" i="7" s="1"/>
  <c r="VBN56" i="7" s="1"/>
  <c r="VBP56" i="7" s="1"/>
  <c r="VBR56" i="7" s="1"/>
  <c r="VBT56" i="7" s="1"/>
  <c r="VBV56" i="7" s="1"/>
  <c r="VBX56" i="7" s="1"/>
  <c r="VBZ56" i="7" s="1"/>
  <c r="VCB56" i="7" s="1"/>
  <c r="VCD56" i="7" s="1"/>
  <c r="VCF56" i="7" s="1"/>
  <c r="VCH56" i="7" s="1"/>
  <c r="VCJ56" i="7" s="1"/>
  <c r="VCL56" i="7" s="1"/>
  <c r="VCN56" i="7" s="1"/>
  <c r="VCP56" i="7" s="1"/>
  <c r="VCR56" i="7" s="1"/>
  <c r="VCT56" i="7" s="1"/>
  <c r="VCV56" i="7" s="1"/>
  <c r="VCX56" i="7" s="1"/>
  <c r="VCZ56" i="7" s="1"/>
  <c r="VDB56" i="7" s="1"/>
  <c r="VDD56" i="7" s="1"/>
  <c r="VDF56" i="7" s="1"/>
  <c r="VDH56" i="7" s="1"/>
  <c r="VDJ56" i="7" s="1"/>
  <c r="VDL56" i="7" s="1"/>
  <c r="VDN56" i="7" s="1"/>
  <c r="VDP56" i="7" s="1"/>
  <c r="VDR56" i="7" s="1"/>
  <c r="VDT56" i="7" s="1"/>
  <c r="VDV56" i="7" s="1"/>
  <c r="VDX56" i="7" s="1"/>
  <c r="VDZ56" i="7" s="1"/>
  <c r="VEB56" i="7" s="1"/>
  <c r="VED56" i="7" s="1"/>
  <c r="VEF56" i="7" s="1"/>
  <c r="VEH56" i="7" s="1"/>
  <c r="VEJ56" i="7" s="1"/>
  <c r="VEL56" i="7" s="1"/>
  <c r="VEN56" i="7" s="1"/>
  <c r="VEP56" i="7" s="1"/>
  <c r="VER56" i="7" s="1"/>
  <c r="VET56" i="7" s="1"/>
  <c r="VEV56" i="7" s="1"/>
  <c r="VEX56" i="7" s="1"/>
  <c r="VEZ56" i="7" s="1"/>
  <c r="VFB56" i="7" s="1"/>
  <c r="VFD56" i="7" s="1"/>
  <c r="VFF56" i="7" s="1"/>
  <c r="VFH56" i="7" s="1"/>
  <c r="VFJ56" i="7" s="1"/>
  <c r="VFL56" i="7" s="1"/>
  <c r="VFN56" i="7" s="1"/>
  <c r="VFP56" i="7" s="1"/>
  <c r="VFR56" i="7" s="1"/>
  <c r="VFT56" i="7" s="1"/>
  <c r="VFV56" i="7" s="1"/>
  <c r="VFX56" i="7" s="1"/>
  <c r="VFZ56" i="7" s="1"/>
  <c r="VGB56" i="7" s="1"/>
  <c r="VGD56" i="7" s="1"/>
  <c r="VGF56" i="7" s="1"/>
  <c r="VGH56" i="7" s="1"/>
  <c r="VGJ56" i="7" s="1"/>
  <c r="VGL56" i="7" s="1"/>
  <c r="VGN56" i="7" s="1"/>
  <c r="VGP56" i="7" s="1"/>
  <c r="VGR56" i="7" s="1"/>
  <c r="VGT56" i="7" s="1"/>
  <c r="VGV56" i="7" s="1"/>
  <c r="VGX56" i="7" s="1"/>
  <c r="VGZ56" i="7" s="1"/>
  <c r="VHB56" i="7" s="1"/>
  <c r="VHD56" i="7" s="1"/>
  <c r="VHF56" i="7" s="1"/>
  <c r="VHH56" i="7" s="1"/>
  <c r="VHJ56" i="7" s="1"/>
  <c r="VHL56" i="7" s="1"/>
  <c r="VHN56" i="7" s="1"/>
  <c r="VHP56" i="7" s="1"/>
  <c r="VHR56" i="7" s="1"/>
  <c r="VHT56" i="7" s="1"/>
  <c r="VHV56" i="7" s="1"/>
  <c r="VHX56" i="7" s="1"/>
  <c r="VHZ56" i="7" s="1"/>
  <c r="VIB56" i="7" s="1"/>
  <c r="VID56" i="7" s="1"/>
  <c r="VIF56" i="7" s="1"/>
  <c r="VIH56" i="7" s="1"/>
  <c r="VIJ56" i="7" s="1"/>
  <c r="VIL56" i="7" s="1"/>
  <c r="VIN56" i="7" s="1"/>
  <c r="VIP56" i="7" s="1"/>
  <c r="VIR56" i="7" s="1"/>
  <c r="VIT56" i="7" s="1"/>
  <c r="VIV56" i="7" s="1"/>
  <c r="VIX56" i="7" s="1"/>
  <c r="VIZ56" i="7" s="1"/>
  <c r="VJB56" i="7" s="1"/>
  <c r="VJD56" i="7" s="1"/>
  <c r="VJF56" i="7" s="1"/>
  <c r="VJH56" i="7" s="1"/>
  <c r="VJJ56" i="7" s="1"/>
  <c r="VJL56" i="7" s="1"/>
  <c r="VJN56" i="7" s="1"/>
  <c r="VJP56" i="7" s="1"/>
  <c r="VJR56" i="7" s="1"/>
  <c r="VJT56" i="7" s="1"/>
  <c r="VJV56" i="7" s="1"/>
  <c r="VJX56" i="7" s="1"/>
  <c r="VJZ56" i="7" s="1"/>
  <c r="VKB56" i="7" s="1"/>
  <c r="VKD56" i="7" s="1"/>
  <c r="VKF56" i="7" s="1"/>
  <c r="VKH56" i="7" s="1"/>
  <c r="VKJ56" i="7" s="1"/>
  <c r="VKL56" i="7" s="1"/>
  <c r="VKN56" i="7" s="1"/>
  <c r="VKP56" i="7" s="1"/>
  <c r="VKR56" i="7" s="1"/>
  <c r="VKT56" i="7" s="1"/>
  <c r="VKV56" i="7" s="1"/>
  <c r="VKX56" i="7" s="1"/>
  <c r="VKZ56" i="7" s="1"/>
  <c r="VLB56" i="7" s="1"/>
  <c r="VLD56" i="7" s="1"/>
  <c r="VLF56" i="7" s="1"/>
  <c r="VLH56" i="7" s="1"/>
  <c r="VLJ56" i="7" s="1"/>
  <c r="VLL56" i="7" s="1"/>
  <c r="VLN56" i="7" s="1"/>
  <c r="VLP56" i="7" s="1"/>
  <c r="VLR56" i="7" s="1"/>
  <c r="VLT56" i="7" s="1"/>
  <c r="VLV56" i="7" s="1"/>
  <c r="VLX56" i="7" s="1"/>
  <c r="VLZ56" i="7" s="1"/>
  <c r="VMB56" i="7" s="1"/>
  <c r="VMD56" i="7" s="1"/>
  <c r="VMF56" i="7" s="1"/>
  <c r="VMH56" i="7" s="1"/>
  <c r="VMJ56" i="7" s="1"/>
  <c r="VML56" i="7" s="1"/>
  <c r="VMN56" i="7" s="1"/>
  <c r="VMP56" i="7" s="1"/>
  <c r="VMR56" i="7" s="1"/>
  <c r="VMT56" i="7" s="1"/>
  <c r="VMV56" i="7" s="1"/>
  <c r="VMX56" i="7" s="1"/>
  <c r="VMZ56" i="7" s="1"/>
  <c r="VNB56" i="7" s="1"/>
  <c r="VND56" i="7" s="1"/>
  <c r="VNF56" i="7" s="1"/>
  <c r="VNH56" i="7" s="1"/>
  <c r="VNJ56" i="7" s="1"/>
  <c r="VNL56" i="7" s="1"/>
  <c r="VNN56" i="7" s="1"/>
  <c r="VNP56" i="7" s="1"/>
  <c r="VNR56" i="7" s="1"/>
  <c r="VNT56" i="7" s="1"/>
  <c r="VNV56" i="7" s="1"/>
  <c r="VNX56" i="7" s="1"/>
  <c r="VNZ56" i="7" s="1"/>
  <c r="VOB56" i="7" s="1"/>
  <c r="VOD56" i="7" s="1"/>
  <c r="VOF56" i="7" s="1"/>
  <c r="VOH56" i="7" s="1"/>
  <c r="VOJ56" i="7" s="1"/>
  <c r="VOL56" i="7" s="1"/>
  <c r="VON56" i="7" s="1"/>
  <c r="VOP56" i="7" s="1"/>
  <c r="VOR56" i="7" s="1"/>
  <c r="VOT56" i="7" s="1"/>
  <c r="VOV56" i="7" s="1"/>
  <c r="VOX56" i="7" s="1"/>
  <c r="VOZ56" i="7" s="1"/>
  <c r="VPB56" i="7" s="1"/>
  <c r="VPD56" i="7" s="1"/>
  <c r="VPF56" i="7" s="1"/>
  <c r="VPH56" i="7" s="1"/>
  <c r="VPJ56" i="7" s="1"/>
  <c r="VPL56" i="7" s="1"/>
  <c r="VPN56" i="7" s="1"/>
  <c r="VPP56" i="7" s="1"/>
  <c r="VPR56" i="7" s="1"/>
  <c r="VPT56" i="7" s="1"/>
  <c r="VPV56" i="7" s="1"/>
  <c r="VPX56" i="7" s="1"/>
  <c r="VPZ56" i="7" s="1"/>
  <c r="VQB56" i="7" s="1"/>
  <c r="VQD56" i="7" s="1"/>
  <c r="VQF56" i="7" s="1"/>
  <c r="VQH56" i="7" s="1"/>
  <c r="VQJ56" i="7" s="1"/>
  <c r="VQL56" i="7" s="1"/>
  <c r="VQN56" i="7" s="1"/>
  <c r="VQP56" i="7" s="1"/>
  <c r="VQR56" i="7" s="1"/>
  <c r="VQT56" i="7" s="1"/>
  <c r="VQV56" i="7" s="1"/>
  <c r="VQX56" i="7" s="1"/>
  <c r="VQZ56" i="7" s="1"/>
  <c r="VRB56" i="7" s="1"/>
  <c r="VRD56" i="7" s="1"/>
  <c r="VRF56" i="7" s="1"/>
  <c r="VRH56" i="7" s="1"/>
  <c r="VRJ56" i="7" s="1"/>
  <c r="VRL56" i="7" s="1"/>
  <c r="VRN56" i="7" s="1"/>
  <c r="VRP56" i="7" s="1"/>
  <c r="VRR56" i="7" s="1"/>
  <c r="VRT56" i="7" s="1"/>
  <c r="VRV56" i="7" s="1"/>
  <c r="VRX56" i="7" s="1"/>
  <c r="VRZ56" i="7" s="1"/>
  <c r="VSB56" i="7" s="1"/>
  <c r="VSD56" i="7" s="1"/>
  <c r="VSF56" i="7" s="1"/>
  <c r="VSH56" i="7" s="1"/>
  <c r="VSJ56" i="7" s="1"/>
  <c r="VSL56" i="7" s="1"/>
  <c r="VSN56" i="7" s="1"/>
  <c r="VSP56" i="7" s="1"/>
  <c r="VSR56" i="7" s="1"/>
  <c r="VST56" i="7" s="1"/>
  <c r="VSV56" i="7" s="1"/>
  <c r="VSX56" i="7" s="1"/>
  <c r="VSZ56" i="7" s="1"/>
  <c r="VTB56" i="7" s="1"/>
  <c r="VTD56" i="7" s="1"/>
  <c r="VTF56" i="7" s="1"/>
  <c r="VTH56" i="7" s="1"/>
  <c r="VTJ56" i="7" s="1"/>
  <c r="VTL56" i="7" s="1"/>
  <c r="VTN56" i="7" s="1"/>
  <c r="VTP56" i="7" s="1"/>
  <c r="VTR56" i="7" s="1"/>
  <c r="VTT56" i="7" s="1"/>
  <c r="VTV56" i="7" s="1"/>
  <c r="VTX56" i="7" s="1"/>
  <c r="VTZ56" i="7" s="1"/>
  <c r="VUB56" i="7" s="1"/>
  <c r="VUD56" i="7" s="1"/>
  <c r="VUF56" i="7" s="1"/>
  <c r="VUH56" i="7" s="1"/>
  <c r="VUJ56" i="7" s="1"/>
  <c r="VUL56" i="7" s="1"/>
  <c r="VUN56" i="7" s="1"/>
  <c r="VUP56" i="7" s="1"/>
  <c r="VUR56" i="7" s="1"/>
  <c r="VUT56" i="7" s="1"/>
  <c r="VUV56" i="7" s="1"/>
  <c r="VUX56" i="7" s="1"/>
  <c r="VUZ56" i="7" s="1"/>
  <c r="VVB56" i="7" s="1"/>
  <c r="VVD56" i="7" s="1"/>
  <c r="VVF56" i="7" s="1"/>
  <c r="VVH56" i="7" s="1"/>
  <c r="VVJ56" i="7" s="1"/>
  <c r="VVL56" i="7" s="1"/>
  <c r="VVN56" i="7" s="1"/>
  <c r="VVP56" i="7" s="1"/>
  <c r="VVR56" i="7" s="1"/>
  <c r="VVT56" i="7" s="1"/>
  <c r="VVV56" i="7" s="1"/>
  <c r="VVX56" i="7" s="1"/>
  <c r="VVZ56" i="7" s="1"/>
  <c r="VWB56" i="7" s="1"/>
  <c r="VWD56" i="7" s="1"/>
  <c r="VWF56" i="7" s="1"/>
  <c r="VWH56" i="7" s="1"/>
  <c r="VWJ56" i="7" s="1"/>
  <c r="VWL56" i="7" s="1"/>
  <c r="VWN56" i="7" s="1"/>
  <c r="VWP56" i="7" s="1"/>
  <c r="VWR56" i="7" s="1"/>
  <c r="VWT56" i="7" s="1"/>
  <c r="VWV56" i="7" s="1"/>
  <c r="VWX56" i="7" s="1"/>
  <c r="VWZ56" i="7" s="1"/>
  <c r="VXB56" i="7" s="1"/>
  <c r="VXD56" i="7" s="1"/>
  <c r="VXF56" i="7" s="1"/>
  <c r="VXH56" i="7" s="1"/>
  <c r="VXJ56" i="7" s="1"/>
  <c r="VXL56" i="7" s="1"/>
  <c r="VXN56" i="7" s="1"/>
  <c r="VXP56" i="7" s="1"/>
  <c r="VXR56" i="7" s="1"/>
  <c r="VXT56" i="7" s="1"/>
  <c r="VXV56" i="7" s="1"/>
  <c r="VXX56" i="7" s="1"/>
  <c r="VXZ56" i="7" s="1"/>
  <c r="VYB56" i="7" s="1"/>
  <c r="VYD56" i="7" s="1"/>
  <c r="VYF56" i="7" s="1"/>
  <c r="VYH56" i="7" s="1"/>
  <c r="VYJ56" i="7" s="1"/>
  <c r="VYL56" i="7" s="1"/>
  <c r="VYN56" i="7" s="1"/>
  <c r="VYP56" i="7" s="1"/>
  <c r="VYR56" i="7" s="1"/>
  <c r="VYT56" i="7" s="1"/>
  <c r="VYV56" i="7" s="1"/>
  <c r="VYX56" i="7" s="1"/>
  <c r="VYZ56" i="7" s="1"/>
  <c r="VZB56" i="7" s="1"/>
  <c r="VZD56" i="7" s="1"/>
  <c r="VZF56" i="7" s="1"/>
  <c r="VZH56" i="7" s="1"/>
  <c r="VZJ56" i="7" s="1"/>
  <c r="VZL56" i="7" s="1"/>
  <c r="VZN56" i="7" s="1"/>
  <c r="VZP56" i="7" s="1"/>
  <c r="VZR56" i="7" s="1"/>
  <c r="VZT56" i="7" s="1"/>
  <c r="VZV56" i="7" s="1"/>
  <c r="VZX56" i="7" s="1"/>
  <c r="VZZ56" i="7" s="1"/>
  <c r="WAB56" i="7" s="1"/>
  <c r="WAD56" i="7" s="1"/>
  <c r="WAF56" i="7" s="1"/>
  <c r="WAH56" i="7" s="1"/>
  <c r="WAJ56" i="7" s="1"/>
  <c r="WAL56" i="7" s="1"/>
  <c r="WAN56" i="7" s="1"/>
  <c r="WAP56" i="7" s="1"/>
  <c r="WAR56" i="7" s="1"/>
  <c r="WAT56" i="7" s="1"/>
  <c r="WAV56" i="7" s="1"/>
  <c r="WAX56" i="7" s="1"/>
  <c r="WAZ56" i="7" s="1"/>
  <c r="WBB56" i="7" s="1"/>
  <c r="WBD56" i="7" s="1"/>
  <c r="WBF56" i="7" s="1"/>
  <c r="WBH56" i="7" s="1"/>
  <c r="WBJ56" i="7" s="1"/>
  <c r="WBL56" i="7" s="1"/>
  <c r="WBN56" i="7" s="1"/>
  <c r="WBP56" i="7" s="1"/>
  <c r="WBR56" i="7" s="1"/>
  <c r="WBT56" i="7" s="1"/>
  <c r="WBV56" i="7" s="1"/>
  <c r="WBX56" i="7" s="1"/>
  <c r="WBZ56" i="7" s="1"/>
  <c r="WCB56" i="7" s="1"/>
  <c r="WCD56" i="7" s="1"/>
  <c r="WCF56" i="7" s="1"/>
  <c r="WCH56" i="7" s="1"/>
  <c r="WCJ56" i="7" s="1"/>
  <c r="WCL56" i="7" s="1"/>
  <c r="WCN56" i="7" s="1"/>
  <c r="WCP56" i="7" s="1"/>
  <c r="WCR56" i="7" s="1"/>
  <c r="WCT56" i="7" s="1"/>
  <c r="WCV56" i="7" s="1"/>
  <c r="WCX56" i="7" s="1"/>
  <c r="WCZ56" i="7" s="1"/>
  <c r="WDB56" i="7" s="1"/>
  <c r="WDD56" i="7" s="1"/>
  <c r="WDF56" i="7" s="1"/>
  <c r="WDH56" i="7" s="1"/>
  <c r="WDJ56" i="7" s="1"/>
  <c r="WDL56" i="7" s="1"/>
  <c r="WDN56" i="7" s="1"/>
  <c r="WDP56" i="7" s="1"/>
  <c r="WDR56" i="7" s="1"/>
  <c r="WDT56" i="7" s="1"/>
  <c r="WDV56" i="7" s="1"/>
  <c r="WDX56" i="7" s="1"/>
  <c r="WDZ56" i="7" s="1"/>
  <c r="WEB56" i="7" s="1"/>
  <c r="WED56" i="7" s="1"/>
  <c r="WEF56" i="7" s="1"/>
  <c r="WEH56" i="7" s="1"/>
  <c r="WEJ56" i="7" s="1"/>
  <c r="WEL56" i="7" s="1"/>
  <c r="WEN56" i="7" s="1"/>
  <c r="WEP56" i="7" s="1"/>
  <c r="WER56" i="7" s="1"/>
  <c r="WET56" i="7" s="1"/>
  <c r="WEV56" i="7" s="1"/>
  <c r="WEX56" i="7" s="1"/>
  <c r="WEZ56" i="7" s="1"/>
  <c r="WFB56" i="7" s="1"/>
  <c r="WFD56" i="7" s="1"/>
  <c r="WFF56" i="7" s="1"/>
  <c r="WFH56" i="7" s="1"/>
  <c r="WFJ56" i="7" s="1"/>
  <c r="WFL56" i="7" s="1"/>
  <c r="WFN56" i="7" s="1"/>
  <c r="WFP56" i="7" s="1"/>
  <c r="WFR56" i="7" s="1"/>
  <c r="WFT56" i="7" s="1"/>
  <c r="WFV56" i="7" s="1"/>
  <c r="WFX56" i="7" s="1"/>
  <c r="WFZ56" i="7" s="1"/>
  <c r="WGB56" i="7" s="1"/>
  <c r="WGD56" i="7" s="1"/>
  <c r="WGF56" i="7" s="1"/>
  <c r="WGH56" i="7" s="1"/>
  <c r="WGJ56" i="7" s="1"/>
  <c r="WGL56" i="7" s="1"/>
  <c r="WGN56" i="7" s="1"/>
  <c r="WGP56" i="7" s="1"/>
  <c r="WGR56" i="7" s="1"/>
  <c r="WGT56" i="7" s="1"/>
  <c r="WGV56" i="7" s="1"/>
  <c r="WGX56" i="7" s="1"/>
  <c r="WGZ56" i="7" s="1"/>
  <c r="WHB56" i="7" s="1"/>
  <c r="WHD56" i="7" s="1"/>
  <c r="WHF56" i="7" s="1"/>
  <c r="WHH56" i="7" s="1"/>
  <c r="WHJ56" i="7" s="1"/>
  <c r="WHL56" i="7" s="1"/>
  <c r="WHN56" i="7" s="1"/>
  <c r="WHP56" i="7" s="1"/>
  <c r="WHR56" i="7" s="1"/>
  <c r="WHT56" i="7" s="1"/>
  <c r="WHV56" i="7" s="1"/>
  <c r="WHX56" i="7" s="1"/>
  <c r="WHZ56" i="7" s="1"/>
  <c r="WIB56" i="7" s="1"/>
  <c r="WID56" i="7" s="1"/>
  <c r="WIF56" i="7" s="1"/>
  <c r="WIH56" i="7" s="1"/>
  <c r="WIJ56" i="7" s="1"/>
  <c r="WIL56" i="7" s="1"/>
  <c r="WIN56" i="7" s="1"/>
  <c r="WIP56" i="7" s="1"/>
  <c r="WIR56" i="7" s="1"/>
  <c r="WIT56" i="7" s="1"/>
  <c r="WIV56" i="7" s="1"/>
  <c r="WIX56" i="7" s="1"/>
  <c r="WIZ56" i="7" s="1"/>
  <c r="WJB56" i="7" s="1"/>
  <c r="WJD56" i="7" s="1"/>
  <c r="WJF56" i="7" s="1"/>
  <c r="WJH56" i="7" s="1"/>
  <c r="WJJ56" i="7" s="1"/>
  <c r="WJL56" i="7" s="1"/>
  <c r="WJN56" i="7" s="1"/>
  <c r="WJP56" i="7" s="1"/>
  <c r="WJR56" i="7" s="1"/>
  <c r="WJT56" i="7" s="1"/>
  <c r="WJV56" i="7" s="1"/>
  <c r="WJX56" i="7" s="1"/>
  <c r="WJZ56" i="7" s="1"/>
  <c r="WKB56" i="7" s="1"/>
  <c r="WKD56" i="7" s="1"/>
  <c r="WKF56" i="7" s="1"/>
  <c r="WKH56" i="7" s="1"/>
  <c r="WKJ56" i="7" s="1"/>
  <c r="WKL56" i="7" s="1"/>
  <c r="WKN56" i="7" s="1"/>
  <c r="WKP56" i="7" s="1"/>
  <c r="WKR56" i="7" s="1"/>
  <c r="WKT56" i="7" s="1"/>
  <c r="WKV56" i="7" s="1"/>
  <c r="WKX56" i="7" s="1"/>
  <c r="WKZ56" i="7" s="1"/>
  <c r="WLB56" i="7" s="1"/>
  <c r="WLD56" i="7" s="1"/>
  <c r="WLF56" i="7" s="1"/>
  <c r="WLH56" i="7" s="1"/>
  <c r="WLJ56" i="7" s="1"/>
  <c r="WLL56" i="7" s="1"/>
  <c r="WLN56" i="7" s="1"/>
  <c r="WLP56" i="7" s="1"/>
  <c r="WLR56" i="7" s="1"/>
  <c r="WLT56" i="7" s="1"/>
  <c r="WLV56" i="7" s="1"/>
  <c r="WLX56" i="7" s="1"/>
  <c r="WLZ56" i="7" s="1"/>
  <c r="WMB56" i="7" s="1"/>
  <c r="WMD56" i="7" s="1"/>
  <c r="WMF56" i="7" s="1"/>
  <c r="WMH56" i="7" s="1"/>
  <c r="WMJ56" i="7" s="1"/>
  <c r="WML56" i="7" s="1"/>
  <c r="WMN56" i="7" s="1"/>
  <c r="WMP56" i="7" s="1"/>
  <c r="WMR56" i="7" s="1"/>
  <c r="WMT56" i="7" s="1"/>
  <c r="WMV56" i="7" s="1"/>
  <c r="WMX56" i="7" s="1"/>
  <c r="WMZ56" i="7" s="1"/>
  <c r="WNB56" i="7" s="1"/>
  <c r="WND56" i="7" s="1"/>
  <c r="WNF56" i="7" s="1"/>
  <c r="WNH56" i="7" s="1"/>
  <c r="WNJ56" i="7" s="1"/>
  <c r="WNL56" i="7" s="1"/>
  <c r="WNN56" i="7" s="1"/>
  <c r="WNP56" i="7" s="1"/>
  <c r="WNR56" i="7" s="1"/>
  <c r="WNT56" i="7" s="1"/>
  <c r="WNV56" i="7" s="1"/>
  <c r="WNX56" i="7" s="1"/>
  <c r="WNZ56" i="7" s="1"/>
  <c r="WOB56" i="7" s="1"/>
  <c r="WOD56" i="7" s="1"/>
  <c r="WOF56" i="7" s="1"/>
  <c r="WOH56" i="7" s="1"/>
  <c r="WOJ56" i="7" s="1"/>
  <c r="WOL56" i="7" s="1"/>
  <c r="WON56" i="7" s="1"/>
  <c r="WOP56" i="7" s="1"/>
  <c r="WOR56" i="7" s="1"/>
  <c r="WOT56" i="7" s="1"/>
  <c r="WOV56" i="7" s="1"/>
  <c r="WOX56" i="7" s="1"/>
  <c r="WOZ56" i="7" s="1"/>
  <c r="WPB56" i="7" s="1"/>
  <c r="WPD56" i="7" s="1"/>
  <c r="WPF56" i="7" s="1"/>
  <c r="WPH56" i="7" s="1"/>
  <c r="WPJ56" i="7" s="1"/>
  <c r="WPL56" i="7" s="1"/>
  <c r="WPN56" i="7" s="1"/>
  <c r="WPP56" i="7" s="1"/>
  <c r="WPR56" i="7" s="1"/>
  <c r="WPT56" i="7" s="1"/>
  <c r="WPV56" i="7" s="1"/>
  <c r="WPX56" i="7" s="1"/>
  <c r="WPZ56" i="7" s="1"/>
  <c r="WQB56" i="7" s="1"/>
  <c r="WQD56" i="7" s="1"/>
  <c r="WQF56" i="7" s="1"/>
  <c r="WQH56" i="7" s="1"/>
  <c r="WQJ56" i="7" s="1"/>
  <c r="WQL56" i="7" s="1"/>
  <c r="WQN56" i="7" s="1"/>
  <c r="WQP56" i="7" s="1"/>
  <c r="WQR56" i="7" s="1"/>
  <c r="WQT56" i="7" s="1"/>
  <c r="WQV56" i="7" s="1"/>
  <c r="WQX56" i="7" s="1"/>
  <c r="WQZ56" i="7" s="1"/>
  <c r="WRB56" i="7" s="1"/>
  <c r="WRD56" i="7" s="1"/>
  <c r="WRF56" i="7" s="1"/>
  <c r="WRH56" i="7" s="1"/>
  <c r="WRJ56" i="7" s="1"/>
  <c r="WRL56" i="7" s="1"/>
  <c r="WRN56" i="7" s="1"/>
  <c r="WRP56" i="7" s="1"/>
  <c r="WRR56" i="7" s="1"/>
  <c r="WRT56" i="7" s="1"/>
  <c r="WRV56" i="7" s="1"/>
  <c r="WRX56" i="7" s="1"/>
  <c r="WRZ56" i="7" s="1"/>
  <c r="WSB56" i="7" s="1"/>
  <c r="WSD56" i="7" s="1"/>
  <c r="WSF56" i="7" s="1"/>
  <c r="WSH56" i="7" s="1"/>
  <c r="WSJ56" i="7" s="1"/>
  <c r="WSL56" i="7" s="1"/>
  <c r="WSN56" i="7" s="1"/>
  <c r="WSP56" i="7" s="1"/>
  <c r="WSR56" i="7" s="1"/>
  <c r="WST56" i="7" s="1"/>
  <c r="WSV56" i="7" s="1"/>
  <c r="WSX56" i="7" s="1"/>
  <c r="WSZ56" i="7" s="1"/>
  <c r="WTB56" i="7" s="1"/>
  <c r="WTD56" i="7" s="1"/>
  <c r="WTF56" i="7" s="1"/>
  <c r="WTH56" i="7" s="1"/>
  <c r="WTJ56" i="7" s="1"/>
  <c r="WTL56" i="7" s="1"/>
  <c r="WTN56" i="7" s="1"/>
  <c r="WTP56" i="7" s="1"/>
  <c r="WTR56" i="7" s="1"/>
  <c r="WTT56" i="7" s="1"/>
  <c r="WTV56" i="7" s="1"/>
  <c r="WTX56" i="7" s="1"/>
  <c r="WTZ56" i="7" s="1"/>
  <c r="WUB56" i="7" s="1"/>
  <c r="WUD56" i="7" s="1"/>
  <c r="WUF56" i="7" s="1"/>
  <c r="WUH56" i="7" s="1"/>
  <c r="WUJ56" i="7" s="1"/>
  <c r="WUL56" i="7" s="1"/>
  <c r="WUN56" i="7" s="1"/>
  <c r="WUP56" i="7" s="1"/>
  <c r="WUR56" i="7" s="1"/>
  <c r="WUT56" i="7" s="1"/>
  <c r="WUV56" i="7" s="1"/>
  <c r="WUX56" i="7" s="1"/>
  <c r="WUZ56" i="7" s="1"/>
  <c r="WVB56" i="7" s="1"/>
  <c r="WVD56" i="7" s="1"/>
  <c r="WVF56" i="7" s="1"/>
  <c r="WVH56" i="7" s="1"/>
  <c r="WVJ56" i="7" s="1"/>
  <c r="WVL56" i="7" s="1"/>
  <c r="WVN56" i="7" s="1"/>
  <c r="WVP56" i="7" s="1"/>
  <c r="WVR56" i="7" s="1"/>
  <c r="WVT56" i="7" s="1"/>
  <c r="WVV56" i="7" s="1"/>
  <c r="WVX56" i="7" s="1"/>
  <c r="WVZ56" i="7" s="1"/>
  <c r="WWB56" i="7" s="1"/>
  <c r="WWD56" i="7" s="1"/>
  <c r="WWF56" i="7" s="1"/>
  <c r="WWH56" i="7" s="1"/>
  <c r="WWJ56" i="7" s="1"/>
  <c r="WWL56" i="7" s="1"/>
  <c r="WWN56" i="7" s="1"/>
  <c r="WWP56" i="7" s="1"/>
  <c r="WWR56" i="7" s="1"/>
  <c r="WWT56" i="7" s="1"/>
  <c r="WWV56" i="7" s="1"/>
  <c r="WWX56" i="7" s="1"/>
  <c r="WWZ56" i="7" s="1"/>
  <c r="WXB56" i="7" s="1"/>
  <c r="WXD56" i="7" s="1"/>
  <c r="WXF56" i="7" s="1"/>
  <c r="WXH56" i="7" s="1"/>
  <c r="WXJ56" i="7" s="1"/>
  <c r="WXL56" i="7" s="1"/>
  <c r="WXN56" i="7" s="1"/>
  <c r="WXP56" i="7" s="1"/>
  <c r="WXR56" i="7" s="1"/>
  <c r="WXT56" i="7" s="1"/>
  <c r="WXV56" i="7" s="1"/>
  <c r="WXX56" i="7" s="1"/>
  <c r="WXZ56" i="7" s="1"/>
  <c r="WYB56" i="7" s="1"/>
  <c r="WYD56" i="7" s="1"/>
  <c r="WYF56" i="7" s="1"/>
  <c r="WYH56" i="7" s="1"/>
  <c r="WYJ56" i="7" s="1"/>
  <c r="WYL56" i="7" s="1"/>
  <c r="WYN56" i="7" s="1"/>
  <c r="WYP56" i="7" s="1"/>
  <c r="WYR56" i="7" s="1"/>
  <c r="WYT56" i="7" s="1"/>
  <c r="WYV56" i="7" s="1"/>
  <c r="WYX56" i="7" s="1"/>
  <c r="WYZ56" i="7" s="1"/>
  <c r="WZB56" i="7" s="1"/>
  <c r="WZD56" i="7" s="1"/>
  <c r="WZF56" i="7" s="1"/>
  <c r="WZH56" i="7" s="1"/>
  <c r="WZJ56" i="7" s="1"/>
  <c r="WZL56" i="7" s="1"/>
  <c r="WZN56" i="7" s="1"/>
  <c r="WZP56" i="7" s="1"/>
  <c r="WZR56" i="7" s="1"/>
  <c r="WZT56" i="7" s="1"/>
  <c r="WZV56" i="7" s="1"/>
  <c r="WZX56" i="7" s="1"/>
  <c r="WZZ56" i="7" s="1"/>
  <c r="XAB56" i="7" s="1"/>
  <c r="XAD56" i="7" s="1"/>
  <c r="XAF56" i="7" s="1"/>
  <c r="XAH56" i="7" s="1"/>
  <c r="XAJ56" i="7" s="1"/>
  <c r="XAL56" i="7" s="1"/>
  <c r="XAN56" i="7" s="1"/>
  <c r="XAP56" i="7" s="1"/>
  <c r="XAR56" i="7" s="1"/>
  <c r="XAT56" i="7" s="1"/>
  <c r="XAV56" i="7" s="1"/>
  <c r="XAX56" i="7" s="1"/>
  <c r="XAZ56" i="7" s="1"/>
  <c r="XBB56" i="7" s="1"/>
  <c r="XBD56" i="7" s="1"/>
  <c r="XBF56" i="7" s="1"/>
  <c r="XBH56" i="7" s="1"/>
  <c r="XBJ56" i="7" s="1"/>
  <c r="XBL56" i="7" s="1"/>
  <c r="XBN56" i="7" s="1"/>
  <c r="XBP56" i="7" s="1"/>
  <c r="XBR56" i="7" s="1"/>
  <c r="XBT56" i="7" s="1"/>
  <c r="XBV56" i="7" s="1"/>
  <c r="XBX56" i="7" s="1"/>
  <c r="XBZ56" i="7" s="1"/>
  <c r="XCB56" i="7" s="1"/>
  <c r="XCD56" i="7" s="1"/>
  <c r="XCF56" i="7" s="1"/>
  <c r="XCH56" i="7" s="1"/>
  <c r="XCJ56" i="7" s="1"/>
  <c r="XCL56" i="7" s="1"/>
  <c r="XCN56" i="7" s="1"/>
  <c r="XCP56" i="7" s="1"/>
  <c r="XCR56" i="7" s="1"/>
  <c r="XCT56" i="7" s="1"/>
  <c r="XCV56" i="7" s="1"/>
  <c r="XCX56" i="7" s="1"/>
  <c r="XCZ56" i="7" s="1"/>
  <c r="XDB56" i="7" s="1"/>
  <c r="XDD56" i="7" s="1"/>
  <c r="XDF56" i="7" s="1"/>
  <c r="XDH56" i="7" s="1"/>
  <c r="XDJ56" i="7" s="1"/>
  <c r="XDL56" i="7" s="1"/>
  <c r="XDN56" i="7" s="1"/>
  <c r="XDP56" i="7" s="1"/>
  <c r="XDR56" i="7" s="1"/>
  <c r="XDT56" i="7" s="1"/>
  <c r="XDV56" i="7" s="1"/>
  <c r="XDX56" i="7" s="1"/>
  <c r="XDZ56" i="7" s="1"/>
  <c r="XEB56" i="7" s="1"/>
  <c r="XED56" i="7" s="1"/>
  <c r="XEF56" i="7" s="1"/>
  <c r="XEH56" i="7" s="1"/>
  <c r="XEJ56" i="7" s="1"/>
  <c r="XEL56" i="7" s="1"/>
  <c r="XEN56" i="7" s="1"/>
  <c r="XEP56" i="7" s="1"/>
  <c r="XER56" i="7" s="1"/>
  <c r="XET56" i="7" s="1"/>
  <c r="XEV56" i="7" s="1"/>
  <c r="XEX56" i="7" s="1"/>
  <c r="XEZ56" i="7" s="1"/>
  <c r="XFB56" i="7" s="1"/>
  <c r="XFD56" i="7" s="1"/>
  <c r="G56" i="7"/>
  <c r="I56" i="7" s="1"/>
  <c r="K56" i="7" s="1"/>
  <c r="M56" i="7" s="1"/>
  <c r="O56" i="7" s="1"/>
  <c r="Q56" i="7" s="1"/>
  <c r="S56" i="7" s="1"/>
  <c r="U56" i="7" s="1"/>
  <c r="W56" i="7" s="1"/>
  <c r="Y56" i="7" s="1"/>
  <c r="AA56" i="7" s="1"/>
  <c r="AC56" i="7" s="1"/>
  <c r="AE56" i="7" s="1"/>
  <c r="AG56" i="7" s="1"/>
  <c r="AI56" i="7" s="1"/>
  <c r="AK56" i="7" s="1"/>
  <c r="AM56" i="7" s="1"/>
  <c r="AO56" i="7" s="1"/>
  <c r="AQ56" i="7" s="1"/>
  <c r="AS56" i="7" s="1"/>
  <c r="AU56" i="7" s="1"/>
  <c r="AW56" i="7" s="1"/>
  <c r="AY56" i="7" s="1"/>
  <c r="BA56" i="7" s="1"/>
  <c r="BC56" i="7" s="1"/>
  <c r="BE56" i="7" s="1"/>
  <c r="BG56" i="7" s="1"/>
  <c r="BI56" i="7" s="1"/>
  <c r="BK56" i="7" s="1"/>
  <c r="BM56" i="7" s="1"/>
  <c r="BO56" i="7" s="1"/>
  <c r="BQ56" i="7" s="1"/>
  <c r="BS56" i="7" s="1"/>
  <c r="BU56" i="7" s="1"/>
  <c r="BW56" i="7" s="1"/>
  <c r="BY56" i="7" s="1"/>
  <c r="CA56" i="7" s="1"/>
  <c r="CC56" i="7" s="1"/>
  <c r="CE56" i="7" s="1"/>
  <c r="CG56" i="7" s="1"/>
  <c r="CI56" i="7" s="1"/>
  <c r="CK56" i="7" s="1"/>
  <c r="CM56" i="7" s="1"/>
  <c r="CO56" i="7" s="1"/>
  <c r="CQ56" i="7" s="1"/>
  <c r="CS56" i="7" s="1"/>
  <c r="CU56" i="7" s="1"/>
  <c r="CW56" i="7" s="1"/>
  <c r="CY56" i="7" s="1"/>
  <c r="DA56" i="7" s="1"/>
  <c r="DC56" i="7" s="1"/>
  <c r="DE56" i="7" s="1"/>
  <c r="DG56" i="7" s="1"/>
  <c r="DI56" i="7" s="1"/>
  <c r="DK56" i="7" s="1"/>
  <c r="DM56" i="7" s="1"/>
  <c r="DO56" i="7" s="1"/>
  <c r="DQ56" i="7" s="1"/>
  <c r="DS56" i="7" s="1"/>
  <c r="DU56" i="7" s="1"/>
  <c r="DW56" i="7" s="1"/>
  <c r="DY56" i="7" s="1"/>
  <c r="EA56" i="7" s="1"/>
  <c r="EC56" i="7" s="1"/>
  <c r="EE56" i="7" s="1"/>
  <c r="EG56" i="7" s="1"/>
  <c r="EI56" i="7" s="1"/>
  <c r="EK56" i="7" s="1"/>
  <c r="EM56" i="7" s="1"/>
  <c r="EO56" i="7" s="1"/>
  <c r="EQ56" i="7" s="1"/>
  <c r="ES56" i="7" s="1"/>
  <c r="EU56" i="7" s="1"/>
  <c r="EW56" i="7" s="1"/>
  <c r="EY56" i="7" s="1"/>
  <c r="FA56" i="7" s="1"/>
  <c r="FC56" i="7" s="1"/>
  <c r="FE56" i="7" s="1"/>
  <c r="FG56" i="7" s="1"/>
  <c r="FI56" i="7" s="1"/>
  <c r="FK56" i="7" s="1"/>
  <c r="FM56" i="7" s="1"/>
  <c r="FO56" i="7" s="1"/>
  <c r="FQ56" i="7" s="1"/>
  <c r="FS56" i="7" s="1"/>
  <c r="FU56" i="7" s="1"/>
  <c r="FW56" i="7" s="1"/>
  <c r="FY56" i="7" s="1"/>
  <c r="GA56" i="7" s="1"/>
  <c r="GC56" i="7" s="1"/>
  <c r="GE56" i="7" s="1"/>
  <c r="GG56" i="7" s="1"/>
  <c r="GI56" i="7" s="1"/>
  <c r="GK56" i="7" s="1"/>
  <c r="GM56" i="7" s="1"/>
  <c r="GO56" i="7" s="1"/>
  <c r="GQ56" i="7" s="1"/>
  <c r="GS56" i="7" s="1"/>
  <c r="GU56" i="7" s="1"/>
  <c r="GW56" i="7" s="1"/>
  <c r="GY56" i="7" s="1"/>
  <c r="HA56" i="7" s="1"/>
  <c r="HC56" i="7" s="1"/>
  <c r="HE56" i="7" s="1"/>
  <c r="HG56" i="7" s="1"/>
  <c r="HI56" i="7" s="1"/>
  <c r="HK56" i="7" s="1"/>
  <c r="HM56" i="7" s="1"/>
  <c r="HO56" i="7" s="1"/>
  <c r="HQ56" i="7" s="1"/>
  <c r="HS56" i="7" s="1"/>
  <c r="HU56" i="7" s="1"/>
  <c r="HW56" i="7" s="1"/>
  <c r="HY56" i="7" s="1"/>
  <c r="IA56" i="7" s="1"/>
  <c r="IC56" i="7" s="1"/>
  <c r="IE56" i="7" s="1"/>
  <c r="IG56" i="7" s="1"/>
  <c r="II56" i="7" s="1"/>
  <c r="IK56" i="7" s="1"/>
  <c r="IM56" i="7" s="1"/>
  <c r="IO56" i="7" s="1"/>
  <c r="IQ56" i="7" s="1"/>
  <c r="IS56" i="7" s="1"/>
  <c r="IU56" i="7" s="1"/>
  <c r="IW56" i="7" s="1"/>
  <c r="IY56" i="7" s="1"/>
  <c r="JA56" i="7" s="1"/>
  <c r="JC56" i="7" s="1"/>
  <c r="JE56" i="7" s="1"/>
  <c r="JG56" i="7" s="1"/>
  <c r="JI56" i="7" s="1"/>
  <c r="JK56" i="7" s="1"/>
  <c r="JM56" i="7" s="1"/>
  <c r="JO56" i="7" s="1"/>
  <c r="JQ56" i="7" s="1"/>
  <c r="JS56" i="7" s="1"/>
  <c r="JU56" i="7" s="1"/>
  <c r="JW56" i="7" s="1"/>
  <c r="JY56" i="7" s="1"/>
  <c r="KA56" i="7" s="1"/>
  <c r="KC56" i="7" s="1"/>
  <c r="KE56" i="7" s="1"/>
  <c r="KG56" i="7" s="1"/>
  <c r="KI56" i="7" s="1"/>
  <c r="KK56" i="7" s="1"/>
  <c r="KM56" i="7" s="1"/>
  <c r="KO56" i="7" s="1"/>
  <c r="KQ56" i="7" s="1"/>
  <c r="KS56" i="7" s="1"/>
  <c r="KU56" i="7" s="1"/>
  <c r="KW56" i="7" s="1"/>
  <c r="KY56" i="7" s="1"/>
  <c r="LA56" i="7" s="1"/>
  <c r="LC56" i="7" s="1"/>
  <c r="LE56" i="7" s="1"/>
  <c r="LG56" i="7" s="1"/>
  <c r="LI56" i="7" s="1"/>
  <c r="LK56" i="7" s="1"/>
  <c r="LM56" i="7" s="1"/>
  <c r="LO56" i="7" s="1"/>
  <c r="LQ56" i="7" s="1"/>
  <c r="LS56" i="7" s="1"/>
  <c r="LU56" i="7" s="1"/>
  <c r="LW56" i="7" s="1"/>
  <c r="LY56" i="7" s="1"/>
  <c r="MA56" i="7" s="1"/>
  <c r="MC56" i="7" s="1"/>
  <c r="ME56" i="7" s="1"/>
  <c r="MG56" i="7" s="1"/>
  <c r="MI56" i="7" s="1"/>
  <c r="MK56" i="7" s="1"/>
  <c r="MM56" i="7" s="1"/>
  <c r="MO56" i="7" s="1"/>
  <c r="MQ56" i="7" s="1"/>
  <c r="MS56" i="7" s="1"/>
  <c r="MU56" i="7" s="1"/>
  <c r="MW56" i="7" s="1"/>
  <c r="MY56" i="7" s="1"/>
  <c r="NA56" i="7" s="1"/>
  <c r="NC56" i="7" s="1"/>
  <c r="NE56" i="7" s="1"/>
  <c r="NG56" i="7" s="1"/>
  <c r="NI56" i="7" s="1"/>
  <c r="NK56" i="7" s="1"/>
  <c r="NM56" i="7" s="1"/>
  <c r="NO56" i="7" s="1"/>
  <c r="NQ56" i="7" s="1"/>
  <c r="NS56" i="7" s="1"/>
  <c r="NU56" i="7" s="1"/>
  <c r="NW56" i="7" s="1"/>
  <c r="NY56" i="7" s="1"/>
  <c r="OA56" i="7" s="1"/>
  <c r="OC56" i="7" s="1"/>
  <c r="OE56" i="7" s="1"/>
  <c r="OG56" i="7" s="1"/>
  <c r="OI56" i="7" s="1"/>
  <c r="OK56" i="7" s="1"/>
  <c r="OM56" i="7" s="1"/>
  <c r="OO56" i="7" s="1"/>
  <c r="OQ56" i="7" s="1"/>
  <c r="OS56" i="7" s="1"/>
  <c r="OU56" i="7" s="1"/>
  <c r="OW56" i="7" s="1"/>
  <c r="OY56" i="7" s="1"/>
  <c r="PA56" i="7" s="1"/>
  <c r="PC56" i="7" s="1"/>
  <c r="PE56" i="7" s="1"/>
  <c r="PG56" i="7" s="1"/>
  <c r="PI56" i="7" s="1"/>
  <c r="PK56" i="7" s="1"/>
  <c r="PM56" i="7" s="1"/>
  <c r="PO56" i="7" s="1"/>
  <c r="PQ56" i="7" s="1"/>
  <c r="PS56" i="7" s="1"/>
  <c r="PU56" i="7" s="1"/>
  <c r="PW56" i="7" s="1"/>
  <c r="PY56" i="7" s="1"/>
  <c r="QA56" i="7" s="1"/>
  <c r="QC56" i="7" s="1"/>
  <c r="QE56" i="7" s="1"/>
  <c r="QG56" i="7" s="1"/>
  <c r="QI56" i="7" s="1"/>
  <c r="QK56" i="7" s="1"/>
  <c r="QM56" i="7" s="1"/>
  <c r="QO56" i="7" s="1"/>
  <c r="QQ56" i="7" s="1"/>
  <c r="QS56" i="7" s="1"/>
  <c r="QU56" i="7" s="1"/>
  <c r="QW56" i="7" s="1"/>
  <c r="QY56" i="7" s="1"/>
  <c r="RA56" i="7" s="1"/>
  <c r="RC56" i="7" s="1"/>
  <c r="RE56" i="7" s="1"/>
  <c r="RG56" i="7" s="1"/>
  <c r="RI56" i="7" s="1"/>
  <c r="RK56" i="7" s="1"/>
  <c r="RM56" i="7" s="1"/>
  <c r="RO56" i="7" s="1"/>
  <c r="RQ56" i="7" s="1"/>
  <c r="RS56" i="7" s="1"/>
  <c r="RU56" i="7" s="1"/>
  <c r="RW56" i="7" s="1"/>
  <c r="RY56" i="7" s="1"/>
  <c r="SA56" i="7" s="1"/>
  <c r="SC56" i="7" s="1"/>
  <c r="SE56" i="7" s="1"/>
  <c r="SG56" i="7" s="1"/>
  <c r="SI56" i="7" s="1"/>
  <c r="SK56" i="7" s="1"/>
  <c r="SM56" i="7" s="1"/>
  <c r="SO56" i="7" s="1"/>
  <c r="SQ56" i="7" s="1"/>
  <c r="SS56" i="7" s="1"/>
  <c r="SU56" i="7" s="1"/>
  <c r="SW56" i="7" s="1"/>
  <c r="SY56" i="7" s="1"/>
  <c r="TA56" i="7" s="1"/>
  <c r="TC56" i="7" s="1"/>
  <c r="TE56" i="7" s="1"/>
  <c r="TG56" i="7" s="1"/>
  <c r="TI56" i="7" s="1"/>
  <c r="TK56" i="7" s="1"/>
  <c r="TM56" i="7" s="1"/>
  <c r="TO56" i="7" s="1"/>
  <c r="TQ56" i="7" s="1"/>
  <c r="TS56" i="7" s="1"/>
  <c r="TU56" i="7" s="1"/>
  <c r="TW56" i="7" s="1"/>
  <c r="TY56" i="7" s="1"/>
  <c r="UA56" i="7" s="1"/>
  <c r="UC56" i="7" s="1"/>
  <c r="UE56" i="7" s="1"/>
  <c r="UG56" i="7" s="1"/>
  <c r="UI56" i="7" s="1"/>
  <c r="UK56" i="7" s="1"/>
  <c r="UM56" i="7" s="1"/>
  <c r="UO56" i="7" s="1"/>
  <c r="UQ56" i="7" s="1"/>
  <c r="US56" i="7" s="1"/>
  <c r="UU56" i="7" s="1"/>
  <c r="UW56" i="7" s="1"/>
  <c r="UY56" i="7" s="1"/>
  <c r="VA56" i="7" s="1"/>
  <c r="VC56" i="7" s="1"/>
  <c r="VE56" i="7" s="1"/>
  <c r="VG56" i="7" s="1"/>
  <c r="VI56" i="7" s="1"/>
  <c r="VK56" i="7" s="1"/>
  <c r="VM56" i="7" s="1"/>
  <c r="VO56" i="7" s="1"/>
  <c r="VQ56" i="7" s="1"/>
  <c r="VS56" i="7" s="1"/>
  <c r="VU56" i="7" s="1"/>
  <c r="VW56" i="7" s="1"/>
  <c r="VY56" i="7" s="1"/>
  <c r="WA56" i="7" s="1"/>
  <c r="WC56" i="7" s="1"/>
  <c r="WE56" i="7" s="1"/>
  <c r="WG56" i="7" s="1"/>
  <c r="WI56" i="7" s="1"/>
  <c r="WK56" i="7" s="1"/>
  <c r="WM56" i="7" s="1"/>
  <c r="WO56" i="7" s="1"/>
  <c r="WQ56" i="7" s="1"/>
  <c r="WS56" i="7" s="1"/>
  <c r="WU56" i="7" s="1"/>
  <c r="WW56" i="7" s="1"/>
  <c r="WY56" i="7" s="1"/>
  <c r="XA56" i="7" s="1"/>
  <c r="XC56" i="7" s="1"/>
  <c r="XE56" i="7" s="1"/>
  <c r="XG56" i="7" s="1"/>
  <c r="XI56" i="7" s="1"/>
  <c r="XK56" i="7" s="1"/>
  <c r="XM56" i="7" s="1"/>
  <c r="XO56" i="7" s="1"/>
  <c r="XQ56" i="7" s="1"/>
  <c r="XS56" i="7" s="1"/>
  <c r="XU56" i="7" s="1"/>
  <c r="XW56" i="7" s="1"/>
  <c r="XY56" i="7" s="1"/>
  <c r="YA56" i="7" s="1"/>
  <c r="YC56" i="7" s="1"/>
  <c r="YE56" i="7" s="1"/>
  <c r="YG56" i="7" s="1"/>
  <c r="YI56" i="7" s="1"/>
  <c r="YK56" i="7" s="1"/>
  <c r="YM56" i="7" s="1"/>
  <c r="YO56" i="7" s="1"/>
  <c r="YQ56" i="7" s="1"/>
  <c r="YS56" i="7" s="1"/>
  <c r="YU56" i="7" s="1"/>
  <c r="YW56" i="7" s="1"/>
  <c r="YY56" i="7" s="1"/>
  <c r="ZA56" i="7" s="1"/>
  <c r="ZC56" i="7" s="1"/>
  <c r="ZE56" i="7" s="1"/>
  <c r="ZG56" i="7" s="1"/>
  <c r="ZI56" i="7" s="1"/>
  <c r="ZK56" i="7" s="1"/>
  <c r="ZM56" i="7" s="1"/>
  <c r="ZO56" i="7" s="1"/>
  <c r="ZQ56" i="7" s="1"/>
  <c r="ZS56" i="7" s="1"/>
  <c r="ZU56" i="7" s="1"/>
  <c r="ZW56" i="7" s="1"/>
  <c r="ZY56" i="7" s="1"/>
  <c r="AAA56" i="7" s="1"/>
  <c r="AAC56" i="7" s="1"/>
  <c r="AAE56" i="7" s="1"/>
  <c r="AAG56" i="7" s="1"/>
  <c r="AAI56" i="7" s="1"/>
  <c r="AAK56" i="7" s="1"/>
  <c r="AAM56" i="7" s="1"/>
  <c r="AAO56" i="7" s="1"/>
  <c r="AAQ56" i="7" s="1"/>
  <c r="AAS56" i="7" s="1"/>
  <c r="AAU56" i="7" s="1"/>
  <c r="AAW56" i="7" s="1"/>
  <c r="AAY56" i="7" s="1"/>
  <c r="ABA56" i="7" s="1"/>
  <c r="ABC56" i="7" s="1"/>
  <c r="ABE56" i="7" s="1"/>
  <c r="ABG56" i="7" s="1"/>
  <c r="ABI56" i="7" s="1"/>
  <c r="ABK56" i="7" s="1"/>
  <c r="ABM56" i="7" s="1"/>
  <c r="ABO56" i="7" s="1"/>
  <c r="ABQ56" i="7" s="1"/>
  <c r="ABS56" i="7" s="1"/>
  <c r="ABU56" i="7" s="1"/>
  <c r="ABW56" i="7" s="1"/>
  <c r="ABY56" i="7" s="1"/>
  <c r="ACA56" i="7" s="1"/>
  <c r="ACC56" i="7" s="1"/>
  <c r="ACE56" i="7" s="1"/>
  <c r="ACG56" i="7" s="1"/>
  <c r="ACI56" i="7" s="1"/>
  <c r="ACK56" i="7" s="1"/>
  <c r="ACM56" i="7" s="1"/>
  <c r="ACO56" i="7" s="1"/>
  <c r="ACQ56" i="7" s="1"/>
  <c r="ACS56" i="7" s="1"/>
  <c r="ACU56" i="7" s="1"/>
  <c r="ACW56" i="7" s="1"/>
  <c r="ACY56" i="7" s="1"/>
  <c r="ADA56" i="7" s="1"/>
  <c r="ADC56" i="7" s="1"/>
  <c r="ADE56" i="7" s="1"/>
  <c r="ADG56" i="7" s="1"/>
  <c r="ADI56" i="7" s="1"/>
  <c r="ADK56" i="7" s="1"/>
  <c r="ADM56" i="7" s="1"/>
  <c r="ADO56" i="7" s="1"/>
  <c r="ADQ56" i="7" s="1"/>
  <c r="ADS56" i="7" s="1"/>
  <c r="ADU56" i="7" s="1"/>
  <c r="ADW56" i="7" s="1"/>
  <c r="ADY56" i="7" s="1"/>
  <c r="AEA56" i="7" s="1"/>
  <c r="AEC56" i="7" s="1"/>
  <c r="AEE56" i="7" s="1"/>
  <c r="AEG56" i="7" s="1"/>
  <c r="AEI56" i="7" s="1"/>
  <c r="AEK56" i="7" s="1"/>
  <c r="AEM56" i="7" s="1"/>
  <c r="AEO56" i="7" s="1"/>
  <c r="AEQ56" i="7" s="1"/>
  <c r="AES56" i="7" s="1"/>
  <c r="AEU56" i="7" s="1"/>
  <c r="AEW56" i="7" s="1"/>
  <c r="AEY56" i="7" s="1"/>
  <c r="AFA56" i="7" s="1"/>
  <c r="AFC56" i="7" s="1"/>
  <c r="AFE56" i="7" s="1"/>
  <c r="AFG56" i="7" s="1"/>
  <c r="AFI56" i="7" s="1"/>
  <c r="AFK56" i="7" s="1"/>
  <c r="AFM56" i="7" s="1"/>
  <c r="AFO56" i="7" s="1"/>
  <c r="AFQ56" i="7" s="1"/>
  <c r="AFS56" i="7" s="1"/>
  <c r="AFU56" i="7" s="1"/>
  <c r="AFW56" i="7" s="1"/>
  <c r="AFY56" i="7" s="1"/>
  <c r="AGA56" i="7" s="1"/>
  <c r="AGC56" i="7" s="1"/>
  <c r="AGE56" i="7" s="1"/>
  <c r="AGG56" i="7" s="1"/>
  <c r="AGI56" i="7" s="1"/>
  <c r="AGK56" i="7" s="1"/>
  <c r="AGM56" i="7" s="1"/>
  <c r="AGO56" i="7" s="1"/>
  <c r="AGQ56" i="7" s="1"/>
  <c r="AGS56" i="7" s="1"/>
  <c r="AGU56" i="7" s="1"/>
  <c r="AGW56" i="7" s="1"/>
  <c r="AGY56" i="7" s="1"/>
  <c r="AHA56" i="7" s="1"/>
  <c r="AHC56" i="7" s="1"/>
  <c r="AHE56" i="7" s="1"/>
  <c r="AHG56" i="7" s="1"/>
  <c r="AHI56" i="7" s="1"/>
  <c r="AHK56" i="7" s="1"/>
  <c r="AHM56" i="7" s="1"/>
  <c r="AHO56" i="7" s="1"/>
  <c r="AHQ56" i="7" s="1"/>
  <c r="AHS56" i="7" s="1"/>
  <c r="AHU56" i="7" s="1"/>
  <c r="AHW56" i="7" s="1"/>
  <c r="AHY56" i="7" s="1"/>
  <c r="AIA56" i="7" s="1"/>
  <c r="AIC56" i="7" s="1"/>
  <c r="AIE56" i="7" s="1"/>
  <c r="AIG56" i="7" s="1"/>
  <c r="AII56" i="7" s="1"/>
  <c r="AIK56" i="7" s="1"/>
  <c r="AIM56" i="7" s="1"/>
  <c r="AIO56" i="7" s="1"/>
  <c r="AIQ56" i="7" s="1"/>
  <c r="AIS56" i="7" s="1"/>
  <c r="AIU56" i="7" s="1"/>
  <c r="AIW56" i="7" s="1"/>
  <c r="AIY56" i="7" s="1"/>
  <c r="AJA56" i="7" s="1"/>
  <c r="AJC56" i="7" s="1"/>
  <c r="AJE56" i="7" s="1"/>
  <c r="AJG56" i="7" s="1"/>
  <c r="AJI56" i="7" s="1"/>
  <c r="AJK56" i="7" s="1"/>
  <c r="AJM56" i="7" s="1"/>
  <c r="AJO56" i="7" s="1"/>
  <c r="AJQ56" i="7" s="1"/>
  <c r="AJS56" i="7" s="1"/>
  <c r="AJU56" i="7" s="1"/>
  <c r="AJW56" i="7" s="1"/>
  <c r="AJY56" i="7" s="1"/>
  <c r="AKA56" i="7" s="1"/>
  <c r="AKC56" i="7" s="1"/>
  <c r="AKE56" i="7" s="1"/>
  <c r="AKG56" i="7" s="1"/>
  <c r="AKI56" i="7" s="1"/>
  <c r="AKK56" i="7" s="1"/>
  <c r="AKM56" i="7" s="1"/>
  <c r="AKO56" i="7" s="1"/>
  <c r="AKQ56" i="7" s="1"/>
  <c r="AKS56" i="7" s="1"/>
  <c r="AKU56" i="7" s="1"/>
  <c r="AKW56" i="7" s="1"/>
  <c r="AKY56" i="7" s="1"/>
  <c r="ALA56" i="7" s="1"/>
  <c r="ALC56" i="7" s="1"/>
  <c r="ALE56" i="7" s="1"/>
  <c r="ALG56" i="7" s="1"/>
  <c r="ALI56" i="7" s="1"/>
  <c r="ALK56" i="7" s="1"/>
  <c r="ALM56" i="7" s="1"/>
  <c r="ALO56" i="7" s="1"/>
  <c r="ALQ56" i="7" s="1"/>
  <c r="ALS56" i="7" s="1"/>
  <c r="ALU56" i="7" s="1"/>
  <c r="ALW56" i="7" s="1"/>
  <c r="ALY56" i="7" s="1"/>
  <c r="AMA56" i="7" s="1"/>
  <c r="AMC56" i="7" s="1"/>
  <c r="AME56" i="7" s="1"/>
  <c r="AMG56" i="7" s="1"/>
  <c r="AMI56" i="7" s="1"/>
  <c r="AMK56" i="7" s="1"/>
  <c r="AMM56" i="7" s="1"/>
  <c r="AMO56" i="7" s="1"/>
  <c r="AMQ56" i="7" s="1"/>
  <c r="AMS56" i="7" s="1"/>
  <c r="AMU56" i="7" s="1"/>
  <c r="AMW56" i="7" s="1"/>
  <c r="AMY56" i="7" s="1"/>
  <c r="ANA56" i="7" s="1"/>
  <c r="ANC56" i="7" s="1"/>
  <c r="ANE56" i="7" s="1"/>
  <c r="ANG56" i="7" s="1"/>
  <c r="ANI56" i="7" s="1"/>
  <c r="ANK56" i="7" s="1"/>
  <c r="ANM56" i="7" s="1"/>
  <c r="ANO56" i="7" s="1"/>
  <c r="ANQ56" i="7" s="1"/>
  <c r="ANS56" i="7" s="1"/>
  <c r="ANU56" i="7" s="1"/>
  <c r="ANW56" i="7" s="1"/>
  <c r="ANY56" i="7" s="1"/>
  <c r="AOA56" i="7" s="1"/>
  <c r="AOC56" i="7" s="1"/>
  <c r="AOE56" i="7" s="1"/>
  <c r="AOG56" i="7" s="1"/>
  <c r="AOI56" i="7" s="1"/>
  <c r="AOK56" i="7" s="1"/>
  <c r="AOM56" i="7" s="1"/>
  <c r="AOO56" i="7" s="1"/>
  <c r="AOQ56" i="7" s="1"/>
  <c r="AOS56" i="7" s="1"/>
  <c r="AOU56" i="7" s="1"/>
  <c r="AOW56" i="7" s="1"/>
  <c r="AOY56" i="7" s="1"/>
  <c r="APA56" i="7" s="1"/>
  <c r="APC56" i="7" s="1"/>
  <c r="APE56" i="7" s="1"/>
  <c r="APG56" i="7" s="1"/>
  <c r="API56" i="7" s="1"/>
  <c r="APK56" i="7" s="1"/>
  <c r="APM56" i="7" s="1"/>
  <c r="APO56" i="7" s="1"/>
  <c r="APQ56" i="7" s="1"/>
  <c r="APS56" i="7" s="1"/>
  <c r="APU56" i="7" s="1"/>
  <c r="APW56" i="7" s="1"/>
  <c r="APY56" i="7" s="1"/>
  <c r="AQA56" i="7" s="1"/>
  <c r="AQC56" i="7" s="1"/>
  <c r="AQE56" i="7" s="1"/>
  <c r="AQG56" i="7" s="1"/>
  <c r="AQI56" i="7" s="1"/>
  <c r="AQK56" i="7" s="1"/>
  <c r="AQM56" i="7" s="1"/>
  <c r="AQO56" i="7" s="1"/>
  <c r="AQQ56" i="7" s="1"/>
  <c r="AQS56" i="7" s="1"/>
  <c r="AQU56" i="7" s="1"/>
  <c r="AQW56" i="7" s="1"/>
  <c r="AQY56" i="7" s="1"/>
  <c r="ARA56" i="7" s="1"/>
  <c r="ARC56" i="7" s="1"/>
  <c r="ARE56" i="7" s="1"/>
  <c r="ARG56" i="7" s="1"/>
  <c r="ARI56" i="7" s="1"/>
  <c r="ARK56" i="7" s="1"/>
  <c r="ARM56" i="7" s="1"/>
  <c r="ARO56" i="7" s="1"/>
  <c r="ARQ56" i="7" s="1"/>
  <c r="ARS56" i="7" s="1"/>
  <c r="ARU56" i="7" s="1"/>
  <c r="ARW56" i="7" s="1"/>
  <c r="ARY56" i="7" s="1"/>
  <c r="ASA56" i="7" s="1"/>
  <c r="ASC56" i="7" s="1"/>
  <c r="ASE56" i="7" s="1"/>
  <c r="ASG56" i="7" s="1"/>
  <c r="ASI56" i="7" s="1"/>
  <c r="ASK56" i="7" s="1"/>
  <c r="ASM56" i="7" s="1"/>
  <c r="ASO56" i="7" s="1"/>
  <c r="ASQ56" i="7" s="1"/>
  <c r="ASS56" i="7" s="1"/>
  <c r="ASU56" i="7" s="1"/>
  <c r="ASW56" i="7" s="1"/>
  <c r="ASY56" i="7" s="1"/>
  <c r="ATA56" i="7" s="1"/>
  <c r="ATC56" i="7" s="1"/>
  <c r="ATE56" i="7" s="1"/>
  <c r="ATG56" i="7" s="1"/>
  <c r="ATI56" i="7" s="1"/>
  <c r="ATK56" i="7" s="1"/>
  <c r="ATM56" i="7" s="1"/>
  <c r="ATO56" i="7" s="1"/>
  <c r="ATQ56" i="7" s="1"/>
  <c r="ATS56" i="7" s="1"/>
  <c r="ATU56" i="7" s="1"/>
  <c r="ATW56" i="7" s="1"/>
  <c r="ATY56" i="7" s="1"/>
  <c r="AUA56" i="7" s="1"/>
  <c r="AUC56" i="7" s="1"/>
  <c r="AUE56" i="7" s="1"/>
  <c r="AUG56" i="7" s="1"/>
  <c r="AUI56" i="7" s="1"/>
  <c r="AUK56" i="7" s="1"/>
  <c r="AUM56" i="7" s="1"/>
  <c r="AUO56" i="7" s="1"/>
  <c r="AUQ56" i="7" s="1"/>
  <c r="AUS56" i="7" s="1"/>
  <c r="AUU56" i="7" s="1"/>
  <c r="AUW56" i="7" s="1"/>
  <c r="AUY56" i="7" s="1"/>
  <c r="AVA56" i="7" s="1"/>
  <c r="AVC56" i="7" s="1"/>
  <c r="AVE56" i="7" s="1"/>
  <c r="AVG56" i="7" s="1"/>
  <c r="AVI56" i="7" s="1"/>
  <c r="AVK56" i="7" s="1"/>
  <c r="AVM56" i="7" s="1"/>
  <c r="AVO56" i="7" s="1"/>
  <c r="AVQ56" i="7" s="1"/>
  <c r="AVS56" i="7" s="1"/>
  <c r="AVU56" i="7" s="1"/>
  <c r="AVW56" i="7" s="1"/>
  <c r="AVY56" i="7" s="1"/>
  <c r="AWA56" i="7" s="1"/>
  <c r="AWC56" i="7" s="1"/>
  <c r="AWE56" i="7" s="1"/>
  <c r="AWG56" i="7" s="1"/>
  <c r="AWI56" i="7" s="1"/>
  <c r="AWK56" i="7" s="1"/>
  <c r="AWM56" i="7" s="1"/>
  <c r="AWO56" i="7" s="1"/>
  <c r="AWQ56" i="7" s="1"/>
  <c r="AWS56" i="7" s="1"/>
  <c r="AWU56" i="7" s="1"/>
  <c r="AWW56" i="7" s="1"/>
  <c r="AWY56" i="7" s="1"/>
  <c r="AXA56" i="7" s="1"/>
  <c r="AXC56" i="7" s="1"/>
  <c r="AXE56" i="7" s="1"/>
  <c r="AXG56" i="7" s="1"/>
  <c r="AXI56" i="7" s="1"/>
  <c r="AXK56" i="7" s="1"/>
  <c r="AXM56" i="7" s="1"/>
  <c r="AXO56" i="7" s="1"/>
  <c r="AXQ56" i="7" s="1"/>
  <c r="AXS56" i="7" s="1"/>
  <c r="AXU56" i="7" s="1"/>
  <c r="AXW56" i="7" s="1"/>
  <c r="AXY56" i="7" s="1"/>
  <c r="AYA56" i="7" s="1"/>
  <c r="AYC56" i="7" s="1"/>
  <c r="AYE56" i="7" s="1"/>
  <c r="AYG56" i="7" s="1"/>
  <c r="AYI56" i="7" s="1"/>
  <c r="AYK56" i="7" s="1"/>
  <c r="AYM56" i="7" s="1"/>
  <c r="AYO56" i="7" s="1"/>
  <c r="AYQ56" i="7" s="1"/>
  <c r="AYS56" i="7" s="1"/>
  <c r="AYU56" i="7" s="1"/>
  <c r="AYW56" i="7" s="1"/>
  <c r="AYY56" i="7" s="1"/>
  <c r="AZA56" i="7" s="1"/>
  <c r="AZC56" i="7" s="1"/>
  <c r="AZE56" i="7" s="1"/>
  <c r="AZG56" i="7" s="1"/>
  <c r="AZI56" i="7" s="1"/>
  <c r="AZK56" i="7" s="1"/>
  <c r="AZM56" i="7" s="1"/>
  <c r="AZO56" i="7" s="1"/>
  <c r="AZQ56" i="7" s="1"/>
  <c r="AZS56" i="7" s="1"/>
  <c r="AZU56" i="7" s="1"/>
  <c r="AZW56" i="7" s="1"/>
  <c r="AZY56" i="7" s="1"/>
  <c r="BAA56" i="7" s="1"/>
  <c r="BAC56" i="7" s="1"/>
  <c r="BAE56" i="7" s="1"/>
  <c r="BAG56" i="7" s="1"/>
  <c r="BAI56" i="7" s="1"/>
  <c r="BAK56" i="7" s="1"/>
  <c r="BAM56" i="7" s="1"/>
  <c r="BAO56" i="7" s="1"/>
  <c r="BAQ56" i="7" s="1"/>
  <c r="BAS56" i="7" s="1"/>
  <c r="BAU56" i="7" s="1"/>
  <c r="BAW56" i="7" s="1"/>
  <c r="BAY56" i="7" s="1"/>
  <c r="BBA56" i="7" s="1"/>
  <c r="BBC56" i="7" s="1"/>
  <c r="BBE56" i="7" s="1"/>
  <c r="BBG56" i="7" s="1"/>
  <c r="BBI56" i="7" s="1"/>
  <c r="BBK56" i="7" s="1"/>
  <c r="BBM56" i="7" s="1"/>
  <c r="BBO56" i="7" s="1"/>
  <c r="BBQ56" i="7" s="1"/>
  <c r="BBS56" i="7" s="1"/>
  <c r="BBU56" i="7" s="1"/>
  <c r="BBW56" i="7" s="1"/>
  <c r="BBY56" i="7" s="1"/>
  <c r="BCA56" i="7" s="1"/>
  <c r="BCC56" i="7" s="1"/>
  <c r="BCE56" i="7" s="1"/>
  <c r="BCG56" i="7" s="1"/>
  <c r="BCI56" i="7" s="1"/>
  <c r="BCK56" i="7" s="1"/>
  <c r="BCM56" i="7" s="1"/>
  <c r="BCO56" i="7" s="1"/>
  <c r="BCQ56" i="7" s="1"/>
  <c r="BCS56" i="7" s="1"/>
  <c r="BCU56" i="7" s="1"/>
  <c r="BCW56" i="7" s="1"/>
  <c r="BCY56" i="7" s="1"/>
  <c r="BDA56" i="7" s="1"/>
  <c r="BDC56" i="7" s="1"/>
  <c r="BDE56" i="7" s="1"/>
  <c r="BDG56" i="7" s="1"/>
  <c r="BDI56" i="7" s="1"/>
  <c r="BDK56" i="7" s="1"/>
  <c r="BDM56" i="7" s="1"/>
  <c r="BDO56" i="7" s="1"/>
  <c r="BDQ56" i="7" s="1"/>
  <c r="BDS56" i="7" s="1"/>
  <c r="BDU56" i="7" s="1"/>
  <c r="BDW56" i="7" s="1"/>
  <c r="BDY56" i="7" s="1"/>
  <c r="BEA56" i="7" s="1"/>
  <c r="BEC56" i="7" s="1"/>
  <c r="BEE56" i="7" s="1"/>
  <c r="BEG56" i="7" s="1"/>
  <c r="BEI56" i="7" s="1"/>
  <c r="BEK56" i="7" s="1"/>
  <c r="BEM56" i="7" s="1"/>
  <c r="BEO56" i="7" s="1"/>
  <c r="BEQ56" i="7" s="1"/>
  <c r="BES56" i="7" s="1"/>
  <c r="BEU56" i="7" s="1"/>
  <c r="BEW56" i="7" s="1"/>
  <c r="BEY56" i="7" s="1"/>
  <c r="BFA56" i="7" s="1"/>
  <c r="BFC56" i="7" s="1"/>
  <c r="BFE56" i="7" s="1"/>
  <c r="BFG56" i="7" s="1"/>
  <c r="BFI56" i="7" s="1"/>
  <c r="BFK56" i="7" s="1"/>
  <c r="BFM56" i="7" s="1"/>
  <c r="BFO56" i="7" s="1"/>
  <c r="BFQ56" i="7" s="1"/>
  <c r="BFS56" i="7" s="1"/>
  <c r="BFU56" i="7" s="1"/>
  <c r="BFW56" i="7" s="1"/>
  <c r="BFY56" i="7" s="1"/>
  <c r="BGA56" i="7" s="1"/>
  <c r="BGC56" i="7" s="1"/>
  <c r="BGE56" i="7" s="1"/>
  <c r="BGG56" i="7" s="1"/>
  <c r="BGI56" i="7" s="1"/>
  <c r="BGK56" i="7" s="1"/>
  <c r="BGM56" i="7" s="1"/>
  <c r="BGO56" i="7" s="1"/>
  <c r="BGQ56" i="7" s="1"/>
  <c r="BGS56" i="7" s="1"/>
  <c r="BGU56" i="7" s="1"/>
  <c r="BGW56" i="7" s="1"/>
  <c r="BGY56" i="7" s="1"/>
  <c r="BHA56" i="7" s="1"/>
  <c r="BHC56" i="7" s="1"/>
  <c r="BHE56" i="7" s="1"/>
  <c r="BHG56" i="7" s="1"/>
  <c r="BHI56" i="7" s="1"/>
  <c r="BHK56" i="7" s="1"/>
  <c r="BHM56" i="7" s="1"/>
  <c r="BHO56" i="7" s="1"/>
  <c r="BHQ56" i="7" s="1"/>
  <c r="BHS56" i="7" s="1"/>
  <c r="BHU56" i="7" s="1"/>
  <c r="BHW56" i="7" s="1"/>
  <c r="BHY56" i="7" s="1"/>
  <c r="BIA56" i="7" s="1"/>
  <c r="BIC56" i="7" s="1"/>
  <c r="BIE56" i="7" s="1"/>
  <c r="BIG56" i="7" s="1"/>
  <c r="BII56" i="7" s="1"/>
  <c r="BIK56" i="7" s="1"/>
  <c r="BIM56" i="7" s="1"/>
  <c r="BIO56" i="7" s="1"/>
  <c r="BIQ56" i="7" s="1"/>
  <c r="BIS56" i="7" s="1"/>
  <c r="BIU56" i="7" s="1"/>
  <c r="BIW56" i="7" s="1"/>
  <c r="BIY56" i="7" s="1"/>
  <c r="BJA56" i="7" s="1"/>
  <c r="BJC56" i="7" s="1"/>
  <c r="BJE56" i="7" s="1"/>
  <c r="BJG56" i="7" s="1"/>
  <c r="BJI56" i="7" s="1"/>
  <c r="BJK56" i="7" s="1"/>
  <c r="BJM56" i="7" s="1"/>
  <c r="BJO56" i="7" s="1"/>
  <c r="BJQ56" i="7" s="1"/>
  <c r="BJS56" i="7" s="1"/>
  <c r="BJU56" i="7" s="1"/>
  <c r="BJW56" i="7" s="1"/>
  <c r="BJY56" i="7" s="1"/>
  <c r="BKA56" i="7" s="1"/>
  <c r="BKC56" i="7" s="1"/>
  <c r="BKE56" i="7" s="1"/>
  <c r="BKG56" i="7" s="1"/>
  <c r="BKI56" i="7" s="1"/>
  <c r="BKK56" i="7" s="1"/>
  <c r="BKM56" i="7" s="1"/>
  <c r="BKO56" i="7" s="1"/>
  <c r="BKQ56" i="7" s="1"/>
  <c r="BKS56" i="7" s="1"/>
  <c r="BKU56" i="7" s="1"/>
  <c r="BKW56" i="7" s="1"/>
  <c r="BKY56" i="7" s="1"/>
  <c r="BLA56" i="7" s="1"/>
  <c r="BLC56" i="7" s="1"/>
  <c r="BLE56" i="7" s="1"/>
  <c r="BLG56" i="7" s="1"/>
  <c r="BLI56" i="7" s="1"/>
  <c r="BLK56" i="7" s="1"/>
  <c r="BLM56" i="7" s="1"/>
  <c r="BLO56" i="7" s="1"/>
  <c r="BLQ56" i="7" s="1"/>
  <c r="BLS56" i="7" s="1"/>
  <c r="BLU56" i="7" s="1"/>
  <c r="BLW56" i="7" s="1"/>
  <c r="BLY56" i="7" s="1"/>
  <c r="BMA56" i="7" s="1"/>
  <c r="BMC56" i="7" s="1"/>
  <c r="BME56" i="7" s="1"/>
  <c r="BMG56" i="7" s="1"/>
  <c r="BMI56" i="7" s="1"/>
  <c r="BMK56" i="7" s="1"/>
  <c r="BMM56" i="7" s="1"/>
  <c r="BMO56" i="7" s="1"/>
  <c r="BMQ56" i="7" s="1"/>
  <c r="BMS56" i="7" s="1"/>
  <c r="BMU56" i="7" s="1"/>
  <c r="BMW56" i="7" s="1"/>
  <c r="BMY56" i="7" s="1"/>
  <c r="BNA56" i="7" s="1"/>
  <c r="BNC56" i="7" s="1"/>
  <c r="BNE56" i="7" s="1"/>
  <c r="BNG56" i="7" s="1"/>
  <c r="BNI56" i="7" s="1"/>
  <c r="BNK56" i="7" s="1"/>
  <c r="BNM56" i="7" s="1"/>
  <c r="BNO56" i="7" s="1"/>
  <c r="BNQ56" i="7" s="1"/>
  <c r="BNS56" i="7" s="1"/>
  <c r="BNU56" i="7" s="1"/>
  <c r="BNW56" i="7" s="1"/>
  <c r="BNY56" i="7" s="1"/>
  <c r="BOA56" i="7" s="1"/>
  <c r="BOC56" i="7" s="1"/>
  <c r="BOE56" i="7" s="1"/>
  <c r="BOG56" i="7" s="1"/>
  <c r="BOI56" i="7" s="1"/>
  <c r="BOK56" i="7" s="1"/>
  <c r="BOM56" i="7" s="1"/>
  <c r="BOO56" i="7" s="1"/>
  <c r="BOQ56" i="7" s="1"/>
  <c r="BOS56" i="7" s="1"/>
  <c r="BOU56" i="7" s="1"/>
  <c r="BOW56" i="7" s="1"/>
  <c r="BOY56" i="7" s="1"/>
  <c r="BPA56" i="7" s="1"/>
  <c r="BPC56" i="7" s="1"/>
  <c r="BPE56" i="7" s="1"/>
  <c r="BPG56" i="7" s="1"/>
  <c r="BPI56" i="7" s="1"/>
  <c r="BPK56" i="7" s="1"/>
  <c r="BPM56" i="7" s="1"/>
  <c r="BPO56" i="7" s="1"/>
  <c r="BPQ56" i="7" s="1"/>
  <c r="BPS56" i="7" s="1"/>
  <c r="BPU56" i="7" s="1"/>
  <c r="BPW56" i="7" s="1"/>
  <c r="BPY56" i="7" s="1"/>
  <c r="BQA56" i="7" s="1"/>
  <c r="BQC56" i="7" s="1"/>
  <c r="BQE56" i="7" s="1"/>
  <c r="BQG56" i="7" s="1"/>
  <c r="BQI56" i="7" s="1"/>
  <c r="BQK56" i="7" s="1"/>
  <c r="BQM56" i="7" s="1"/>
  <c r="BQO56" i="7" s="1"/>
  <c r="BQQ56" i="7" s="1"/>
  <c r="BQS56" i="7" s="1"/>
  <c r="BQU56" i="7" s="1"/>
  <c r="BQW56" i="7" s="1"/>
  <c r="BQY56" i="7" s="1"/>
  <c r="BRA56" i="7" s="1"/>
  <c r="BRC56" i="7" s="1"/>
  <c r="BRE56" i="7" s="1"/>
  <c r="BRG56" i="7" s="1"/>
  <c r="BRI56" i="7" s="1"/>
  <c r="BRK56" i="7" s="1"/>
  <c r="BRM56" i="7" s="1"/>
  <c r="BRO56" i="7" s="1"/>
  <c r="BRQ56" i="7" s="1"/>
  <c r="BRS56" i="7" s="1"/>
  <c r="BRU56" i="7" s="1"/>
  <c r="BRW56" i="7" s="1"/>
  <c r="BRY56" i="7" s="1"/>
  <c r="BSA56" i="7" s="1"/>
  <c r="BSC56" i="7" s="1"/>
  <c r="BSE56" i="7" s="1"/>
  <c r="BSG56" i="7" s="1"/>
  <c r="BSI56" i="7" s="1"/>
  <c r="BSK56" i="7" s="1"/>
  <c r="BSM56" i="7" s="1"/>
  <c r="BSO56" i="7" s="1"/>
  <c r="BSQ56" i="7" s="1"/>
  <c r="BSS56" i="7" s="1"/>
  <c r="BSU56" i="7" s="1"/>
  <c r="BSW56" i="7" s="1"/>
  <c r="BSY56" i="7" s="1"/>
  <c r="BTA56" i="7" s="1"/>
  <c r="BTC56" i="7" s="1"/>
  <c r="BTE56" i="7" s="1"/>
  <c r="BTG56" i="7" s="1"/>
  <c r="BTI56" i="7" s="1"/>
  <c r="BTK56" i="7" s="1"/>
  <c r="BTM56" i="7" s="1"/>
  <c r="BTO56" i="7" s="1"/>
  <c r="BTQ56" i="7" s="1"/>
  <c r="BTS56" i="7" s="1"/>
  <c r="BTU56" i="7" s="1"/>
  <c r="BTW56" i="7" s="1"/>
  <c r="BTY56" i="7" s="1"/>
  <c r="BUA56" i="7" s="1"/>
  <c r="BUC56" i="7" s="1"/>
  <c r="BUE56" i="7" s="1"/>
  <c r="BUG56" i="7" s="1"/>
  <c r="BUI56" i="7" s="1"/>
  <c r="BUK56" i="7" s="1"/>
  <c r="BUM56" i="7" s="1"/>
  <c r="BUO56" i="7" s="1"/>
  <c r="BUQ56" i="7" s="1"/>
  <c r="BUS56" i="7" s="1"/>
  <c r="BUU56" i="7" s="1"/>
  <c r="BUW56" i="7" s="1"/>
  <c r="BUY56" i="7" s="1"/>
  <c r="BVA56" i="7" s="1"/>
  <c r="BVC56" i="7" s="1"/>
  <c r="BVE56" i="7" s="1"/>
  <c r="BVG56" i="7" s="1"/>
  <c r="BVI56" i="7" s="1"/>
  <c r="BVK56" i="7" s="1"/>
  <c r="BVM56" i="7" s="1"/>
  <c r="BVO56" i="7" s="1"/>
  <c r="BVQ56" i="7" s="1"/>
  <c r="BVS56" i="7" s="1"/>
  <c r="BVU56" i="7" s="1"/>
  <c r="BVW56" i="7" s="1"/>
  <c r="BVY56" i="7" s="1"/>
  <c r="BWA56" i="7" s="1"/>
  <c r="BWC56" i="7" s="1"/>
  <c r="BWE56" i="7" s="1"/>
  <c r="BWG56" i="7" s="1"/>
  <c r="BWI56" i="7" s="1"/>
  <c r="BWK56" i="7" s="1"/>
  <c r="BWM56" i="7" s="1"/>
  <c r="BWO56" i="7" s="1"/>
  <c r="BWQ56" i="7" s="1"/>
  <c r="BWS56" i="7" s="1"/>
  <c r="BWU56" i="7" s="1"/>
  <c r="BWW56" i="7" s="1"/>
  <c r="BWY56" i="7" s="1"/>
  <c r="BXA56" i="7" s="1"/>
  <c r="BXC56" i="7" s="1"/>
  <c r="BXE56" i="7" s="1"/>
  <c r="BXG56" i="7" s="1"/>
  <c r="BXI56" i="7" s="1"/>
  <c r="BXK56" i="7" s="1"/>
  <c r="BXM56" i="7" s="1"/>
  <c r="BXO56" i="7" s="1"/>
  <c r="BXQ56" i="7" s="1"/>
  <c r="BXS56" i="7" s="1"/>
  <c r="BXU56" i="7" s="1"/>
  <c r="BXW56" i="7" s="1"/>
  <c r="BXY56" i="7" s="1"/>
  <c r="BYA56" i="7" s="1"/>
  <c r="BYC56" i="7" s="1"/>
  <c r="BYE56" i="7" s="1"/>
  <c r="BYG56" i="7" s="1"/>
  <c r="BYI56" i="7" s="1"/>
  <c r="BYK56" i="7" s="1"/>
  <c r="BYM56" i="7" s="1"/>
  <c r="BYO56" i="7" s="1"/>
  <c r="BYQ56" i="7" s="1"/>
  <c r="BYS56" i="7" s="1"/>
  <c r="BYU56" i="7" s="1"/>
  <c r="BYW56" i="7" s="1"/>
  <c r="BYY56" i="7" s="1"/>
  <c r="BZA56" i="7" s="1"/>
  <c r="BZC56" i="7" s="1"/>
  <c r="BZE56" i="7" s="1"/>
  <c r="BZG56" i="7" s="1"/>
  <c r="BZI56" i="7" s="1"/>
  <c r="BZK56" i="7" s="1"/>
  <c r="BZM56" i="7" s="1"/>
  <c r="BZO56" i="7" s="1"/>
  <c r="BZQ56" i="7" s="1"/>
  <c r="BZS56" i="7" s="1"/>
  <c r="BZU56" i="7" s="1"/>
  <c r="BZW56" i="7" s="1"/>
  <c r="BZY56" i="7" s="1"/>
  <c r="CAA56" i="7" s="1"/>
  <c r="CAC56" i="7" s="1"/>
  <c r="CAE56" i="7" s="1"/>
  <c r="CAG56" i="7" s="1"/>
  <c r="CAI56" i="7" s="1"/>
  <c r="CAK56" i="7" s="1"/>
  <c r="CAM56" i="7" s="1"/>
  <c r="CAO56" i="7" s="1"/>
  <c r="CAQ56" i="7" s="1"/>
  <c r="CAS56" i="7" s="1"/>
  <c r="CAU56" i="7" s="1"/>
  <c r="CAW56" i="7" s="1"/>
  <c r="CAY56" i="7" s="1"/>
  <c r="CBA56" i="7" s="1"/>
  <c r="CBC56" i="7" s="1"/>
  <c r="CBE56" i="7" s="1"/>
  <c r="CBG56" i="7" s="1"/>
  <c r="CBI56" i="7" s="1"/>
  <c r="CBK56" i="7" s="1"/>
  <c r="CBM56" i="7" s="1"/>
  <c r="CBO56" i="7" s="1"/>
  <c r="CBQ56" i="7" s="1"/>
  <c r="CBS56" i="7" s="1"/>
  <c r="CBU56" i="7" s="1"/>
  <c r="CBW56" i="7" s="1"/>
  <c r="CBY56" i="7" s="1"/>
  <c r="CCA56" i="7" s="1"/>
  <c r="CCC56" i="7" s="1"/>
  <c r="CCE56" i="7" s="1"/>
  <c r="CCG56" i="7" s="1"/>
  <c r="CCI56" i="7" s="1"/>
  <c r="CCK56" i="7" s="1"/>
  <c r="CCM56" i="7" s="1"/>
  <c r="CCO56" i="7" s="1"/>
  <c r="CCQ56" i="7" s="1"/>
  <c r="CCS56" i="7" s="1"/>
  <c r="CCU56" i="7" s="1"/>
  <c r="CCW56" i="7" s="1"/>
  <c r="CCY56" i="7" s="1"/>
  <c r="CDA56" i="7" s="1"/>
  <c r="CDC56" i="7" s="1"/>
  <c r="CDE56" i="7" s="1"/>
  <c r="CDG56" i="7" s="1"/>
  <c r="CDI56" i="7" s="1"/>
  <c r="CDK56" i="7" s="1"/>
  <c r="CDM56" i="7" s="1"/>
  <c r="CDO56" i="7" s="1"/>
  <c r="CDQ56" i="7" s="1"/>
  <c r="CDS56" i="7" s="1"/>
  <c r="CDU56" i="7" s="1"/>
  <c r="CDW56" i="7" s="1"/>
  <c r="CDY56" i="7" s="1"/>
  <c r="CEA56" i="7" s="1"/>
  <c r="CEC56" i="7" s="1"/>
  <c r="CEE56" i="7" s="1"/>
  <c r="CEG56" i="7" s="1"/>
  <c r="CEI56" i="7" s="1"/>
  <c r="CEK56" i="7" s="1"/>
  <c r="CEM56" i="7" s="1"/>
  <c r="CEO56" i="7" s="1"/>
  <c r="CEQ56" i="7" s="1"/>
  <c r="CES56" i="7" s="1"/>
  <c r="CEU56" i="7" s="1"/>
  <c r="CEW56" i="7" s="1"/>
  <c r="CEY56" i="7" s="1"/>
  <c r="CFA56" i="7" s="1"/>
  <c r="CFC56" i="7" s="1"/>
  <c r="CFE56" i="7" s="1"/>
  <c r="CFG56" i="7" s="1"/>
  <c r="CFI56" i="7" s="1"/>
  <c r="CFK56" i="7" s="1"/>
  <c r="CFM56" i="7" s="1"/>
  <c r="CFO56" i="7" s="1"/>
  <c r="CFQ56" i="7" s="1"/>
  <c r="CFS56" i="7" s="1"/>
  <c r="CFU56" i="7" s="1"/>
  <c r="CFW56" i="7" s="1"/>
  <c r="CFY56" i="7" s="1"/>
  <c r="CGA56" i="7" s="1"/>
  <c r="CGC56" i="7" s="1"/>
  <c r="CGE56" i="7" s="1"/>
  <c r="CGG56" i="7" s="1"/>
  <c r="CGI56" i="7" s="1"/>
  <c r="CGK56" i="7" s="1"/>
  <c r="CGM56" i="7" s="1"/>
  <c r="CGO56" i="7" s="1"/>
  <c r="CGQ56" i="7" s="1"/>
  <c r="CGS56" i="7" s="1"/>
  <c r="CGU56" i="7" s="1"/>
  <c r="CGW56" i="7" s="1"/>
  <c r="CGY56" i="7" s="1"/>
  <c r="CHA56" i="7" s="1"/>
  <c r="CHC56" i="7" s="1"/>
  <c r="CHE56" i="7" s="1"/>
  <c r="CHG56" i="7" s="1"/>
  <c r="CHI56" i="7" s="1"/>
  <c r="CHK56" i="7" s="1"/>
  <c r="CHM56" i="7" s="1"/>
  <c r="CHO56" i="7" s="1"/>
  <c r="CHQ56" i="7" s="1"/>
  <c r="CHS56" i="7" s="1"/>
  <c r="CHU56" i="7" s="1"/>
  <c r="CHW56" i="7" s="1"/>
  <c r="CHY56" i="7" s="1"/>
  <c r="CIA56" i="7" s="1"/>
  <c r="CIC56" i="7" s="1"/>
  <c r="CIE56" i="7" s="1"/>
  <c r="CIG56" i="7" s="1"/>
  <c r="CII56" i="7" s="1"/>
  <c r="CIK56" i="7" s="1"/>
  <c r="CIM56" i="7" s="1"/>
  <c r="CIO56" i="7" s="1"/>
  <c r="CIQ56" i="7" s="1"/>
  <c r="CIS56" i="7" s="1"/>
  <c r="CIU56" i="7" s="1"/>
  <c r="CIW56" i="7" s="1"/>
  <c r="CIY56" i="7" s="1"/>
  <c r="CJA56" i="7" s="1"/>
  <c r="CJC56" i="7" s="1"/>
  <c r="CJE56" i="7" s="1"/>
  <c r="CJG56" i="7" s="1"/>
  <c r="CJI56" i="7" s="1"/>
  <c r="CJK56" i="7" s="1"/>
  <c r="CJM56" i="7" s="1"/>
  <c r="CJO56" i="7" s="1"/>
  <c r="CJQ56" i="7" s="1"/>
  <c r="CJS56" i="7" s="1"/>
  <c r="CJU56" i="7" s="1"/>
  <c r="CJW56" i="7" s="1"/>
  <c r="CJY56" i="7" s="1"/>
  <c r="CKA56" i="7" s="1"/>
  <c r="CKC56" i="7" s="1"/>
  <c r="CKE56" i="7" s="1"/>
  <c r="CKG56" i="7" s="1"/>
  <c r="CKI56" i="7" s="1"/>
  <c r="CKK56" i="7" s="1"/>
  <c r="CKM56" i="7" s="1"/>
  <c r="CKO56" i="7" s="1"/>
  <c r="CKQ56" i="7" s="1"/>
  <c r="CKS56" i="7" s="1"/>
  <c r="CKU56" i="7" s="1"/>
  <c r="CKW56" i="7" s="1"/>
  <c r="CKY56" i="7" s="1"/>
  <c r="CLA56" i="7" s="1"/>
  <c r="CLC56" i="7" s="1"/>
  <c r="CLE56" i="7" s="1"/>
  <c r="CLG56" i="7" s="1"/>
  <c r="CLI56" i="7" s="1"/>
  <c r="CLK56" i="7" s="1"/>
  <c r="CLM56" i="7" s="1"/>
  <c r="CLO56" i="7" s="1"/>
  <c r="CLQ56" i="7" s="1"/>
  <c r="CLS56" i="7" s="1"/>
  <c r="CLU56" i="7" s="1"/>
  <c r="CLW56" i="7" s="1"/>
  <c r="CLY56" i="7" s="1"/>
  <c r="CMA56" i="7" s="1"/>
  <c r="CMC56" i="7" s="1"/>
  <c r="CME56" i="7" s="1"/>
  <c r="CMG56" i="7" s="1"/>
  <c r="CMI56" i="7" s="1"/>
  <c r="CMK56" i="7" s="1"/>
  <c r="CMM56" i="7" s="1"/>
  <c r="CMO56" i="7" s="1"/>
  <c r="CMQ56" i="7" s="1"/>
  <c r="CMS56" i="7" s="1"/>
  <c r="CMU56" i="7" s="1"/>
  <c r="CMW56" i="7" s="1"/>
  <c r="CMY56" i="7" s="1"/>
  <c r="CNA56" i="7" s="1"/>
  <c r="CNC56" i="7" s="1"/>
  <c r="CNE56" i="7" s="1"/>
  <c r="CNG56" i="7" s="1"/>
  <c r="CNI56" i="7" s="1"/>
  <c r="CNK56" i="7" s="1"/>
  <c r="CNM56" i="7" s="1"/>
  <c r="CNO56" i="7" s="1"/>
  <c r="CNQ56" i="7" s="1"/>
  <c r="CNS56" i="7" s="1"/>
  <c r="CNU56" i="7" s="1"/>
  <c r="CNW56" i="7" s="1"/>
  <c r="CNY56" i="7" s="1"/>
  <c r="COA56" i="7" s="1"/>
  <c r="COC56" i="7" s="1"/>
  <c r="COE56" i="7" s="1"/>
  <c r="COG56" i="7" s="1"/>
  <c r="COI56" i="7" s="1"/>
  <c r="COK56" i="7" s="1"/>
  <c r="COM56" i="7" s="1"/>
  <c r="COO56" i="7" s="1"/>
  <c r="COQ56" i="7" s="1"/>
  <c r="COS56" i="7" s="1"/>
  <c r="COU56" i="7" s="1"/>
  <c r="COW56" i="7" s="1"/>
  <c r="COY56" i="7" s="1"/>
  <c r="CPA56" i="7" s="1"/>
  <c r="CPC56" i="7" s="1"/>
  <c r="CPE56" i="7" s="1"/>
  <c r="CPG56" i="7" s="1"/>
  <c r="CPI56" i="7" s="1"/>
  <c r="CPK56" i="7" s="1"/>
  <c r="CPM56" i="7" s="1"/>
  <c r="CPO56" i="7" s="1"/>
  <c r="CPQ56" i="7" s="1"/>
  <c r="CPS56" i="7" s="1"/>
  <c r="CPU56" i="7" s="1"/>
  <c r="CPW56" i="7" s="1"/>
  <c r="CPY56" i="7" s="1"/>
  <c r="CQA56" i="7" s="1"/>
  <c r="CQC56" i="7" s="1"/>
  <c r="CQE56" i="7" s="1"/>
  <c r="CQG56" i="7" s="1"/>
  <c r="CQI56" i="7" s="1"/>
  <c r="CQK56" i="7" s="1"/>
  <c r="CQM56" i="7" s="1"/>
  <c r="CQO56" i="7" s="1"/>
  <c r="CQQ56" i="7" s="1"/>
  <c r="CQS56" i="7" s="1"/>
  <c r="CQU56" i="7" s="1"/>
  <c r="CQW56" i="7" s="1"/>
  <c r="CQY56" i="7" s="1"/>
  <c r="CRA56" i="7" s="1"/>
  <c r="CRC56" i="7" s="1"/>
  <c r="CRE56" i="7" s="1"/>
  <c r="CRG56" i="7" s="1"/>
  <c r="CRI56" i="7" s="1"/>
  <c r="CRK56" i="7" s="1"/>
  <c r="CRM56" i="7" s="1"/>
  <c r="CRO56" i="7" s="1"/>
  <c r="CRQ56" i="7" s="1"/>
  <c r="CRS56" i="7" s="1"/>
  <c r="CRU56" i="7" s="1"/>
  <c r="CRW56" i="7" s="1"/>
  <c r="CRY56" i="7" s="1"/>
  <c r="CSA56" i="7" s="1"/>
  <c r="CSC56" i="7" s="1"/>
  <c r="CSE56" i="7" s="1"/>
  <c r="CSG56" i="7" s="1"/>
  <c r="CSI56" i="7" s="1"/>
  <c r="CSK56" i="7" s="1"/>
  <c r="CSM56" i="7" s="1"/>
  <c r="CSO56" i="7" s="1"/>
  <c r="CSQ56" i="7" s="1"/>
  <c r="CSS56" i="7" s="1"/>
  <c r="CSU56" i="7" s="1"/>
  <c r="CSW56" i="7" s="1"/>
  <c r="CSY56" i="7" s="1"/>
  <c r="CTA56" i="7" s="1"/>
  <c r="CTC56" i="7" s="1"/>
  <c r="CTE56" i="7" s="1"/>
  <c r="CTG56" i="7" s="1"/>
  <c r="CTI56" i="7" s="1"/>
  <c r="CTK56" i="7" s="1"/>
  <c r="CTM56" i="7" s="1"/>
  <c r="CTO56" i="7" s="1"/>
  <c r="CTQ56" i="7" s="1"/>
  <c r="CTS56" i="7" s="1"/>
  <c r="CTU56" i="7" s="1"/>
  <c r="CTW56" i="7" s="1"/>
  <c r="CTY56" i="7" s="1"/>
  <c r="CUA56" i="7" s="1"/>
  <c r="CUC56" i="7" s="1"/>
  <c r="CUE56" i="7" s="1"/>
  <c r="CUG56" i="7" s="1"/>
  <c r="CUI56" i="7" s="1"/>
  <c r="CUK56" i="7" s="1"/>
  <c r="CUM56" i="7" s="1"/>
  <c r="CUO56" i="7" s="1"/>
  <c r="CUQ56" i="7" s="1"/>
  <c r="CUS56" i="7" s="1"/>
  <c r="CUU56" i="7" s="1"/>
  <c r="CUW56" i="7" s="1"/>
  <c r="CUY56" i="7" s="1"/>
  <c r="CVA56" i="7" s="1"/>
  <c r="CVC56" i="7" s="1"/>
  <c r="CVE56" i="7" s="1"/>
  <c r="CVG56" i="7" s="1"/>
  <c r="CVI56" i="7" s="1"/>
  <c r="CVK56" i="7" s="1"/>
  <c r="CVM56" i="7" s="1"/>
  <c r="CVO56" i="7" s="1"/>
  <c r="CVQ56" i="7" s="1"/>
  <c r="CVS56" i="7" s="1"/>
  <c r="CVU56" i="7" s="1"/>
  <c r="CVW56" i="7" s="1"/>
  <c r="CVY56" i="7" s="1"/>
  <c r="CWA56" i="7" s="1"/>
  <c r="CWC56" i="7" s="1"/>
  <c r="CWE56" i="7" s="1"/>
  <c r="CWG56" i="7" s="1"/>
  <c r="CWI56" i="7" s="1"/>
  <c r="CWK56" i="7" s="1"/>
  <c r="CWM56" i="7" s="1"/>
  <c r="CWO56" i="7" s="1"/>
  <c r="CWQ56" i="7" s="1"/>
  <c r="CWS56" i="7" s="1"/>
  <c r="CWU56" i="7" s="1"/>
  <c r="CWW56" i="7" s="1"/>
  <c r="CWY56" i="7" s="1"/>
  <c r="CXA56" i="7" s="1"/>
  <c r="CXC56" i="7" s="1"/>
  <c r="CXE56" i="7" s="1"/>
  <c r="CXG56" i="7" s="1"/>
  <c r="CXI56" i="7" s="1"/>
  <c r="CXK56" i="7" s="1"/>
  <c r="CXM56" i="7" s="1"/>
  <c r="CXO56" i="7" s="1"/>
  <c r="CXQ56" i="7" s="1"/>
  <c r="CXS56" i="7" s="1"/>
  <c r="CXU56" i="7" s="1"/>
  <c r="CXW56" i="7" s="1"/>
  <c r="CXY56" i="7" s="1"/>
  <c r="CYA56" i="7" s="1"/>
  <c r="CYC56" i="7" s="1"/>
  <c r="CYE56" i="7" s="1"/>
  <c r="CYG56" i="7" s="1"/>
  <c r="CYI56" i="7" s="1"/>
  <c r="CYK56" i="7" s="1"/>
  <c r="CYM56" i="7" s="1"/>
  <c r="CYO56" i="7" s="1"/>
  <c r="CYQ56" i="7" s="1"/>
  <c r="CYS56" i="7" s="1"/>
  <c r="CYU56" i="7" s="1"/>
  <c r="CYW56" i="7" s="1"/>
  <c r="CYY56" i="7" s="1"/>
  <c r="CZA56" i="7" s="1"/>
  <c r="CZC56" i="7" s="1"/>
  <c r="CZE56" i="7" s="1"/>
  <c r="CZG56" i="7" s="1"/>
  <c r="CZI56" i="7" s="1"/>
  <c r="CZK56" i="7" s="1"/>
  <c r="CZM56" i="7" s="1"/>
  <c r="CZO56" i="7" s="1"/>
  <c r="CZQ56" i="7" s="1"/>
  <c r="CZS56" i="7" s="1"/>
  <c r="CZU56" i="7" s="1"/>
  <c r="CZW56" i="7" s="1"/>
  <c r="CZY56" i="7" s="1"/>
  <c r="DAA56" i="7" s="1"/>
  <c r="DAC56" i="7" s="1"/>
  <c r="DAE56" i="7" s="1"/>
  <c r="DAG56" i="7" s="1"/>
  <c r="DAI56" i="7" s="1"/>
  <c r="DAK56" i="7" s="1"/>
  <c r="DAM56" i="7" s="1"/>
  <c r="DAO56" i="7" s="1"/>
  <c r="DAQ56" i="7" s="1"/>
  <c r="DAS56" i="7" s="1"/>
  <c r="DAU56" i="7" s="1"/>
  <c r="DAW56" i="7" s="1"/>
  <c r="DAY56" i="7" s="1"/>
  <c r="DBA56" i="7" s="1"/>
  <c r="DBC56" i="7" s="1"/>
  <c r="DBE56" i="7" s="1"/>
  <c r="DBG56" i="7" s="1"/>
  <c r="DBI56" i="7" s="1"/>
  <c r="DBK56" i="7" s="1"/>
  <c r="DBM56" i="7" s="1"/>
  <c r="DBO56" i="7" s="1"/>
  <c r="DBQ56" i="7" s="1"/>
  <c r="DBS56" i="7" s="1"/>
  <c r="DBU56" i="7" s="1"/>
  <c r="DBW56" i="7" s="1"/>
  <c r="DBY56" i="7" s="1"/>
  <c r="DCA56" i="7" s="1"/>
  <c r="DCC56" i="7" s="1"/>
  <c r="DCE56" i="7" s="1"/>
  <c r="DCG56" i="7" s="1"/>
  <c r="DCI56" i="7" s="1"/>
  <c r="DCK56" i="7" s="1"/>
  <c r="DCM56" i="7" s="1"/>
  <c r="DCO56" i="7" s="1"/>
  <c r="DCQ56" i="7" s="1"/>
  <c r="DCS56" i="7" s="1"/>
  <c r="DCU56" i="7" s="1"/>
  <c r="DCW56" i="7" s="1"/>
  <c r="DCY56" i="7" s="1"/>
  <c r="DDA56" i="7" s="1"/>
  <c r="DDC56" i="7" s="1"/>
  <c r="DDE56" i="7" s="1"/>
  <c r="DDG56" i="7" s="1"/>
  <c r="DDI56" i="7" s="1"/>
  <c r="DDK56" i="7" s="1"/>
  <c r="DDM56" i="7" s="1"/>
  <c r="DDO56" i="7" s="1"/>
  <c r="DDQ56" i="7" s="1"/>
  <c r="DDS56" i="7" s="1"/>
  <c r="DDU56" i="7" s="1"/>
  <c r="DDW56" i="7" s="1"/>
  <c r="DDY56" i="7" s="1"/>
  <c r="DEA56" i="7" s="1"/>
  <c r="DEC56" i="7" s="1"/>
  <c r="DEE56" i="7" s="1"/>
  <c r="DEG56" i="7" s="1"/>
  <c r="DEI56" i="7" s="1"/>
  <c r="DEK56" i="7" s="1"/>
  <c r="DEM56" i="7" s="1"/>
  <c r="DEO56" i="7" s="1"/>
  <c r="DEQ56" i="7" s="1"/>
  <c r="DES56" i="7" s="1"/>
  <c r="DEU56" i="7" s="1"/>
  <c r="DEW56" i="7" s="1"/>
  <c r="DEY56" i="7" s="1"/>
  <c r="DFA56" i="7" s="1"/>
  <c r="DFC56" i="7" s="1"/>
  <c r="DFE56" i="7" s="1"/>
  <c r="DFG56" i="7" s="1"/>
  <c r="DFI56" i="7" s="1"/>
  <c r="DFK56" i="7" s="1"/>
  <c r="DFM56" i="7" s="1"/>
  <c r="DFO56" i="7" s="1"/>
  <c r="DFQ56" i="7" s="1"/>
  <c r="DFS56" i="7" s="1"/>
  <c r="DFU56" i="7" s="1"/>
  <c r="DFW56" i="7" s="1"/>
  <c r="DFY56" i="7" s="1"/>
  <c r="DGA56" i="7" s="1"/>
  <c r="DGC56" i="7" s="1"/>
  <c r="DGE56" i="7" s="1"/>
  <c r="DGG56" i="7" s="1"/>
  <c r="DGI56" i="7" s="1"/>
  <c r="DGK56" i="7" s="1"/>
  <c r="DGM56" i="7" s="1"/>
  <c r="DGO56" i="7" s="1"/>
  <c r="DGQ56" i="7" s="1"/>
  <c r="DGS56" i="7" s="1"/>
  <c r="DGU56" i="7" s="1"/>
  <c r="DGW56" i="7" s="1"/>
  <c r="DGY56" i="7" s="1"/>
  <c r="DHA56" i="7" s="1"/>
  <c r="DHC56" i="7" s="1"/>
  <c r="DHE56" i="7" s="1"/>
  <c r="DHG56" i="7" s="1"/>
  <c r="DHI56" i="7" s="1"/>
  <c r="DHK56" i="7" s="1"/>
  <c r="DHM56" i="7" s="1"/>
  <c r="DHO56" i="7" s="1"/>
  <c r="DHQ56" i="7" s="1"/>
  <c r="DHS56" i="7" s="1"/>
  <c r="DHU56" i="7" s="1"/>
  <c r="DHW56" i="7" s="1"/>
  <c r="DHY56" i="7" s="1"/>
  <c r="DIA56" i="7" s="1"/>
  <c r="DIC56" i="7" s="1"/>
  <c r="DIE56" i="7" s="1"/>
  <c r="DIG56" i="7" s="1"/>
  <c r="DII56" i="7" s="1"/>
  <c r="DIK56" i="7" s="1"/>
  <c r="DIM56" i="7" s="1"/>
  <c r="DIO56" i="7" s="1"/>
  <c r="DIQ56" i="7" s="1"/>
  <c r="DIS56" i="7" s="1"/>
  <c r="DIU56" i="7" s="1"/>
  <c r="DIW56" i="7" s="1"/>
  <c r="DIY56" i="7" s="1"/>
  <c r="DJA56" i="7" s="1"/>
  <c r="DJC56" i="7" s="1"/>
  <c r="DJE56" i="7" s="1"/>
  <c r="DJG56" i="7" s="1"/>
  <c r="DJI56" i="7" s="1"/>
  <c r="DJK56" i="7" s="1"/>
  <c r="DJM56" i="7" s="1"/>
  <c r="DJO56" i="7" s="1"/>
  <c r="DJQ56" i="7" s="1"/>
  <c r="DJS56" i="7" s="1"/>
  <c r="DJU56" i="7" s="1"/>
  <c r="DJW56" i="7" s="1"/>
  <c r="DJY56" i="7" s="1"/>
  <c r="DKA56" i="7" s="1"/>
  <c r="DKC56" i="7" s="1"/>
  <c r="DKE56" i="7" s="1"/>
  <c r="DKG56" i="7" s="1"/>
  <c r="DKI56" i="7" s="1"/>
  <c r="DKK56" i="7" s="1"/>
  <c r="DKM56" i="7" s="1"/>
  <c r="DKO56" i="7" s="1"/>
  <c r="DKQ56" i="7" s="1"/>
  <c r="DKS56" i="7" s="1"/>
  <c r="DKU56" i="7" s="1"/>
  <c r="DKW56" i="7" s="1"/>
  <c r="DKY56" i="7" s="1"/>
  <c r="DLA56" i="7" s="1"/>
  <c r="DLC56" i="7" s="1"/>
  <c r="DLE56" i="7" s="1"/>
  <c r="DLG56" i="7" s="1"/>
  <c r="DLI56" i="7" s="1"/>
  <c r="DLK56" i="7" s="1"/>
  <c r="DLM56" i="7" s="1"/>
  <c r="DLO56" i="7" s="1"/>
  <c r="DLQ56" i="7" s="1"/>
  <c r="DLS56" i="7" s="1"/>
  <c r="DLU56" i="7" s="1"/>
  <c r="DLW56" i="7" s="1"/>
  <c r="DLY56" i="7" s="1"/>
  <c r="DMA56" i="7" s="1"/>
  <c r="DMC56" i="7" s="1"/>
  <c r="DME56" i="7" s="1"/>
  <c r="DMG56" i="7" s="1"/>
  <c r="DMI56" i="7" s="1"/>
  <c r="DMK56" i="7" s="1"/>
  <c r="DMM56" i="7" s="1"/>
  <c r="DMO56" i="7" s="1"/>
  <c r="DMQ56" i="7" s="1"/>
  <c r="DMS56" i="7" s="1"/>
  <c r="DMU56" i="7" s="1"/>
  <c r="DMW56" i="7" s="1"/>
  <c r="DMY56" i="7" s="1"/>
  <c r="DNA56" i="7" s="1"/>
  <c r="DNC56" i="7" s="1"/>
  <c r="DNE56" i="7" s="1"/>
  <c r="DNG56" i="7" s="1"/>
  <c r="DNI56" i="7" s="1"/>
  <c r="DNK56" i="7" s="1"/>
  <c r="DNM56" i="7" s="1"/>
  <c r="DNO56" i="7" s="1"/>
  <c r="DNQ56" i="7" s="1"/>
  <c r="DNS56" i="7" s="1"/>
  <c r="DNU56" i="7" s="1"/>
  <c r="DNW56" i="7" s="1"/>
  <c r="DNY56" i="7" s="1"/>
  <c r="DOA56" i="7" s="1"/>
  <c r="DOC56" i="7" s="1"/>
  <c r="DOE56" i="7" s="1"/>
  <c r="DOG56" i="7" s="1"/>
  <c r="DOI56" i="7" s="1"/>
  <c r="DOK56" i="7" s="1"/>
  <c r="DOM56" i="7" s="1"/>
  <c r="DOO56" i="7" s="1"/>
  <c r="DOQ56" i="7" s="1"/>
  <c r="DOS56" i="7" s="1"/>
  <c r="DOU56" i="7" s="1"/>
  <c r="DOW56" i="7" s="1"/>
  <c r="DOY56" i="7" s="1"/>
  <c r="DPA56" i="7" s="1"/>
  <c r="DPC56" i="7" s="1"/>
  <c r="DPE56" i="7" s="1"/>
  <c r="DPG56" i="7" s="1"/>
  <c r="DPI56" i="7" s="1"/>
  <c r="DPK56" i="7" s="1"/>
  <c r="DPM56" i="7" s="1"/>
  <c r="DPO56" i="7" s="1"/>
  <c r="DPQ56" i="7" s="1"/>
  <c r="DPS56" i="7" s="1"/>
  <c r="DPU56" i="7" s="1"/>
  <c r="DPW56" i="7" s="1"/>
  <c r="DPY56" i="7" s="1"/>
  <c r="DQA56" i="7" s="1"/>
  <c r="DQC56" i="7" s="1"/>
  <c r="DQE56" i="7" s="1"/>
  <c r="DQG56" i="7" s="1"/>
  <c r="DQI56" i="7" s="1"/>
  <c r="DQK56" i="7" s="1"/>
  <c r="DQM56" i="7" s="1"/>
  <c r="DQO56" i="7" s="1"/>
  <c r="DQQ56" i="7" s="1"/>
  <c r="DQS56" i="7" s="1"/>
  <c r="DQU56" i="7" s="1"/>
  <c r="DQW56" i="7" s="1"/>
  <c r="DQY56" i="7" s="1"/>
  <c r="DRA56" i="7" s="1"/>
  <c r="DRC56" i="7" s="1"/>
  <c r="DRE56" i="7" s="1"/>
  <c r="DRG56" i="7" s="1"/>
  <c r="DRI56" i="7" s="1"/>
  <c r="DRK56" i="7" s="1"/>
  <c r="DRM56" i="7" s="1"/>
  <c r="DRO56" i="7" s="1"/>
  <c r="DRQ56" i="7" s="1"/>
  <c r="DRS56" i="7" s="1"/>
  <c r="DRU56" i="7" s="1"/>
  <c r="DRW56" i="7" s="1"/>
  <c r="DRY56" i="7" s="1"/>
  <c r="DSA56" i="7" s="1"/>
  <c r="DSC56" i="7" s="1"/>
  <c r="DSE56" i="7" s="1"/>
  <c r="DSG56" i="7" s="1"/>
  <c r="DSI56" i="7" s="1"/>
  <c r="DSK56" i="7" s="1"/>
  <c r="DSM56" i="7" s="1"/>
  <c r="DSO56" i="7" s="1"/>
  <c r="DSQ56" i="7" s="1"/>
  <c r="DSS56" i="7" s="1"/>
  <c r="DSU56" i="7" s="1"/>
  <c r="DSW56" i="7" s="1"/>
  <c r="DSY56" i="7" s="1"/>
  <c r="DTA56" i="7" s="1"/>
  <c r="DTC56" i="7" s="1"/>
  <c r="DTE56" i="7" s="1"/>
  <c r="DTG56" i="7" s="1"/>
  <c r="DTI56" i="7" s="1"/>
  <c r="DTK56" i="7" s="1"/>
  <c r="DTM56" i="7" s="1"/>
  <c r="DTO56" i="7" s="1"/>
  <c r="DTQ56" i="7" s="1"/>
  <c r="DTS56" i="7" s="1"/>
  <c r="DTU56" i="7" s="1"/>
  <c r="DTW56" i="7" s="1"/>
  <c r="DTY56" i="7" s="1"/>
  <c r="DUA56" i="7" s="1"/>
  <c r="DUC56" i="7" s="1"/>
  <c r="DUE56" i="7" s="1"/>
  <c r="DUG56" i="7" s="1"/>
  <c r="DUI56" i="7" s="1"/>
  <c r="DUK56" i="7" s="1"/>
  <c r="DUM56" i="7" s="1"/>
  <c r="DUO56" i="7" s="1"/>
  <c r="DUQ56" i="7" s="1"/>
  <c r="DUS56" i="7" s="1"/>
  <c r="DUU56" i="7" s="1"/>
  <c r="DUW56" i="7" s="1"/>
  <c r="DUY56" i="7" s="1"/>
  <c r="DVA56" i="7" s="1"/>
  <c r="DVC56" i="7" s="1"/>
  <c r="DVE56" i="7" s="1"/>
  <c r="DVG56" i="7" s="1"/>
  <c r="DVI56" i="7" s="1"/>
  <c r="DVK56" i="7" s="1"/>
  <c r="DVM56" i="7" s="1"/>
  <c r="DVO56" i="7" s="1"/>
  <c r="DVQ56" i="7" s="1"/>
  <c r="DVS56" i="7" s="1"/>
  <c r="DVU56" i="7" s="1"/>
  <c r="DVW56" i="7" s="1"/>
  <c r="DVY56" i="7" s="1"/>
  <c r="DWA56" i="7" s="1"/>
  <c r="DWC56" i="7" s="1"/>
  <c r="DWE56" i="7" s="1"/>
  <c r="DWG56" i="7" s="1"/>
  <c r="DWI56" i="7" s="1"/>
  <c r="DWK56" i="7" s="1"/>
  <c r="DWM56" i="7" s="1"/>
  <c r="DWO56" i="7" s="1"/>
  <c r="DWQ56" i="7" s="1"/>
  <c r="DWS56" i="7" s="1"/>
  <c r="DWU56" i="7" s="1"/>
  <c r="DWW56" i="7" s="1"/>
  <c r="DWY56" i="7" s="1"/>
  <c r="DXA56" i="7" s="1"/>
  <c r="DXC56" i="7" s="1"/>
  <c r="DXE56" i="7" s="1"/>
  <c r="DXG56" i="7" s="1"/>
  <c r="DXI56" i="7" s="1"/>
  <c r="DXK56" i="7" s="1"/>
  <c r="DXM56" i="7" s="1"/>
  <c r="DXO56" i="7" s="1"/>
  <c r="DXQ56" i="7" s="1"/>
  <c r="DXS56" i="7" s="1"/>
  <c r="DXU56" i="7" s="1"/>
  <c r="DXW56" i="7" s="1"/>
  <c r="DXY56" i="7" s="1"/>
  <c r="DYA56" i="7" s="1"/>
  <c r="DYC56" i="7" s="1"/>
  <c r="DYE56" i="7" s="1"/>
  <c r="DYG56" i="7" s="1"/>
  <c r="DYI56" i="7" s="1"/>
  <c r="DYK56" i="7" s="1"/>
  <c r="DYM56" i="7" s="1"/>
  <c r="DYO56" i="7" s="1"/>
  <c r="DYQ56" i="7" s="1"/>
  <c r="DYS56" i="7" s="1"/>
  <c r="DYU56" i="7" s="1"/>
  <c r="DYW56" i="7" s="1"/>
  <c r="DYY56" i="7" s="1"/>
  <c r="DZA56" i="7" s="1"/>
  <c r="DZC56" i="7" s="1"/>
  <c r="DZE56" i="7" s="1"/>
  <c r="DZG56" i="7" s="1"/>
  <c r="DZI56" i="7" s="1"/>
  <c r="DZK56" i="7" s="1"/>
  <c r="DZM56" i="7" s="1"/>
  <c r="DZO56" i="7" s="1"/>
  <c r="DZQ56" i="7" s="1"/>
  <c r="DZS56" i="7" s="1"/>
  <c r="DZU56" i="7" s="1"/>
  <c r="DZW56" i="7" s="1"/>
  <c r="DZY56" i="7" s="1"/>
  <c r="EAA56" i="7" s="1"/>
  <c r="EAC56" i="7" s="1"/>
  <c r="EAE56" i="7" s="1"/>
  <c r="EAG56" i="7" s="1"/>
  <c r="EAI56" i="7" s="1"/>
  <c r="EAK56" i="7" s="1"/>
  <c r="EAM56" i="7" s="1"/>
  <c r="EAO56" i="7" s="1"/>
  <c r="EAQ56" i="7" s="1"/>
  <c r="EAS56" i="7" s="1"/>
  <c r="EAU56" i="7" s="1"/>
  <c r="EAW56" i="7" s="1"/>
  <c r="EAY56" i="7" s="1"/>
  <c r="EBA56" i="7" s="1"/>
  <c r="EBC56" i="7" s="1"/>
  <c r="EBE56" i="7" s="1"/>
  <c r="EBG56" i="7" s="1"/>
  <c r="EBI56" i="7" s="1"/>
  <c r="EBK56" i="7" s="1"/>
  <c r="EBM56" i="7" s="1"/>
  <c r="EBO56" i="7" s="1"/>
  <c r="EBQ56" i="7" s="1"/>
  <c r="EBS56" i="7" s="1"/>
  <c r="EBU56" i="7" s="1"/>
  <c r="EBW56" i="7" s="1"/>
  <c r="EBY56" i="7" s="1"/>
  <c r="ECA56" i="7" s="1"/>
  <c r="ECC56" i="7" s="1"/>
  <c r="ECE56" i="7" s="1"/>
  <c r="ECG56" i="7" s="1"/>
  <c r="ECI56" i="7" s="1"/>
  <c r="ECK56" i="7" s="1"/>
  <c r="ECM56" i="7" s="1"/>
  <c r="ECO56" i="7" s="1"/>
  <c r="ECQ56" i="7" s="1"/>
  <c r="ECS56" i="7" s="1"/>
  <c r="ECU56" i="7" s="1"/>
  <c r="ECW56" i="7" s="1"/>
  <c r="ECY56" i="7" s="1"/>
  <c r="EDA56" i="7" s="1"/>
  <c r="EDC56" i="7" s="1"/>
  <c r="EDE56" i="7" s="1"/>
  <c r="EDG56" i="7" s="1"/>
  <c r="EDI56" i="7" s="1"/>
  <c r="EDK56" i="7" s="1"/>
  <c r="EDM56" i="7" s="1"/>
  <c r="EDO56" i="7" s="1"/>
  <c r="EDQ56" i="7" s="1"/>
  <c r="EDS56" i="7" s="1"/>
  <c r="EDU56" i="7" s="1"/>
  <c r="EDW56" i="7" s="1"/>
  <c r="EDY56" i="7" s="1"/>
  <c r="EEA56" i="7" s="1"/>
  <c r="EEC56" i="7" s="1"/>
  <c r="EEE56" i="7" s="1"/>
  <c r="EEG56" i="7" s="1"/>
  <c r="EEI56" i="7" s="1"/>
  <c r="EEK56" i="7" s="1"/>
  <c r="EEM56" i="7" s="1"/>
  <c r="EEO56" i="7" s="1"/>
  <c r="EEQ56" i="7" s="1"/>
  <c r="EES56" i="7" s="1"/>
  <c r="EEU56" i="7" s="1"/>
  <c r="EEW56" i="7" s="1"/>
  <c r="EEY56" i="7" s="1"/>
  <c r="EFA56" i="7" s="1"/>
  <c r="EFC56" i="7" s="1"/>
  <c r="EFE56" i="7" s="1"/>
  <c r="EFG56" i="7" s="1"/>
  <c r="EFI56" i="7" s="1"/>
  <c r="EFK56" i="7" s="1"/>
  <c r="EFM56" i="7" s="1"/>
  <c r="EFO56" i="7" s="1"/>
  <c r="EFQ56" i="7" s="1"/>
  <c r="EFS56" i="7" s="1"/>
  <c r="EFU56" i="7" s="1"/>
  <c r="EFW56" i="7" s="1"/>
  <c r="EFY56" i="7" s="1"/>
  <c r="EGA56" i="7" s="1"/>
  <c r="EGC56" i="7" s="1"/>
  <c r="EGE56" i="7" s="1"/>
  <c r="EGG56" i="7" s="1"/>
  <c r="EGI56" i="7" s="1"/>
  <c r="EGK56" i="7" s="1"/>
  <c r="EGM56" i="7" s="1"/>
  <c r="EGO56" i="7" s="1"/>
  <c r="EGQ56" i="7" s="1"/>
  <c r="EGS56" i="7" s="1"/>
  <c r="EGU56" i="7" s="1"/>
  <c r="EGW56" i="7" s="1"/>
  <c r="EGY56" i="7" s="1"/>
  <c r="EHA56" i="7" s="1"/>
  <c r="EHC56" i="7" s="1"/>
  <c r="EHE56" i="7" s="1"/>
  <c r="EHG56" i="7" s="1"/>
  <c r="EHI56" i="7" s="1"/>
  <c r="EHK56" i="7" s="1"/>
  <c r="EHM56" i="7" s="1"/>
  <c r="EHO56" i="7" s="1"/>
  <c r="EHQ56" i="7" s="1"/>
  <c r="EHS56" i="7" s="1"/>
  <c r="EHU56" i="7" s="1"/>
  <c r="EHW56" i="7" s="1"/>
  <c r="EHY56" i="7" s="1"/>
  <c r="EIA56" i="7" s="1"/>
  <c r="EIC56" i="7" s="1"/>
  <c r="EIE56" i="7" s="1"/>
  <c r="EIG56" i="7" s="1"/>
  <c r="EII56" i="7" s="1"/>
  <c r="EIK56" i="7" s="1"/>
  <c r="EIM56" i="7" s="1"/>
  <c r="EIO56" i="7" s="1"/>
  <c r="EIQ56" i="7" s="1"/>
  <c r="EIS56" i="7" s="1"/>
  <c r="EIU56" i="7" s="1"/>
  <c r="EIW56" i="7" s="1"/>
  <c r="EIY56" i="7" s="1"/>
  <c r="EJA56" i="7" s="1"/>
  <c r="EJC56" i="7" s="1"/>
  <c r="EJE56" i="7" s="1"/>
  <c r="EJG56" i="7" s="1"/>
  <c r="EJI56" i="7" s="1"/>
  <c r="EJK56" i="7" s="1"/>
  <c r="EJM56" i="7" s="1"/>
  <c r="EJO56" i="7" s="1"/>
  <c r="EJQ56" i="7" s="1"/>
  <c r="EJS56" i="7" s="1"/>
  <c r="EJU56" i="7" s="1"/>
  <c r="EJW56" i="7" s="1"/>
  <c r="EJY56" i="7" s="1"/>
  <c r="EKA56" i="7" s="1"/>
  <c r="EKC56" i="7" s="1"/>
  <c r="EKE56" i="7" s="1"/>
  <c r="EKG56" i="7" s="1"/>
  <c r="EKI56" i="7" s="1"/>
  <c r="EKK56" i="7" s="1"/>
  <c r="EKM56" i="7" s="1"/>
  <c r="EKO56" i="7" s="1"/>
  <c r="EKQ56" i="7" s="1"/>
  <c r="EKS56" i="7" s="1"/>
  <c r="EKU56" i="7" s="1"/>
  <c r="EKW56" i="7" s="1"/>
  <c r="EKY56" i="7" s="1"/>
  <c r="ELA56" i="7" s="1"/>
  <c r="ELC56" i="7" s="1"/>
  <c r="ELE56" i="7" s="1"/>
  <c r="ELG56" i="7" s="1"/>
  <c r="ELI56" i="7" s="1"/>
  <c r="ELK56" i="7" s="1"/>
  <c r="ELM56" i="7" s="1"/>
  <c r="ELO56" i="7" s="1"/>
  <c r="ELQ56" i="7" s="1"/>
  <c r="ELS56" i="7" s="1"/>
  <c r="ELU56" i="7" s="1"/>
  <c r="ELW56" i="7" s="1"/>
  <c r="ELY56" i="7" s="1"/>
  <c r="EMA56" i="7" s="1"/>
  <c r="EMC56" i="7" s="1"/>
  <c r="EME56" i="7" s="1"/>
  <c r="EMG56" i="7" s="1"/>
  <c r="EMI56" i="7" s="1"/>
  <c r="EMK56" i="7" s="1"/>
  <c r="EMM56" i="7" s="1"/>
  <c r="EMO56" i="7" s="1"/>
  <c r="EMQ56" i="7" s="1"/>
  <c r="EMS56" i="7" s="1"/>
  <c r="EMU56" i="7" s="1"/>
  <c r="EMW56" i="7" s="1"/>
  <c r="EMY56" i="7" s="1"/>
  <c r="ENA56" i="7" s="1"/>
  <c r="ENC56" i="7" s="1"/>
  <c r="ENE56" i="7" s="1"/>
  <c r="ENG56" i="7" s="1"/>
  <c r="ENI56" i="7" s="1"/>
  <c r="ENK56" i="7" s="1"/>
  <c r="ENM56" i="7" s="1"/>
  <c r="ENO56" i="7" s="1"/>
  <c r="ENQ56" i="7" s="1"/>
  <c r="ENS56" i="7" s="1"/>
  <c r="ENU56" i="7" s="1"/>
  <c r="ENW56" i="7" s="1"/>
  <c r="ENY56" i="7" s="1"/>
  <c r="EOA56" i="7" s="1"/>
  <c r="EOC56" i="7" s="1"/>
  <c r="EOE56" i="7" s="1"/>
  <c r="EOG56" i="7" s="1"/>
  <c r="EOI56" i="7" s="1"/>
  <c r="EOK56" i="7" s="1"/>
  <c r="EOM56" i="7" s="1"/>
  <c r="EOO56" i="7" s="1"/>
  <c r="EOQ56" i="7" s="1"/>
  <c r="EOS56" i="7" s="1"/>
  <c r="EOU56" i="7" s="1"/>
  <c r="EOW56" i="7" s="1"/>
  <c r="EOY56" i="7" s="1"/>
  <c r="EPA56" i="7" s="1"/>
  <c r="EPC56" i="7" s="1"/>
  <c r="EPE56" i="7" s="1"/>
  <c r="EPG56" i="7" s="1"/>
  <c r="EPI56" i="7" s="1"/>
  <c r="EPK56" i="7" s="1"/>
  <c r="EPM56" i="7" s="1"/>
  <c r="EPO56" i="7" s="1"/>
  <c r="EPQ56" i="7" s="1"/>
  <c r="EPS56" i="7" s="1"/>
  <c r="EPU56" i="7" s="1"/>
  <c r="EPW56" i="7" s="1"/>
  <c r="EPY56" i="7" s="1"/>
  <c r="EQA56" i="7" s="1"/>
  <c r="EQC56" i="7" s="1"/>
  <c r="EQE56" i="7" s="1"/>
  <c r="EQG56" i="7" s="1"/>
  <c r="EQI56" i="7" s="1"/>
  <c r="EQK56" i="7" s="1"/>
  <c r="EQM56" i="7" s="1"/>
  <c r="EQO56" i="7" s="1"/>
  <c r="EQQ56" i="7" s="1"/>
  <c r="EQS56" i="7" s="1"/>
  <c r="EQU56" i="7" s="1"/>
  <c r="EQW56" i="7" s="1"/>
  <c r="EQY56" i="7" s="1"/>
  <c r="ERA56" i="7" s="1"/>
  <c r="ERC56" i="7" s="1"/>
  <c r="ERE56" i="7" s="1"/>
  <c r="ERG56" i="7" s="1"/>
  <c r="ERI56" i="7" s="1"/>
  <c r="ERK56" i="7" s="1"/>
  <c r="ERM56" i="7" s="1"/>
  <c r="ERO56" i="7" s="1"/>
  <c r="ERQ56" i="7" s="1"/>
  <c r="ERS56" i="7" s="1"/>
  <c r="ERU56" i="7" s="1"/>
  <c r="ERW56" i="7" s="1"/>
  <c r="ERY56" i="7" s="1"/>
  <c r="ESA56" i="7" s="1"/>
  <c r="ESC56" i="7" s="1"/>
  <c r="ESE56" i="7" s="1"/>
  <c r="ESG56" i="7" s="1"/>
  <c r="ESI56" i="7" s="1"/>
  <c r="ESK56" i="7" s="1"/>
  <c r="ESM56" i="7" s="1"/>
  <c r="ESO56" i="7" s="1"/>
  <c r="ESQ56" i="7" s="1"/>
  <c r="ESS56" i="7" s="1"/>
  <c r="ESU56" i="7" s="1"/>
  <c r="ESW56" i="7" s="1"/>
  <c r="ESY56" i="7" s="1"/>
  <c r="ETA56" i="7" s="1"/>
  <c r="ETC56" i="7" s="1"/>
  <c r="ETE56" i="7" s="1"/>
  <c r="ETG56" i="7" s="1"/>
  <c r="ETI56" i="7" s="1"/>
  <c r="ETK56" i="7" s="1"/>
  <c r="ETM56" i="7" s="1"/>
  <c r="ETO56" i="7" s="1"/>
  <c r="ETQ56" i="7" s="1"/>
  <c r="ETS56" i="7" s="1"/>
  <c r="ETU56" i="7" s="1"/>
  <c r="ETW56" i="7" s="1"/>
  <c r="ETY56" i="7" s="1"/>
  <c r="EUA56" i="7" s="1"/>
  <c r="EUC56" i="7" s="1"/>
  <c r="EUE56" i="7" s="1"/>
  <c r="EUG56" i="7" s="1"/>
  <c r="EUI56" i="7" s="1"/>
  <c r="EUK56" i="7" s="1"/>
  <c r="EUM56" i="7" s="1"/>
  <c r="EUO56" i="7" s="1"/>
  <c r="EUQ56" i="7" s="1"/>
  <c r="EUS56" i="7" s="1"/>
  <c r="EUU56" i="7" s="1"/>
  <c r="EUW56" i="7" s="1"/>
  <c r="EUY56" i="7" s="1"/>
  <c r="EVA56" i="7" s="1"/>
  <c r="EVC56" i="7" s="1"/>
  <c r="EVE56" i="7" s="1"/>
  <c r="EVG56" i="7" s="1"/>
  <c r="EVI56" i="7" s="1"/>
  <c r="EVK56" i="7" s="1"/>
  <c r="EVM56" i="7" s="1"/>
  <c r="EVO56" i="7" s="1"/>
  <c r="EVQ56" i="7" s="1"/>
  <c r="EVS56" i="7" s="1"/>
  <c r="EVU56" i="7" s="1"/>
  <c r="EVW56" i="7" s="1"/>
  <c r="EVY56" i="7" s="1"/>
  <c r="EWA56" i="7" s="1"/>
  <c r="EWC56" i="7" s="1"/>
  <c r="EWE56" i="7" s="1"/>
  <c r="EWG56" i="7" s="1"/>
  <c r="EWI56" i="7" s="1"/>
  <c r="EWK56" i="7" s="1"/>
  <c r="EWM56" i="7" s="1"/>
  <c r="EWO56" i="7" s="1"/>
  <c r="EWQ56" i="7" s="1"/>
  <c r="EWS56" i="7" s="1"/>
  <c r="EWU56" i="7" s="1"/>
  <c r="EWW56" i="7" s="1"/>
  <c r="EWY56" i="7" s="1"/>
  <c r="EXA56" i="7" s="1"/>
  <c r="EXC56" i="7" s="1"/>
  <c r="EXE56" i="7" s="1"/>
  <c r="EXG56" i="7" s="1"/>
  <c r="EXI56" i="7" s="1"/>
  <c r="EXK56" i="7" s="1"/>
  <c r="EXM56" i="7" s="1"/>
  <c r="EXO56" i="7" s="1"/>
  <c r="EXQ56" i="7" s="1"/>
  <c r="EXS56" i="7" s="1"/>
  <c r="EXU56" i="7" s="1"/>
  <c r="EXW56" i="7" s="1"/>
  <c r="EXY56" i="7" s="1"/>
  <c r="EYA56" i="7" s="1"/>
  <c r="EYC56" i="7" s="1"/>
  <c r="EYE56" i="7" s="1"/>
  <c r="EYG56" i="7" s="1"/>
  <c r="EYI56" i="7" s="1"/>
  <c r="EYK56" i="7" s="1"/>
  <c r="EYM56" i="7" s="1"/>
  <c r="EYO56" i="7" s="1"/>
  <c r="EYQ56" i="7" s="1"/>
  <c r="EYS56" i="7" s="1"/>
  <c r="EYU56" i="7" s="1"/>
  <c r="EYW56" i="7" s="1"/>
  <c r="EYY56" i="7" s="1"/>
  <c r="EZA56" i="7" s="1"/>
  <c r="EZC56" i="7" s="1"/>
  <c r="EZE56" i="7" s="1"/>
  <c r="EZG56" i="7" s="1"/>
  <c r="EZI56" i="7" s="1"/>
  <c r="EZK56" i="7" s="1"/>
  <c r="EZM56" i="7" s="1"/>
  <c r="EZO56" i="7" s="1"/>
  <c r="EZQ56" i="7" s="1"/>
  <c r="EZS56" i="7" s="1"/>
  <c r="EZU56" i="7" s="1"/>
  <c r="EZW56" i="7" s="1"/>
  <c r="EZY56" i="7" s="1"/>
  <c r="FAA56" i="7" s="1"/>
  <c r="FAC56" i="7" s="1"/>
  <c r="FAE56" i="7" s="1"/>
  <c r="FAG56" i="7" s="1"/>
  <c r="FAI56" i="7" s="1"/>
  <c r="FAK56" i="7" s="1"/>
  <c r="FAM56" i="7" s="1"/>
  <c r="FAO56" i="7" s="1"/>
  <c r="FAQ56" i="7" s="1"/>
  <c r="FAS56" i="7" s="1"/>
  <c r="FAU56" i="7" s="1"/>
  <c r="FAW56" i="7" s="1"/>
  <c r="FAY56" i="7" s="1"/>
  <c r="FBA56" i="7" s="1"/>
  <c r="FBC56" i="7" s="1"/>
  <c r="FBE56" i="7" s="1"/>
  <c r="FBG56" i="7" s="1"/>
  <c r="FBI56" i="7" s="1"/>
  <c r="FBK56" i="7" s="1"/>
  <c r="FBM56" i="7" s="1"/>
  <c r="FBO56" i="7" s="1"/>
  <c r="FBQ56" i="7" s="1"/>
  <c r="FBS56" i="7" s="1"/>
  <c r="FBU56" i="7" s="1"/>
  <c r="FBW56" i="7" s="1"/>
  <c r="FBY56" i="7" s="1"/>
  <c r="FCA56" i="7" s="1"/>
  <c r="FCC56" i="7" s="1"/>
  <c r="FCE56" i="7" s="1"/>
  <c r="FCG56" i="7" s="1"/>
  <c r="FCI56" i="7" s="1"/>
  <c r="FCK56" i="7" s="1"/>
  <c r="FCM56" i="7" s="1"/>
  <c r="FCO56" i="7" s="1"/>
  <c r="FCQ56" i="7" s="1"/>
  <c r="FCS56" i="7" s="1"/>
  <c r="FCU56" i="7" s="1"/>
  <c r="FCW56" i="7" s="1"/>
  <c r="FCY56" i="7" s="1"/>
  <c r="FDA56" i="7" s="1"/>
  <c r="FDC56" i="7" s="1"/>
  <c r="FDE56" i="7" s="1"/>
  <c r="FDG56" i="7" s="1"/>
  <c r="FDI56" i="7" s="1"/>
  <c r="FDK56" i="7" s="1"/>
  <c r="FDM56" i="7" s="1"/>
  <c r="FDO56" i="7" s="1"/>
  <c r="FDQ56" i="7" s="1"/>
  <c r="FDS56" i="7" s="1"/>
  <c r="FDU56" i="7" s="1"/>
  <c r="FDW56" i="7" s="1"/>
  <c r="FDY56" i="7" s="1"/>
  <c r="FEA56" i="7" s="1"/>
  <c r="FEC56" i="7" s="1"/>
  <c r="FEE56" i="7" s="1"/>
  <c r="FEG56" i="7" s="1"/>
  <c r="FEI56" i="7" s="1"/>
  <c r="FEK56" i="7" s="1"/>
  <c r="FEM56" i="7" s="1"/>
  <c r="FEO56" i="7" s="1"/>
  <c r="FEQ56" i="7" s="1"/>
  <c r="FES56" i="7" s="1"/>
  <c r="FEU56" i="7" s="1"/>
  <c r="FEW56" i="7" s="1"/>
  <c r="FEY56" i="7" s="1"/>
  <c r="FFA56" i="7" s="1"/>
  <c r="FFC56" i="7" s="1"/>
  <c r="FFE56" i="7" s="1"/>
  <c r="FFG56" i="7" s="1"/>
  <c r="FFI56" i="7" s="1"/>
  <c r="FFK56" i="7" s="1"/>
  <c r="FFM56" i="7" s="1"/>
  <c r="FFO56" i="7" s="1"/>
  <c r="FFQ56" i="7" s="1"/>
  <c r="FFS56" i="7" s="1"/>
  <c r="FFU56" i="7" s="1"/>
  <c r="FFW56" i="7" s="1"/>
  <c r="FFY56" i="7" s="1"/>
  <c r="FGA56" i="7" s="1"/>
  <c r="FGC56" i="7" s="1"/>
  <c r="FGE56" i="7" s="1"/>
  <c r="FGG56" i="7" s="1"/>
  <c r="FGI56" i="7" s="1"/>
  <c r="FGK56" i="7" s="1"/>
  <c r="FGM56" i="7" s="1"/>
  <c r="FGO56" i="7" s="1"/>
  <c r="FGQ56" i="7" s="1"/>
  <c r="FGS56" i="7" s="1"/>
  <c r="FGU56" i="7" s="1"/>
  <c r="FGW56" i="7" s="1"/>
  <c r="FGY56" i="7" s="1"/>
  <c r="FHA56" i="7" s="1"/>
  <c r="FHC56" i="7" s="1"/>
  <c r="FHE56" i="7" s="1"/>
  <c r="FHG56" i="7" s="1"/>
  <c r="FHI56" i="7" s="1"/>
  <c r="FHK56" i="7" s="1"/>
  <c r="FHM56" i="7" s="1"/>
  <c r="FHO56" i="7" s="1"/>
  <c r="FHQ56" i="7" s="1"/>
  <c r="FHS56" i="7" s="1"/>
  <c r="FHU56" i="7" s="1"/>
  <c r="FHW56" i="7" s="1"/>
  <c r="FHY56" i="7" s="1"/>
  <c r="FIA56" i="7" s="1"/>
  <c r="FIC56" i="7" s="1"/>
  <c r="FIE56" i="7" s="1"/>
  <c r="FIG56" i="7" s="1"/>
  <c r="FII56" i="7" s="1"/>
  <c r="FIK56" i="7" s="1"/>
  <c r="FIM56" i="7" s="1"/>
  <c r="FIO56" i="7" s="1"/>
  <c r="FIQ56" i="7" s="1"/>
  <c r="FIS56" i="7" s="1"/>
  <c r="FIU56" i="7" s="1"/>
  <c r="FIW56" i="7" s="1"/>
  <c r="FIY56" i="7" s="1"/>
  <c r="FJA56" i="7" s="1"/>
  <c r="FJC56" i="7" s="1"/>
  <c r="FJE56" i="7" s="1"/>
  <c r="FJG56" i="7" s="1"/>
  <c r="FJI56" i="7" s="1"/>
  <c r="FJK56" i="7" s="1"/>
  <c r="FJM56" i="7" s="1"/>
  <c r="FJO56" i="7" s="1"/>
  <c r="FJQ56" i="7" s="1"/>
  <c r="FJS56" i="7" s="1"/>
  <c r="FJU56" i="7" s="1"/>
  <c r="FJW56" i="7" s="1"/>
  <c r="FJY56" i="7" s="1"/>
  <c r="FKA56" i="7" s="1"/>
  <c r="FKC56" i="7" s="1"/>
  <c r="FKE56" i="7" s="1"/>
  <c r="FKG56" i="7" s="1"/>
  <c r="FKI56" i="7" s="1"/>
  <c r="FKK56" i="7" s="1"/>
  <c r="FKM56" i="7" s="1"/>
  <c r="FKO56" i="7" s="1"/>
  <c r="FKQ56" i="7" s="1"/>
  <c r="FKS56" i="7" s="1"/>
  <c r="FKU56" i="7" s="1"/>
  <c r="FKW56" i="7" s="1"/>
  <c r="FKY56" i="7" s="1"/>
  <c r="FLA56" i="7" s="1"/>
  <c r="FLC56" i="7" s="1"/>
  <c r="FLE56" i="7" s="1"/>
  <c r="FLG56" i="7" s="1"/>
  <c r="FLI56" i="7" s="1"/>
  <c r="FLK56" i="7" s="1"/>
  <c r="FLM56" i="7" s="1"/>
  <c r="FLO56" i="7" s="1"/>
  <c r="FLQ56" i="7" s="1"/>
  <c r="FLS56" i="7" s="1"/>
  <c r="FLU56" i="7" s="1"/>
  <c r="FLW56" i="7" s="1"/>
  <c r="FLY56" i="7" s="1"/>
  <c r="FMA56" i="7" s="1"/>
  <c r="FMC56" i="7" s="1"/>
  <c r="FME56" i="7" s="1"/>
  <c r="FMG56" i="7" s="1"/>
  <c r="FMI56" i="7" s="1"/>
  <c r="FMK56" i="7" s="1"/>
  <c r="FMM56" i="7" s="1"/>
  <c r="FMO56" i="7" s="1"/>
  <c r="FMQ56" i="7" s="1"/>
  <c r="FMS56" i="7" s="1"/>
  <c r="FMU56" i="7" s="1"/>
  <c r="FMW56" i="7" s="1"/>
  <c r="FMY56" i="7" s="1"/>
  <c r="FNA56" i="7" s="1"/>
  <c r="FNC56" i="7" s="1"/>
  <c r="FNE56" i="7" s="1"/>
  <c r="FNG56" i="7" s="1"/>
  <c r="FNI56" i="7" s="1"/>
  <c r="FNK56" i="7" s="1"/>
  <c r="FNM56" i="7" s="1"/>
  <c r="FNO56" i="7" s="1"/>
  <c r="FNQ56" i="7" s="1"/>
  <c r="FNS56" i="7" s="1"/>
  <c r="FNU56" i="7" s="1"/>
  <c r="FNW56" i="7" s="1"/>
  <c r="FNY56" i="7" s="1"/>
  <c r="FOA56" i="7" s="1"/>
  <c r="FOC56" i="7" s="1"/>
  <c r="FOE56" i="7" s="1"/>
  <c r="FOG56" i="7" s="1"/>
  <c r="FOI56" i="7" s="1"/>
  <c r="FOK56" i="7" s="1"/>
  <c r="FOM56" i="7" s="1"/>
  <c r="FOO56" i="7" s="1"/>
  <c r="FOQ56" i="7" s="1"/>
  <c r="FOS56" i="7" s="1"/>
  <c r="FOU56" i="7" s="1"/>
  <c r="FOW56" i="7" s="1"/>
  <c r="FOY56" i="7" s="1"/>
  <c r="FPA56" i="7" s="1"/>
  <c r="FPC56" i="7" s="1"/>
  <c r="FPE56" i="7" s="1"/>
  <c r="FPG56" i="7" s="1"/>
  <c r="FPI56" i="7" s="1"/>
  <c r="FPK56" i="7" s="1"/>
  <c r="FPM56" i="7" s="1"/>
  <c r="FPO56" i="7" s="1"/>
  <c r="FPQ56" i="7" s="1"/>
  <c r="FPS56" i="7" s="1"/>
  <c r="FPU56" i="7" s="1"/>
  <c r="FPW56" i="7" s="1"/>
  <c r="FPY56" i="7" s="1"/>
  <c r="FQA56" i="7" s="1"/>
  <c r="FQC56" i="7" s="1"/>
  <c r="FQE56" i="7" s="1"/>
  <c r="FQG56" i="7" s="1"/>
  <c r="FQI56" i="7" s="1"/>
  <c r="FQK56" i="7" s="1"/>
  <c r="FQM56" i="7" s="1"/>
  <c r="FQO56" i="7" s="1"/>
  <c r="FQQ56" i="7" s="1"/>
  <c r="FQS56" i="7" s="1"/>
  <c r="FQU56" i="7" s="1"/>
  <c r="FQW56" i="7" s="1"/>
  <c r="FQY56" i="7" s="1"/>
  <c r="FRA56" i="7" s="1"/>
  <c r="FRC56" i="7" s="1"/>
  <c r="FRE56" i="7" s="1"/>
  <c r="FRG56" i="7" s="1"/>
  <c r="FRI56" i="7" s="1"/>
  <c r="FRK56" i="7" s="1"/>
  <c r="FRM56" i="7" s="1"/>
  <c r="FRO56" i="7" s="1"/>
  <c r="FRQ56" i="7" s="1"/>
  <c r="FRS56" i="7" s="1"/>
  <c r="FRU56" i="7" s="1"/>
  <c r="FRW56" i="7" s="1"/>
  <c r="FRY56" i="7" s="1"/>
  <c r="FSA56" i="7" s="1"/>
  <c r="FSC56" i="7" s="1"/>
  <c r="FSE56" i="7" s="1"/>
  <c r="FSG56" i="7" s="1"/>
  <c r="FSI56" i="7" s="1"/>
  <c r="FSK56" i="7" s="1"/>
  <c r="FSM56" i="7" s="1"/>
  <c r="FSO56" i="7" s="1"/>
  <c r="FSQ56" i="7" s="1"/>
  <c r="FSS56" i="7" s="1"/>
  <c r="FSU56" i="7" s="1"/>
  <c r="FSW56" i="7" s="1"/>
  <c r="FSY56" i="7" s="1"/>
  <c r="FTA56" i="7" s="1"/>
  <c r="FTC56" i="7" s="1"/>
  <c r="FTE56" i="7" s="1"/>
  <c r="FTG56" i="7" s="1"/>
  <c r="FTI56" i="7" s="1"/>
  <c r="FTK56" i="7" s="1"/>
  <c r="FTM56" i="7" s="1"/>
  <c r="FTO56" i="7" s="1"/>
  <c r="FTQ56" i="7" s="1"/>
  <c r="FTS56" i="7" s="1"/>
  <c r="FTU56" i="7" s="1"/>
  <c r="FTW56" i="7" s="1"/>
  <c r="FTY56" i="7" s="1"/>
  <c r="FUA56" i="7" s="1"/>
  <c r="FUC56" i="7" s="1"/>
  <c r="FUE56" i="7" s="1"/>
  <c r="FUG56" i="7" s="1"/>
  <c r="FUI56" i="7" s="1"/>
  <c r="FUK56" i="7" s="1"/>
  <c r="FUM56" i="7" s="1"/>
  <c r="FUO56" i="7" s="1"/>
  <c r="FUQ56" i="7" s="1"/>
  <c r="FUS56" i="7" s="1"/>
  <c r="FUU56" i="7" s="1"/>
  <c r="FUW56" i="7" s="1"/>
  <c r="FUY56" i="7" s="1"/>
  <c r="FVA56" i="7" s="1"/>
  <c r="FVC56" i="7" s="1"/>
  <c r="FVE56" i="7" s="1"/>
  <c r="FVG56" i="7" s="1"/>
  <c r="FVI56" i="7" s="1"/>
  <c r="FVK56" i="7" s="1"/>
  <c r="FVM56" i="7" s="1"/>
  <c r="FVO56" i="7" s="1"/>
  <c r="FVQ56" i="7" s="1"/>
  <c r="FVS56" i="7" s="1"/>
  <c r="FVU56" i="7" s="1"/>
  <c r="FVW56" i="7" s="1"/>
  <c r="FVY56" i="7" s="1"/>
  <c r="FWA56" i="7" s="1"/>
  <c r="FWC56" i="7" s="1"/>
  <c r="FWE56" i="7" s="1"/>
  <c r="FWG56" i="7" s="1"/>
  <c r="FWI56" i="7" s="1"/>
  <c r="FWK56" i="7" s="1"/>
  <c r="FWM56" i="7" s="1"/>
  <c r="FWO56" i="7" s="1"/>
  <c r="FWQ56" i="7" s="1"/>
  <c r="FWS56" i="7" s="1"/>
  <c r="FWU56" i="7" s="1"/>
  <c r="FWW56" i="7" s="1"/>
  <c r="FWY56" i="7" s="1"/>
  <c r="FXA56" i="7" s="1"/>
  <c r="FXC56" i="7" s="1"/>
  <c r="FXE56" i="7" s="1"/>
  <c r="FXG56" i="7" s="1"/>
  <c r="FXI56" i="7" s="1"/>
  <c r="FXK56" i="7" s="1"/>
  <c r="FXM56" i="7" s="1"/>
  <c r="FXO56" i="7" s="1"/>
  <c r="FXQ56" i="7" s="1"/>
  <c r="FXS56" i="7" s="1"/>
  <c r="FXU56" i="7" s="1"/>
  <c r="FXW56" i="7" s="1"/>
  <c r="FXY56" i="7" s="1"/>
  <c r="FYA56" i="7" s="1"/>
  <c r="FYC56" i="7" s="1"/>
  <c r="FYE56" i="7" s="1"/>
  <c r="FYG56" i="7" s="1"/>
  <c r="FYI56" i="7" s="1"/>
  <c r="FYK56" i="7" s="1"/>
  <c r="FYM56" i="7" s="1"/>
  <c r="FYO56" i="7" s="1"/>
  <c r="FYQ56" i="7" s="1"/>
  <c r="FYS56" i="7" s="1"/>
  <c r="FYU56" i="7" s="1"/>
  <c r="FYW56" i="7" s="1"/>
  <c r="FYY56" i="7" s="1"/>
  <c r="FZA56" i="7" s="1"/>
  <c r="FZC56" i="7" s="1"/>
  <c r="FZE56" i="7" s="1"/>
  <c r="FZG56" i="7" s="1"/>
  <c r="FZI56" i="7" s="1"/>
  <c r="FZK56" i="7" s="1"/>
  <c r="FZM56" i="7" s="1"/>
  <c r="FZO56" i="7" s="1"/>
  <c r="FZQ56" i="7" s="1"/>
  <c r="FZS56" i="7" s="1"/>
  <c r="FZU56" i="7" s="1"/>
  <c r="FZW56" i="7" s="1"/>
  <c r="FZY56" i="7" s="1"/>
  <c r="GAA56" i="7" s="1"/>
  <c r="GAC56" i="7" s="1"/>
  <c r="GAE56" i="7" s="1"/>
  <c r="GAG56" i="7" s="1"/>
  <c r="GAI56" i="7" s="1"/>
  <c r="GAK56" i="7" s="1"/>
  <c r="GAM56" i="7" s="1"/>
  <c r="GAO56" i="7" s="1"/>
  <c r="GAQ56" i="7" s="1"/>
  <c r="GAS56" i="7" s="1"/>
  <c r="GAU56" i="7" s="1"/>
  <c r="GAW56" i="7" s="1"/>
  <c r="GAY56" i="7" s="1"/>
  <c r="GBA56" i="7" s="1"/>
  <c r="GBC56" i="7" s="1"/>
  <c r="GBE56" i="7" s="1"/>
  <c r="GBG56" i="7" s="1"/>
  <c r="GBI56" i="7" s="1"/>
  <c r="GBK56" i="7" s="1"/>
  <c r="GBM56" i="7" s="1"/>
  <c r="GBO56" i="7" s="1"/>
  <c r="GBQ56" i="7" s="1"/>
  <c r="GBS56" i="7" s="1"/>
  <c r="GBU56" i="7" s="1"/>
  <c r="GBW56" i="7" s="1"/>
  <c r="GBY56" i="7" s="1"/>
  <c r="GCA56" i="7" s="1"/>
  <c r="GCC56" i="7" s="1"/>
  <c r="GCE56" i="7" s="1"/>
  <c r="GCG56" i="7" s="1"/>
  <c r="GCI56" i="7" s="1"/>
  <c r="GCK56" i="7" s="1"/>
  <c r="GCM56" i="7" s="1"/>
  <c r="GCO56" i="7" s="1"/>
  <c r="GCQ56" i="7" s="1"/>
  <c r="GCS56" i="7" s="1"/>
  <c r="GCU56" i="7" s="1"/>
  <c r="GCW56" i="7" s="1"/>
  <c r="GCY56" i="7" s="1"/>
  <c r="GDA56" i="7" s="1"/>
  <c r="GDC56" i="7" s="1"/>
  <c r="GDE56" i="7" s="1"/>
  <c r="GDG56" i="7" s="1"/>
  <c r="GDI56" i="7" s="1"/>
  <c r="GDK56" i="7" s="1"/>
  <c r="GDM56" i="7" s="1"/>
  <c r="GDO56" i="7" s="1"/>
  <c r="GDQ56" i="7" s="1"/>
  <c r="GDS56" i="7" s="1"/>
  <c r="GDU56" i="7" s="1"/>
  <c r="GDW56" i="7" s="1"/>
  <c r="GDY56" i="7" s="1"/>
  <c r="GEA56" i="7" s="1"/>
  <c r="GEC56" i="7" s="1"/>
  <c r="GEE56" i="7" s="1"/>
  <c r="GEG56" i="7" s="1"/>
  <c r="GEI56" i="7" s="1"/>
  <c r="GEK56" i="7" s="1"/>
  <c r="GEM56" i="7" s="1"/>
  <c r="GEO56" i="7" s="1"/>
  <c r="GEQ56" i="7" s="1"/>
  <c r="GES56" i="7" s="1"/>
  <c r="GEU56" i="7" s="1"/>
  <c r="GEW56" i="7" s="1"/>
  <c r="GEY56" i="7" s="1"/>
  <c r="GFA56" i="7" s="1"/>
  <c r="GFC56" i="7" s="1"/>
  <c r="GFE56" i="7" s="1"/>
  <c r="GFG56" i="7" s="1"/>
  <c r="GFI56" i="7" s="1"/>
  <c r="GFK56" i="7" s="1"/>
  <c r="GFM56" i="7" s="1"/>
  <c r="GFO56" i="7" s="1"/>
  <c r="GFQ56" i="7" s="1"/>
  <c r="GFS56" i="7" s="1"/>
  <c r="GFU56" i="7" s="1"/>
  <c r="GFW56" i="7" s="1"/>
  <c r="GFY56" i="7" s="1"/>
  <c r="GGA56" i="7" s="1"/>
  <c r="GGC56" i="7" s="1"/>
  <c r="GGE56" i="7" s="1"/>
  <c r="GGG56" i="7" s="1"/>
  <c r="GGI56" i="7" s="1"/>
  <c r="GGK56" i="7" s="1"/>
  <c r="GGM56" i="7" s="1"/>
  <c r="GGO56" i="7" s="1"/>
  <c r="GGQ56" i="7" s="1"/>
  <c r="GGS56" i="7" s="1"/>
  <c r="GGU56" i="7" s="1"/>
  <c r="GGW56" i="7" s="1"/>
  <c r="GGY56" i="7" s="1"/>
  <c r="GHA56" i="7" s="1"/>
  <c r="GHC56" i="7" s="1"/>
  <c r="GHE56" i="7" s="1"/>
  <c r="GHG56" i="7" s="1"/>
  <c r="GHI56" i="7" s="1"/>
  <c r="GHK56" i="7" s="1"/>
  <c r="GHM56" i="7" s="1"/>
  <c r="GHO56" i="7" s="1"/>
  <c r="GHQ56" i="7" s="1"/>
  <c r="GHS56" i="7" s="1"/>
  <c r="GHU56" i="7" s="1"/>
  <c r="GHW56" i="7" s="1"/>
  <c r="GHY56" i="7" s="1"/>
  <c r="GIA56" i="7" s="1"/>
  <c r="GIC56" i="7" s="1"/>
  <c r="GIE56" i="7" s="1"/>
  <c r="GIG56" i="7" s="1"/>
  <c r="GII56" i="7" s="1"/>
  <c r="GIK56" i="7" s="1"/>
  <c r="GIM56" i="7" s="1"/>
  <c r="GIO56" i="7" s="1"/>
  <c r="GIQ56" i="7" s="1"/>
  <c r="GIS56" i="7" s="1"/>
  <c r="GIU56" i="7" s="1"/>
  <c r="GIW56" i="7" s="1"/>
  <c r="GIY56" i="7" s="1"/>
  <c r="GJA56" i="7" s="1"/>
  <c r="GJC56" i="7" s="1"/>
  <c r="GJE56" i="7" s="1"/>
  <c r="GJG56" i="7" s="1"/>
  <c r="GJI56" i="7" s="1"/>
  <c r="GJK56" i="7" s="1"/>
  <c r="GJM56" i="7" s="1"/>
  <c r="GJO56" i="7" s="1"/>
  <c r="GJQ56" i="7" s="1"/>
  <c r="GJS56" i="7" s="1"/>
  <c r="GJU56" i="7" s="1"/>
  <c r="GJW56" i="7" s="1"/>
  <c r="GJY56" i="7" s="1"/>
  <c r="GKA56" i="7" s="1"/>
  <c r="GKC56" i="7" s="1"/>
  <c r="GKE56" i="7" s="1"/>
  <c r="GKG56" i="7" s="1"/>
  <c r="GKI56" i="7" s="1"/>
  <c r="GKK56" i="7" s="1"/>
  <c r="GKM56" i="7" s="1"/>
  <c r="GKO56" i="7" s="1"/>
  <c r="GKQ56" i="7" s="1"/>
  <c r="GKS56" i="7" s="1"/>
  <c r="GKU56" i="7" s="1"/>
  <c r="GKW56" i="7" s="1"/>
  <c r="GKY56" i="7" s="1"/>
  <c r="GLA56" i="7" s="1"/>
  <c r="GLC56" i="7" s="1"/>
  <c r="GLE56" i="7" s="1"/>
  <c r="GLG56" i="7" s="1"/>
  <c r="GLI56" i="7" s="1"/>
  <c r="GLK56" i="7" s="1"/>
  <c r="GLM56" i="7" s="1"/>
  <c r="GLO56" i="7" s="1"/>
  <c r="GLQ56" i="7" s="1"/>
  <c r="GLS56" i="7" s="1"/>
  <c r="GLU56" i="7" s="1"/>
  <c r="GLW56" i="7" s="1"/>
  <c r="GLY56" i="7" s="1"/>
  <c r="GMA56" i="7" s="1"/>
  <c r="GMC56" i="7" s="1"/>
  <c r="GME56" i="7" s="1"/>
  <c r="GMG56" i="7" s="1"/>
  <c r="GMI56" i="7" s="1"/>
  <c r="GMK56" i="7" s="1"/>
  <c r="GMM56" i="7" s="1"/>
  <c r="GMO56" i="7" s="1"/>
  <c r="GMQ56" i="7" s="1"/>
  <c r="GMS56" i="7" s="1"/>
  <c r="GMU56" i="7" s="1"/>
  <c r="GMW56" i="7" s="1"/>
  <c r="GMY56" i="7" s="1"/>
  <c r="GNA56" i="7" s="1"/>
  <c r="GNC56" i="7" s="1"/>
  <c r="GNE56" i="7" s="1"/>
  <c r="GNG56" i="7" s="1"/>
  <c r="GNI56" i="7" s="1"/>
  <c r="GNK56" i="7" s="1"/>
  <c r="GNM56" i="7" s="1"/>
  <c r="GNO56" i="7" s="1"/>
  <c r="GNQ56" i="7" s="1"/>
  <c r="GNS56" i="7" s="1"/>
  <c r="GNU56" i="7" s="1"/>
  <c r="GNW56" i="7" s="1"/>
  <c r="GNY56" i="7" s="1"/>
  <c r="GOA56" i="7" s="1"/>
  <c r="GOC56" i="7" s="1"/>
  <c r="GOE56" i="7" s="1"/>
  <c r="GOG56" i="7" s="1"/>
  <c r="GOI56" i="7" s="1"/>
  <c r="GOK56" i="7" s="1"/>
  <c r="GOM56" i="7" s="1"/>
  <c r="GOO56" i="7" s="1"/>
  <c r="GOQ56" i="7" s="1"/>
  <c r="GOS56" i="7" s="1"/>
  <c r="GOU56" i="7" s="1"/>
  <c r="GOW56" i="7" s="1"/>
  <c r="GOY56" i="7" s="1"/>
  <c r="GPA56" i="7" s="1"/>
  <c r="GPC56" i="7" s="1"/>
  <c r="GPE56" i="7" s="1"/>
  <c r="GPG56" i="7" s="1"/>
  <c r="GPI56" i="7" s="1"/>
  <c r="GPK56" i="7" s="1"/>
  <c r="GPM56" i="7" s="1"/>
  <c r="GPO56" i="7" s="1"/>
  <c r="GPQ56" i="7" s="1"/>
  <c r="GPS56" i="7" s="1"/>
  <c r="GPU56" i="7" s="1"/>
  <c r="GPW56" i="7" s="1"/>
  <c r="GPY56" i="7" s="1"/>
  <c r="GQA56" i="7" s="1"/>
  <c r="GQC56" i="7" s="1"/>
  <c r="GQE56" i="7" s="1"/>
  <c r="GQG56" i="7" s="1"/>
  <c r="GQI56" i="7" s="1"/>
  <c r="GQK56" i="7" s="1"/>
  <c r="GQM56" i="7" s="1"/>
  <c r="GQO56" i="7" s="1"/>
  <c r="GQQ56" i="7" s="1"/>
  <c r="GQS56" i="7" s="1"/>
  <c r="GQU56" i="7" s="1"/>
  <c r="GQW56" i="7" s="1"/>
  <c r="GQY56" i="7" s="1"/>
  <c r="GRA56" i="7" s="1"/>
  <c r="GRC56" i="7" s="1"/>
  <c r="GRE56" i="7" s="1"/>
  <c r="GRG56" i="7" s="1"/>
  <c r="GRI56" i="7" s="1"/>
  <c r="GRK56" i="7" s="1"/>
  <c r="GRM56" i="7" s="1"/>
  <c r="GRO56" i="7" s="1"/>
  <c r="GRQ56" i="7" s="1"/>
  <c r="GRS56" i="7" s="1"/>
  <c r="GRU56" i="7" s="1"/>
  <c r="GRW56" i="7" s="1"/>
  <c r="GRY56" i="7" s="1"/>
  <c r="GSA56" i="7" s="1"/>
  <c r="GSC56" i="7" s="1"/>
  <c r="GSE56" i="7" s="1"/>
  <c r="GSG56" i="7" s="1"/>
  <c r="GSI56" i="7" s="1"/>
  <c r="GSK56" i="7" s="1"/>
  <c r="GSM56" i="7" s="1"/>
  <c r="GSO56" i="7" s="1"/>
  <c r="GSQ56" i="7" s="1"/>
  <c r="GSS56" i="7" s="1"/>
  <c r="GSU56" i="7" s="1"/>
  <c r="GSW56" i="7" s="1"/>
  <c r="GSY56" i="7" s="1"/>
  <c r="GTA56" i="7" s="1"/>
  <c r="GTC56" i="7" s="1"/>
  <c r="GTE56" i="7" s="1"/>
  <c r="GTG56" i="7" s="1"/>
  <c r="GTI56" i="7" s="1"/>
  <c r="GTK56" i="7" s="1"/>
  <c r="GTM56" i="7" s="1"/>
  <c r="GTO56" i="7" s="1"/>
  <c r="GTQ56" i="7" s="1"/>
  <c r="GTS56" i="7" s="1"/>
  <c r="GTU56" i="7" s="1"/>
  <c r="GTW56" i="7" s="1"/>
  <c r="GTY56" i="7" s="1"/>
  <c r="GUA56" i="7" s="1"/>
  <c r="GUC56" i="7" s="1"/>
  <c r="GUE56" i="7" s="1"/>
  <c r="GUG56" i="7" s="1"/>
  <c r="GUI56" i="7" s="1"/>
  <c r="GUK56" i="7" s="1"/>
  <c r="GUM56" i="7" s="1"/>
  <c r="GUO56" i="7" s="1"/>
  <c r="GUQ56" i="7" s="1"/>
  <c r="GUS56" i="7" s="1"/>
  <c r="GUU56" i="7" s="1"/>
  <c r="GUW56" i="7" s="1"/>
  <c r="GUY56" i="7" s="1"/>
  <c r="GVA56" i="7" s="1"/>
  <c r="GVC56" i="7" s="1"/>
  <c r="GVE56" i="7" s="1"/>
  <c r="GVG56" i="7" s="1"/>
  <c r="GVI56" i="7" s="1"/>
  <c r="GVK56" i="7" s="1"/>
  <c r="GVM56" i="7" s="1"/>
  <c r="GVO56" i="7" s="1"/>
  <c r="GVQ56" i="7" s="1"/>
  <c r="GVS56" i="7" s="1"/>
  <c r="GVU56" i="7" s="1"/>
  <c r="GVW56" i="7" s="1"/>
  <c r="GVY56" i="7" s="1"/>
  <c r="GWA56" i="7" s="1"/>
  <c r="GWC56" i="7" s="1"/>
  <c r="GWE56" i="7" s="1"/>
  <c r="GWG56" i="7" s="1"/>
  <c r="GWI56" i="7" s="1"/>
  <c r="GWK56" i="7" s="1"/>
  <c r="GWM56" i="7" s="1"/>
  <c r="GWO56" i="7" s="1"/>
  <c r="GWQ56" i="7" s="1"/>
  <c r="GWS56" i="7" s="1"/>
  <c r="GWU56" i="7" s="1"/>
  <c r="GWW56" i="7" s="1"/>
  <c r="GWY56" i="7" s="1"/>
  <c r="GXA56" i="7" s="1"/>
  <c r="GXC56" i="7" s="1"/>
  <c r="GXE56" i="7" s="1"/>
  <c r="GXG56" i="7" s="1"/>
  <c r="GXI56" i="7" s="1"/>
  <c r="GXK56" i="7" s="1"/>
  <c r="GXM56" i="7" s="1"/>
  <c r="GXO56" i="7" s="1"/>
  <c r="GXQ56" i="7" s="1"/>
  <c r="GXS56" i="7" s="1"/>
  <c r="GXU56" i="7" s="1"/>
  <c r="GXW56" i="7" s="1"/>
  <c r="GXY56" i="7" s="1"/>
  <c r="GYA56" i="7" s="1"/>
  <c r="GYC56" i="7" s="1"/>
  <c r="GYE56" i="7" s="1"/>
  <c r="GYG56" i="7" s="1"/>
  <c r="GYI56" i="7" s="1"/>
  <c r="GYK56" i="7" s="1"/>
  <c r="GYM56" i="7" s="1"/>
  <c r="GYO56" i="7" s="1"/>
  <c r="GYQ56" i="7" s="1"/>
  <c r="GYS56" i="7" s="1"/>
  <c r="GYU56" i="7" s="1"/>
  <c r="GYW56" i="7" s="1"/>
  <c r="GYY56" i="7" s="1"/>
  <c r="GZA56" i="7" s="1"/>
  <c r="GZC56" i="7" s="1"/>
  <c r="GZE56" i="7" s="1"/>
  <c r="GZG56" i="7" s="1"/>
  <c r="GZI56" i="7" s="1"/>
  <c r="GZK56" i="7" s="1"/>
  <c r="GZM56" i="7" s="1"/>
  <c r="GZO56" i="7" s="1"/>
  <c r="GZQ56" i="7" s="1"/>
  <c r="GZS56" i="7" s="1"/>
  <c r="GZU56" i="7" s="1"/>
  <c r="GZW56" i="7" s="1"/>
  <c r="GZY56" i="7" s="1"/>
  <c r="HAA56" i="7" s="1"/>
  <c r="HAC56" i="7" s="1"/>
  <c r="HAE56" i="7" s="1"/>
  <c r="HAG56" i="7" s="1"/>
  <c r="HAI56" i="7" s="1"/>
  <c r="HAK56" i="7" s="1"/>
  <c r="HAM56" i="7" s="1"/>
  <c r="HAO56" i="7" s="1"/>
  <c r="HAQ56" i="7" s="1"/>
  <c r="HAS56" i="7" s="1"/>
  <c r="HAU56" i="7" s="1"/>
  <c r="HAW56" i="7" s="1"/>
  <c r="HAY56" i="7" s="1"/>
  <c r="HBA56" i="7" s="1"/>
  <c r="HBC56" i="7" s="1"/>
  <c r="HBE56" i="7" s="1"/>
  <c r="HBG56" i="7" s="1"/>
  <c r="HBI56" i="7" s="1"/>
  <c r="HBK56" i="7" s="1"/>
  <c r="HBM56" i="7" s="1"/>
  <c r="HBO56" i="7" s="1"/>
  <c r="HBQ56" i="7" s="1"/>
  <c r="HBS56" i="7" s="1"/>
  <c r="HBU56" i="7" s="1"/>
  <c r="HBW56" i="7" s="1"/>
  <c r="HBY56" i="7" s="1"/>
  <c r="HCA56" i="7" s="1"/>
  <c r="HCC56" i="7" s="1"/>
  <c r="HCE56" i="7" s="1"/>
  <c r="HCG56" i="7" s="1"/>
  <c r="HCI56" i="7" s="1"/>
  <c r="HCK56" i="7" s="1"/>
  <c r="HCM56" i="7" s="1"/>
  <c r="HCO56" i="7" s="1"/>
  <c r="HCQ56" i="7" s="1"/>
  <c r="HCS56" i="7" s="1"/>
  <c r="HCU56" i="7" s="1"/>
  <c r="HCW56" i="7" s="1"/>
  <c r="HCY56" i="7" s="1"/>
  <c r="HDA56" i="7" s="1"/>
  <c r="HDC56" i="7" s="1"/>
  <c r="HDE56" i="7" s="1"/>
  <c r="HDG56" i="7" s="1"/>
  <c r="HDI56" i="7" s="1"/>
  <c r="HDK56" i="7" s="1"/>
  <c r="HDM56" i="7" s="1"/>
  <c r="HDO56" i="7" s="1"/>
  <c r="HDQ56" i="7" s="1"/>
  <c r="HDS56" i="7" s="1"/>
  <c r="HDU56" i="7" s="1"/>
  <c r="HDW56" i="7" s="1"/>
  <c r="HDY56" i="7" s="1"/>
  <c r="HEA56" i="7" s="1"/>
  <c r="HEC56" i="7" s="1"/>
  <c r="HEE56" i="7" s="1"/>
  <c r="HEG56" i="7" s="1"/>
  <c r="HEI56" i="7" s="1"/>
  <c r="HEK56" i="7" s="1"/>
  <c r="HEM56" i="7" s="1"/>
  <c r="HEO56" i="7" s="1"/>
  <c r="HEQ56" i="7" s="1"/>
  <c r="HES56" i="7" s="1"/>
  <c r="HEU56" i="7" s="1"/>
  <c r="HEW56" i="7" s="1"/>
  <c r="HEY56" i="7" s="1"/>
  <c r="HFA56" i="7" s="1"/>
  <c r="HFC56" i="7" s="1"/>
  <c r="HFE56" i="7" s="1"/>
  <c r="HFG56" i="7" s="1"/>
  <c r="HFI56" i="7" s="1"/>
  <c r="HFK56" i="7" s="1"/>
  <c r="HFM56" i="7" s="1"/>
  <c r="HFO56" i="7" s="1"/>
  <c r="HFQ56" i="7" s="1"/>
  <c r="HFS56" i="7" s="1"/>
  <c r="HFU56" i="7" s="1"/>
  <c r="HFW56" i="7" s="1"/>
  <c r="HFY56" i="7" s="1"/>
  <c r="HGA56" i="7" s="1"/>
  <c r="HGC56" i="7" s="1"/>
  <c r="HGE56" i="7" s="1"/>
  <c r="HGG56" i="7" s="1"/>
  <c r="HGI56" i="7" s="1"/>
  <c r="HGK56" i="7" s="1"/>
  <c r="HGM56" i="7" s="1"/>
  <c r="HGO56" i="7" s="1"/>
  <c r="HGQ56" i="7" s="1"/>
  <c r="HGS56" i="7" s="1"/>
  <c r="HGU56" i="7" s="1"/>
  <c r="HGW56" i="7" s="1"/>
  <c r="HGY56" i="7" s="1"/>
  <c r="HHA56" i="7" s="1"/>
  <c r="HHC56" i="7" s="1"/>
  <c r="HHE56" i="7" s="1"/>
  <c r="HHG56" i="7" s="1"/>
  <c r="HHI56" i="7" s="1"/>
  <c r="HHK56" i="7" s="1"/>
  <c r="HHM56" i="7" s="1"/>
  <c r="HHO56" i="7" s="1"/>
  <c r="HHQ56" i="7" s="1"/>
  <c r="HHS56" i="7" s="1"/>
  <c r="HHU56" i="7" s="1"/>
  <c r="HHW56" i="7" s="1"/>
  <c r="HHY56" i="7" s="1"/>
  <c r="HIA56" i="7" s="1"/>
  <c r="HIC56" i="7" s="1"/>
  <c r="HIE56" i="7" s="1"/>
  <c r="HIG56" i="7" s="1"/>
  <c r="HII56" i="7" s="1"/>
  <c r="HIK56" i="7" s="1"/>
  <c r="HIM56" i="7" s="1"/>
  <c r="HIO56" i="7" s="1"/>
  <c r="HIQ56" i="7" s="1"/>
  <c r="HIS56" i="7" s="1"/>
  <c r="HIU56" i="7" s="1"/>
  <c r="HIW56" i="7" s="1"/>
  <c r="HIY56" i="7" s="1"/>
  <c r="HJA56" i="7" s="1"/>
  <c r="HJC56" i="7" s="1"/>
  <c r="HJE56" i="7" s="1"/>
  <c r="HJG56" i="7" s="1"/>
  <c r="HJI56" i="7" s="1"/>
  <c r="HJK56" i="7" s="1"/>
  <c r="HJM56" i="7" s="1"/>
  <c r="HJO56" i="7" s="1"/>
  <c r="HJQ56" i="7" s="1"/>
  <c r="HJS56" i="7" s="1"/>
  <c r="HJU56" i="7" s="1"/>
  <c r="HJW56" i="7" s="1"/>
  <c r="HJY56" i="7" s="1"/>
  <c r="HKA56" i="7" s="1"/>
  <c r="HKC56" i="7" s="1"/>
  <c r="HKE56" i="7" s="1"/>
  <c r="HKG56" i="7" s="1"/>
  <c r="HKI56" i="7" s="1"/>
  <c r="HKK56" i="7" s="1"/>
  <c r="HKM56" i="7" s="1"/>
  <c r="HKO56" i="7" s="1"/>
  <c r="HKQ56" i="7" s="1"/>
  <c r="HKS56" i="7" s="1"/>
  <c r="HKU56" i="7" s="1"/>
  <c r="HKW56" i="7" s="1"/>
  <c r="HKY56" i="7" s="1"/>
  <c r="HLA56" i="7" s="1"/>
  <c r="HLC56" i="7" s="1"/>
  <c r="HLE56" i="7" s="1"/>
  <c r="HLG56" i="7" s="1"/>
  <c r="HLI56" i="7" s="1"/>
  <c r="HLK56" i="7" s="1"/>
  <c r="HLM56" i="7" s="1"/>
  <c r="HLO56" i="7" s="1"/>
  <c r="HLQ56" i="7" s="1"/>
  <c r="HLS56" i="7" s="1"/>
  <c r="HLU56" i="7" s="1"/>
  <c r="HLW56" i="7" s="1"/>
  <c r="HLY56" i="7" s="1"/>
  <c r="HMA56" i="7" s="1"/>
  <c r="HMC56" i="7" s="1"/>
  <c r="HME56" i="7" s="1"/>
  <c r="HMG56" i="7" s="1"/>
  <c r="HMI56" i="7" s="1"/>
  <c r="HMK56" i="7" s="1"/>
  <c r="HMM56" i="7" s="1"/>
  <c r="HMO56" i="7" s="1"/>
  <c r="HMQ56" i="7" s="1"/>
  <c r="HMS56" i="7" s="1"/>
  <c r="HMU56" i="7" s="1"/>
  <c r="HMW56" i="7" s="1"/>
  <c r="HMY56" i="7" s="1"/>
  <c r="HNA56" i="7" s="1"/>
  <c r="HNC56" i="7" s="1"/>
  <c r="HNE56" i="7" s="1"/>
  <c r="HNG56" i="7" s="1"/>
  <c r="HNI56" i="7" s="1"/>
  <c r="HNK56" i="7" s="1"/>
  <c r="HNM56" i="7" s="1"/>
  <c r="HNO56" i="7" s="1"/>
  <c r="HNQ56" i="7" s="1"/>
  <c r="HNS56" i="7" s="1"/>
  <c r="HNU56" i="7" s="1"/>
  <c r="HNW56" i="7" s="1"/>
  <c r="HNY56" i="7" s="1"/>
  <c r="HOA56" i="7" s="1"/>
  <c r="HOC56" i="7" s="1"/>
  <c r="HOE56" i="7" s="1"/>
  <c r="HOG56" i="7" s="1"/>
  <c r="HOI56" i="7" s="1"/>
  <c r="HOK56" i="7" s="1"/>
  <c r="HOM56" i="7" s="1"/>
  <c r="HOO56" i="7" s="1"/>
  <c r="HOQ56" i="7" s="1"/>
  <c r="HOS56" i="7" s="1"/>
  <c r="HOU56" i="7" s="1"/>
  <c r="HOW56" i="7" s="1"/>
  <c r="HOY56" i="7" s="1"/>
  <c r="HPA56" i="7" s="1"/>
  <c r="HPC56" i="7" s="1"/>
  <c r="HPE56" i="7" s="1"/>
  <c r="HPG56" i="7" s="1"/>
  <c r="HPI56" i="7" s="1"/>
  <c r="HPK56" i="7" s="1"/>
  <c r="HPM56" i="7" s="1"/>
  <c r="HPO56" i="7" s="1"/>
  <c r="HPQ56" i="7" s="1"/>
  <c r="HPS56" i="7" s="1"/>
  <c r="HPU56" i="7" s="1"/>
  <c r="HPW56" i="7" s="1"/>
  <c r="HPY56" i="7" s="1"/>
  <c r="HQA56" i="7" s="1"/>
  <c r="HQC56" i="7" s="1"/>
  <c r="HQE56" i="7" s="1"/>
  <c r="HQG56" i="7" s="1"/>
  <c r="HQI56" i="7" s="1"/>
  <c r="HQK56" i="7" s="1"/>
  <c r="HQM56" i="7" s="1"/>
  <c r="HQO56" i="7" s="1"/>
  <c r="HQQ56" i="7" s="1"/>
  <c r="HQS56" i="7" s="1"/>
  <c r="HQU56" i="7" s="1"/>
  <c r="HQW56" i="7" s="1"/>
  <c r="HQY56" i="7" s="1"/>
  <c r="HRA56" i="7" s="1"/>
  <c r="HRC56" i="7" s="1"/>
  <c r="HRE56" i="7" s="1"/>
  <c r="HRG56" i="7" s="1"/>
  <c r="HRI56" i="7" s="1"/>
  <c r="HRK56" i="7" s="1"/>
  <c r="HRM56" i="7" s="1"/>
  <c r="HRO56" i="7" s="1"/>
  <c r="HRQ56" i="7" s="1"/>
  <c r="HRS56" i="7" s="1"/>
  <c r="HRU56" i="7" s="1"/>
  <c r="HRW56" i="7" s="1"/>
  <c r="HRY56" i="7" s="1"/>
  <c r="HSA56" i="7" s="1"/>
  <c r="HSC56" i="7" s="1"/>
  <c r="HSE56" i="7" s="1"/>
  <c r="HSG56" i="7" s="1"/>
  <c r="HSI56" i="7" s="1"/>
  <c r="HSK56" i="7" s="1"/>
  <c r="HSM56" i="7" s="1"/>
  <c r="HSO56" i="7" s="1"/>
  <c r="HSQ56" i="7" s="1"/>
  <c r="HSS56" i="7" s="1"/>
  <c r="HSU56" i="7" s="1"/>
  <c r="HSW56" i="7" s="1"/>
  <c r="HSY56" i="7" s="1"/>
  <c r="HTA56" i="7" s="1"/>
  <c r="HTC56" i="7" s="1"/>
  <c r="HTE56" i="7" s="1"/>
  <c r="HTG56" i="7" s="1"/>
  <c r="HTI56" i="7" s="1"/>
  <c r="HTK56" i="7" s="1"/>
  <c r="HTM56" i="7" s="1"/>
  <c r="HTO56" i="7" s="1"/>
  <c r="HTQ56" i="7" s="1"/>
  <c r="HTS56" i="7" s="1"/>
  <c r="HTU56" i="7" s="1"/>
  <c r="HTW56" i="7" s="1"/>
  <c r="HTY56" i="7" s="1"/>
  <c r="HUA56" i="7" s="1"/>
  <c r="HUC56" i="7" s="1"/>
  <c r="HUE56" i="7" s="1"/>
  <c r="HUG56" i="7" s="1"/>
  <c r="HUI56" i="7" s="1"/>
  <c r="HUK56" i="7" s="1"/>
  <c r="HUM56" i="7" s="1"/>
  <c r="HUO56" i="7" s="1"/>
  <c r="HUQ56" i="7" s="1"/>
  <c r="HUS56" i="7" s="1"/>
  <c r="HUU56" i="7" s="1"/>
  <c r="HUW56" i="7" s="1"/>
  <c r="HUY56" i="7" s="1"/>
  <c r="HVA56" i="7" s="1"/>
  <c r="HVC56" i="7" s="1"/>
  <c r="HVE56" i="7" s="1"/>
  <c r="HVG56" i="7" s="1"/>
  <c r="HVI56" i="7" s="1"/>
  <c r="HVK56" i="7" s="1"/>
  <c r="HVM56" i="7" s="1"/>
  <c r="HVO56" i="7" s="1"/>
  <c r="HVQ56" i="7" s="1"/>
  <c r="HVS56" i="7" s="1"/>
  <c r="HVU56" i="7" s="1"/>
  <c r="HVW56" i="7" s="1"/>
  <c r="HVY56" i="7" s="1"/>
  <c r="HWA56" i="7" s="1"/>
  <c r="HWC56" i="7" s="1"/>
  <c r="HWE56" i="7" s="1"/>
  <c r="HWG56" i="7" s="1"/>
  <c r="HWI56" i="7" s="1"/>
  <c r="HWK56" i="7" s="1"/>
  <c r="HWM56" i="7" s="1"/>
  <c r="HWO56" i="7" s="1"/>
  <c r="HWQ56" i="7" s="1"/>
  <c r="HWS56" i="7" s="1"/>
  <c r="HWU56" i="7" s="1"/>
  <c r="HWW56" i="7" s="1"/>
  <c r="HWY56" i="7" s="1"/>
  <c r="HXA56" i="7" s="1"/>
  <c r="HXC56" i="7" s="1"/>
  <c r="HXE56" i="7" s="1"/>
  <c r="HXG56" i="7" s="1"/>
  <c r="HXI56" i="7" s="1"/>
  <c r="HXK56" i="7" s="1"/>
  <c r="HXM56" i="7" s="1"/>
  <c r="HXO56" i="7" s="1"/>
  <c r="HXQ56" i="7" s="1"/>
  <c r="HXS56" i="7" s="1"/>
  <c r="HXU56" i="7" s="1"/>
  <c r="HXW56" i="7" s="1"/>
  <c r="HXY56" i="7" s="1"/>
  <c r="HYA56" i="7" s="1"/>
  <c r="HYC56" i="7" s="1"/>
  <c r="HYE56" i="7" s="1"/>
  <c r="HYG56" i="7" s="1"/>
  <c r="HYI56" i="7" s="1"/>
  <c r="HYK56" i="7" s="1"/>
  <c r="HYM56" i="7" s="1"/>
  <c r="HYO56" i="7" s="1"/>
  <c r="HYQ56" i="7" s="1"/>
  <c r="HYS56" i="7" s="1"/>
  <c r="HYU56" i="7" s="1"/>
  <c r="HYW56" i="7" s="1"/>
  <c r="HYY56" i="7" s="1"/>
  <c r="HZA56" i="7" s="1"/>
  <c r="HZC56" i="7" s="1"/>
  <c r="HZE56" i="7" s="1"/>
  <c r="HZG56" i="7" s="1"/>
  <c r="HZI56" i="7" s="1"/>
  <c r="HZK56" i="7" s="1"/>
  <c r="HZM56" i="7" s="1"/>
  <c r="HZO56" i="7" s="1"/>
  <c r="HZQ56" i="7" s="1"/>
  <c r="HZS56" i="7" s="1"/>
  <c r="HZU56" i="7" s="1"/>
  <c r="HZW56" i="7" s="1"/>
  <c r="HZY56" i="7" s="1"/>
  <c r="IAA56" i="7" s="1"/>
  <c r="IAC56" i="7" s="1"/>
  <c r="IAE56" i="7" s="1"/>
  <c r="IAG56" i="7" s="1"/>
  <c r="IAI56" i="7" s="1"/>
  <c r="IAK56" i="7" s="1"/>
  <c r="IAM56" i="7" s="1"/>
  <c r="IAO56" i="7" s="1"/>
  <c r="IAQ56" i="7" s="1"/>
  <c r="IAS56" i="7" s="1"/>
  <c r="IAU56" i="7" s="1"/>
  <c r="IAW56" i="7" s="1"/>
  <c r="IAY56" i="7" s="1"/>
  <c r="IBA56" i="7" s="1"/>
  <c r="IBC56" i="7" s="1"/>
  <c r="IBE56" i="7" s="1"/>
  <c r="IBG56" i="7" s="1"/>
  <c r="IBI56" i="7" s="1"/>
  <c r="IBK56" i="7" s="1"/>
  <c r="IBM56" i="7" s="1"/>
  <c r="IBO56" i="7" s="1"/>
  <c r="IBQ56" i="7" s="1"/>
  <c r="IBS56" i="7" s="1"/>
  <c r="IBU56" i="7" s="1"/>
  <c r="IBW56" i="7" s="1"/>
  <c r="IBY56" i="7" s="1"/>
  <c r="ICA56" i="7" s="1"/>
  <c r="ICC56" i="7" s="1"/>
  <c r="ICE56" i="7" s="1"/>
  <c r="ICG56" i="7" s="1"/>
  <c r="ICI56" i="7" s="1"/>
  <c r="ICK56" i="7" s="1"/>
  <c r="ICM56" i="7" s="1"/>
  <c r="ICO56" i="7" s="1"/>
  <c r="ICQ56" i="7" s="1"/>
  <c r="ICS56" i="7" s="1"/>
  <c r="ICU56" i="7" s="1"/>
  <c r="ICW56" i="7" s="1"/>
  <c r="ICY56" i="7" s="1"/>
  <c r="IDA56" i="7" s="1"/>
  <c r="IDC56" i="7" s="1"/>
  <c r="IDE56" i="7" s="1"/>
  <c r="IDG56" i="7" s="1"/>
  <c r="IDI56" i="7" s="1"/>
  <c r="IDK56" i="7" s="1"/>
  <c r="IDM56" i="7" s="1"/>
  <c r="IDO56" i="7" s="1"/>
  <c r="IDQ56" i="7" s="1"/>
  <c r="IDS56" i="7" s="1"/>
  <c r="IDU56" i="7" s="1"/>
  <c r="IDW56" i="7" s="1"/>
  <c r="IDY56" i="7" s="1"/>
  <c r="IEA56" i="7" s="1"/>
  <c r="IEC56" i="7" s="1"/>
  <c r="IEE56" i="7" s="1"/>
  <c r="IEG56" i="7" s="1"/>
  <c r="IEI56" i="7" s="1"/>
  <c r="IEK56" i="7" s="1"/>
  <c r="IEM56" i="7" s="1"/>
  <c r="IEO56" i="7" s="1"/>
  <c r="IEQ56" i="7" s="1"/>
  <c r="IES56" i="7" s="1"/>
  <c r="IEU56" i="7" s="1"/>
  <c r="IEW56" i="7" s="1"/>
  <c r="IEY56" i="7" s="1"/>
  <c r="IFA56" i="7" s="1"/>
  <c r="IFC56" i="7" s="1"/>
  <c r="IFE56" i="7" s="1"/>
  <c r="IFG56" i="7" s="1"/>
  <c r="IFI56" i="7" s="1"/>
  <c r="IFK56" i="7" s="1"/>
  <c r="IFM56" i="7" s="1"/>
  <c r="IFO56" i="7" s="1"/>
  <c r="IFQ56" i="7" s="1"/>
  <c r="IFS56" i="7" s="1"/>
  <c r="IFU56" i="7" s="1"/>
  <c r="IFW56" i="7" s="1"/>
  <c r="IFY56" i="7" s="1"/>
  <c r="IGA56" i="7" s="1"/>
  <c r="IGC56" i="7" s="1"/>
  <c r="IGE56" i="7" s="1"/>
  <c r="IGG56" i="7" s="1"/>
  <c r="IGI56" i="7" s="1"/>
  <c r="IGK56" i="7" s="1"/>
  <c r="IGM56" i="7" s="1"/>
  <c r="IGO56" i="7" s="1"/>
  <c r="IGQ56" i="7" s="1"/>
  <c r="IGS56" i="7" s="1"/>
  <c r="IGU56" i="7" s="1"/>
  <c r="IGW56" i="7" s="1"/>
  <c r="IGY56" i="7" s="1"/>
  <c r="IHA56" i="7" s="1"/>
  <c r="IHC56" i="7" s="1"/>
  <c r="IHE56" i="7" s="1"/>
  <c r="IHG56" i="7" s="1"/>
  <c r="IHI56" i="7" s="1"/>
  <c r="IHK56" i="7" s="1"/>
  <c r="IHM56" i="7" s="1"/>
  <c r="IHO56" i="7" s="1"/>
  <c r="IHQ56" i="7" s="1"/>
  <c r="IHS56" i="7" s="1"/>
  <c r="IHU56" i="7" s="1"/>
  <c r="IHW56" i="7" s="1"/>
  <c r="IHY56" i="7" s="1"/>
  <c r="IIA56" i="7" s="1"/>
  <c r="IIC56" i="7" s="1"/>
  <c r="IIE56" i="7" s="1"/>
  <c r="IIG56" i="7" s="1"/>
  <c r="III56" i="7" s="1"/>
  <c r="IIK56" i="7" s="1"/>
  <c r="IIM56" i="7" s="1"/>
  <c r="IIO56" i="7" s="1"/>
  <c r="IIQ56" i="7" s="1"/>
  <c r="IIS56" i="7" s="1"/>
  <c r="IIU56" i="7" s="1"/>
  <c r="IIW56" i="7" s="1"/>
  <c r="IIY56" i="7" s="1"/>
  <c r="IJA56" i="7" s="1"/>
  <c r="IJC56" i="7" s="1"/>
  <c r="IJE56" i="7" s="1"/>
  <c r="IJG56" i="7" s="1"/>
  <c r="IJI56" i="7" s="1"/>
  <c r="IJK56" i="7" s="1"/>
  <c r="IJM56" i="7" s="1"/>
  <c r="IJO56" i="7" s="1"/>
  <c r="IJQ56" i="7" s="1"/>
  <c r="IJS56" i="7" s="1"/>
  <c r="IJU56" i="7" s="1"/>
  <c r="IJW56" i="7" s="1"/>
  <c r="IJY56" i="7" s="1"/>
  <c r="IKA56" i="7" s="1"/>
  <c r="IKC56" i="7" s="1"/>
  <c r="IKE56" i="7" s="1"/>
  <c r="IKG56" i="7" s="1"/>
  <c r="IKI56" i="7" s="1"/>
  <c r="IKK56" i="7" s="1"/>
  <c r="IKM56" i="7" s="1"/>
  <c r="IKO56" i="7" s="1"/>
  <c r="IKQ56" i="7" s="1"/>
  <c r="IKS56" i="7" s="1"/>
  <c r="IKU56" i="7" s="1"/>
  <c r="IKW56" i="7" s="1"/>
  <c r="IKY56" i="7" s="1"/>
  <c r="ILA56" i="7" s="1"/>
  <c r="ILC56" i="7" s="1"/>
  <c r="ILE56" i="7" s="1"/>
  <c r="ILG56" i="7" s="1"/>
  <c r="ILI56" i="7" s="1"/>
  <c r="ILK56" i="7" s="1"/>
  <c r="ILM56" i="7" s="1"/>
  <c r="ILO56" i="7" s="1"/>
  <c r="ILQ56" i="7" s="1"/>
  <c r="ILS56" i="7" s="1"/>
  <c r="ILU56" i="7" s="1"/>
  <c r="ILW56" i="7" s="1"/>
  <c r="ILY56" i="7" s="1"/>
  <c r="IMA56" i="7" s="1"/>
  <c r="IMC56" i="7" s="1"/>
  <c r="IME56" i="7" s="1"/>
  <c r="IMG56" i="7" s="1"/>
  <c r="IMI56" i="7" s="1"/>
  <c r="IMK56" i="7" s="1"/>
  <c r="IMM56" i="7" s="1"/>
  <c r="IMO56" i="7" s="1"/>
  <c r="IMQ56" i="7" s="1"/>
  <c r="IMS56" i="7" s="1"/>
  <c r="IMU56" i="7" s="1"/>
  <c r="IMW56" i="7" s="1"/>
  <c r="IMY56" i="7" s="1"/>
  <c r="INA56" i="7" s="1"/>
  <c r="INC56" i="7" s="1"/>
  <c r="INE56" i="7" s="1"/>
  <c r="ING56" i="7" s="1"/>
  <c r="INI56" i="7" s="1"/>
  <c r="INK56" i="7" s="1"/>
  <c r="INM56" i="7" s="1"/>
  <c r="INO56" i="7" s="1"/>
  <c r="INQ56" i="7" s="1"/>
  <c r="INS56" i="7" s="1"/>
  <c r="INU56" i="7" s="1"/>
  <c r="INW56" i="7" s="1"/>
  <c r="INY56" i="7" s="1"/>
  <c r="IOA56" i="7" s="1"/>
  <c r="IOC56" i="7" s="1"/>
  <c r="IOE56" i="7" s="1"/>
  <c r="IOG56" i="7" s="1"/>
  <c r="IOI56" i="7" s="1"/>
  <c r="IOK56" i="7" s="1"/>
  <c r="IOM56" i="7" s="1"/>
  <c r="IOO56" i="7" s="1"/>
  <c r="IOQ56" i="7" s="1"/>
  <c r="IOS56" i="7" s="1"/>
  <c r="IOU56" i="7" s="1"/>
  <c r="IOW56" i="7" s="1"/>
  <c r="IOY56" i="7" s="1"/>
  <c r="IPA56" i="7" s="1"/>
  <c r="IPC56" i="7" s="1"/>
  <c r="IPE56" i="7" s="1"/>
  <c r="IPG56" i="7" s="1"/>
  <c r="IPI56" i="7" s="1"/>
  <c r="IPK56" i="7" s="1"/>
  <c r="IPM56" i="7" s="1"/>
  <c r="IPO56" i="7" s="1"/>
  <c r="IPQ56" i="7" s="1"/>
  <c r="IPS56" i="7" s="1"/>
  <c r="IPU56" i="7" s="1"/>
  <c r="IPW56" i="7" s="1"/>
  <c r="IPY56" i="7" s="1"/>
  <c r="IQA56" i="7" s="1"/>
  <c r="IQC56" i="7" s="1"/>
  <c r="IQE56" i="7" s="1"/>
  <c r="IQG56" i="7" s="1"/>
  <c r="IQI56" i="7" s="1"/>
  <c r="IQK56" i="7" s="1"/>
  <c r="IQM56" i="7" s="1"/>
  <c r="IQO56" i="7" s="1"/>
  <c r="IQQ56" i="7" s="1"/>
  <c r="IQS56" i="7" s="1"/>
  <c r="IQU56" i="7" s="1"/>
  <c r="IQW56" i="7" s="1"/>
  <c r="IQY56" i="7" s="1"/>
  <c r="IRA56" i="7" s="1"/>
  <c r="IRC56" i="7" s="1"/>
  <c r="IRE56" i="7" s="1"/>
  <c r="IRG56" i="7" s="1"/>
  <c r="IRI56" i="7" s="1"/>
  <c r="IRK56" i="7" s="1"/>
  <c r="IRM56" i="7" s="1"/>
  <c r="IRO56" i="7" s="1"/>
  <c r="IRQ56" i="7" s="1"/>
  <c r="IRS56" i="7" s="1"/>
  <c r="IRU56" i="7" s="1"/>
  <c r="IRW56" i="7" s="1"/>
  <c r="IRY56" i="7" s="1"/>
  <c r="ISA56" i="7" s="1"/>
  <c r="ISC56" i="7" s="1"/>
  <c r="ISE56" i="7" s="1"/>
  <c r="ISG56" i="7" s="1"/>
  <c r="ISI56" i="7" s="1"/>
  <c r="ISK56" i="7" s="1"/>
  <c r="ISM56" i="7" s="1"/>
  <c r="ISO56" i="7" s="1"/>
  <c r="ISQ56" i="7" s="1"/>
  <c r="ISS56" i="7" s="1"/>
  <c r="ISU56" i="7" s="1"/>
  <c r="ISW56" i="7" s="1"/>
  <c r="ISY56" i="7" s="1"/>
  <c r="ITA56" i="7" s="1"/>
  <c r="ITC56" i="7" s="1"/>
  <c r="ITE56" i="7" s="1"/>
  <c r="ITG56" i="7" s="1"/>
  <c r="ITI56" i="7" s="1"/>
  <c r="ITK56" i="7" s="1"/>
  <c r="ITM56" i="7" s="1"/>
  <c r="ITO56" i="7" s="1"/>
  <c r="ITQ56" i="7" s="1"/>
  <c r="ITS56" i="7" s="1"/>
  <c r="ITU56" i="7" s="1"/>
  <c r="ITW56" i="7" s="1"/>
  <c r="ITY56" i="7" s="1"/>
  <c r="IUA56" i="7" s="1"/>
  <c r="IUC56" i="7" s="1"/>
  <c r="IUE56" i="7" s="1"/>
  <c r="IUG56" i="7" s="1"/>
  <c r="IUI56" i="7" s="1"/>
  <c r="IUK56" i="7" s="1"/>
  <c r="IUM56" i="7" s="1"/>
  <c r="IUO56" i="7" s="1"/>
  <c r="IUQ56" i="7" s="1"/>
  <c r="IUS56" i="7" s="1"/>
  <c r="IUU56" i="7" s="1"/>
  <c r="IUW56" i="7" s="1"/>
  <c r="IUY56" i="7" s="1"/>
  <c r="IVA56" i="7" s="1"/>
  <c r="IVC56" i="7" s="1"/>
  <c r="IVE56" i="7" s="1"/>
  <c r="IVG56" i="7" s="1"/>
  <c r="IVI56" i="7" s="1"/>
  <c r="IVK56" i="7" s="1"/>
  <c r="IVM56" i="7" s="1"/>
  <c r="IVO56" i="7" s="1"/>
  <c r="IVQ56" i="7" s="1"/>
  <c r="IVS56" i="7" s="1"/>
  <c r="IVU56" i="7" s="1"/>
  <c r="IVW56" i="7" s="1"/>
  <c r="IVY56" i="7" s="1"/>
  <c r="IWA56" i="7" s="1"/>
  <c r="IWC56" i="7" s="1"/>
  <c r="IWE56" i="7" s="1"/>
  <c r="IWG56" i="7" s="1"/>
  <c r="IWI56" i="7" s="1"/>
  <c r="IWK56" i="7" s="1"/>
  <c r="IWM56" i="7" s="1"/>
  <c r="IWO56" i="7" s="1"/>
  <c r="IWQ56" i="7" s="1"/>
  <c r="IWS56" i="7" s="1"/>
  <c r="IWU56" i="7" s="1"/>
  <c r="IWW56" i="7" s="1"/>
  <c r="IWY56" i="7" s="1"/>
  <c r="IXA56" i="7" s="1"/>
  <c r="IXC56" i="7" s="1"/>
  <c r="IXE56" i="7" s="1"/>
  <c r="IXG56" i="7" s="1"/>
  <c r="IXI56" i="7" s="1"/>
  <c r="IXK56" i="7" s="1"/>
  <c r="IXM56" i="7" s="1"/>
  <c r="IXO56" i="7" s="1"/>
  <c r="IXQ56" i="7" s="1"/>
  <c r="IXS56" i="7" s="1"/>
  <c r="IXU56" i="7" s="1"/>
  <c r="IXW56" i="7" s="1"/>
  <c r="IXY56" i="7" s="1"/>
  <c r="IYA56" i="7" s="1"/>
  <c r="IYC56" i="7" s="1"/>
  <c r="IYE56" i="7" s="1"/>
  <c r="IYG56" i="7" s="1"/>
  <c r="IYI56" i="7" s="1"/>
  <c r="IYK56" i="7" s="1"/>
  <c r="IYM56" i="7" s="1"/>
  <c r="IYO56" i="7" s="1"/>
  <c r="IYQ56" i="7" s="1"/>
  <c r="IYS56" i="7" s="1"/>
  <c r="IYU56" i="7" s="1"/>
  <c r="IYW56" i="7" s="1"/>
  <c r="IYY56" i="7" s="1"/>
  <c r="IZA56" i="7" s="1"/>
  <c r="IZC56" i="7" s="1"/>
  <c r="IZE56" i="7" s="1"/>
  <c r="IZG56" i="7" s="1"/>
  <c r="IZI56" i="7" s="1"/>
  <c r="IZK56" i="7" s="1"/>
  <c r="IZM56" i="7" s="1"/>
  <c r="IZO56" i="7" s="1"/>
  <c r="IZQ56" i="7" s="1"/>
  <c r="IZS56" i="7" s="1"/>
  <c r="IZU56" i="7" s="1"/>
  <c r="IZW56" i="7" s="1"/>
  <c r="IZY56" i="7" s="1"/>
  <c r="JAA56" i="7" s="1"/>
  <c r="JAC56" i="7" s="1"/>
  <c r="JAE56" i="7" s="1"/>
  <c r="JAG56" i="7" s="1"/>
  <c r="JAI56" i="7" s="1"/>
  <c r="JAK56" i="7" s="1"/>
  <c r="JAM56" i="7" s="1"/>
  <c r="JAO56" i="7" s="1"/>
  <c r="JAQ56" i="7" s="1"/>
  <c r="JAS56" i="7" s="1"/>
  <c r="JAU56" i="7" s="1"/>
  <c r="JAW56" i="7" s="1"/>
  <c r="JAY56" i="7" s="1"/>
  <c r="JBA56" i="7" s="1"/>
  <c r="JBC56" i="7" s="1"/>
  <c r="JBE56" i="7" s="1"/>
  <c r="JBG56" i="7" s="1"/>
  <c r="JBI56" i="7" s="1"/>
  <c r="JBK56" i="7" s="1"/>
  <c r="JBM56" i="7" s="1"/>
  <c r="JBO56" i="7" s="1"/>
  <c r="JBQ56" i="7" s="1"/>
  <c r="JBS56" i="7" s="1"/>
  <c r="JBU56" i="7" s="1"/>
  <c r="JBW56" i="7" s="1"/>
  <c r="JBY56" i="7" s="1"/>
  <c r="JCA56" i="7" s="1"/>
  <c r="JCC56" i="7" s="1"/>
  <c r="JCE56" i="7" s="1"/>
  <c r="JCG56" i="7" s="1"/>
  <c r="JCI56" i="7" s="1"/>
  <c r="JCK56" i="7" s="1"/>
  <c r="JCM56" i="7" s="1"/>
  <c r="JCO56" i="7" s="1"/>
  <c r="JCQ56" i="7" s="1"/>
  <c r="JCS56" i="7" s="1"/>
  <c r="JCU56" i="7" s="1"/>
  <c r="JCW56" i="7" s="1"/>
  <c r="JCY56" i="7" s="1"/>
  <c r="JDA56" i="7" s="1"/>
  <c r="JDC56" i="7" s="1"/>
  <c r="JDE56" i="7" s="1"/>
  <c r="JDG56" i="7" s="1"/>
  <c r="JDI56" i="7" s="1"/>
  <c r="JDK56" i="7" s="1"/>
  <c r="JDM56" i="7" s="1"/>
  <c r="JDO56" i="7" s="1"/>
  <c r="JDQ56" i="7" s="1"/>
  <c r="JDS56" i="7" s="1"/>
  <c r="JDU56" i="7" s="1"/>
  <c r="JDW56" i="7" s="1"/>
  <c r="JDY56" i="7" s="1"/>
  <c r="JEA56" i="7" s="1"/>
  <c r="JEC56" i="7" s="1"/>
  <c r="JEE56" i="7" s="1"/>
  <c r="JEG56" i="7" s="1"/>
  <c r="JEI56" i="7" s="1"/>
  <c r="JEK56" i="7" s="1"/>
  <c r="JEM56" i="7" s="1"/>
  <c r="JEO56" i="7" s="1"/>
  <c r="JEQ56" i="7" s="1"/>
  <c r="JES56" i="7" s="1"/>
  <c r="JEU56" i="7" s="1"/>
  <c r="JEW56" i="7" s="1"/>
  <c r="JEY56" i="7" s="1"/>
  <c r="JFA56" i="7" s="1"/>
  <c r="JFC56" i="7" s="1"/>
  <c r="JFE56" i="7" s="1"/>
  <c r="JFG56" i="7" s="1"/>
  <c r="JFI56" i="7" s="1"/>
  <c r="JFK56" i="7" s="1"/>
  <c r="JFM56" i="7" s="1"/>
  <c r="JFO56" i="7" s="1"/>
  <c r="JFQ56" i="7" s="1"/>
  <c r="JFS56" i="7" s="1"/>
  <c r="JFU56" i="7" s="1"/>
  <c r="JFW56" i="7" s="1"/>
  <c r="JFY56" i="7" s="1"/>
  <c r="JGA56" i="7" s="1"/>
  <c r="JGC56" i="7" s="1"/>
  <c r="JGE56" i="7" s="1"/>
  <c r="JGG56" i="7" s="1"/>
  <c r="JGI56" i="7" s="1"/>
  <c r="JGK56" i="7" s="1"/>
  <c r="JGM56" i="7" s="1"/>
  <c r="JGO56" i="7" s="1"/>
  <c r="JGQ56" i="7" s="1"/>
  <c r="JGS56" i="7" s="1"/>
  <c r="JGU56" i="7" s="1"/>
  <c r="JGW56" i="7" s="1"/>
  <c r="JGY56" i="7" s="1"/>
  <c r="JHA56" i="7" s="1"/>
  <c r="JHC56" i="7" s="1"/>
  <c r="JHE56" i="7" s="1"/>
  <c r="JHG56" i="7" s="1"/>
  <c r="JHI56" i="7" s="1"/>
  <c r="JHK56" i="7" s="1"/>
  <c r="JHM56" i="7" s="1"/>
  <c r="JHO56" i="7" s="1"/>
  <c r="JHQ56" i="7" s="1"/>
  <c r="JHS56" i="7" s="1"/>
  <c r="JHU56" i="7" s="1"/>
  <c r="JHW56" i="7" s="1"/>
  <c r="JHY56" i="7" s="1"/>
  <c r="JIA56" i="7" s="1"/>
  <c r="JIC56" i="7" s="1"/>
  <c r="JIE56" i="7" s="1"/>
  <c r="JIG56" i="7" s="1"/>
  <c r="JII56" i="7" s="1"/>
  <c r="JIK56" i="7" s="1"/>
  <c r="JIM56" i="7" s="1"/>
  <c r="JIO56" i="7" s="1"/>
  <c r="JIQ56" i="7" s="1"/>
  <c r="JIS56" i="7" s="1"/>
  <c r="JIU56" i="7" s="1"/>
  <c r="JIW56" i="7" s="1"/>
  <c r="JIY56" i="7" s="1"/>
  <c r="JJA56" i="7" s="1"/>
  <c r="JJC56" i="7" s="1"/>
  <c r="JJE56" i="7" s="1"/>
  <c r="JJG56" i="7" s="1"/>
  <c r="JJI56" i="7" s="1"/>
  <c r="JJK56" i="7" s="1"/>
  <c r="JJM56" i="7" s="1"/>
  <c r="JJO56" i="7" s="1"/>
  <c r="JJQ56" i="7" s="1"/>
  <c r="JJS56" i="7" s="1"/>
  <c r="JJU56" i="7" s="1"/>
  <c r="JJW56" i="7" s="1"/>
  <c r="JJY56" i="7" s="1"/>
  <c r="JKA56" i="7" s="1"/>
  <c r="JKC56" i="7" s="1"/>
  <c r="JKE56" i="7" s="1"/>
  <c r="JKG56" i="7" s="1"/>
  <c r="JKI56" i="7" s="1"/>
  <c r="JKK56" i="7" s="1"/>
  <c r="JKM56" i="7" s="1"/>
  <c r="JKO56" i="7" s="1"/>
  <c r="JKQ56" i="7" s="1"/>
  <c r="JKS56" i="7" s="1"/>
  <c r="JKU56" i="7" s="1"/>
  <c r="JKW56" i="7" s="1"/>
  <c r="JKY56" i="7" s="1"/>
  <c r="JLA56" i="7" s="1"/>
  <c r="JLC56" i="7" s="1"/>
  <c r="JLE56" i="7" s="1"/>
  <c r="JLG56" i="7" s="1"/>
  <c r="JLI56" i="7" s="1"/>
  <c r="JLK56" i="7" s="1"/>
  <c r="JLM56" i="7" s="1"/>
  <c r="JLO56" i="7" s="1"/>
  <c r="JLQ56" i="7" s="1"/>
  <c r="JLS56" i="7" s="1"/>
  <c r="JLU56" i="7" s="1"/>
  <c r="JLW56" i="7" s="1"/>
  <c r="JLY56" i="7" s="1"/>
  <c r="JMA56" i="7" s="1"/>
  <c r="JMC56" i="7" s="1"/>
  <c r="JME56" i="7" s="1"/>
  <c r="JMG56" i="7" s="1"/>
  <c r="JMI56" i="7" s="1"/>
  <c r="JMK56" i="7" s="1"/>
  <c r="JMM56" i="7" s="1"/>
  <c r="JMO56" i="7" s="1"/>
  <c r="JMQ56" i="7" s="1"/>
  <c r="JMS56" i="7" s="1"/>
  <c r="JMU56" i="7" s="1"/>
  <c r="JMW56" i="7" s="1"/>
  <c r="JMY56" i="7" s="1"/>
  <c r="JNA56" i="7" s="1"/>
  <c r="JNC56" i="7" s="1"/>
  <c r="JNE56" i="7" s="1"/>
  <c r="JNG56" i="7" s="1"/>
  <c r="JNI56" i="7" s="1"/>
  <c r="JNK56" i="7" s="1"/>
  <c r="JNM56" i="7" s="1"/>
  <c r="JNO56" i="7" s="1"/>
  <c r="JNQ56" i="7" s="1"/>
  <c r="JNS56" i="7" s="1"/>
  <c r="JNU56" i="7" s="1"/>
  <c r="JNW56" i="7" s="1"/>
  <c r="JNY56" i="7" s="1"/>
  <c r="JOA56" i="7" s="1"/>
  <c r="JOC56" i="7" s="1"/>
  <c r="JOE56" i="7" s="1"/>
  <c r="JOG56" i="7" s="1"/>
  <c r="JOI56" i="7" s="1"/>
  <c r="JOK56" i="7" s="1"/>
  <c r="JOM56" i="7" s="1"/>
  <c r="JOO56" i="7" s="1"/>
  <c r="JOQ56" i="7" s="1"/>
  <c r="JOS56" i="7" s="1"/>
  <c r="JOU56" i="7" s="1"/>
  <c r="JOW56" i="7" s="1"/>
  <c r="JOY56" i="7" s="1"/>
  <c r="JPA56" i="7" s="1"/>
  <c r="JPC56" i="7" s="1"/>
  <c r="JPE56" i="7" s="1"/>
  <c r="JPG56" i="7" s="1"/>
  <c r="JPI56" i="7" s="1"/>
  <c r="JPK56" i="7" s="1"/>
  <c r="JPM56" i="7" s="1"/>
  <c r="JPO56" i="7" s="1"/>
  <c r="JPQ56" i="7" s="1"/>
  <c r="JPS56" i="7" s="1"/>
  <c r="JPU56" i="7" s="1"/>
  <c r="JPW56" i="7" s="1"/>
  <c r="JPY56" i="7" s="1"/>
  <c r="JQA56" i="7" s="1"/>
  <c r="JQC56" i="7" s="1"/>
  <c r="JQE56" i="7" s="1"/>
  <c r="JQG56" i="7" s="1"/>
  <c r="JQI56" i="7" s="1"/>
  <c r="JQK56" i="7" s="1"/>
  <c r="JQM56" i="7" s="1"/>
  <c r="JQO56" i="7" s="1"/>
  <c r="JQQ56" i="7" s="1"/>
  <c r="JQS56" i="7" s="1"/>
  <c r="JQU56" i="7" s="1"/>
  <c r="JQW56" i="7" s="1"/>
  <c r="JQY56" i="7" s="1"/>
  <c r="JRA56" i="7" s="1"/>
  <c r="JRC56" i="7" s="1"/>
  <c r="JRE56" i="7" s="1"/>
  <c r="JRG56" i="7" s="1"/>
  <c r="JRI56" i="7" s="1"/>
  <c r="JRK56" i="7" s="1"/>
  <c r="JRM56" i="7" s="1"/>
  <c r="JRO56" i="7" s="1"/>
  <c r="JRQ56" i="7" s="1"/>
  <c r="JRS56" i="7" s="1"/>
  <c r="JRU56" i="7" s="1"/>
  <c r="JRW56" i="7" s="1"/>
  <c r="JRY56" i="7" s="1"/>
  <c r="JSA56" i="7" s="1"/>
  <c r="JSC56" i="7" s="1"/>
  <c r="JSE56" i="7" s="1"/>
  <c r="JSG56" i="7" s="1"/>
  <c r="JSI56" i="7" s="1"/>
  <c r="JSK56" i="7" s="1"/>
  <c r="JSM56" i="7" s="1"/>
  <c r="JSO56" i="7" s="1"/>
  <c r="JSQ56" i="7" s="1"/>
  <c r="JSS56" i="7" s="1"/>
  <c r="JSU56" i="7" s="1"/>
  <c r="JSW56" i="7" s="1"/>
  <c r="JSY56" i="7" s="1"/>
  <c r="JTA56" i="7" s="1"/>
  <c r="JTC56" i="7" s="1"/>
  <c r="JTE56" i="7" s="1"/>
  <c r="JTG56" i="7" s="1"/>
  <c r="JTI56" i="7" s="1"/>
  <c r="JTK56" i="7" s="1"/>
  <c r="JTM56" i="7" s="1"/>
  <c r="JTO56" i="7" s="1"/>
  <c r="JTQ56" i="7" s="1"/>
  <c r="JTS56" i="7" s="1"/>
  <c r="JTU56" i="7" s="1"/>
  <c r="JTW56" i="7" s="1"/>
  <c r="JTY56" i="7" s="1"/>
  <c r="JUA56" i="7" s="1"/>
  <c r="JUC56" i="7" s="1"/>
  <c r="JUE56" i="7" s="1"/>
  <c r="JUG56" i="7" s="1"/>
  <c r="JUI56" i="7" s="1"/>
  <c r="JUK56" i="7" s="1"/>
  <c r="JUM56" i="7" s="1"/>
  <c r="JUO56" i="7" s="1"/>
  <c r="JUQ56" i="7" s="1"/>
  <c r="JUS56" i="7" s="1"/>
  <c r="JUU56" i="7" s="1"/>
  <c r="JUW56" i="7" s="1"/>
  <c r="JUY56" i="7" s="1"/>
  <c r="JVA56" i="7" s="1"/>
  <c r="JVC56" i="7" s="1"/>
  <c r="JVE56" i="7" s="1"/>
  <c r="JVG56" i="7" s="1"/>
  <c r="JVI56" i="7" s="1"/>
  <c r="JVK56" i="7" s="1"/>
  <c r="JVM56" i="7" s="1"/>
  <c r="JVO56" i="7" s="1"/>
  <c r="JVQ56" i="7" s="1"/>
  <c r="JVS56" i="7" s="1"/>
  <c r="JVU56" i="7" s="1"/>
  <c r="JVW56" i="7" s="1"/>
  <c r="JVY56" i="7" s="1"/>
  <c r="JWA56" i="7" s="1"/>
  <c r="JWC56" i="7" s="1"/>
  <c r="JWE56" i="7" s="1"/>
  <c r="JWG56" i="7" s="1"/>
  <c r="JWI56" i="7" s="1"/>
  <c r="JWK56" i="7" s="1"/>
  <c r="JWM56" i="7" s="1"/>
  <c r="JWO56" i="7" s="1"/>
  <c r="JWQ56" i="7" s="1"/>
  <c r="JWS56" i="7" s="1"/>
  <c r="JWU56" i="7" s="1"/>
  <c r="JWW56" i="7" s="1"/>
  <c r="JWY56" i="7" s="1"/>
  <c r="JXA56" i="7" s="1"/>
  <c r="JXC56" i="7" s="1"/>
  <c r="JXE56" i="7" s="1"/>
  <c r="JXG56" i="7" s="1"/>
  <c r="JXI56" i="7" s="1"/>
  <c r="JXK56" i="7" s="1"/>
  <c r="JXM56" i="7" s="1"/>
  <c r="JXO56" i="7" s="1"/>
  <c r="JXQ56" i="7" s="1"/>
  <c r="JXS56" i="7" s="1"/>
  <c r="JXU56" i="7" s="1"/>
  <c r="JXW56" i="7" s="1"/>
  <c r="JXY56" i="7" s="1"/>
  <c r="JYA56" i="7" s="1"/>
  <c r="JYC56" i="7" s="1"/>
  <c r="JYE56" i="7" s="1"/>
  <c r="JYG56" i="7" s="1"/>
  <c r="JYI56" i="7" s="1"/>
  <c r="JYK56" i="7" s="1"/>
  <c r="JYM56" i="7" s="1"/>
  <c r="JYO56" i="7" s="1"/>
  <c r="JYQ56" i="7" s="1"/>
  <c r="JYS56" i="7" s="1"/>
  <c r="JYU56" i="7" s="1"/>
  <c r="JYW56" i="7" s="1"/>
  <c r="JYY56" i="7" s="1"/>
  <c r="JZA56" i="7" s="1"/>
  <c r="JZC56" i="7" s="1"/>
  <c r="JZE56" i="7" s="1"/>
  <c r="JZG56" i="7" s="1"/>
  <c r="JZI56" i="7" s="1"/>
  <c r="JZK56" i="7" s="1"/>
  <c r="JZM56" i="7" s="1"/>
  <c r="JZO56" i="7" s="1"/>
  <c r="JZQ56" i="7" s="1"/>
  <c r="JZS56" i="7" s="1"/>
  <c r="JZU56" i="7" s="1"/>
  <c r="JZW56" i="7" s="1"/>
  <c r="JZY56" i="7" s="1"/>
  <c r="KAA56" i="7" s="1"/>
  <c r="KAC56" i="7" s="1"/>
  <c r="KAE56" i="7" s="1"/>
  <c r="KAG56" i="7" s="1"/>
  <c r="KAI56" i="7" s="1"/>
  <c r="KAK56" i="7" s="1"/>
  <c r="KAM56" i="7" s="1"/>
  <c r="KAO56" i="7" s="1"/>
  <c r="KAQ56" i="7" s="1"/>
  <c r="KAS56" i="7" s="1"/>
  <c r="KAU56" i="7" s="1"/>
  <c r="KAW56" i="7" s="1"/>
  <c r="KAY56" i="7" s="1"/>
  <c r="KBA56" i="7" s="1"/>
  <c r="KBC56" i="7" s="1"/>
  <c r="KBE56" i="7" s="1"/>
  <c r="KBG56" i="7" s="1"/>
  <c r="KBI56" i="7" s="1"/>
  <c r="KBK56" i="7" s="1"/>
  <c r="KBM56" i="7" s="1"/>
  <c r="KBO56" i="7" s="1"/>
  <c r="KBQ56" i="7" s="1"/>
  <c r="KBS56" i="7" s="1"/>
  <c r="KBU56" i="7" s="1"/>
  <c r="KBW56" i="7" s="1"/>
  <c r="KBY56" i="7" s="1"/>
  <c r="KCA56" i="7" s="1"/>
  <c r="KCC56" i="7" s="1"/>
  <c r="KCE56" i="7" s="1"/>
  <c r="KCG56" i="7" s="1"/>
  <c r="KCI56" i="7" s="1"/>
  <c r="KCK56" i="7" s="1"/>
  <c r="KCM56" i="7" s="1"/>
  <c r="KCO56" i="7" s="1"/>
  <c r="KCQ56" i="7" s="1"/>
  <c r="KCS56" i="7" s="1"/>
  <c r="KCU56" i="7" s="1"/>
  <c r="KCW56" i="7" s="1"/>
  <c r="KCY56" i="7" s="1"/>
  <c r="KDA56" i="7" s="1"/>
  <c r="KDC56" i="7" s="1"/>
  <c r="KDE56" i="7" s="1"/>
  <c r="KDG56" i="7" s="1"/>
  <c r="KDI56" i="7" s="1"/>
  <c r="KDK56" i="7" s="1"/>
  <c r="KDM56" i="7" s="1"/>
  <c r="KDO56" i="7" s="1"/>
  <c r="KDQ56" i="7" s="1"/>
  <c r="KDS56" i="7" s="1"/>
  <c r="KDU56" i="7" s="1"/>
  <c r="KDW56" i="7" s="1"/>
  <c r="KDY56" i="7" s="1"/>
  <c r="KEA56" i="7" s="1"/>
  <c r="KEC56" i="7" s="1"/>
  <c r="KEE56" i="7" s="1"/>
  <c r="KEG56" i="7" s="1"/>
  <c r="KEI56" i="7" s="1"/>
  <c r="KEK56" i="7" s="1"/>
  <c r="KEM56" i="7" s="1"/>
  <c r="KEO56" i="7" s="1"/>
  <c r="KEQ56" i="7" s="1"/>
  <c r="KES56" i="7" s="1"/>
  <c r="KEU56" i="7" s="1"/>
  <c r="KEW56" i="7" s="1"/>
  <c r="KEY56" i="7" s="1"/>
  <c r="KFA56" i="7" s="1"/>
  <c r="KFC56" i="7" s="1"/>
  <c r="KFE56" i="7" s="1"/>
  <c r="KFG56" i="7" s="1"/>
  <c r="KFI56" i="7" s="1"/>
  <c r="KFK56" i="7" s="1"/>
  <c r="KFM56" i="7" s="1"/>
  <c r="KFO56" i="7" s="1"/>
  <c r="KFQ56" i="7" s="1"/>
  <c r="KFS56" i="7" s="1"/>
  <c r="KFU56" i="7" s="1"/>
  <c r="KFW56" i="7" s="1"/>
  <c r="KFY56" i="7" s="1"/>
  <c r="KGA56" i="7" s="1"/>
  <c r="KGC56" i="7" s="1"/>
  <c r="KGE56" i="7" s="1"/>
  <c r="KGG56" i="7" s="1"/>
  <c r="KGI56" i="7" s="1"/>
  <c r="KGK56" i="7" s="1"/>
  <c r="KGM56" i="7" s="1"/>
  <c r="KGO56" i="7" s="1"/>
  <c r="KGQ56" i="7" s="1"/>
  <c r="KGS56" i="7" s="1"/>
  <c r="KGU56" i="7" s="1"/>
  <c r="KGW56" i="7" s="1"/>
  <c r="KGY56" i="7" s="1"/>
  <c r="KHA56" i="7" s="1"/>
  <c r="KHC56" i="7" s="1"/>
  <c r="KHE56" i="7" s="1"/>
  <c r="KHG56" i="7" s="1"/>
  <c r="KHI56" i="7" s="1"/>
  <c r="KHK56" i="7" s="1"/>
  <c r="KHM56" i="7" s="1"/>
  <c r="KHO56" i="7" s="1"/>
  <c r="KHQ56" i="7" s="1"/>
  <c r="KHS56" i="7" s="1"/>
  <c r="KHU56" i="7" s="1"/>
  <c r="KHW56" i="7" s="1"/>
  <c r="KHY56" i="7" s="1"/>
  <c r="KIA56" i="7" s="1"/>
  <c r="KIC56" i="7" s="1"/>
  <c r="KIE56" i="7" s="1"/>
  <c r="KIG56" i="7" s="1"/>
  <c r="KII56" i="7" s="1"/>
  <c r="KIK56" i="7" s="1"/>
  <c r="KIM56" i="7" s="1"/>
  <c r="KIO56" i="7" s="1"/>
  <c r="KIQ56" i="7" s="1"/>
  <c r="KIS56" i="7" s="1"/>
  <c r="KIU56" i="7" s="1"/>
  <c r="KIW56" i="7" s="1"/>
  <c r="KIY56" i="7" s="1"/>
  <c r="KJA56" i="7" s="1"/>
  <c r="KJC56" i="7" s="1"/>
  <c r="KJE56" i="7" s="1"/>
  <c r="KJG56" i="7" s="1"/>
  <c r="KJI56" i="7" s="1"/>
  <c r="KJK56" i="7" s="1"/>
  <c r="KJM56" i="7" s="1"/>
  <c r="KJO56" i="7" s="1"/>
  <c r="KJQ56" i="7" s="1"/>
  <c r="KJS56" i="7" s="1"/>
  <c r="KJU56" i="7" s="1"/>
  <c r="KJW56" i="7" s="1"/>
  <c r="KJY56" i="7" s="1"/>
  <c r="KKA56" i="7" s="1"/>
  <c r="KKC56" i="7" s="1"/>
  <c r="KKE56" i="7" s="1"/>
  <c r="KKG56" i="7" s="1"/>
  <c r="KKI56" i="7" s="1"/>
  <c r="KKK56" i="7" s="1"/>
  <c r="KKM56" i="7" s="1"/>
  <c r="KKO56" i="7" s="1"/>
  <c r="KKQ56" i="7" s="1"/>
  <c r="KKS56" i="7" s="1"/>
  <c r="KKU56" i="7" s="1"/>
  <c r="KKW56" i="7" s="1"/>
  <c r="KKY56" i="7" s="1"/>
  <c r="KLA56" i="7" s="1"/>
  <c r="KLC56" i="7" s="1"/>
  <c r="KLE56" i="7" s="1"/>
  <c r="KLG56" i="7" s="1"/>
  <c r="KLI56" i="7" s="1"/>
  <c r="KLK56" i="7" s="1"/>
  <c r="KLM56" i="7" s="1"/>
  <c r="KLO56" i="7" s="1"/>
  <c r="KLQ56" i="7" s="1"/>
  <c r="KLS56" i="7" s="1"/>
  <c r="KLU56" i="7" s="1"/>
  <c r="KLW56" i="7" s="1"/>
  <c r="KLY56" i="7" s="1"/>
  <c r="KMA56" i="7" s="1"/>
  <c r="KMC56" i="7" s="1"/>
  <c r="KME56" i="7" s="1"/>
  <c r="KMG56" i="7" s="1"/>
  <c r="KMI56" i="7" s="1"/>
  <c r="KMK56" i="7" s="1"/>
  <c r="KMM56" i="7" s="1"/>
  <c r="KMO56" i="7" s="1"/>
  <c r="KMQ56" i="7" s="1"/>
  <c r="KMS56" i="7" s="1"/>
  <c r="KMU56" i="7" s="1"/>
  <c r="KMW56" i="7" s="1"/>
  <c r="KMY56" i="7" s="1"/>
  <c r="KNA56" i="7" s="1"/>
  <c r="KNC56" i="7" s="1"/>
  <c r="KNE56" i="7" s="1"/>
  <c r="KNG56" i="7" s="1"/>
  <c r="KNI56" i="7" s="1"/>
  <c r="KNK56" i="7" s="1"/>
  <c r="KNM56" i="7" s="1"/>
  <c r="KNO56" i="7" s="1"/>
  <c r="KNQ56" i="7" s="1"/>
  <c r="KNS56" i="7" s="1"/>
  <c r="KNU56" i="7" s="1"/>
  <c r="KNW56" i="7" s="1"/>
  <c r="KNY56" i="7" s="1"/>
  <c r="KOA56" i="7" s="1"/>
  <c r="KOC56" i="7" s="1"/>
  <c r="KOE56" i="7" s="1"/>
  <c r="KOG56" i="7" s="1"/>
  <c r="KOI56" i="7" s="1"/>
  <c r="KOK56" i="7" s="1"/>
  <c r="KOM56" i="7" s="1"/>
  <c r="KOO56" i="7" s="1"/>
  <c r="KOQ56" i="7" s="1"/>
  <c r="KOS56" i="7" s="1"/>
  <c r="KOU56" i="7" s="1"/>
  <c r="KOW56" i="7" s="1"/>
  <c r="KOY56" i="7" s="1"/>
  <c r="KPA56" i="7" s="1"/>
  <c r="KPC56" i="7" s="1"/>
  <c r="KPE56" i="7" s="1"/>
  <c r="KPG56" i="7" s="1"/>
  <c r="KPI56" i="7" s="1"/>
  <c r="KPK56" i="7" s="1"/>
  <c r="KPM56" i="7" s="1"/>
  <c r="KPO56" i="7" s="1"/>
  <c r="KPQ56" i="7" s="1"/>
  <c r="KPS56" i="7" s="1"/>
  <c r="KPU56" i="7" s="1"/>
  <c r="KPW56" i="7" s="1"/>
  <c r="KPY56" i="7" s="1"/>
  <c r="KQA56" i="7" s="1"/>
  <c r="KQC56" i="7" s="1"/>
  <c r="KQE56" i="7" s="1"/>
  <c r="KQG56" i="7" s="1"/>
  <c r="KQI56" i="7" s="1"/>
  <c r="KQK56" i="7" s="1"/>
  <c r="KQM56" i="7" s="1"/>
  <c r="KQO56" i="7" s="1"/>
  <c r="KQQ56" i="7" s="1"/>
  <c r="KQS56" i="7" s="1"/>
  <c r="KQU56" i="7" s="1"/>
  <c r="KQW56" i="7" s="1"/>
  <c r="KQY56" i="7" s="1"/>
  <c r="KRA56" i="7" s="1"/>
  <c r="KRC56" i="7" s="1"/>
  <c r="KRE56" i="7" s="1"/>
  <c r="KRG56" i="7" s="1"/>
  <c r="KRI56" i="7" s="1"/>
  <c r="KRK56" i="7" s="1"/>
  <c r="KRM56" i="7" s="1"/>
  <c r="KRO56" i="7" s="1"/>
  <c r="KRQ56" i="7" s="1"/>
  <c r="KRS56" i="7" s="1"/>
  <c r="KRU56" i="7" s="1"/>
  <c r="KRW56" i="7" s="1"/>
  <c r="KRY56" i="7" s="1"/>
  <c r="KSA56" i="7" s="1"/>
  <c r="KSC56" i="7" s="1"/>
  <c r="KSE56" i="7" s="1"/>
  <c r="KSG56" i="7" s="1"/>
  <c r="KSI56" i="7" s="1"/>
  <c r="KSK56" i="7" s="1"/>
  <c r="KSM56" i="7" s="1"/>
  <c r="KSO56" i="7" s="1"/>
  <c r="KSQ56" i="7" s="1"/>
  <c r="KSS56" i="7" s="1"/>
  <c r="KSU56" i="7" s="1"/>
  <c r="KSW56" i="7" s="1"/>
  <c r="KSY56" i="7" s="1"/>
  <c r="KTA56" i="7" s="1"/>
  <c r="KTC56" i="7" s="1"/>
  <c r="KTE56" i="7" s="1"/>
  <c r="KTG56" i="7" s="1"/>
  <c r="KTI56" i="7" s="1"/>
  <c r="KTK56" i="7" s="1"/>
  <c r="KTM56" i="7" s="1"/>
  <c r="KTO56" i="7" s="1"/>
  <c r="KTQ56" i="7" s="1"/>
  <c r="KTS56" i="7" s="1"/>
  <c r="KTU56" i="7" s="1"/>
  <c r="KTW56" i="7" s="1"/>
  <c r="KTY56" i="7" s="1"/>
  <c r="KUA56" i="7" s="1"/>
  <c r="KUC56" i="7" s="1"/>
  <c r="KUE56" i="7" s="1"/>
  <c r="KUG56" i="7" s="1"/>
  <c r="KUI56" i="7" s="1"/>
  <c r="KUK56" i="7" s="1"/>
  <c r="KUM56" i="7" s="1"/>
  <c r="KUO56" i="7" s="1"/>
  <c r="KUQ56" i="7" s="1"/>
  <c r="KUS56" i="7" s="1"/>
  <c r="KUU56" i="7" s="1"/>
  <c r="KUW56" i="7" s="1"/>
  <c r="KUY56" i="7" s="1"/>
  <c r="KVA56" i="7" s="1"/>
  <c r="KVC56" i="7" s="1"/>
  <c r="KVE56" i="7" s="1"/>
  <c r="KVG56" i="7" s="1"/>
  <c r="KVI56" i="7" s="1"/>
  <c r="KVK56" i="7" s="1"/>
  <c r="KVM56" i="7" s="1"/>
  <c r="KVO56" i="7" s="1"/>
  <c r="KVQ56" i="7" s="1"/>
  <c r="KVS56" i="7" s="1"/>
  <c r="KVU56" i="7" s="1"/>
  <c r="KVW56" i="7" s="1"/>
  <c r="KVY56" i="7" s="1"/>
  <c r="KWA56" i="7" s="1"/>
  <c r="KWC56" i="7" s="1"/>
  <c r="KWE56" i="7" s="1"/>
  <c r="KWG56" i="7" s="1"/>
  <c r="KWI56" i="7" s="1"/>
  <c r="KWK56" i="7" s="1"/>
  <c r="KWM56" i="7" s="1"/>
  <c r="KWO56" i="7" s="1"/>
  <c r="KWQ56" i="7" s="1"/>
  <c r="KWS56" i="7" s="1"/>
  <c r="KWU56" i="7" s="1"/>
  <c r="KWW56" i="7" s="1"/>
  <c r="KWY56" i="7" s="1"/>
  <c r="KXA56" i="7" s="1"/>
  <c r="KXC56" i="7" s="1"/>
  <c r="KXE56" i="7" s="1"/>
  <c r="KXG56" i="7" s="1"/>
  <c r="KXI56" i="7" s="1"/>
  <c r="KXK56" i="7" s="1"/>
  <c r="KXM56" i="7" s="1"/>
  <c r="KXO56" i="7" s="1"/>
  <c r="KXQ56" i="7" s="1"/>
  <c r="KXS56" i="7" s="1"/>
  <c r="KXU56" i="7" s="1"/>
  <c r="KXW56" i="7" s="1"/>
  <c r="KXY56" i="7" s="1"/>
  <c r="KYA56" i="7" s="1"/>
  <c r="KYC56" i="7" s="1"/>
  <c r="KYE56" i="7" s="1"/>
  <c r="KYG56" i="7" s="1"/>
  <c r="KYI56" i="7" s="1"/>
  <c r="KYK56" i="7" s="1"/>
  <c r="KYM56" i="7" s="1"/>
  <c r="KYO56" i="7" s="1"/>
  <c r="KYQ56" i="7" s="1"/>
  <c r="KYS56" i="7" s="1"/>
  <c r="KYU56" i="7" s="1"/>
  <c r="KYW56" i="7" s="1"/>
  <c r="KYY56" i="7" s="1"/>
  <c r="KZA56" i="7" s="1"/>
  <c r="KZC56" i="7" s="1"/>
  <c r="KZE56" i="7" s="1"/>
  <c r="KZG56" i="7" s="1"/>
  <c r="KZI56" i="7" s="1"/>
  <c r="KZK56" i="7" s="1"/>
  <c r="KZM56" i="7" s="1"/>
  <c r="KZO56" i="7" s="1"/>
  <c r="KZQ56" i="7" s="1"/>
  <c r="KZS56" i="7" s="1"/>
  <c r="KZU56" i="7" s="1"/>
  <c r="KZW56" i="7" s="1"/>
  <c r="KZY56" i="7" s="1"/>
  <c r="LAA56" i="7" s="1"/>
  <c r="LAC56" i="7" s="1"/>
  <c r="LAE56" i="7" s="1"/>
  <c r="LAG56" i="7" s="1"/>
  <c r="LAI56" i="7" s="1"/>
  <c r="LAK56" i="7" s="1"/>
  <c r="LAM56" i="7" s="1"/>
  <c r="LAO56" i="7" s="1"/>
  <c r="LAQ56" i="7" s="1"/>
  <c r="LAS56" i="7" s="1"/>
  <c r="LAU56" i="7" s="1"/>
  <c r="LAW56" i="7" s="1"/>
  <c r="LAY56" i="7" s="1"/>
  <c r="LBA56" i="7" s="1"/>
  <c r="LBC56" i="7" s="1"/>
  <c r="LBE56" i="7" s="1"/>
  <c r="LBG56" i="7" s="1"/>
  <c r="LBI56" i="7" s="1"/>
  <c r="LBK56" i="7" s="1"/>
  <c r="LBM56" i="7" s="1"/>
  <c r="LBO56" i="7" s="1"/>
  <c r="LBQ56" i="7" s="1"/>
  <c r="LBS56" i="7" s="1"/>
  <c r="LBU56" i="7" s="1"/>
  <c r="LBW56" i="7" s="1"/>
  <c r="LBY56" i="7" s="1"/>
  <c r="LCA56" i="7" s="1"/>
  <c r="LCC56" i="7" s="1"/>
  <c r="LCE56" i="7" s="1"/>
  <c r="LCG56" i="7" s="1"/>
  <c r="LCI56" i="7" s="1"/>
  <c r="LCK56" i="7" s="1"/>
  <c r="LCM56" i="7" s="1"/>
  <c r="LCO56" i="7" s="1"/>
  <c r="LCQ56" i="7" s="1"/>
  <c r="LCS56" i="7" s="1"/>
  <c r="LCU56" i="7" s="1"/>
  <c r="LCW56" i="7" s="1"/>
  <c r="LCY56" i="7" s="1"/>
  <c r="LDA56" i="7" s="1"/>
  <c r="LDC56" i="7" s="1"/>
  <c r="LDE56" i="7" s="1"/>
  <c r="LDG56" i="7" s="1"/>
  <c r="LDI56" i="7" s="1"/>
  <c r="LDK56" i="7" s="1"/>
  <c r="LDM56" i="7" s="1"/>
  <c r="LDO56" i="7" s="1"/>
  <c r="LDQ56" i="7" s="1"/>
  <c r="LDS56" i="7" s="1"/>
  <c r="LDU56" i="7" s="1"/>
  <c r="LDW56" i="7" s="1"/>
  <c r="LDY56" i="7" s="1"/>
  <c r="LEA56" i="7" s="1"/>
  <c r="LEC56" i="7" s="1"/>
  <c r="LEE56" i="7" s="1"/>
  <c r="LEG56" i="7" s="1"/>
  <c r="LEI56" i="7" s="1"/>
  <c r="LEK56" i="7" s="1"/>
  <c r="LEM56" i="7" s="1"/>
  <c r="LEO56" i="7" s="1"/>
  <c r="LEQ56" i="7" s="1"/>
  <c r="LES56" i="7" s="1"/>
  <c r="LEU56" i="7" s="1"/>
  <c r="LEW56" i="7" s="1"/>
  <c r="LEY56" i="7" s="1"/>
  <c r="LFA56" i="7" s="1"/>
  <c r="LFC56" i="7" s="1"/>
  <c r="LFE56" i="7" s="1"/>
  <c r="LFG56" i="7" s="1"/>
  <c r="LFI56" i="7" s="1"/>
  <c r="LFK56" i="7" s="1"/>
  <c r="LFM56" i="7" s="1"/>
  <c r="LFO56" i="7" s="1"/>
  <c r="LFQ56" i="7" s="1"/>
  <c r="LFS56" i="7" s="1"/>
  <c r="LFU56" i="7" s="1"/>
  <c r="LFW56" i="7" s="1"/>
  <c r="LFY56" i="7" s="1"/>
  <c r="LGA56" i="7" s="1"/>
  <c r="LGC56" i="7" s="1"/>
  <c r="LGE56" i="7" s="1"/>
  <c r="LGG56" i="7" s="1"/>
  <c r="LGI56" i="7" s="1"/>
  <c r="LGK56" i="7" s="1"/>
  <c r="LGM56" i="7" s="1"/>
  <c r="LGO56" i="7" s="1"/>
  <c r="LGQ56" i="7" s="1"/>
  <c r="LGS56" i="7" s="1"/>
  <c r="LGU56" i="7" s="1"/>
  <c r="LGW56" i="7" s="1"/>
  <c r="LGY56" i="7" s="1"/>
  <c r="LHA56" i="7" s="1"/>
  <c r="LHC56" i="7" s="1"/>
  <c r="LHE56" i="7" s="1"/>
  <c r="LHG56" i="7" s="1"/>
  <c r="LHI56" i="7" s="1"/>
  <c r="LHK56" i="7" s="1"/>
  <c r="LHM56" i="7" s="1"/>
  <c r="LHO56" i="7" s="1"/>
  <c r="LHQ56" i="7" s="1"/>
  <c r="LHS56" i="7" s="1"/>
  <c r="LHU56" i="7" s="1"/>
  <c r="LHW56" i="7" s="1"/>
  <c r="LHY56" i="7" s="1"/>
  <c r="LIA56" i="7" s="1"/>
  <c r="LIC56" i="7" s="1"/>
  <c r="LIE56" i="7" s="1"/>
  <c r="LIG56" i="7" s="1"/>
  <c r="LII56" i="7" s="1"/>
  <c r="LIK56" i="7" s="1"/>
  <c r="LIM56" i="7" s="1"/>
  <c r="LIO56" i="7" s="1"/>
  <c r="LIQ56" i="7" s="1"/>
  <c r="LIS56" i="7" s="1"/>
  <c r="LIU56" i="7" s="1"/>
  <c r="LIW56" i="7" s="1"/>
  <c r="LIY56" i="7" s="1"/>
  <c r="LJA56" i="7" s="1"/>
  <c r="LJC56" i="7" s="1"/>
  <c r="LJE56" i="7" s="1"/>
  <c r="LJG56" i="7" s="1"/>
  <c r="LJI56" i="7" s="1"/>
  <c r="LJK56" i="7" s="1"/>
  <c r="LJM56" i="7" s="1"/>
  <c r="LJO56" i="7" s="1"/>
  <c r="LJQ56" i="7" s="1"/>
  <c r="LJS56" i="7" s="1"/>
  <c r="LJU56" i="7" s="1"/>
  <c r="LJW56" i="7" s="1"/>
  <c r="LJY56" i="7" s="1"/>
  <c r="LKA56" i="7" s="1"/>
  <c r="LKC56" i="7" s="1"/>
  <c r="LKE56" i="7" s="1"/>
  <c r="LKG56" i="7" s="1"/>
  <c r="LKI56" i="7" s="1"/>
  <c r="LKK56" i="7" s="1"/>
  <c r="LKM56" i="7" s="1"/>
  <c r="LKO56" i="7" s="1"/>
  <c r="LKQ56" i="7" s="1"/>
  <c r="LKS56" i="7" s="1"/>
  <c r="LKU56" i="7" s="1"/>
  <c r="LKW56" i="7" s="1"/>
  <c r="LKY56" i="7" s="1"/>
  <c r="LLA56" i="7" s="1"/>
  <c r="LLC56" i="7" s="1"/>
  <c r="LLE56" i="7" s="1"/>
  <c r="LLG56" i="7" s="1"/>
  <c r="LLI56" i="7" s="1"/>
  <c r="LLK56" i="7" s="1"/>
  <c r="LLM56" i="7" s="1"/>
  <c r="LLO56" i="7" s="1"/>
  <c r="LLQ56" i="7" s="1"/>
  <c r="LLS56" i="7" s="1"/>
  <c r="LLU56" i="7" s="1"/>
  <c r="LLW56" i="7" s="1"/>
  <c r="LLY56" i="7" s="1"/>
  <c r="LMA56" i="7" s="1"/>
  <c r="LMC56" i="7" s="1"/>
  <c r="LME56" i="7" s="1"/>
  <c r="LMG56" i="7" s="1"/>
  <c r="LMI56" i="7" s="1"/>
  <c r="LMK56" i="7" s="1"/>
  <c r="LMM56" i="7" s="1"/>
  <c r="LMO56" i="7" s="1"/>
  <c r="LMQ56" i="7" s="1"/>
  <c r="LMS56" i="7" s="1"/>
  <c r="LMU56" i="7" s="1"/>
  <c r="LMW56" i="7" s="1"/>
  <c r="LMY56" i="7" s="1"/>
  <c r="LNA56" i="7" s="1"/>
  <c r="LNC56" i="7" s="1"/>
  <c r="LNE56" i="7" s="1"/>
  <c r="LNG56" i="7" s="1"/>
  <c r="LNI56" i="7" s="1"/>
  <c r="LNK56" i="7" s="1"/>
  <c r="LNM56" i="7" s="1"/>
  <c r="LNO56" i="7" s="1"/>
  <c r="LNQ56" i="7" s="1"/>
  <c r="LNS56" i="7" s="1"/>
  <c r="LNU56" i="7" s="1"/>
  <c r="LNW56" i="7" s="1"/>
  <c r="LNY56" i="7" s="1"/>
  <c r="LOA56" i="7" s="1"/>
  <c r="LOC56" i="7" s="1"/>
  <c r="LOE56" i="7" s="1"/>
  <c r="LOG56" i="7" s="1"/>
  <c r="LOI56" i="7" s="1"/>
  <c r="LOK56" i="7" s="1"/>
  <c r="LOM56" i="7" s="1"/>
  <c r="LOO56" i="7" s="1"/>
  <c r="LOQ56" i="7" s="1"/>
  <c r="LOS56" i="7" s="1"/>
  <c r="LOU56" i="7" s="1"/>
  <c r="LOW56" i="7" s="1"/>
  <c r="LOY56" i="7" s="1"/>
  <c r="LPA56" i="7" s="1"/>
  <c r="LPC56" i="7" s="1"/>
  <c r="LPE56" i="7" s="1"/>
  <c r="LPG56" i="7" s="1"/>
  <c r="LPI56" i="7" s="1"/>
  <c r="LPK56" i="7" s="1"/>
  <c r="LPM56" i="7" s="1"/>
  <c r="LPO56" i="7" s="1"/>
  <c r="LPQ56" i="7" s="1"/>
  <c r="LPS56" i="7" s="1"/>
  <c r="LPU56" i="7" s="1"/>
  <c r="LPW56" i="7" s="1"/>
  <c r="LPY56" i="7" s="1"/>
  <c r="LQA56" i="7" s="1"/>
  <c r="LQC56" i="7" s="1"/>
  <c r="LQE56" i="7" s="1"/>
  <c r="LQG56" i="7" s="1"/>
  <c r="LQI56" i="7" s="1"/>
  <c r="LQK56" i="7" s="1"/>
  <c r="LQM56" i="7" s="1"/>
  <c r="LQO56" i="7" s="1"/>
  <c r="LQQ56" i="7" s="1"/>
  <c r="LQS56" i="7" s="1"/>
  <c r="LQU56" i="7" s="1"/>
  <c r="LQW56" i="7" s="1"/>
  <c r="LQY56" i="7" s="1"/>
  <c r="LRA56" i="7" s="1"/>
  <c r="LRC56" i="7" s="1"/>
  <c r="LRE56" i="7" s="1"/>
  <c r="LRG56" i="7" s="1"/>
  <c r="LRI56" i="7" s="1"/>
  <c r="LRK56" i="7" s="1"/>
  <c r="LRM56" i="7" s="1"/>
  <c r="LRO56" i="7" s="1"/>
  <c r="LRQ56" i="7" s="1"/>
  <c r="LRS56" i="7" s="1"/>
  <c r="LRU56" i="7" s="1"/>
  <c r="LRW56" i="7" s="1"/>
  <c r="LRY56" i="7" s="1"/>
  <c r="LSA56" i="7" s="1"/>
  <c r="LSC56" i="7" s="1"/>
  <c r="LSE56" i="7" s="1"/>
  <c r="LSG56" i="7" s="1"/>
  <c r="LSI56" i="7" s="1"/>
  <c r="LSK56" i="7" s="1"/>
  <c r="LSM56" i="7" s="1"/>
  <c r="LSO56" i="7" s="1"/>
  <c r="LSQ56" i="7" s="1"/>
  <c r="LSS56" i="7" s="1"/>
  <c r="LSU56" i="7" s="1"/>
  <c r="LSW56" i="7" s="1"/>
  <c r="LSY56" i="7" s="1"/>
  <c r="LTA56" i="7" s="1"/>
  <c r="LTC56" i="7" s="1"/>
  <c r="LTE56" i="7" s="1"/>
  <c r="LTG56" i="7" s="1"/>
  <c r="LTI56" i="7" s="1"/>
  <c r="LTK56" i="7" s="1"/>
  <c r="LTM56" i="7" s="1"/>
  <c r="LTO56" i="7" s="1"/>
  <c r="LTQ56" i="7" s="1"/>
  <c r="LTS56" i="7" s="1"/>
  <c r="LTU56" i="7" s="1"/>
  <c r="LTW56" i="7" s="1"/>
  <c r="LTY56" i="7" s="1"/>
  <c r="LUA56" i="7" s="1"/>
  <c r="LUC56" i="7" s="1"/>
  <c r="LUE56" i="7" s="1"/>
  <c r="LUG56" i="7" s="1"/>
  <c r="LUI56" i="7" s="1"/>
  <c r="LUK56" i="7" s="1"/>
  <c r="LUM56" i="7" s="1"/>
  <c r="LUO56" i="7" s="1"/>
  <c r="LUQ56" i="7" s="1"/>
  <c r="LUS56" i="7" s="1"/>
  <c r="LUU56" i="7" s="1"/>
  <c r="LUW56" i="7" s="1"/>
  <c r="LUY56" i="7" s="1"/>
  <c r="LVA56" i="7" s="1"/>
  <c r="LVC56" i="7" s="1"/>
  <c r="LVE56" i="7" s="1"/>
  <c r="LVG56" i="7" s="1"/>
  <c r="LVI56" i="7" s="1"/>
  <c r="LVK56" i="7" s="1"/>
  <c r="LVM56" i="7" s="1"/>
  <c r="LVO56" i="7" s="1"/>
  <c r="LVQ56" i="7" s="1"/>
  <c r="LVS56" i="7" s="1"/>
  <c r="LVU56" i="7" s="1"/>
  <c r="LVW56" i="7" s="1"/>
  <c r="LVY56" i="7" s="1"/>
  <c r="LWA56" i="7" s="1"/>
  <c r="LWC56" i="7" s="1"/>
  <c r="LWE56" i="7" s="1"/>
  <c r="LWG56" i="7" s="1"/>
  <c r="LWI56" i="7" s="1"/>
  <c r="LWK56" i="7" s="1"/>
  <c r="LWM56" i="7" s="1"/>
  <c r="LWO56" i="7" s="1"/>
  <c r="LWQ56" i="7" s="1"/>
  <c r="LWS56" i="7" s="1"/>
  <c r="LWU56" i="7" s="1"/>
  <c r="LWW56" i="7" s="1"/>
  <c r="LWY56" i="7" s="1"/>
  <c r="LXA56" i="7" s="1"/>
  <c r="LXC56" i="7" s="1"/>
  <c r="LXE56" i="7" s="1"/>
  <c r="LXG56" i="7" s="1"/>
  <c r="LXI56" i="7" s="1"/>
  <c r="LXK56" i="7" s="1"/>
  <c r="LXM56" i="7" s="1"/>
  <c r="LXO56" i="7" s="1"/>
  <c r="LXQ56" i="7" s="1"/>
  <c r="LXS56" i="7" s="1"/>
  <c r="LXU56" i="7" s="1"/>
  <c r="LXW56" i="7" s="1"/>
  <c r="LXY56" i="7" s="1"/>
  <c r="LYA56" i="7" s="1"/>
  <c r="LYC56" i="7" s="1"/>
  <c r="LYE56" i="7" s="1"/>
  <c r="LYG56" i="7" s="1"/>
  <c r="LYI56" i="7" s="1"/>
  <c r="LYK56" i="7" s="1"/>
  <c r="LYM56" i="7" s="1"/>
  <c r="LYO56" i="7" s="1"/>
  <c r="LYQ56" i="7" s="1"/>
  <c r="LYS56" i="7" s="1"/>
  <c r="LYU56" i="7" s="1"/>
  <c r="LYW56" i="7" s="1"/>
  <c r="LYY56" i="7" s="1"/>
  <c r="LZA56" i="7" s="1"/>
  <c r="LZC56" i="7" s="1"/>
  <c r="LZE56" i="7" s="1"/>
  <c r="LZG56" i="7" s="1"/>
  <c r="LZI56" i="7" s="1"/>
  <c r="LZK56" i="7" s="1"/>
  <c r="LZM56" i="7" s="1"/>
  <c r="LZO56" i="7" s="1"/>
  <c r="LZQ56" i="7" s="1"/>
  <c r="LZS56" i="7" s="1"/>
  <c r="LZU56" i="7" s="1"/>
  <c r="LZW56" i="7" s="1"/>
  <c r="LZY56" i="7" s="1"/>
  <c r="MAA56" i="7" s="1"/>
  <c r="MAC56" i="7" s="1"/>
  <c r="MAE56" i="7" s="1"/>
  <c r="MAG56" i="7" s="1"/>
  <c r="MAI56" i="7" s="1"/>
  <c r="MAK56" i="7" s="1"/>
  <c r="MAM56" i="7" s="1"/>
  <c r="MAO56" i="7" s="1"/>
  <c r="MAQ56" i="7" s="1"/>
  <c r="MAS56" i="7" s="1"/>
  <c r="MAU56" i="7" s="1"/>
  <c r="MAW56" i="7" s="1"/>
  <c r="MAY56" i="7" s="1"/>
  <c r="MBA56" i="7" s="1"/>
  <c r="MBC56" i="7" s="1"/>
  <c r="MBE56" i="7" s="1"/>
  <c r="MBG56" i="7" s="1"/>
  <c r="MBI56" i="7" s="1"/>
  <c r="MBK56" i="7" s="1"/>
  <c r="MBM56" i="7" s="1"/>
  <c r="MBO56" i="7" s="1"/>
  <c r="MBQ56" i="7" s="1"/>
  <c r="MBS56" i="7" s="1"/>
  <c r="MBU56" i="7" s="1"/>
  <c r="MBW56" i="7" s="1"/>
  <c r="MBY56" i="7" s="1"/>
  <c r="MCA56" i="7" s="1"/>
  <c r="MCC56" i="7" s="1"/>
  <c r="MCE56" i="7" s="1"/>
  <c r="MCG56" i="7" s="1"/>
  <c r="MCI56" i="7" s="1"/>
  <c r="MCK56" i="7" s="1"/>
  <c r="MCM56" i="7" s="1"/>
  <c r="MCO56" i="7" s="1"/>
  <c r="MCQ56" i="7" s="1"/>
  <c r="MCS56" i="7" s="1"/>
  <c r="MCU56" i="7" s="1"/>
  <c r="MCW56" i="7" s="1"/>
  <c r="MCY56" i="7" s="1"/>
  <c r="MDA56" i="7" s="1"/>
  <c r="MDC56" i="7" s="1"/>
  <c r="MDE56" i="7" s="1"/>
  <c r="MDG56" i="7" s="1"/>
  <c r="MDI56" i="7" s="1"/>
  <c r="MDK56" i="7" s="1"/>
  <c r="MDM56" i="7" s="1"/>
  <c r="MDO56" i="7" s="1"/>
  <c r="MDQ56" i="7" s="1"/>
  <c r="MDS56" i="7" s="1"/>
  <c r="MDU56" i="7" s="1"/>
  <c r="MDW56" i="7" s="1"/>
  <c r="MDY56" i="7" s="1"/>
  <c r="MEA56" i="7" s="1"/>
  <c r="MEC56" i="7" s="1"/>
  <c r="MEE56" i="7" s="1"/>
  <c r="MEG56" i="7" s="1"/>
  <c r="MEI56" i="7" s="1"/>
  <c r="MEK56" i="7" s="1"/>
  <c r="MEM56" i="7" s="1"/>
  <c r="MEO56" i="7" s="1"/>
  <c r="MEQ56" i="7" s="1"/>
  <c r="MES56" i="7" s="1"/>
  <c r="MEU56" i="7" s="1"/>
  <c r="MEW56" i="7" s="1"/>
  <c r="MEY56" i="7" s="1"/>
  <c r="MFA56" i="7" s="1"/>
  <c r="MFC56" i="7" s="1"/>
  <c r="MFE56" i="7" s="1"/>
  <c r="MFG56" i="7" s="1"/>
  <c r="MFI56" i="7" s="1"/>
  <c r="MFK56" i="7" s="1"/>
  <c r="MFM56" i="7" s="1"/>
  <c r="MFO56" i="7" s="1"/>
  <c r="MFQ56" i="7" s="1"/>
  <c r="MFS56" i="7" s="1"/>
  <c r="MFU56" i="7" s="1"/>
  <c r="MFW56" i="7" s="1"/>
  <c r="MFY56" i="7" s="1"/>
  <c r="MGA56" i="7" s="1"/>
  <c r="MGC56" i="7" s="1"/>
  <c r="MGE56" i="7" s="1"/>
  <c r="MGG56" i="7" s="1"/>
  <c r="MGI56" i="7" s="1"/>
  <c r="MGK56" i="7" s="1"/>
  <c r="MGM56" i="7" s="1"/>
  <c r="MGO56" i="7" s="1"/>
  <c r="MGQ56" i="7" s="1"/>
  <c r="MGS56" i="7" s="1"/>
  <c r="MGU56" i="7" s="1"/>
  <c r="MGW56" i="7" s="1"/>
  <c r="MGY56" i="7" s="1"/>
  <c r="MHA56" i="7" s="1"/>
  <c r="MHC56" i="7" s="1"/>
  <c r="MHE56" i="7" s="1"/>
  <c r="MHG56" i="7" s="1"/>
  <c r="MHI56" i="7" s="1"/>
  <c r="MHK56" i="7" s="1"/>
  <c r="MHM56" i="7" s="1"/>
  <c r="MHO56" i="7" s="1"/>
  <c r="MHQ56" i="7" s="1"/>
  <c r="MHS56" i="7" s="1"/>
  <c r="MHU56" i="7" s="1"/>
  <c r="MHW56" i="7" s="1"/>
  <c r="MHY56" i="7" s="1"/>
  <c r="MIA56" i="7" s="1"/>
  <c r="MIC56" i="7" s="1"/>
  <c r="MIE56" i="7" s="1"/>
  <c r="MIG56" i="7" s="1"/>
  <c r="MII56" i="7" s="1"/>
  <c r="MIK56" i="7" s="1"/>
  <c r="MIM56" i="7" s="1"/>
  <c r="MIO56" i="7" s="1"/>
  <c r="MIQ56" i="7" s="1"/>
  <c r="MIS56" i="7" s="1"/>
  <c r="MIU56" i="7" s="1"/>
  <c r="MIW56" i="7" s="1"/>
  <c r="MIY56" i="7" s="1"/>
  <c r="MJA56" i="7" s="1"/>
  <c r="MJC56" i="7" s="1"/>
  <c r="MJE56" i="7" s="1"/>
  <c r="MJG56" i="7" s="1"/>
  <c r="MJI56" i="7" s="1"/>
  <c r="MJK56" i="7" s="1"/>
  <c r="MJM56" i="7" s="1"/>
  <c r="MJO56" i="7" s="1"/>
  <c r="MJQ56" i="7" s="1"/>
  <c r="MJS56" i="7" s="1"/>
  <c r="MJU56" i="7" s="1"/>
  <c r="MJW56" i="7" s="1"/>
  <c r="MJY56" i="7" s="1"/>
  <c r="MKA56" i="7" s="1"/>
  <c r="MKC56" i="7" s="1"/>
  <c r="MKE56" i="7" s="1"/>
  <c r="MKG56" i="7" s="1"/>
  <c r="MKI56" i="7" s="1"/>
  <c r="MKK56" i="7" s="1"/>
  <c r="MKM56" i="7" s="1"/>
  <c r="MKO56" i="7" s="1"/>
  <c r="MKQ56" i="7" s="1"/>
  <c r="MKS56" i="7" s="1"/>
  <c r="MKU56" i="7" s="1"/>
  <c r="MKW56" i="7" s="1"/>
  <c r="MKY56" i="7" s="1"/>
  <c r="MLA56" i="7" s="1"/>
  <c r="MLC56" i="7" s="1"/>
  <c r="MLE56" i="7" s="1"/>
  <c r="MLG56" i="7" s="1"/>
  <c r="MLI56" i="7" s="1"/>
  <c r="MLK56" i="7" s="1"/>
  <c r="MLM56" i="7" s="1"/>
  <c r="MLO56" i="7" s="1"/>
  <c r="MLQ56" i="7" s="1"/>
  <c r="MLS56" i="7" s="1"/>
  <c r="MLU56" i="7" s="1"/>
  <c r="MLW56" i="7" s="1"/>
  <c r="MLY56" i="7" s="1"/>
  <c r="MMA56" i="7" s="1"/>
  <c r="MMC56" i="7" s="1"/>
  <c r="MME56" i="7" s="1"/>
  <c r="MMG56" i="7" s="1"/>
  <c r="MMI56" i="7" s="1"/>
  <c r="MMK56" i="7" s="1"/>
  <c r="MMM56" i="7" s="1"/>
  <c r="MMO56" i="7" s="1"/>
  <c r="MMQ56" i="7" s="1"/>
  <c r="MMS56" i="7" s="1"/>
  <c r="MMU56" i="7" s="1"/>
  <c r="MMW56" i="7" s="1"/>
  <c r="MMY56" i="7" s="1"/>
  <c r="MNA56" i="7" s="1"/>
  <c r="MNC56" i="7" s="1"/>
  <c r="MNE56" i="7" s="1"/>
  <c r="MNG56" i="7" s="1"/>
  <c r="MNI56" i="7" s="1"/>
  <c r="MNK56" i="7" s="1"/>
  <c r="MNM56" i="7" s="1"/>
  <c r="MNO56" i="7" s="1"/>
  <c r="MNQ56" i="7" s="1"/>
  <c r="MNS56" i="7" s="1"/>
  <c r="MNU56" i="7" s="1"/>
  <c r="MNW56" i="7" s="1"/>
  <c r="MNY56" i="7" s="1"/>
  <c r="MOA56" i="7" s="1"/>
  <c r="MOC56" i="7" s="1"/>
  <c r="MOE56" i="7" s="1"/>
  <c r="MOG56" i="7" s="1"/>
  <c r="MOI56" i="7" s="1"/>
  <c r="MOK56" i="7" s="1"/>
  <c r="MOM56" i="7" s="1"/>
  <c r="MOO56" i="7" s="1"/>
  <c r="MOQ56" i="7" s="1"/>
  <c r="MOS56" i="7" s="1"/>
  <c r="MOU56" i="7" s="1"/>
  <c r="MOW56" i="7" s="1"/>
  <c r="MOY56" i="7" s="1"/>
  <c r="MPA56" i="7" s="1"/>
  <c r="MPC56" i="7" s="1"/>
  <c r="MPE56" i="7" s="1"/>
  <c r="MPG56" i="7" s="1"/>
  <c r="MPI56" i="7" s="1"/>
  <c r="MPK56" i="7" s="1"/>
  <c r="MPM56" i="7" s="1"/>
  <c r="MPO56" i="7" s="1"/>
  <c r="MPQ56" i="7" s="1"/>
  <c r="MPS56" i="7" s="1"/>
  <c r="MPU56" i="7" s="1"/>
  <c r="MPW56" i="7" s="1"/>
  <c r="MPY56" i="7" s="1"/>
  <c r="MQA56" i="7" s="1"/>
  <c r="MQC56" i="7" s="1"/>
  <c r="MQE56" i="7" s="1"/>
  <c r="MQG56" i="7" s="1"/>
  <c r="MQI56" i="7" s="1"/>
  <c r="MQK56" i="7" s="1"/>
  <c r="MQM56" i="7" s="1"/>
  <c r="MQO56" i="7" s="1"/>
  <c r="MQQ56" i="7" s="1"/>
  <c r="MQS56" i="7" s="1"/>
  <c r="MQU56" i="7" s="1"/>
  <c r="MQW56" i="7" s="1"/>
  <c r="MQY56" i="7" s="1"/>
  <c r="MRA56" i="7" s="1"/>
  <c r="MRC56" i="7" s="1"/>
  <c r="MRE56" i="7" s="1"/>
  <c r="MRG56" i="7" s="1"/>
  <c r="MRI56" i="7" s="1"/>
  <c r="MRK56" i="7" s="1"/>
  <c r="MRM56" i="7" s="1"/>
  <c r="MRO56" i="7" s="1"/>
  <c r="MRQ56" i="7" s="1"/>
  <c r="MRS56" i="7" s="1"/>
  <c r="MRU56" i="7" s="1"/>
  <c r="MRW56" i="7" s="1"/>
  <c r="MRY56" i="7" s="1"/>
  <c r="MSA56" i="7" s="1"/>
  <c r="MSC56" i="7" s="1"/>
  <c r="MSE56" i="7" s="1"/>
  <c r="MSG56" i="7" s="1"/>
  <c r="MSI56" i="7" s="1"/>
  <c r="MSK56" i="7" s="1"/>
  <c r="MSM56" i="7" s="1"/>
  <c r="MSO56" i="7" s="1"/>
  <c r="MSQ56" i="7" s="1"/>
  <c r="MSS56" i="7" s="1"/>
  <c r="MSU56" i="7" s="1"/>
  <c r="MSW56" i="7" s="1"/>
  <c r="MSY56" i="7" s="1"/>
  <c r="MTA56" i="7" s="1"/>
  <c r="MTC56" i="7" s="1"/>
  <c r="MTE56" i="7" s="1"/>
  <c r="MTG56" i="7" s="1"/>
  <c r="MTI56" i="7" s="1"/>
  <c r="MTK56" i="7" s="1"/>
  <c r="MTM56" i="7" s="1"/>
  <c r="MTO56" i="7" s="1"/>
  <c r="MTQ56" i="7" s="1"/>
  <c r="MTS56" i="7" s="1"/>
  <c r="MTU56" i="7" s="1"/>
  <c r="MTW56" i="7" s="1"/>
  <c r="MTY56" i="7" s="1"/>
  <c r="MUA56" i="7" s="1"/>
  <c r="MUC56" i="7" s="1"/>
  <c r="MUE56" i="7" s="1"/>
  <c r="MUG56" i="7" s="1"/>
  <c r="MUI56" i="7" s="1"/>
  <c r="MUK56" i="7" s="1"/>
  <c r="MUM56" i="7" s="1"/>
  <c r="MUO56" i="7" s="1"/>
  <c r="MUQ56" i="7" s="1"/>
  <c r="MUS56" i="7" s="1"/>
  <c r="MUU56" i="7" s="1"/>
  <c r="MUW56" i="7" s="1"/>
  <c r="MUY56" i="7" s="1"/>
  <c r="MVA56" i="7" s="1"/>
  <c r="MVC56" i="7" s="1"/>
  <c r="MVE56" i="7" s="1"/>
  <c r="MVG56" i="7" s="1"/>
  <c r="MVI56" i="7" s="1"/>
  <c r="MVK56" i="7" s="1"/>
  <c r="MVM56" i="7" s="1"/>
  <c r="MVO56" i="7" s="1"/>
  <c r="MVQ56" i="7" s="1"/>
  <c r="MVS56" i="7" s="1"/>
  <c r="MVU56" i="7" s="1"/>
  <c r="MVW56" i="7" s="1"/>
  <c r="MVY56" i="7" s="1"/>
  <c r="MWA56" i="7" s="1"/>
  <c r="MWC56" i="7" s="1"/>
  <c r="MWE56" i="7" s="1"/>
  <c r="MWG56" i="7" s="1"/>
  <c r="MWI56" i="7" s="1"/>
  <c r="MWK56" i="7" s="1"/>
  <c r="MWM56" i="7" s="1"/>
  <c r="MWO56" i="7" s="1"/>
  <c r="MWQ56" i="7" s="1"/>
  <c r="MWS56" i="7" s="1"/>
  <c r="MWU56" i="7" s="1"/>
  <c r="MWW56" i="7" s="1"/>
  <c r="MWY56" i="7" s="1"/>
  <c r="MXA56" i="7" s="1"/>
  <c r="MXC56" i="7" s="1"/>
  <c r="MXE56" i="7" s="1"/>
  <c r="MXG56" i="7" s="1"/>
  <c r="MXI56" i="7" s="1"/>
  <c r="MXK56" i="7" s="1"/>
  <c r="MXM56" i="7" s="1"/>
  <c r="MXO56" i="7" s="1"/>
  <c r="MXQ56" i="7" s="1"/>
  <c r="MXS56" i="7" s="1"/>
  <c r="MXU56" i="7" s="1"/>
  <c r="MXW56" i="7" s="1"/>
  <c r="MXY56" i="7" s="1"/>
  <c r="MYA56" i="7" s="1"/>
  <c r="MYC56" i="7" s="1"/>
  <c r="MYE56" i="7" s="1"/>
  <c r="MYG56" i="7" s="1"/>
  <c r="MYI56" i="7" s="1"/>
  <c r="MYK56" i="7" s="1"/>
  <c r="MYM56" i="7" s="1"/>
  <c r="MYO56" i="7" s="1"/>
  <c r="MYQ56" i="7" s="1"/>
  <c r="MYS56" i="7" s="1"/>
  <c r="MYU56" i="7" s="1"/>
  <c r="MYW56" i="7" s="1"/>
  <c r="MYY56" i="7" s="1"/>
  <c r="MZA56" i="7" s="1"/>
  <c r="MZC56" i="7" s="1"/>
  <c r="MZE56" i="7" s="1"/>
  <c r="MZG56" i="7" s="1"/>
  <c r="MZI56" i="7" s="1"/>
  <c r="MZK56" i="7" s="1"/>
  <c r="MZM56" i="7" s="1"/>
  <c r="MZO56" i="7" s="1"/>
  <c r="MZQ56" i="7" s="1"/>
  <c r="MZS56" i="7" s="1"/>
  <c r="MZU56" i="7" s="1"/>
  <c r="MZW56" i="7" s="1"/>
  <c r="MZY56" i="7" s="1"/>
  <c r="NAA56" i="7" s="1"/>
  <c r="NAC56" i="7" s="1"/>
  <c r="NAE56" i="7" s="1"/>
  <c r="NAG56" i="7" s="1"/>
  <c r="NAI56" i="7" s="1"/>
  <c r="NAK56" i="7" s="1"/>
  <c r="NAM56" i="7" s="1"/>
  <c r="NAO56" i="7" s="1"/>
  <c r="NAQ56" i="7" s="1"/>
  <c r="NAS56" i="7" s="1"/>
  <c r="NAU56" i="7" s="1"/>
  <c r="NAW56" i="7" s="1"/>
  <c r="NAY56" i="7" s="1"/>
  <c r="NBA56" i="7" s="1"/>
  <c r="NBC56" i="7" s="1"/>
  <c r="NBE56" i="7" s="1"/>
  <c r="NBG56" i="7" s="1"/>
  <c r="NBI56" i="7" s="1"/>
  <c r="NBK56" i="7" s="1"/>
  <c r="NBM56" i="7" s="1"/>
  <c r="NBO56" i="7" s="1"/>
  <c r="NBQ56" i="7" s="1"/>
  <c r="NBS56" i="7" s="1"/>
  <c r="NBU56" i="7" s="1"/>
  <c r="NBW56" i="7" s="1"/>
  <c r="NBY56" i="7" s="1"/>
  <c r="NCA56" i="7" s="1"/>
  <c r="NCC56" i="7" s="1"/>
  <c r="NCE56" i="7" s="1"/>
  <c r="NCG56" i="7" s="1"/>
  <c r="NCI56" i="7" s="1"/>
  <c r="NCK56" i="7" s="1"/>
  <c r="NCM56" i="7" s="1"/>
  <c r="NCO56" i="7" s="1"/>
  <c r="NCQ56" i="7" s="1"/>
  <c r="NCS56" i="7" s="1"/>
  <c r="NCU56" i="7" s="1"/>
  <c r="NCW56" i="7" s="1"/>
  <c r="NCY56" i="7" s="1"/>
  <c r="NDA56" i="7" s="1"/>
  <c r="NDC56" i="7" s="1"/>
  <c r="NDE56" i="7" s="1"/>
  <c r="NDG56" i="7" s="1"/>
  <c r="NDI56" i="7" s="1"/>
  <c r="NDK56" i="7" s="1"/>
  <c r="NDM56" i="7" s="1"/>
  <c r="NDO56" i="7" s="1"/>
  <c r="NDQ56" i="7" s="1"/>
  <c r="NDS56" i="7" s="1"/>
  <c r="NDU56" i="7" s="1"/>
  <c r="NDW56" i="7" s="1"/>
  <c r="NDY56" i="7" s="1"/>
  <c r="NEA56" i="7" s="1"/>
  <c r="NEC56" i="7" s="1"/>
  <c r="NEE56" i="7" s="1"/>
  <c r="NEG56" i="7" s="1"/>
  <c r="NEI56" i="7" s="1"/>
  <c r="NEK56" i="7" s="1"/>
  <c r="NEM56" i="7" s="1"/>
  <c r="NEO56" i="7" s="1"/>
  <c r="NEQ56" i="7" s="1"/>
  <c r="NES56" i="7" s="1"/>
  <c r="NEU56" i="7" s="1"/>
  <c r="NEW56" i="7" s="1"/>
  <c r="NEY56" i="7" s="1"/>
  <c r="NFA56" i="7" s="1"/>
  <c r="NFC56" i="7" s="1"/>
  <c r="NFE56" i="7" s="1"/>
  <c r="NFG56" i="7" s="1"/>
  <c r="NFI56" i="7" s="1"/>
  <c r="NFK56" i="7" s="1"/>
  <c r="NFM56" i="7" s="1"/>
  <c r="NFO56" i="7" s="1"/>
  <c r="NFQ56" i="7" s="1"/>
  <c r="NFS56" i="7" s="1"/>
  <c r="NFU56" i="7" s="1"/>
  <c r="NFW56" i="7" s="1"/>
  <c r="NFY56" i="7" s="1"/>
  <c r="NGA56" i="7" s="1"/>
  <c r="NGC56" i="7" s="1"/>
  <c r="NGE56" i="7" s="1"/>
  <c r="NGG56" i="7" s="1"/>
  <c r="NGI56" i="7" s="1"/>
  <c r="NGK56" i="7" s="1"/>
  <c r="NGM56" i="7" s="1"/>
  <c r="NGO56" i="7" s="1"/>
  <c r="NGQ56" i="7" s="1"/>
  <c r="NGS56" i="7" s="1"/>
  <c r="NGU56" i="7" s="1"/>
  <c r="NGW56" i="7" s="1"/>
  <c r="NGY56" i="7" s="1"/>
  <c r="NHA56" i="7" s="1"/>
  <c r="NHC56" i="7" s="1"/>
  <c r="NHE56" i="7" s="1"/>
  <c r="NHG56" i="7" s="1"/>
  <c r="NHI56" i="7" s="1"/>
  <c r="NHK56" i="7" s="1"/>
  <c r="NHM56" i="7" s="1"/>
  <c r="NHO56" i="7" s="1"/>
  <c r="NHQ56" i="7" s="1"/>
  <c r="NHS56" i="7" s="1"/>
  <c r="NHU56" i="7" s="1"/>
  <c r="NHW56" i="7" s="1"/>
  <c r="NHY56" i="7" s="1"/>
  <c r="NIA56" i="7" s="1"/>
  <c r="NIC56" i="7" s="1"/>
  <c r="NIE56" i="7" s="1"/>
  <c r="NIG56" i="7" s="1"/>
  <c r="NII56" i="7" s="1"/>
  <c r="NIK56" i="7" s="1"/>
  <c r="NIM56" i="7" s="1"/>
  <c r="NIO56" i="7" s="1"/>
  <c r="NIQ56" i="7" s="1"/>
  <c r="NIS56" i="7" s="1"/>
  <c r="NIU56" i="7" s="1"/>
  <c r="NIW56" i="7" s="1"/>
  <c r="NIY56" i="7" s="1"/>
  <c r="NJA56" i="7" s="1"/>
  <c r="NJC56" i="7" s="1"/>
  <c r="NJE56" i="7" s="1"/>
  <c r="NJG56" i="7" s="1"/>
  <c r="NJI56" i="7" s="1"/>
  <c r="NJK56" i="7" s="1"/>
  <c r="NJM56" i="7" s="1"/>
  <c r="NJO56" i="7" s="1"/>
  <c r="NJQ56" i="7" s="1"/>
  <c r="NJS56" i="7" s="1"/>
  <c r="NJU56" i="7" s="1"/>
  <c r="NJW56" i="7" s="1"/>
  <c r="NJY56" i="7" s="1"/>
  <c r="NKA56" i="7" s="1"/>
  <c r="NKC56" i="7" s="1"/>
  <c r="NKE56" i="7" s="1"/>
  <c r="NKG56" i="7" s="1"/>
  <c r="NKI56" i="7" s="1"/>
  <c r="NKK56" i="7" s="1"/>
  <c r="NKM56" i="7" s="1"/>
  <c r="NKO56" i="7" s="1"/>
  <c r="NKQ56" i="7" s="1"/>
  <c r="NKS56" i="7" s="1"/>
  <c r="NKU56" i="7" s="1"/>
  <c r="NKW56" i="7" s="1"/>
  <c r="NKY56" i="7" s="1"/>
  <c r="NLA56" i="7" s="1"/>
  <c r="NLC56" i="7" s="1"/>
  <c r="NLE56" i="7" s="1"/>
  <c r="NLG56" i="7" s="1"/>
  <c r="NLI56" i="7" s="1"/>
  <c r="NLK56" i="7" s="1"/>
  <c r="NLM56" i="7" s="1"/>
  <c r="NLO56" i="7" s="1"/>
  <c r="NLQ56" i="7" s="1"/>
  <c r="NLS56" i="7" s="1"/>
  <c r="NLU56" i="7" s="1"/>
  <c r="NLW56" i="7" s="1"/>
  <c r="NLY56" i="7" s="1"/>
  <c r="NMA56" i="7" s="1"/>
  <c r="NMC56" i="7" s="1"/>
  <c r="NME56" i="7" s="1"/>
  <c r="NMG56" i="7" s="1"/>
  <c r="NMI56" i="7" s="1"/>
  <c r="NMK56" i="7" s="1"/>
  <c r="NMM56" i="7" s="1"/>
  <c r="NMO56" i="7" s="1"/>
  <c r="NMQ56" i="7" s="1"/>
  <c r="NMS56" i="7" s="1"/>
  <c r="NMU56" i="7" s="1"/>
  <c r="NMW56" i="7" s="1"/>
  <c r="NMY56" i="7" s="1"/>
  <c r="NNA56" i="7" s="1"/>
  <c r="NNC56" i="7" s="1"/>
  <c r="NNE56" i="7" s="1"/>
  <c r="NNG56" i="7" s="1"/>
  <c r="NNI56" i="7" s="1"/>
  <c r="NNK56" i="7" s="1"/>
  <c r="NNM56" i="7" s="1"/>
  <c r="NNO56" i="7" s="1"/>
  <c r="NNQ56" i="7" s="1"/>
  <c r="NNS56" i="7" s="1"/>
  <c r="NNU56" i="7" s="1"/>
  <c r="NNW56" i="7" s="1"/>
  <c r="NNY56" i="7" s="1"/>
  <c r="NOA56" i="7" s="1"/>
  <c r="NOC56" i="7" s="1"/>
  <c r="NOE56" i="7" s="1"/>
  <c r="NOG56" i="7" s="1"/>
  <c r="NOI56" i="7" s="1"/>
  <c r="NOK56" i="7" s="1"/>
  <c r="NOM56" i="7" s="1"/>
  <c r="NOO56" i="7" s="1"/>
  <c r="NOQ56" i="7" s="1"/>
  <c r="NOS56" i="7" s="1"/>
  <c r="NOU56" i="7" s="1"/>
  <c r="NOW56" i="7" s="1"/>
  <c r="NOY56" i="7" s="1"/>
  <c r="NPA56" i="7" s="1"/>
  <c r="NPC56" i="7" s="1"/>
  <c r="NPE56" i="7" s="1"/>
  <c r="NPG56" i="7" s="1"/>
  <c r="NPI56" i="7" s="1"/>
  <c r="NPK56" i="7" s="1"/>
  <c r="NPM56" i="7" s="1"/>
  <c r="NPO56" i="7" s="1"/>
  <c r="NPQ56" i="7" s="1"/>
  <c r="NPS56" i="7" s="1"/>
  <c r="NPU56" i="7" s="1"/>
  <c r="NPW56" i="7" s="1"/>
  <c r="NPY56" i="7" s="1"/>
  <c r="NQA56" i="7" s="1"/>
  <c r="NQC56" i="7" s="1"/>
  <c r="NQE56" i="7" s="1"/>
  <c r="NQG56" i="7" s="1"/>
  <c r="NQI56" i="7" s="1"/>
  <c r="NQK56" i="7" s="1"/>
  <c r="NQM56" i="7" s="1"/>
  <c r="NQO56" i="7" s="1"/>
  <c r="NQQ56" i="7" s="1"/>
  <c r="NQS56" i="7" s="1"/>
  <c r="NQU56" i="7" s="1"/>
  <c r="NQW56" i="7" s="1"/>
  <c r="NQY56" i="7" s="1"/>
  <c r="NRA56" i="7" s="1"/>
  <c r="NRC56" i="7" s="1"/>
  <c r="NRE56" i="7" s="1"/>
  <c r="NRG56" i="7" s="1"/>
  <c r="NRI56" i="7" s="1"/>
  <c r="NRK56" i="7" s="1"/>
  <c r="NRM56" i="7" s="1"/>
  <c r="NRO56" i="7" s="1"/>
  <c r="NRQ56" i="7" s="1"/>
  <c r="NRS56" i="7" s="1"/>
  <c r="NRU56" i="7" s="1"/>
  <c r="NRW56" i="7" s="1"/>
  <c r="NRY56" i="7" s="1"/>
  <c r="NSA56" i="7" s="1"/>
  <c r="NSC56" i="7" s="1"/>
  <c r="NSE56" i="7" s="1"/>
  <c r="NSG56" i="7" s="1"/>
  <c r="NSI56" i="7" s="1"/>
  <c r="NSK56" i="7" s="1"/>
  <c r="NSM56" i="7" s="1"/>
  <c r="NSO56" i="7" s="1"/>
  <c r="NSQ56" i="7" s="1"/>
  <c r="NSS56" i="7" s="1"/>
  <c r="NSU56" i="7" s="1"/>
  <c r="NSW56" i="7" s="1"/>
  <c r="NSY56" i="7" s="1"/>
  <c r="NTA56" i="7" s="1"/>
  <c r="NTC56" i="7" s="1"/>
  <c r="NTE56" i="7" s="1"/>
  <c r="NTG56" i="7" s="1"/>
  <c r="NTI56" i="7" s="1"/>
  <c r="NTK56" i="7" s="1"/>
  <c r="NTM56" i="7" s="1"/>
  <c r="NTO56" i="7" s="1"/>
  <c r="NTQ56" i="7" s="1"/>
  <c r="NTS56" i="7" s="1"/>
  <c r="NTU56" i="7" s="1"/>
  <c r="NTW56" i="7" s="1"/>
  <c r="NTY56" i="7" s="1"/>
  <c r="NUA56" i="7" s="1"/>
  <c r="NUC56" i="7" s="1"/>
  <c r="NUE56" i="7" s="1"/>
  <c r="NUG56" i="7" s="1"/>
  <c r="NUI56" i="7" s="1"/>
  <c r="NUK56" i="7" s="1"/>
  <c r="NUM56" i="7" s="1"/>
  <c r="NUO56" i="7" s="1"/>
  <c r="NUQ56" i="7" s="1"/>
  <c r="NUS56" i="7" s="1"/>
  <c r="NUU56" i="7" s="1"/>
  <c r="NUW56" i="7" s="1"/>
  <c r="NUY56" i="7" s="1"/>
  <c r="NVA56" i="7" s="1"/>
  <c r="NVC56" i="7" s="1"/>
  <c r="NVE56" i="7" s="1"/>
  <c r="NVG56" i="7" s="1"/>
  <c r="NVI56" i="7" s="1"/>
  <c r="NVK56" i="7" s="1"/>
  <c r="NVM56" i="7" s="1"/>
  <c r="NVO56" i="7" s="1"/>
  <c r="NVQ56" i="7" s="1"/>
  <c r="NVS56" i="7" s="1"/>
  <c r="NVU56" i="7" s="1"/>
  <c r="NVW56" i="7" s="1"/>
  <c r="NVY56" i="7" s="1"/>
  <c r="NWA56" i="7" s="1"/>
  <c r="NWC56" i="7" s="1"/>
  <c r="NWE56" i="7" s="1"/>
  <c r="NWG56" i="7" s="1"/>
  <c r="NWI56" i="7" s="1"/>
  <c r="NWK56" i="7" s="1"/>
  <c r="NWM56" i="7" s="1"/>
  <c r="NWO56" i="7" s="1"/>
  <c r="NWQ56" i="7" s="1"/>
  <c r="NWS56" i="7" s="1"/>
  <c r="NWU56" i="7" s="1"/>
  <c r="NWW56" i="7" s="1"/>
  <c r="NWY56" i="7" s="1"/>
  <c r="NXA56" i="7" s="1"/>
  <c r="NXC56" i="7" s="1"/>
  <c r="NXE56" i="7" s="1"/>
  <c r="NXG56" i="7" s="1"/>
  <c r="NXI56" i="7" s="1"/>
  <c r="NXK56" i="7" s="1"/>
  <c r="NXM56" i="7" s="1"/>
  <c r="NXO56" i="7" s="1"/>
  <c r="NXQ56" i="7" s="1"/>
  <c r="NXS56" i="7" s="1"/>
  <c r="NXU56" i="7" s="1"/>
  <c r="NXW56" i="7" s="1"/>
  <c r="NXY56" i="7" s="1"/>
  <c r="NYA56" i="7" s="1"/>
  <c r="NYC56" i="7" s="1"/>
  <c r="NYE56" i="7" s="1"/>
  <c r="NYG56" i="7" s="1"/>
  <c r="NYI56" i="7" s="1"/>
  <c r="NYK56" i="7" s="1"/>
  <c r="NYM56" i="7" s="1"/>
  <c r="NYO56" i="7" s="1"/>
  <c r="NYQ56" i="7" s="1"/>
  <c r="NYS56" i="7" s="1"/>
  <c r="NYU56" i="7" s="1"/>
  <c r="NYW56" i="7" s="1"/>
  <c r="NYY56" i="7" s="1"/>
  <c r="NZA56" i="7" s="1"/>
  <c r="NZC56" i="7" s="1"/>
  <c r="NZE56" i="7" s="1"/>
  <c r="NZG56" i="7" s="1"/>
  <c r="NZI56" i="7" s="1"/>
  <c r="NZK56" i="7" s="1"/>
  <c r="NZM56" i="7" s="1"/>
  <c r="NZO56" i="7" s="1"/>
  <c r="NZQ56" i="7" s="1"/>
  <c r="NZS56" i="7" s="1"/>
  <c r="NZU56" i="7" s="1"/>
  <c r="NZW56" i="7" s="1"/>
  <c r="NZY56" i="7" s="1"/>
  <c r="OAA56" i="7" s="1"/>
  <c r="OAC56" i="7" s="1"/>
  <c r="OAE56" i="7" s="1"/>
  <c r="OAG56" i="7" s="1"/>
  <c r="OAI56" i="7" s="1"/>
  <c r="OAK56" i="7" s="1"/>
  <c r="OAM56" i="7" s="1"/>
  <c r="OAO56" i="7" s="1"/>
  <c r="OAQ56" i="7" s="1"/>
  <c r="OAS56" i="7" s="1"/>
  <c r="OAU56" i="7" s="1"/>
  <c r="OAW56" i="7" s="1"/>
  <c r="OAY56" i="7" s="1"/>
  <c r="OBA56" i="7" s="1"/>
  <c r="OBC56" i="7" s="1"/>
  <c r="OBE56" i="7" s="1"/>
  <c r="OBG56" i="7" s="1"/>
  <c r="OBI56" i="7" s="1"/>
  <c r="OBK56" i="7" s="1"/>
  <c r="OBM56" i="7" s="1"/>
  <c r="OBO56" i="7" s="1"/>
  <c r="OBQ56" i="7" s="1"/>
  <c r="OBS56" i="7" s="1"/>
  <c r="OBU56" i="7" s="1"/>
  <c r="OBW56" i="7" s="1"/>
  <c r="OBY56" i="7" s="1"/>
  <c r="OCA56" i="7" s="1"/>
  <c r="OCC56" i="7" s="1"/>
  <c r="OCE56" i="7" s="1"/>
  <c r="OCG56" i="7" s="1"/>
  <c r="OCI56" i="7" s="1"/>
  <c r="OCK56" i="7" s="1"/>
  <c r="OCM56" i="7" s="1"/>
  <c r="OCO56" i="7" s="1"/>
  <c r="OCQ56" i="7" s="1"/>
  <c r="OCS56" i="7" s="1"/>
  <c r="OCU56" i="7" s="1"/>
  <c r="OCW56" i="7" s="1"/>
  <c r="OCY56" i="7" s="1"/>
  <c r="ODA56" i="7" s="1"/>
  <c r="ODC56" i="7" s="1"/>
  <c r="ODE56" i="7" s="1"/>
  <c r="ODG56" i="7" s="1"/>
  <c r="ODI56" i="7" s="1"/>
  <c r="ODK56" i="7" s="1"/>
  <c r="ODM56" i="7" s="1"/>
  <c r="ODO56" i="7" s="1"/>
  <c r="ODQ56" i="7" s="1"/>
  <c r="ODS56" i="7" s="1"/>
  <c r="ODU56" i="7" s="1"/>
  <c r="ODW56" i="7" s="1"/>
  <c r="ODY56" i="7" s="1"/>
  <c r="OEA56" i="7" s="1"/>
  <c r="OEC56" i="7" s="1"/>
  <c r="OEE56" i="7" s="1"/>
  <c r="OEG56" i="7" s="1"/>
  <c r="OEI56" i="7" s="1"/>
  <c r="OEK56" i="7" s="1"/>
  <c r="OEM56" i="7" s="1"/>
  <c r="OEO56" i="7" s="1"/>
  <c r="OEQ56" i="7" s="1"/>
  <c r="OES56" i="7" s="1"/>
  <c r="OEU56" i="7" s="1"/>
  <c r="OEW56" i="7" s="1"/>
  <c r="OEY56" i="7" s="1"/>
  <c r="OFA56" i="7" s="1"/>
  <c r="OFC56" i="7" s="1"/>
  <c r="OFE56" i="7" s="1"/>
  <c r="OFG56" i="7" s="1"/>
  <c r="OFI56" i="7" s="1"/>
  <c r="OFK56" i="7" s="1"/>
  <c r="OFM56" i="7" s="1"/>
  <c r="OFO56" i="7" s="1"/>
  <c r="OFQ56" i="7" s="1"/>
  <c r="OFS56" i="7" s="1"/>
  <c r="OFU56" i="7" s="1"/>
  <c r="OFW56" i="7" s="1"/>
  <c r="OFY56" i="7" s="1"/>
  <c r="OGA56" i="7" s="1"/>
  <c r="OGC56" i="7" s="1"/>
  <c r="OGE56" i="7" s="1"/>
  <c r="OGG56" i="7" s="1"/>
  <c r="OGI56" i="7" s="1"/>
  <c r="OGK56" i="7" s="1"/>
  <c r="OGM56" i="7" s="1"/>
  <c r="OGO56" i="7" s="1"/>
  <c r="OGQ56" i="7" s="1"/>
  <c r="OGS56" i="7" s="1"/>
  <c r="OGU56" i="7" s="1"/>
  <c r="OGW56" i="7" s="1"/>
  <c r="OGY56" i="7" s="1"/>
  <c r="OHA56" i="7" s="1"/>
  <c r="OHC56" i="7" s="1"/>
  <c r="OHE56" i="7" s="1"/>
  <c r="OHG56" i="7" s="1"/>
  <c r="OHI56" i="7" s="1"/>
  <c r="OHK56" i="7" s="1"/>
  <c r="OHM56" i="7" s="1"/>
  <c r="OHO56" i="7" s="1"/>
  <c r="OHQ56" i="7" s="1"/>
  <c r="OHS56" i="7" s="1"/>
  <c r="OHU56" i="7" s="1"/>
  <c r="OHW56" i="7" s="1"/>
  <c r="OHY56" i="7" s="1"/>
  <c r="OIA56" i="7" s="1"/>
  <c r="OIC56" i="7" s="1"/>
  <c r="OIE56" i="7" s="1"/>
  <c r="OIG56" i="7" s="1"/>
  <c r="OII56" i="7" s="1"/>
  <c r="OIK56" i="7" s="1"/>
  <c r="OIM56" i="7" s="1"/>
  <c r="OIO56" i="7" s="1"/>
  <c r="OIQ56" i="7" s="1"/>
  <c r="OIS56" i="7" s="1"/>
  <c r="OIU56" i="7" s="1"/>
  <c r="OIW56" i="7" s="1"/>
  <c r="OIY56" i="7" s="1"/>
  <c r="OJA56" i="7" s="1"/>
  <c r="OJC56" i="7" s="1"/>
  <c r="OJE56" i="7" s="1"/>
  <c r="OJG56" i="7" s="1"/>
  <c r="OJI56" i="7" s="1"/>
  <c r="OJK56" i="7" s="1"/>
  <c r="OJM56" i="7" s="1"/>
  <c r="OJO56" i="7" s="1"/>
  <c r="OJQ56" i="7" s="1"/>
  <c r="OJS56" i="7" s="1"/>
  <c r="OJU56" i="7" s="1"/>
  <c r="OJW56" i="7" s="1"/>
  <c r="OJY56" i="7" s="1"/>
  <c r="OKA56" i="7" s="1"/>
  <c r="OKC56" i="7" s="1"/>
  <c r="OKE56" i="7" s="1"/>
  <c r="OKG56" i="7" s="1"/>
  <c r="OKI56" i="7" s="1"/>
  <c r="OKK56" i="7" s="1"/>
  <c r="OKM56" i="7" s="1"/>
  <c r="OKO56" i="7" s="1"/>
  <c r="OKQ56" i="7" s="1"/>
  <c r="OKS56" i="7" s="1"/>
  <c r="OKU56" i="7" s="1"/>
  <c r="OKW56" i="7" s="1"/>
  <c r="OKY56" i="7" s="1"/>
  <c r="OLA56" i="7" s="1"/>
  <c r="OLC56" i="7" s="1"/>
  <c r="OLE56" i="7" s="1"/>
  <c r="OLG56" i="7" s="1"/>
  <c r="OLI56" i="7" s="1"/>
  <c r="OLK56" i="7" s="1"/>
  <c r="OLM56" i="7" s="1"/>
  <c r="OLO56" i="7" s="1"/>
  <c r="OLQ56" i="7" s="1"/>
  <c r="OLS56" i="7" s="1"/>
  <c r="OLU56" i="7" s="1"/>
  <c r="OLW56" i="7" s="1"/>
  <c r="OLY56" i="7" s="1"/>
  <c r="OMA56" i="7" s="1"/>
  <c r="OMC56" i="7" s="1"/>
  <c r="OME56" i="7" s="1"/>
  <c r="OMG56" i="7" s="1"/>
  <c r="OMI56" i="7" s="1"/>
  <c r="OMK56" i="7" s="1"/>
  <c r="OMM56" i="7" s="1"/>
  <c r="OMO56" i="7" s="1"/>
  <c r="OMQ56" i="7" s="1"/>
  <c r="OMS56" i="7" s="1"/>
  <c r="OMU56" i="7" s="1"/>
  <c r="OMW56" i="7" s="1"/>
  <c r="OMY56" i="7" s="1"/>
  <c r="ONA56" i="7" s="1"/>
  <c r="ONC56" i="7" s="1"/>
  <c r="ONE56" i="7" s="1"/>
  <c r="ONG56" i="7" s="1"/>
  <c r="ONI56" i="7" s="1"/>
  <c r="ONK56" i="7" s="1"/>
  <c r="ONM56" i="7" s="1"/>
  <c r="ONO56" i="7" s="1"/>
  <c r="ONQ56" i="7" s="1"/>
  <c r="ONS56" i="7" s="1"/>
  <c r="ONU56" i="7" s="1"/>
  <c r="ONW56" i="7" s="1"/>
  <c r="ONY56" i="7" s="1"/>
  <c r="OOA56" i="7" s="1"/>
  <c r="OOC56" i="7" s="1"/>
  <c r="OOE56" i="7" s="1"/>
  <c r="OOG56" i="7" s="1"/>
  <c r="OOI56" i="7" s="1"/>
  <c r="OOK56" i="7" s="1"/>
  <c r="OOM56" i="7" s="1"/>
  <c r="OOO56" i="7" s="1"/>
  <c r="OOQ56" i="7" s="1"/>
  <c r="OOS56" i="7" s="1"/>
  <c r="OOU56" i="7" s="1"/>
  <c r="OOW56" i="7" s="1"/>
  <c r="OOY56" i="7" s="1"/>
  <c r="OPA56" i="7" s="1"/>
  <c r="OPC56" i="7" s="1"/>
  <c r="OPE56" i="7" s="1"/>
  <c r="OPG56" i="7" s="1"/>
  <c r="OPI56" i="7" s="1"/>
  <c r="OPK56" i="7" s="1"/>
  <c r="OPM56" i="7" s="1"/>
  <c r="OPO56" i="7" s="1"/>
  <c r="OPQ56" i="7" s="1"/>
  <c r="OPS56" i="7" s="1"/>
  <c r="OPU56" i="7" s="1"/>
  <c r="OPW56" i="7" s="1"/>
  <c r="OPY56" i="7" s="1"/>
  <c r="OQA56" i="7" s="1"/>
  <c r="OQC56" i="7" s="1"/>
  <c r="OQE56" i="7" s="1"/>
  <c r="OQG56" i="7" s="1"/>
  <c r="OQI56" i="7" s="1"/>
  <c r="OQK56" i="7" s="1"/>
  <c r="OQM56" i="7" s="1"/>
  <c r="OQO56" i="7" s="1"/>
  <c r="OQQ56" i="7" s="1"/>
  <c r="OQS56" i="7" s="1"/>
  <c r="OQU56" i="7" s="1"/>
  <c r="OQW56" i="7" s="1"/>
  <c r="OQY56" i="7" s="1"/>
  <c r="ORA56" i="7" s="1"/>
  <c r="ORC56" i="7" s="1"/>
  <c r="ORE56" i="7" s="1"/>
  <c r="ORG56" i="7" s="1"/>
  <c r="ORI56" i="7" s="1"/>
  <c r="ORK56" i="7" s="1"/>
  <c r="ORM56" i="7" s="1"/>
  <c r="ORO56" i="7" s="1"/>
  <c r="ORQ56" i="7" s="1"/>
  <c r="ORS56" i="7" s="1"/>
  <c r="ORU56" i="7" s="1"/>
  <c r="ORW56" i="7" s="1"/>
  <c r="ORY56" i="7" s="1"/>
  <c r="OSA56" i="7" s="1"/>
  <c r="OSC56" i="7" s="1"/>
  <c r="OSE56" i="7" s="1"/>
  <c r="OSG56" i="7" s="1"/>
  <c r="OSI56" i="7" s="1"/>
  <c r="OSK56" i="7" s="1"/>
  <c r="OSM56" i="7" s="1"/>
  <c r="OSO56" i="7" s="1"/>
  <c r="OSQ56" i="7" s="1"/>
  <c r="OSS56" i="7" s="1"/>
  <c r="OSU56" i="7" s="1"/>
  <c r="OSW56" i="7" s="1"/>
  <c r="OSY56" i="7" s="1"/>
  <c r="OTA56" i="7" s="1"/>
  <c r="OTC56" i="7" s="1"/>
  <c r="OTE56" i="7" s="1"/>
  <c r="OTG56" i="7" s="1"/>
  <c r="OTI56" i="7" s="1"/>
  <c r="OTK56" i="7" s="1"/>
  <c r="OTM56" i="7" s="1"/>
  <c r="OTO56" i="7" s="1"/>
  <c r="OTQ56" i="7" s="1"/>
  <c r="OTS56" i="7" s="1"/>
  <c r="OTU56" i="7" s="1"/>
  <c r="OTW56" i="7" s="1"/>
  <c r="OTY56" i="7" s="1"/>
  <c r="OUA56" i="7" s="1"/>
  <c r="OUC56" i="7" s="1"/>
  <c r="OUE56" i="7" s="1"/>
  <c r="OUG56" i="7" s="1"/>
  <c r="OUI56" i="7" s="1"/>
  <c r="OUK56" i="7" s="1"/>
  <c r="OUM56" i="7" s="1"/>
  <c r="OUO56" i="7" s="1"/>
  <c r="OUQ56" i="7" s="1"/>
  <c r="OUS56" i="7" s="1"/>
  <c r="OUU56" i="7" s="1"/>
  <c r="OUW56" i="7" s="1"/>
  <c r="OUY56" i="7" s="1"/>
  <c r="OVA56" i="7" s="1"/>
  <c r="OVC56" i="7" s="1"/>
  <c r="OVE56" i="7" s="1"/>
  <c r="OVG56" i="7" s="1"/>
  <c r="OVI56" i="7" s="1"/>
  <c r="OVK56" i="7" s="1"/>
  <c r="OVM56" i="7" s="1"/>
  <c r="OVO56" i="7" s="1"/>
  <c r="OVQ56" i="7" s="1"/>
  <c r="OVS56" i="7" s="1"/>
  <c r="OVU56" i="7" s="1"/>
  <c r="OVW56" i="7" s="1"/>
  <c r="OVY56" i="7" s="1"/>
  <c r="OWA56" i="7" s="1"/>
  <c r="OWC56" i="7" s="1"/>
  <c r="OWE56" i="7" s="1"/>
  <c r="OWG56" i="7" s="1"/>
  <c r="OWI56" i="7" s="1"/>
  <c r="OWK56" i="7" s="1"/>
  <c r="OWM56" i="7" s="1"/>
  <c r="OWO56" i="7" s="1"/>
  <c r="OWQ56" i="7" s="1"/>
  <c r="OWS56" i="7" s="1"/>
  <c r="OWU56" i="7" s="1"/>
  <c r="OWW56" i="7" s="1"/>
  <c r="OWY56" i="7" s="1"/>
  <c r="OXA56" i="7" s="1"/>
  <c r="OXC56" i="7" s="1"/>
  <c r="OXE56" i="7" s="1"/>
  <c r="OXG56" i="7" s="1"/>
  <c r="OXI56" i="7" s="1"/>
  <c r="OXK56" i="7" s="1"/>
  <c r="OXM56" i="7" s="1"/>
  <c r="OXO56" i="7" s="1"/>
  <c r="OXQ56" i="7" s="1"/>
  <c r="OXS56" i="7" s="1"/>
  <c r="OXU56" i="7" s="1"/>
  <c r="OXW56" i="7" s="1"/>
  <c r="OXY56" i="7" s="1"/>
  <c r="OYA56" i="7" s="1"/>
  <c r="OYC56" i="7" s="1"/>
  <c r="OYE56" i="7" s="1"/>
  <c r="OYG56" i="7" s="1"/>
  <c r="OYI56" i="7" s="1"/>
  <c r="OYK56" i="7" s="1"/>
  <c r="OYM56" i="7" s="1"/>
  <c r="OYO56" i="7" s="1"/>
  <c r="OYQ56" i="7" s="1"/>
  <c r="OYS56" i="7" s="1"/>
  <c r="OYU56" i="7" s="1"/>
  <c r="OYW56" i="7" s="1"/>
  <c r="OYY56" i="7" s="1"/>
  <c r="OZA56" i="7" s="1"/>
  <c r="OZC56" i="7" s="1"/>
  <c r="OZE56" i="7" s="1"/>
  <c r="OZG56" i="7" s="1"/>
  <c r="OZI56" i="7" s="1"/>
  <c r="OZK56" i="7" s="1"/>
  <c r="OZM56" i="7" s="1"/>
  <c r="OZO56" i="7" s="1"/>
  <c r="OZQ56" i="7" s="1"/>
  <c r="OZS56" i="7" s="1"/>
  <c r="OZU56" i="7" s="1"/>
  <c r="OZW56" i="7" s="1"/>
  <c r="OZY56" i="7" s="1"/>
  <c r="PAA56" i="7" s="1"/>
  <c r="PAC56" i="7" s="1"/>
  <c r="PAE56" i="7" s="1"/>
  <c r="PAG56" i="7" s="1"/>
  <c r="PAI56" i="7" s="1"/>
  <c r="PAK56" i="7" s="1"/>
  <c r="PAM56" i="7" s="1"/>
  <c r="PAO56" i="7" s="1"/>
  <c r="PAQ56" i="7" s="1"/>
  <c r="PAS56" i="7" s="1"/>
  <c r="PAU56" i="7" s="1"/>
  <c r="PAW56" i="7" s="1"/>
  <c r="PAY56" i="7" s="1"/>
  <c r="PBA56" i="7" s="1"/>
  <c r="PBC56" i="7" s="1"/>
  <c r="PBE56" i="7" s="1"/>
  <c r="PBG56" i="7" s="1"/>
  <c r="PBI56" i="7" s="1"/>
  <c r="PBK56" i="7" s="1"/>
  <c r="PBM56" i="7" s="1"/>
  <c r="PBO56" i="7" s="1"/>
  <c r="PBQ56" i="7" s="1"/>
  <c r="PBS56" i="7" s="1"/>
  <c r="PBU56" i="7" s="1"/>
  <c r="PBW56" i="7" s="1"/>
  <c r="PBY56" i="7" s="1"/>
  <c r="PCA56" i="7" s="1"/>
  <c r="PCC56" i="7" s="1"/>
  <c r="PCE56" i="7" s="1"/>
  <c r="PCG56" i="7" s="1"/>
  <c r="PCI56" i="7" s="1"/>
  <c r="PCK56" i="7" s="1"/>
  <c r="PCM56" i="7" s="1"/>
  <c r="PCO56" i="7" s="1"/>
  <c r="PCQ56" i="7" s="1"/>
  <c r="PCS56" i="7" s="1"/>
  <c r="PCU56" i="7" s="1"/>
  <c r="PCW56" i="7" s="1"/>
  <c r="PCY56" i="7" s="1"/>
  <c r="PDA56" i="7" s="1"/>
  <c r="PDC56" i="7" s="1"/>
  <c r="PDE56" i="7" s="1"/>
  <c r="PDG56" i="7" s="1"/>
  <c r="PDI56" i="7" s="1"/>
  <c r="PDK56" i="7" s="1"/>
  <c r="PDM56" i="7" s="1"/>
  <c r="PDO56" i="7" s="1"/>
  <c r="PDQ56" i="7" s="1"/>
  <c r="PDS56" i="7" s="1"/>
  <c r="PDU56" i="7" s="1"/>
  <c r="PDW56" i="7" s="1"/>
  <c r="PDY56" i="7" s="1"/>
  <c r="PEA56" i="7" s="1"/>
  <c r="PEC56" i="7" s="1"/>
  <c r="PEE56" i="7" s="1"/>
  <c r="PEG56" i="7" s="1"/>
  <c r="PEI56" i="7" s="1"/>
  <c r="PEK56" i="7" s="1"/>
  <c r="PEM56" i="7" s="1"/>
  <c r="PEO56" i="7" s="1"/>
  <c r="PEQ56" i="7" s="1"/>
  <c r="PES56" i="7" s="1"/>
  <c r="PEU56" i="7" s="1"/>
  <c r="PEW56" i="7" s="1"/>
  <c r="PEY56" i="7" s="1"/>
  <c r="PFA56" i="7" s="1"/>
  <c r="PFC56" i="7" s="1"/>
  <c r="PFE56" i="7" s="1"/>
  <c r="PFG56" i="7" s="1"/>
  <c r="PFI56" i="7" s="1"/>
  <c r="PFK56" i="7" s="1"/>
  <c r="PFM56" i="7" s="1"/>
  <c r="PFO56" i="7" s="1"/>
  <c r="PFQ56" i="7" s="1"/>
  <c r="PFS56" i="7" s="1"/>
  <c r="PFU56" i="7" s="1"/>
  <c r="PFW56" i="7" s="1"/>
  <c r="PFY56" i="7" s="1"/>
  <c r="PGA56" i="7" s="1"/>
  <c r="PGC56" i="7" s="1"/>
  <c r="PGE56" i="7" s="1"/>
  <c r="PGG56" i="7" s="1"/>
  <c r="PGI56" i="7" s="1"/>
  <c r="PGK56" i="7" s="1"/>
  <c r="PGM56" i="7" s="1"/>
  <c r="PGO56" i="7" s="1"/>
  <c r="PGQ56" i="7" s="1"/>
  <c r="PGS56" i="7" s="1"/>
  <c r="PGU56" i="7" s="1"/>
  <c r="PGW56" i="7" s="1"/>
  <c r="PGY56" i="7" s="1"/>
  <c r="PHA56" i="7" s="1"/>
  <c r="PHC56" i="7" s="1"/>
  <c r="PHE56" i="7" s="1"/>
  <c r="PHG56" i="7" s="1"/>
  <c r="PHI56" i="7" s="1"/>
  <c r="PHK56" i="7" s="1"/>
  <c r="PHM56" i="7" s="1"/>
  <c r="PHO56" i="7" s="1"/>
  <c r="PHQ56" i="7" s="1"/>
  <c r="PHS56" i="7" s="1"/>
  <c r="PHU56" i="7" s="1"/>
  <c r="PHW56" i="7" s="1"/>
  <c r="PHY56" i="7" s="1"/>
  <c r="PIA56" i="7" s="1"/>
  <c r="PIC56" i="7" s="1"/>
  <c r="PIE56" i="7" s="1"/>
  <c r="PIG56" i="7" s="1"/>
  <c r="PII56" i="7" s="1"/>
  <c r="PIK56" i="7" s="1"/>
  <c r="PIM56" i="7" s="1"/>
  <c r="PIO56" i="7" s="1"/>
  <c r="PIQ56" i="7" s="1"/>
  <c r="PIS56" i="7" s="1"/>
  <c r="PIU56" i="7" s="1"/>
  <c r="PIW56" i="7" s="1"/>
  <c r="PIY56" i="7" s="1"/>
  <c r="PJA56" i="7" s="1"/>
  <c r="PJC56" i="7" s="1"/>
  <c r="PJE56" i="7" s="1"/>
  <c r="PJG56" i="7" s="1"/>
  <c r="PJI56" i="7" s="1"/>
  <c r="PJK56" i="7" s="1"/>
  <c r="PJM56" i="7" s="1"/>
  <c r="PJO56" i="7" s="1"/>
  <c r="PJQ56" i="7" s="1"/>
  <c r="PJS56" i="7" s="1"/>
  <c r="PJU56" i="7" s="1"/>
  <c r="PJW56" i="7" s="1"/>
  <c r="PJY56" i="7" s="1"/>
  <c r="PKA56" i="7" s="1"/>
  <c r="PKC56" i="7" s="1"/>
  <c r="PKE56" i="7" s="1"/>
  <c r="PKG56" i="7" s="1"/>
  <c r="PKI56" i="7" s="1"/>
  <c r="PKK56" i="7" s="1"/>
  <c r="PKM56" i="7" s="1"/>
  <c r="PKO56" i="7" s="1"/>
  <c r="PKQ56" i="7" s="1"/>
  <c r="PKS56" i="7" s="1"/>
  <c r="PKU56" i="7" s="1"/>
  <c r="PKW56" i="7" s="1"/>
  <c r="PKY56" i="7" s="1"/>
  <c r="PLA56" i="7" s="1"/>
  <c r="PLC56" i="7" s="1"/>
  <c r="PLE56" i="7" s="1"/>
  <c r="PLG56" i="7" s="1"/>
  <c r="PLI56" i="7" s="1"/>
  <c r="PLK56" i="7" s="1"/>
  <c r="PLM56" i="7" s="1"/>
  <c r="PLO56" i="7" s="1"/>
  <c r="PLQ56" i="7" s="1"/>
  <c r="PLS56" i="7" s="1"/>
  <c r="PLU56" i="7" s="1"/>
  <c r="PLW56" i="7" s="1"/>
  <c r="PLY56" i="7" s="1"/>
  <c r="PMA56" i="7" s="1"/>
  <c r="PMC56" i="7" s="1"/>
  <c r="PME56" i="7" s="1"/>
  <c r="PMG56" i="7" s="1"/>
  <c r="PMI56" i="7" s="1"/>
  <c r="PMK56" i="7" s="1"/>
  <c r="PMM56" i="7" s="1"/>
  <c r="PMO56" i="7" s="1"/>
  <c r="PMQ56" i="7" s="1"/>
  <c r="PMS56" i="7" s="1"/>
  <c r="PMU56" i="7" s="1"/>
  <c r="PMW56" i="7" s="1"/>
  <c r="PMY56" i="7" s="1"/>
  <c r="PNA56" i="7" s="1"/>
  <c r="PNC56" i="7" s="1"/>
  <c r="PNE56" i="7" s="1"/>
  <c r="PNG56" i="7" s="1"/>
  <c r="PNI56" i="7" s="1"/>
  <c r="PNK56" i="7" s="1"/>
  <c r="PNM56" i="7" s="1"/>
  <c r="PNO56" i="7" s="1"/>
  <c r="PNQ56" i="7" s="1"/>
  <c r="PNS56" i="7" s="1"/>
  <c r="PNU56" i="7" s="1"/>
  <c r="PNW56" i="7" s="1"/>
  <c r="PNY56" i="7" s="1"/>
  <c r="POA56" i="7" s="1"/>
  <c r="POC56" i="7" s="1"/>
  <c r="POE56" i="7" s="1"/>
  <c r="POG56" i="7" s="1"/>
  <c r="POI56" i="7" s="1"/>
  <c r="POK56" i="7" s="1"/>
  <c r="POM56" i="7" s="1"/>
  <c r="POO56" i="7" s="1"/>
  <c r="POQ56" i="7" s="1"/>
  <c r="POS56" i="7" s="1"/>
  <c r="POU56" i="7" s="1"/>
  <c r="POW56" i="7" s="1"/>
  <c r="POY56" i="7" s="1"/>
  <c r="PPA56" i="7" s="1"/>
  <c r="PPC56" i="7" s="1"/>
  <c r="PPE56" i="7" s="1"/>
  <c r="PPG56" i="7" s="1"/>
  <c r="PPI56" i="7" s="1"/>
  <c r="PPK56" i="7" s="1"/>
  <c r="PPM56" i="7" s="1"/>
  <c r="PPO56" i="7" s="1"/>
  <c r="PPQ56" i="7" s="1"/>
  <c r="PPS56" i="7" s="1"/>
  <c r="PPU56" i="7" s="1"/>
  <c r="PPW56" i="7" s="1"/>
  <c r="PPY56" i="7" s="1"/>
  <c r="PQA56" i="7" s="1"/>
  <c r="PQC56" i="7" s="1"/>
  <c r="PQE56" i="7" s="1"/>
  <c r="PQG56" i="7" s="1"/>
  <c r="PQI56" i="7" s="1"/>
  <c r="PQK56" i="7" s="1"/>
  <c r="PQM56" i="7" s="1"/>
  <c r="PQO56" i="7" s="1"/>
  <c r="PQQ56" i="7" s="1"/>
  <c r="PQS56" i="7" s="1"/>
  <c r="PQU56" i="7" s="1"/>
  <c r="PQW56" i="7" s="1"/>
  <c r="PQY56" i="7" s="1"/>
  <c r="PRA56" i="7" s="1"/>
  <c r="PRC56" i="7" s="1"/>
  <c r="PRE56" i="7" s="1"/>
  <c r="PRG56" i="7" s="1"/>
  <c r="PRI56" i="7" s="1"/>
  <c r="PRK56" i="7" s="1"/>
  <c r="PRM56" i="7" s="1"/>
  <c r="PRO56" i="7" s="1"/>
  <c r="PRQ56" i="7" s="1"/>
  <c r="PRS56" i="7" s="1"/>
  <c r="PRU56" i="7" s="1"/>
  <c r="PRW56" i="7" s="1"/>
  <c r="PRY56" i="7" s="1"/>
  <c r="PSA56" i="7" s="1"/>
  <c r="PSC56" i="7" s="1"/>
  <c r="PSE56" i="7" s="1"/>
  <c r="PSG56" i="7" s="1"/>
  <c r="PSI56" i="7" s="1"/>
  <c r="PSK56" i="7" s="1"/>
  <c r="PSM56" i="7" s="1"/>
  <c r="PSO56" i="7" s="1"/>
  <c r="PSQ56" i="7" s="1"/>
  <c r="PSS56" i="7" s="1"/>
  <c r="PSU56" i="7" s="1"/>
  <c r="PSW56" i="7" s="1"/>
  <c r="PSY56" i="7" s="1"/>
  <c r="PTA56" i="7" s="1"/>
  <c r="PTC56" i="7" s="1"/>
  <c r="PTE56" i="7" s="1"/>
  <c r="PTG56" i="7" s="1"/>
  <c r="PTI56" i="7" s="1"/>
  <c r="PTK56" i="7" s="1"/>
  <c r="PTM56" i="7" s="1"/>
  <c r="PTO56" i="7" s="1"/>
  <c r="PTQ56" i="7" s="1"/>
  <c r="PTS56" i="7" s="1"/>
  <c r="PTU56" i="7" s="1"/>
  <c r="PTW56" i="7" s="1"/>
  <c r="PTY56" i="7" s="1"/>
  <c r="PUA56" i="7" s="1"/>
  <c r="PUC56" i="7" s="1"/>
  <c r="PUE56" i="7" s="1"/>
  <c r="PUG56" i="7" s="1"/>
  <c r="PUI56" i="7" s="1"/>
  <c r="PUK56" i="7" s="1"/>
  <c r="PUM56" i="7" s="1"/>
  <c r="PUO56" i="7" s="1"/>
  <c r="PUQ56" i="7" s="1"/>
  <c r="PUS56" i="7" s="1"/>
  <c r="PUU56" i="7" s="1"/>
  <c r="PUW56" i="7" s="1"/>
  <c r="PUY56" i="7" s="1"/>
  <c r="PVA56" i="7" s="1"/>
  <c r="PVC56" i="7" s="1"/>
  <c r="PVE56" i="7" s="1"/>
  <c r="PVG56" i="7" s="1"/>
  <c r="PVI56" i="7" s="1"/>
  <c r="PVK56" i="7" s="1"/>
  <c r="PVM56" i="7" s="1"/>
  <c r="PVO56" i="7" s="1"/>
  <c r="PVQ56" i="7" s="1"/>
  <c r="PVS56" i="7" s="1"/>
  <c r="PVU56" i="7" s="1"/>
  <c r="PVW56" i="7" s="1"/>
  <c r="PVY56" i="7" s="1"/>
  <c r="PWA56" i="7" s="1"/>
  <c r="PWC56" i="7" s="1"/>
  <c r="PWE56" i="7" s="1"/>
  <c r="PWG56" i="7" s="1"/>
  <c r="PWI56" i="7" s="1"/>
  <c r="PWK56" i="7" s="1"/>
  <c r="PWM56" i="7" s="1"/>
  <c r="PWO56" i="7" s="1"/>
  <c r="PWQ56" i="7" s="1"/>
  <c r="PWS56" i="7" s="1"/>
  <c r="PWU56" i="7" s="1"/>
  <c r="PWW56" i="7" s="1"/>
  <c r="PWY56" i="7" s="1"/>
  <c r="PXA56" i="7" s="1"/>
  <c r="PXC56" i="7" s="1"/>
  <c r="PXE56" i="7" s="1"/>
  <c r="PXG56" i="7" s="1"/>
  <c r="PXI56" i="7" s="1"/>
  <c r="PXK56" i="7" s="1"/>
  <c r="PXM56" i="7" s="1"/>
  <c r="PXO56" i="7" s="1"/>
  <c r="PXQ56" i="7" s="1"/>
  <c r="PXS56" i="7" s="1"/>
  <c r="PXU56" i="7" s="1"/>
  <c r="PXW56" i="7" s="1"/>
  <c r="PXY56" i="7" s="1"/>
  <c r="PYA56" i="7" s="1"/>
  <c r="PYC56" i="7" s="1"/>
  <c r="PYE56" i="7" s="1"/>
  <c r="PYG56" i="7" s="1"/>
  <c r="PYI56" i="7" s="1"/>
  <c r="PYK56" i="7" s="1"/>
  <c r="PYM56" i="7" s="1"/>
  <c r="PYO56" i="7" s="1"/>
  <c r="PYQ56" i="7" s="1"/>
  <c r="PYS56" i="7" s="1"/>
  <c r="PYU56" i="7" s="1"/>
  <c r="PYW56" i="7" s="1"/>
  <c r="PYY56" i="7" s="1"/>
  <c r="PZA56" i="7" s="1"/>
  <c r="PZC56" i="7" s="1"/>
  <c r="PZE56" i="7" s="1"/>
  <c r="PZG56" i="7" s="1"/>
  <c r="PZI56" i="7" s="1"/>
  <c r="PZK56" i="7" s="1"/>
  <c r="PZM56" i="7" s="1"/>
  <c r="PZO56" i="7" s="1"/>
  <c r="PZQ56" i="7" s="1"/>
  <c r="PZS56" i="7" s="1"/>
  <c r="PZU56" i="7" s="1"/>
  <c r="PZW56" i="7" s="1"/>
  <c r="PZY56" i="7" s="1"/>
  <c r="QAA56" i="7" s="1"/>
  <c r="QAC56" i="7" s="1"/>
  <c r="QAE56" i="7" s="1"/>
  <c r="QAG56" i="7" s="1"/>
  <c r="QAI56" i="7" s="1"/>
  <c r="QAK56" i="7" s="1"/>
  <c r="QAM56" i="7" s="1"/>
  <c r="QAO56" i="7" s="1"/>
  <c r="QAQ56" i="7" s="1"/>
  <c r="QAS56" i="7" s="1"/>
  <c r="QAU56" i="7" s="1"/>
  <c r="QAW56" i="7" s="1"/>
  <c r="QAY56" i="7" s="1"/>
  <c r="QBA56" i="7" s="1"/>
  <c r="QBC56" i="7" s="1"/>
  <c r="QBE56" i="7" s="1"/>
  <c r="QBG56" i="7" s="1"/>
  <c r="QBI56" i="7" s="1"/>
  <c r="QBK56" i="7" s="1"/>
  <c r="QBM56" i="7" s="1"/>
  <c r="QBO56" i="7" s="1"/>
  <c r="QBQ56" i="7" s="1"/>
  <c r="QBS56" i="7" s="1"/>
  <c r="QBU56" i="7" s="1"/>
  <c r="QBW56" i="7" s="1"/>
  <c r="QBY56" i="7" s="1"/>
  <c r="QCA56" i="7" s="1"/>
  <c r="QCC56" i="7" s="1"/>
  <c r="QCE56" i="7" s="1"/>
  <c r="QCG56" i="7" s="1"/>
  <c r="QCI56" i="7" s="1"/>
  <c r="QCK56" i="7" s="1"/>
  <c r="QCM56" i="7" s="1"/>
  <c r="QCO56" i="7" s="1"/>
  <c r="QCQ56" i="7" s="1"/>
  <c r="QCS56" i="7" s="1"/>
  <c r="QCU56" i="7" s="1"/>
  <c r="QCW56" i="7" s="1"/>
  <c r="QCY56" i="7" s="1"/>
  <c r="QDA56" i="7" s="1"/>
  <c r="QDC56" i="7" s="1"/>
  <c r="QDE56" i="7" s="1"/>
  <c r="QDG56" i="7" s="1"/>
  <c r="QDI56" i="7" s="1"/>
  <c r="QDK56" i="7" s="1"/>
  <c r="QDM56" i="7" s="1"/>
  <c r="QDO56" i="7" s="1"/>
  <c r="QDQ56" i="7" s="1"/>
  <c r="QDS56" i="7" s="1"/>
  <c r="QDU56" i="7" s="1"/>
  <c r="QDW56" i="7" s="1"/>
  <c r="QDY56" i="7" s="1"/>
  <c r="QEA56" i="7" s="1"/>
  <c r="QEC56" i="7" s="1"/>
  <c r="QEE56" i="7" s="1"/>
  <c r="QEG56" i="7" s="1"/>
  <c r="QEI56" i="7" s="1"/>
  <c r="QEK56" i="7" s="1"/>
  <c r="QEM56" i="7" s="1"/>
  <c r="QEO56" i="7" s="1"/>
  <c r="QEQ56" i="7" s="1"/>
  <c r="QES56" i="7" s="1"/>
  <c r="QEU56" i="7" s="1"/>
  <c r="QEW56" i="7" s="1"/>
  <c r="QEY56" i="7" s="1"/>
  <c r="QFA56" i="7" s="1"/>
  <c r="QFC56" i="7" s="1"/>
  <c r="QFE56" i="7" s="1"/>
  <c r="QFG56" i="7" s="1"/>
  <c r="QFI56" i="7" s="1"/>
  <c r="QFK56" i="7" s="1"/>
  <c r="QFM56" i="7" s="1"/>
  <c r="QFO56" i="7" s="1"/>
  <c r="QFQ56" i="7" s="1"/>
  <c r="QFS56" i="7" s="1"/>
  <c r="QFU56" i="7" s="1"/>
  <c r="QFW56" i="7" s="1"/>
  <c r="QFY56" i="7" s="1"/>
  <c r="QGA56" i="7" s="1"/>
  <c r="QGC56" i="7" s="1"/>
  <c r="QGE56" i="7" s="1"/>
  <c r="QGG56" i="7" s="1"/>
  <c r="QGI56" i="7" s="1"/>
  <c r="QGK56" i="7" s="1"/>
  <c r="QGM56" i="7" s="1"/>
  <c r="QGO56" i="7" s="1"/>
  <c r="QGQ56" i="7" s="1"/>
  <c r="QGS56" i="7" s="1"/>
  <c r="QGU56" i="7" s="1"/>
  <c r="QGW56" i="7" s="1"/>
  <c r="QGY56" i="7" s="1"/>
  <c r="QHA56" i="7" s="1"/>
  <c r="QHC56" i="7" s="1"/>
  <c r="QHE56" i="7" s="1"/>
  <c r="QHG56" i="7" s="1"/>
  <c r="QHI56" i="7" s="1"/>
  <c r="QHK56" i="7" s="1"/>
  <c r="QHM56" i="7" s="1"/>
  <c r="QHO56" i="7" s="1"/>
  <c r="QHQ56" i="7" s="1"/>
  <c r="QHS56" i="7" s="1"/>
  <c r="QHU56" i="7" s="1"/>
  <c r="QHW56" i="7" s="1"/>
  <c r="QHY56" i="7" s="1"/>
  <c r="QIA56" i="7" s="1"/>
  <c r="QIC56" i="7" s="1"/>
  <c r="QIE56" i="7" s="1"/>
  <c r="QIG56" i="7" s="1"/>
  <c r="QII56" i="7" s="1"/>
  <c r="QIK56" i="7" s="1"/>
  <c r="QIM56" i="7" s="1"/>
  <c r="QIO56" i="7" s="1"/>
  <c r="QIQ56" i="7" s="1"/>
  <c r="QIS56" i="7" s="1"/>
  <c r="QIU56" i="7" s="1"/>
  <c r="QIW56" i="7" s="1"/>
  <c r="QIY56" i="7" s="1"/>
  <c r="QJA56" i="7" s="1"/>
  <c r="QJC56" i="7" s="1"/>
  <c r="QJE56" i="7" s="1"/>
  <c r="QJG56" i="7" s="1"/>
  <c r="QJI56" i="7" s="1"/>
  <c r="QJK56" i="7" s="1"/>
  <c r="QJM56" i="7" s="1"/>
  <c r="QJO56" i="7" s="1"/>
  <c r="QJQ56" i="7" s="1"/>
  <c r="QJS56" i="7" s="1"/>
  <c r="QJU56" i="7" s="1"/>
  <c r="QJW56" i="7" s="1"/>
  <c r="QJY56" i="7" s="1"/>
  <c r="QKA56" i="7" s="1"/>
  <c r="QKC56" i="7" s="1"/>
  <c r="QKE56" i="7" s="1"/>
  <c r="QKG56" i="7" s="1"/>
  <c r="QKI56" i="7" s="1"/>
  <c r="QKK56" i="7" s="1"/>
  <c r="QKM56" i="7" s="1"/>
  <c r="QKO56" i="7" s="1"/>
  <c r="QKQ56" i="7" s="1"/>
  <c r="QKS56" i="7" s="1"/>
  <c r="QKU56" i="7" s="1"/>
  <c r="QKW56" i="7" s="1"/>
  <c r="QKY56" i="7" s="1"/>
  <c r="QLA56" i="7" s="1"/>
  <c r="QLC56" i="7" s="1"/>
  <c r="QLE56" i="7" s="1"/>
  <c r="QLG56" i="7" s="1"/>
  <c r="QLI56" i="7" s="1"/>
  <c r="QLK56" i="7" s="1"/>
  <c r="QLM56" i="7" s="1"/>
  <c r="QLO56" i="7" s="1"/>
  <c r="QLQ56" i="7" s="1"/>
  <c r="QLS56" i="7" s="1"/>
  <c r="QLU56" i="7" s="1"/>
  <c r="QLW56" i="7" s="1"/>
  <c r="QLY56" i="7" s="1"/>
  <c r="QMA56" i="7" s="1"/>
  <c r="QMC56" i="7" s="1"/>
  <c r="QME56" i="7" s="1"/>
  <c r="QMG56" i="7" s="1"/>
  <c r="QMI56" i="7" s="1"/>
  <c r="QMK56" i="7" s="1"/>
  <c r="QMM56" i="7" s="1"/>
  <c r="QMO56" i="7" s="1"/>
  <c r="QMQ56" i="7" s="1"/>
  <c r="QMS56" i="7" s="1"/>
  <c r="QMU56" i="7" s="1"/>
  <c r="QMW56" i="7" s="1"/>
  <c r="QMY56" i="7" s="1"/>
  <c r="QNA56" i="7" s="1"/>
  <c r="QNC56" i="7" s="1"/>
  <c r="QNE56" i="7" s="1"/>
  <c r="QNG56" i="7" s="1"/>
  <c r="QNI56" i="7" s="1"/>
  <c r="QNK56" i="7" s="1"/>
  <c r="QNM56" i="7" s="1"/>
  <c r="QNO56" i="7" s="1"/>
  <c r="QNQ56" i="7" s="1"/>
  <c r="QNS56" i="7" s="1"/>
  <c r="QNU56" i="7" s="1"/>
  <c r="QNW56" i="7" s="1"/>
  <c r="QNY56" i="7" s="1"/>
  <c r="QOA56" i="7" s="1"/>
  <c r="QOC56" i="7" s="1"/>
  <c r="QOE56" i="7" s="1"/>
  <c r="QOG56" i="7" s="1"/>
  <c r="QOI56" i="7" s="1"/>
  <c r="QOK56" i="7" s="1"/>
  <c r="QOM56" i="7" s="1"/>
  <c r="QOO56" i="7" s="1"/>
  <c r="QOQ56" i="7" s="1"/>
  <c r="QOS56" i="7" s="1"/>
  <c r="QOU56" i="7" s="1"/>
  <c r="QOW56" i="7" s="1"/>
  <c r="QOY56" i="7" s="1"/>
  <c r="QPA56" i="7" s="1"/>
  <c r="QPC56" i="7" s="1"/>
  <c r="QPE56" i="7" s="1"/>
  <c r="QPG56" i="7" s="1"/>
  <c r="QPI56" i="7" s="1"/>
  <c r="QPK56" i="7" s="1"/>
  <c r="QPM56" i="7" s="1"/>
  <c r="QPO56" i="7" s="1"/>
  <c r="QPQ56" i="7" s="1"/>
  <c r="QPS56" i="7" s="1"/>
  <c r="QPU56" i="7" s="1"/>
  <c r="QPW56" i="7" s="1"/>
  <c r="QPY56" i="7" s="1"/>
  <c r="QQA56" i="7" s="1"/>
  <c r="QQC56" i="7" s="1"/>
  <c r="QQE56" i="7" s="1"/>
  <c r="QQG56" i="7" s="1"/>
  <c r="QQI56" i="7" s="1"/>
  <c r="QQK56" i="7" s="1"/>
  <c r="QQM56" i="7" s="1"/>
  <c r="QQO56" i="7" s="1"/>
  <c r="QQQ56" i="7" s="1"/>
  <c r="QQS56" i="7" s="1"/>
  <c r="QQU56" i="7" s="1"/>
  <c r="QQW56" i="7" s="1"/>
  <c r="QQY56" i="7" s="1"/>
  <c r="QRA56" i="7" s="1"/>
  <c r="QRC56" i="7" s="1"/>
  <c r="QRE56" i="7" s="1"/>
  <c r="QRG56" i="7" s="1"/>
  <c r="QRI56" i="7" s="1"/>
  <c r="QRK56" i="7" s="1"/>
  <c r="QRM56" i="7" s="1"/>
  <c r="QRO56" i="7" s="1"/>
  <c r="QRQ56" i="7" s="1"/>
  <c r="QRS56" i="7" s="1"/>
  <c r="QRU56" i="7" s="1"/>
  <c r="QRW56" i="7" s="1"/>
  <c r="QRY56" i="7" s="1"/>
  <c r="QSA56" i="7" s="1"/>
  <c r="QSC56" i="7" s="1"/>
  <c r="QSE56" i="7" s="1"/>
  <c r="QSG56" i="7" s="1"/>
  <c r="QSI56" i="7" s="1"/>
  <c r="QSK56" i="7" s="1"/>
  <c r="QSM56" i="7" s="1"/>
  <c r="QSO56" i="7" s="1"/>
  <c r="QSQ56" i="7" s="1"/>
  <c r="QSS56" i="7" s="1"/>
  <c r="QSU56" i="7" s="1"/>
  <c r="QSW56" i="7" s="1"/>
  <c r="QSY56" i="7" s="1"/>
  <c r="QTA56" i="7" s="1"/>
  <c r="QTC56" i="7" s="1"/>
  <c r="QTE56" i="7" s="1"/>
  <c r="QTG56" i="7" s="1"/>
  <c r="QTI56" i="7" s="1"/>
  <c r="QTK56" i="7" s="1"/>
  <c r="QTM56" i="7" s="1"/>
  <c r="QTO56" i="7" s="1"/>
  <c r="QTQ56" i="7" s="1"/>
  <c r="QTS56" i="7" s="1"/>
  <c r="QTU56" i="7" s="1"/>
  <c r="QTW56" i="7" s="1"/>
  <c r="QTY56" i="7" s="1"/>
  <c r="QUA56" i="7" s="1"/>
  <c r="QUC56" i="7" s="1"/>
  <c r="QUE56" i="7" s="1"/>
  <c r="QUG56" i="7" s="1"/>
  <c r="QUI56" i="7" s="1"/>
  <c r="QUK56" i="7" s="1"/>
  <c r="QUM56" i="7" s="1"/>
  <c r="QUO56" i="7" s="1"/>
  <c r="QUQ56" i="7" s="1"/>
  <c r="QUS56" i="7" s="1"/>
  <c r="QUU56" i="7" s="1"/>
  <c r="QUW56" i="7" s="1"/>
  <c r="QUY56" i="7" s="1"/>
  <c r="QVA56" i="7" s="1"/>
  <c r="QVC56" i="7" s="1"/>
  <c r="QVE56" i="7" s="1"/>
  <c r="QVG56" i="7" s="1"/>
  <c r="QVI56" i="7" s="1"/>
  <c r="QVK56" i="7" s="1"/>
  <c r="QVM56" i="7" s="1"/>
  <c r="QVO56" i="7" s="1"/>
  <c r="QVQ56" i="7" s="1"/>
  <c r="QVS56" i="7" s="1"/>
  <c r="QVU56" i="7" s="1"/>
  <c r="QVW56" i="7" s="1"/>
  <c r="QVY56" i="7" s="1"/>
  <c r="QWA56" i="7" s="1"/>
  <c r="QWC56" i="7" s="1"/>
  <c r="QWE56" i="7" s="1"/>
  <c r="QWG56" i="7" s="1"/>
  <c r="QWI56" i="7" s="1"/>
  <c r="QWK56" i="7" s="1"/>
  <c r="QWM56" i="7" s="1"/>
  <c r="QWO56" i="7" s="1"/>
  <c r="QWQ56" i="7" s="1"/>
  <c r="QWS56" i="7" s="1"/>
  <c r="QWU56" i="7" s="1"/>
  <c r="QWW56" i="7" s="1"/>
  <c r="QWY56" i="7" s="1"/>
  <c r="QXA56" i="7" s="1"/>
  <c r="QXC56" i="7" s="1"/>
  <c r="QXE56" i="7" s="1"/>
  <c r="QXG56" i="7" s="1"/>
  <c r="QXI56" i="7" s="1"/>
  <c r="QXK56" i="7" s="1"/>
  <c r="QXM56" i="7" s="1"/>
  <c r="QXO56" i="7" s="1"/>
  <c r="QXQ56" i="7" s="1"/>
  <c r="QXS56" i="7" s="1"/>
  <c r="QXU56" i="7" s="1"/>
  <c r="QXW56" i="7" s="1"/>
  <c r="QXY56" i="7" s="1"/>
  <c r="QYA56" i="7" s="1"/>
  <c r="QYC56" i="7" s="1"/>
  <c r="QYE56" i="7" s="1"/>
  <c r="QYG56" i="7" s="1"/>
  <c r="QYI56" i="7" s="1"/>
  <c r="QYK56" i="7" s="1"/>
  <c r="QYM56" i="7" s="1"/>
  <c r="QYO56" i="7" s="1"/>
  <c r="QYQ56" i="7" s="1"/>
  <c r="QYS56" i="7" s="1"/>
  <c r="QYU56" i="7" s="1"/>
  <c r="QYW56" i="7" s="1"/>
  <c r="QYY56" i="7" s="1"/>
  <c r="QZA56" i="7" s="1"/>
  <c r="QZC56" i="7" s="1"/>
  <c r="QZE56" i="7" s="1"/>
  <c r="QZG56" i="7" s="1"/>
  <c r="QZI56" i="7" s="1"/>
  <c r="QZK56" i="7" s="1"/>
  <c r="QZM56" i="7" s="1"/>
  <c r="QZO56" i="7" s="1"/>
  <c r="QZQ56" i="7" s="1"/>
  <c r="QZS56" i="7" s="1"/>
  <c r="QZU56" i="7" s="1"/>
  <c r="QZW56" i="7" s="1"/>
  <c r="QZY56" i="7" s="1"/>
  <c r="RAA56" i="7" s="1"/>
  <c r="RAC56" i="7" s="1"/>
  <c r="RAE56" i="7" s="1"/>
  <c r="RAG56" i="7" s="1"/>
  <c r="RAI56" i="7" s="1"/>
  <c r="RAK56" i="7" s="1"/>
  <c r="RAM56" i="7" s="1"/>
  <c r="RAO56" i="7" s="1"/>
  <c r="RAQ56" i="7" s="1"/>
  <c r="RAS56" i="7" s="1"/>
  <c r="RAU56" i="7" s="1"/>
  <c r="RAW56" i="7" s="1"/>
  <c r="RAY56" i="7" s="1"/>
  <c r="RBA56" i="7" s="1"/>
  <c r="RBC56" i="7" s="1"/>
  <c r="RBE56" i="7" s="1"/>
  <c r="RBG56" i="7" s="1"/>
  <c r="RBI56" i="7" s="1"/>
  <c r="RBK56" i="7" s="1"/>
  <c r="RBM56" i="7" s="1"/>
  <c r="RBO56" i="7" s="1"/>
  <c r="RBQ56" i="7" s="1"/>
  <c r="RBS56" i="7" s="1"/>
  <c r="RBU56" i="7" s="1"/>
  <c r="RBW56" i="7" s="1"/>
  <c r="RBY56" i="7" s="1"/>
  <c r="RCA56" i="7" s="1"/>
  <c r="RCC56" i="7" s="1"/>
  <c r="RCE56" i="7" s="1"/>
  <c r="RCG56" i="7" s="1"/>
  <c r="RCI56" i="7" s="1"/>
  <c r="RCK56" i="7" s="1"/>
  <c r="RCM56" i="7" s="1"/>
  <c r="RCO56" i="7" s="1"/>
  <c r="RCQ56" i="7" s="1"/>
  <c r="RCS56" i="7" s="1"/>
  <c r="RCU56" i="7" s="1"/>
  <c r="RCW56" i="7" s="1"/>
  <c r="RCY56" i="7" s="1"/>
  <c r="RDA56" i="7" s="1"/>
  <c r="RDC56" i="7" s="1"/>
  <c r="RDE56" i="7" s="1"/>
  <c r="RDG56" i="7" s="1"/>
  <c r="RDI56" i="7" s="1"/>
  <c r="RDK56" i="7" s="1"/>
  <c r="RDM56" i="7" s="1"/>
  <c r="RDO56" i="7" s="1"/>
  <c r="RDQ56" i="7" s="1"/>
  <c r="RDS56" i="7" s="1"/>
  <c r="RDU56" i="7" s="1"/>
  <c r="RDW56" i="7" s="1"/>
  <c r="RDY56" i="7" s="1"/>
  <c r="REA56" i="7" s="1"/>
  <c r="REC56" i="7" s="1"/>
  <c r="REE56" i="7" s="1"/>
  <c r="REG56" i="7" s="1"/>
  <c r="REI56" i="7" s="1"/>
  <c r="REK56" i="7" s="1"/>
  <c r="REM56" i="7" s="1"/>
  <c r="REO56" i="7" s="1"/>
  <c r="REQ56" i="7" s="1"/>
  <c r="RES56" i="7" s="1"/>
  <c r="REU56" i="7" s="1"/>
  <c r="REW56" i="7" s="1"/>
  <c r="REY56" i="7" s="1"/>
  <c r="RFA56" i="7" s="1"/>
  <c r="RFC56" i="7" s="1"/>
  <c r="RFE56" i="7" s="1"/>
  <c r="RFG56" i="7" s="1"/>
  <c r="RFI56" i="7" s="1"/>
  <c r="RFK56" i="7" s="1"/>
  <c r="RFM56" i="7" s="1"/>
  <c r="RFO56" i="7" s="1"/>
  <c r="RFQ56" i="7" s="1"/>
  <c r="RFS56" i="7" s="1"/>
  <c r="RFU56" i="7" s="1"/>
  <c r="RFW56" i="7" s="1"/>
  <c r="RFY56" i="7" s="1"/>
  <c r="RGA56" i="7" s="1"/>
  <c r="RGC56" i="7" s="1"/>
  <c r="RGE56" i="7" s="1"/>
  <c r="RGG56" i="7" s="1"/>
  <c r="RGI56" i="7" s="1"/>
  <c r="RGK56" i="7" s="1"/>
  <c r="RGM56" i="7" s="1"/>
  <c r="RGO56" i="7" s="1"/>
  <c r="RGQ56" i="7" s="1"/>
  <c r="RGS56" i="7" s="1"/>
  <c r="RGU56" i="7" s="1"/>
  <c r="RGW56" i="7" s="1"/>
  <c r="RGY56" i="7" s="1"/>
  <c r="RHA56" i="7" s="1"/>
  <c r="RHC56" i="7" s="1"/>
  <c r="RHE56" i="7" s="1"/>
  <c r="RHG56" i="7" s="1"/>
  <c r="RHI56" i="7" s="1"/>
  <c r="RHK56" i="7" s="1"/>
  <c r="RHM56" i="7" s="1"/>
  <c r="RHO56" i="7" s="1"/>
  <c r="RHQ56" i="7" s="1"/>
  <c r="RHS56" i="7" s="1"/>
  <c r="RHU56" i="7" s="1"/>
  <c r="RHW56" i="7" s="1"/>
  <c r="RHY56" i="7" s="1"/>
  <c r="RIA56" i="7" s="1"/>
  <c r="RIC56" i="7" s="1"/>
  <c r="RIE56" i="7" s="1"/>
  <c r="RIG56" i="7" s="1"/>
  <c r="RII56" i="7" s="1"/>
  <c r="RIK56" i="7" s="1"/>
  <c r="RIM56" i="7" s="1"/>
  <c r="RIO56" i="7" s="1"/>
  <c r="RIQ56" i="7" s="1"/>
  <c r="RIS56" i="7" s="1"/>
  <c r="RIU56" i="7" s="1"/>
  <c r="RIW56" i="7" s="1"/>
  <c r="RIY56" i="7" s="1"/>
  <c r="RJA56" i="7" s="1"/>
  <c r="RJC56" i="7" s="1"/>
  <c r="RJE56" i="7" s="1"/>
  <c r="RJG56" i="7" s="1"/>
  <c r="RJI56" i="7" s="1"/>
  <c r="RJK56" i="7" s="1"/>
  <c r="RJM56" i="7" s="1"/>
  <c r="RJO56" i="7" s="1"/>
  <c r="RJQ56" i="7" s="1"/>
  <c r="RJS56" i="7" s="1"/>
  <c r="RJU56" i="7" s="1"/>
  <c r="RJW56" i="7" s="1"/>
  <c r="RJY56" i="7" s="1"/>
  <c r="RKA56" i="7" s="1"/>
  <c r="RKC56" i="7" s="1"/>
  <c r="RKE56" i="7" s="1"/>
  <c r="RKG56" i="7" s="1"/>
  <c r="RKI56" i="7" s="1"/>
  <c r="RKK56" i="7" s="1"/>
  <c r="RKM56" i="7" s="1"/>
  <c r="RKO56" i="7" s="1"/>
  <c r="RKQ56" i="7" s="1"/>
  <c r="RKS56" i="7" s="1"/>
  <c r="RKU56" i="7" s="1"/>
  <c r="RKW56" i="7" s="1"/>
  <c r="RKY56" i="7" s="1"/>
  <c r="RLA56" i="7" s="1"/>
  <c r="RLC56" i="7" s="1"/>
  <c r="RLE56" i="7" s="1"/>
  <c r="RLG56" i="7" s="1"/>
  <c r="RLI56" i="7" s="1"/>
  <c r="RLK56" i="7" s="1"/>
  <c r="RLM56" i="7" s="1"/>
  <c r="RLO56" i="7" s="1"/>
  <c r="RLQ56" i="7" s="1"/>
  <c r="RLS56" i="7" s="1"/>
  <c r="RLU56" i="7" s="1"/>
  <c r="RLW56" i="7" s="1"/>
  <c r="RLY56" i="7" s="1"/>
  <c r="RMA56" i="7" s="1"/>
  <c r="RMC56" i="7" s="1"/>
  <c r="RME56" i="7" s="1"/>
  <c r="RMG56" i="7" s="1"/>
  <c r="RMI56" i="7" s="1"/>
  <c r="RMK56" i="7" s="1"/>
  <c r="RMM56" i="7" s="1"/>
  <c r="RMO56" i="7" s="1"/>
  <c r="RMQ56" i="7" s="1"/>
  <c r="RMS56" i="7" s="1"/>
  <c r="RMU56" i="7" s="1"/>
  <c r="RMW56" i="7" s="1"/>
  <c r="RMY56" i="7" s="1"/>
  <c r="RNA56" i="7" s="1"/>
  <c r="RNC56" i="7" s="1"/>
  <c r="RNE56" i="7" s="1"/>
  <c r="RNG56" i="7" s="1"/>
  <c r="RNI56" i="7" s="1"/>
  <c r="RNK56" i="7" s="1"/>
  <c r="RNM56" i="7" s="1"/>
  <c r="RNO56" i="7" s="1"/>
  <c r="RNQ56" i="7" s="1"/>
  <c r="RNS56" i="7" s="1"/>
  <c r="RNU56" i="7" s="1"/>
  <c r="RNW56" i="7" s="1"/>
  <c r="RNY56" i="7" s="1"/>
  <c r="ROA56" i="7" s="1"/>
  <c r="ROC56" i="7" s="1"/>
  <c r="ROE56" i="7" s="1"/>
  <c r="ROG56" i="7" s="1"/>
  <c r="ROI56" i="7" s="1"/>
  <c r="ROK56" i="7" s="1"/>
  <c r="ROM56" i="7" s="1"/>
  <c r="ROO56" i="7" s="1"/>
  <c r="ROQ56" i="7" s="1"/>
  <c r="ROS56" i="7" s="1"/>
  <c r="ROU56" i="7" s="1"/>
  <c r="ROW56" i="7" s="1"/>
  <c r="ROY56" i="7" s="1"/>
  <c r="RPA56" i="7" s="1"/>
  <c r="RPC56" i="7" s="1"/>
  <c r="RPE56" i="7" s="1"/>
  <c r="RPG56" i="7" s="1"/>
  <c r="RPI56" i="7" s="1"/>
  <c r="RPK56" i="7" s="1"/>
  <c r="RPM56" i="7" s="1"/>
  <c r="RPO56" i="7" s="1"/>
  <c r="RPQ56" i="7" s="1"/>
  <c r="RPS56" i="7" s="1"/>
  <c r="RPU56" i="7" s="1"/>
  <c r="RPW56" i="7" s="1"/>
  <c r="RPY56" i="7" s="1"/>
  <c r="RQA56" i="7" s="1"/>
  <c r="RQC56" i="7" s="1"/>
  <c r="RQE56" i="7" s="1"/>
  <c r="RQG56" i="7" s="1"/>
  <c r="RQI56" i="7" s="1"/>
  <c r="RQK56" i="7" s="1"/>
  <c r="RQM56" i="7" s="1"/>
  <c r="RQO56" i="7" s="1"/>
  <c r="RQQ56" i="7" s="1"/>
  <c r="RQS56" i="7" s="1"/>
  <c r="RQU56" i="7" s="1"/>
  <c r="RQW56" i="7" s="1"/>
  <c r="RQY56" i="7" s="1"/>
  <c r="RRA56" i="7" s="1"/>
  <c r="RRC56" i="7" s="1"/>
  <c r="RRE56" i="7" s="1"/>
  <c r="RRG56" i="7" s="1"/>
  <c r="RRI56" i="7" s="1"/>
  <c r="RRK56" i="7" s="1"/>
  <c r="RRM56" i="7" s="1"/>
  <c r="RRO56" i="7" s="1"/>
  <c r="RRQ56" i="7" s="1"/>
  <c r="RRS56" i="7" s="1"/>
  <c r="RRU56" i="7" s="1"/>
  <c r="RRW56" i="7" s="1"/>
  <c r="RRY56" i="7" s="1"/>
  <c r="RSA56" i="7" s="1"/>
  <c r="RSC56" i="7" s="1"/>
  <c r="RSE56" i="7" s="1"/>
  <c r="RSG56" i="7" s="1"/>
  <c r="RSI56" i="7" s="1"/>
  <c r="RSK56" i="7" s="1"/>
  <c r="RSM56" i="7" s="1"/>
  <c r="RSO56" i="7" s="1"/>
  <c r="RSQ56" i="7" s="1"/>
  <c r="RSS56" i="7" s="1"/>
  <c r="RSU56" i="7" s="1"/>
  <c r="RSW56" i="7" s="1"/>
  <c r="RSY56" i="7" s="1"/>
  <c r="RTA56" i="7" s="1"/>
  <c r="RTC56" i="7" s="1"/>
  <c r="RTE56" i="7" s="1"/>
  <c r="RTG56" i="7" s="1"/>
  <c r="RTI56" i="7" s="1"/>
  <c r="RTK56" i="7" s="1"/>
  <c r="RTM56" i="7" s="1"/>
  <c r="RTO56" i="7" s="1"/>
  <c r="RTQ56" i="7" s="1"/>
  <c r="RTS56" i="7" s="1"/>
  <c r="RTU56" i="7" s="1"/>
  <c r="RTW56" i="7" s="1"/>
  <c r="RTY56" i="7" s="1"/>
  <c r="RUA56" i="7" s="1"/>
  <c r="RUC56" i="7" s="1"/>
  <c r="RUE56" i="7" s="1"/>
  <c r="RUG56" i="7" s="1"/>
  <c r="RUI56" i="7" s="1"/>
  <c r="RUK56" i="7" s="1"/>
  <c r="RUM56" i="7" s="1"/>
  <c r="RUO56" i="7" s="1"/>
  <c r="RUQ56" i="7" s="1"/>
  <c r="RUS56" i="7" s="1"/>
  <c r="RUU56" i="7" s="1"/>
  <c r="RUW56" i="7" s="1"/>
  <c r="RUY56" i="7" s="1"/>
  <c r="RVA56" i="7" s="1"/>
  <c r="RVC56" i="7" s="1"/>
  <c r="RVE56" i="7" s="1"/>
  <c r="RVG56" i="7" s="1"/>
  <c r="RVI56" i="7" s="1"/>
  <c r="RVK56" i="7" s="1"/>
  <c r="RVM56" i="7" s="1"/>
  <c r="RVO56" i="7" s="1"/>
  <c r="RVQ56" i="7" s="1"/>
  <c r="RVS56" i="7" s="1"/>
  <c r="RVU56" i="7" s="1"/>
  <c r="RVW56" i="7" s="1"/>
  <c r="RVY56" i="7" s="1"/>
  <c r="RWA56" i="7" s="1"/>
  <c r="RWC56" i="7" s="1"/>
  <c r="RWE56" i="7" s="1"/>
  <c r="RWG56" i="7" s="1"/>
  <c r="RWI56" i="7" s="1"/>
  <c r="RWK56" i="7" s="1"/>
  <c r="RWM56" i="7" s="1"/>
  <c r="RWO56" i="7" s="1"/>
  <c r="RWQ56" i="7" s="1"/>
  <c r="RWS56" i="7" s="1"/>
  <c r="RWU56" i="7" s="1"/>
  <c r="RWW56" i="7" s="1"/>
  <c r="RWY56" i="7" s="1"/>
  <c r="RXA56" i="7" s="1"/>
  <c r="RXC56" i="7" s="1"/>
  <c r="RXE56" i="7" s="1"/>
  <c r="RXG56" i="7" s="1"/>
  <c r="RXI56" i="7" s="1"/>
  <c r="RXK56" i="7" s="1"/>
  <c r="RXM56" i="7" s="1"/>
  <c r="RXO56" i="7" s="1"/>
  <c r="RXQ56" i="7" s="1"/>
  <c r="RXS56" i="7" s="1"/>
  <c r="RXU56" i="7" s="1"/>
  <c r="RXW56" i="7" s="1"/>
  <c r="RXY56" i="7" s="1"/>
  <c r="RYA56" i="7" s="1"/>
  <c r="RYC56" i="7" s="1"/>
  <c r="RYE56" i="7" s="1"/>
  <c r="RYG56" i="7" s="1"/>
  <c r="RYI56" i="7" s="1"/>
  <c r="RYK56" i="7" s="1"/>
  <c r="RYM56" i="7" s="1"/>
  <c r="RYO56" i="7" s="1"/>
  <c r="RYQ56" i="7" s="1"/>
  <c r="RYS56" i="7" s="1"/>
  <c r="RYU56" i="7" s="1"/>
  <c r="RYW56" i="7" s="1"/>
  <c r="RYY56" i="7" s="1"/>
  <c r="RZA56" i="7" s="1"/>
  <c r="RZC56" i="7" s="1"/>
  <c r="RZE56" i="7" s="1"/>
  <c r="RZG56" i="7" s="1"/>
  <c r="RZI56" i="7" s="1"/>
  <c r="RZK56" i="7" s="1"/>
  <c r="RZM56" i="7" s="1"/>
  <c r="RZO56" i="7" s="1"/>
  <c r="RZQ56" i="7" s="1"/>
  <c r="RZS56" i="7" s="1"/>
  <c r="RZU56" i="7" s="1"/>
  <c r="RZW56" i="7" s="1"/>
  <c r="RZY56" i="7" s="1"/>
  <c r="SAA56" i="7" s="1"/>
  <c r="SAC56" i="7" s="1"/>
  <c r="SAE56" i="7" s="1"/>
  <c r="SAG56" i="7" s="1"/>
  <c r="SAI56" i="7" s="1"/>
  <c r="SAK56" i="7" s="1"/>
  <c r="SAM56" i="7" s="1"/>
  <c r="SAO56" i="7" s="1"/>
  <c r="SAQ56" i="7" s="1"/>
  <c r="SAS56" i="7" s="1"/>
  <c r="SAU56" i="7" s="1"/>
  <c r="SAW56" i="7" s="1"/>
  <c r="SAY56" i="7" s="1"/>
  <c r="SBA56" i="7" s="1"/>
  <c r="SBC56" i="7" s="1"/>
  <c r="SBE56" i="7" s="1"/>
  <c r="SBG56" i="7" s="1"/>
  <c r="SBI56" i="7" s="1"/>
  <c r="SBK56" i="7" s="1"/>
  <c r="SBM56" i="7" s="1"/>
  <c r="SBO56" i="7" s="1"/>
  <c r="SBQ56" i="7" s="1"/>
  <c r="SBS56" i="7" s="1"/>
  <c r="SBU56" i="7" s="1"/>
  <c r="SBW56" i="7" s="1"/>
  <c r="SBY56" i="7" s="1"/>
  <c r="SCA56" i="7" s="1"/>
  <c r="SCC56" i="7" s="1"/>
  <c r="SCE56" i="7" s="1"/>
  <c r="SCG56" i="7" s="1"/>
  <c r="SCI56" i="7" s="1"/>
  <c r="SCK56" i="7" s="1"/>
  <c r="SCM56" i="7" s="1"/>
  <c r="SCO56" i="7" s="1"/>
  <c r="SCQ56" i="7" s="1"/>
  <c r="SCS56" i="7" s="1"/>
  <c r="SCU56" i="7" s="1"/>
  <c r="SCW56" i="7" s="1"/>
  <c r="SCY56" i="7" s="1"/>
  <c r="SDA56" i="7" s="1"/>
  <c r="SDC56" i="7" s="1"/>
  <c r="SDE56" i="7" s="1"/>
  <c r="SDG56" i="7" s="1"/>
  <c r="SDI56" i="7" s="1"/>
  <c r="SDK56" i="7" s="1"/>
  <c r="SDM56" i="7" s="1"/>
  <c r="SDO56" i="7" s="1"/>
  <c r="SDQ56" i="7" s="1"/>
  <c r="SDS56" i="7" s="1"/>
  <c r="SDU56" i="7" s="1"/>
  <c r="SDW56" i="7" s="1"/>
  <c r="SDY56" i="7" s="1"/>
  <c r="SEA56" i="7" s="1"/>
  <c r="SEC56" i="7" s="1"/>
  <c r="SEE56" i="7" s="1"/>
  <c r="SEG56" i="7" s="1"/>
  <c r="SEI56" i="7" s="1"/>
  <c r="SEK56" i="7" s="1"/>
  <c r="SEM56" i="7" s="1"/>
  <c r="SEO56" i="7" s="1"/>
  <c r="SEQ56" i="7" s="1"/>
  <c r="SES56" i="7" s="1"/>
  <c r="SEU56" i="7" s="1"/>
  <c r="SEW56" i="7" s="1"/>
  <c r="SEY56" i="7" s="1"/>
  <c r="SFA56" i="7" s="1"/>
  <c r="SFC56" i="7" s="1"/>
  <c r="SFE56" i="7" s="1"/>
  <c r="SFG56" i="7" s="1"/>
  <c r="SFI56" i="7" s="1"/>
  <c r="SFK56" i="7" s="1"/>
  <c r="SFM56" i="7" s="1"/>
  <c r="SFO56" i="7" s="1"/>
  <c r="SFQ56" i="7" s="1"/>
  <c r="SFS56" i="7" s="1"/>
  <c r="SFU56" i="7" s="1"/>
  <c r="SFW56" i="7" s="1"/>
  <c r="SFY56" i="7" s="1"/>
  <c r="SGA56" i="7" s="1"/>
  <c r="SGC56" i="7" s="1"/>
  <c r="SGE56" i="7" s="1"/>
  <c r="SGG56" i="7" s="1"/>
  <c r="SGI56" i="7" s="1"/>
  <c r="SGK56" i="7" s="1"/>
  <c r="SGM56" i="7" s="1"/>
  <c r="SGO56" i="7" s="1"/>
  <c r="SGQ56" i="7" s="1"/>
  <c r="SGS56" i="7" s="1"/>
  <c r="SGU56" i="7" s="1"/>
  <c r="SGW56" i="7" s="1"/>
  <c r="SGY56" i="7" s="1"/>
  <c r="SHA56" i="7" s="1"/>
  <c r="SHC56" i="7" s="1"/>
  <c r="SHE56" i="7" s="1"/>
  <c r="SHG56" i="7" s="1"/>
  <c r="SHI56" i="7" s="1"/>
  <c r="SHK56" i="7" s="1"/>
  <c r="SHM56" i="7" s="1"/>
  <c r="SHO56" i="7" s="1"/>
  <c r="SHQ56" i="7" s="1"/>
  <c r="SHS56" i="7" s="1"/>
  <c r="SHU56" i="7" s="1"/>
  <c r="SHW56" i="7" s="1"/>
  <c r="SHY56" i="7" s="1"/>
  <c r="SIA56" i="7" s="1"/>
  <c r="SIC56" i="7" s="1"/>
  <c r="SIE56" i="7" s="1"/>
  <c r="SIG56" i="7" s="1"/>
  <c r="SII56" i="7" s="1"/>
  <c r="SIK56" i="7" s="1"/>
  <c r="SIM56" i="7" s="1"/>
  <c r="SIO56" i="7" s="1"/>
  <c r="SIQ56" i="7" s="1"/>
  <c r="SIS56" i="7" s="1"/>
  <c r="SIU56" i="7" s="1"/>
  <c r="SIW56" i="7" s="1"/>
  <c r="SIY56" i="7" s="1"/>
  <c r="SJA56" i="7" s="1"/>
  <c r="SJC56" i="7" s="1"/>
  <c r="SJE56" i="7" s="1"/>
  <c r="SJG56" i="7" s="1"/>
  <c r="SJI56" i="7" s="1"/>
  <c r="SJK56" i="7" s="1"/>
  <c r="SJM56" i="7" s="1"/>
  <c r="SJO56" i="7" s="1"/>
  <c r="SJQ56" i="7" s="1"/>
  <c r="SJS56" i="7" s="1"/>
  <c r="SJU56" i="7" s="1"/>
  <c r="SJW56" i="7" s="1"/>
  <c r="SJY56" i="7" s="1"/>
  <c r="SKA56" i="7" s="1"/>
  <c r="SKC56" i="7" s="1"/>
  <c r="SKE56" i="7" s="1"/>
  <c r="SKG56" i="7" s="1"/>
  <c r="SKI56" i="7" s="1"/>
  <c r="SKK56" i="7" s="1"/>
  <c r="SKM56" i="7" s="1"/>
  <c r="SKO56" i="7" s="1"/>
  <c r="SKQ56" i="7" s="1"/>
  <c r="SKS56" i="7" s="1"/>
  <c r="SKU56" i="7" s="1"/>
  <c r="SKW56" i="7" s="1"/>
  <c r="SKY56" i="7" s="1"/>
  <c r="SLA56" i="7" s="1"/>
  <c r="SLC56" i="7" s="1"/>
  <c r="SLE56" i="7" s="1"/>
  <c r="SLG56" i="7" s="1"/>
  <c r="SLI56" i="7" s="1"/>
  <c r="SLK56" i="7" s="1"/>
  <c r="SLM56" i="7" s="1"/>
  <c r="SLO56" i="7" s="1"/>
  <c r="SLQ56" i="7" s="1"/>
  <c r="SLS56" i="7" s="1"/>
  <c r="SLU56" i="7" s="1"/>
  <c r="SLW56" i="7" s="1"/>
  <c r="SLY56" i="7" s="1"/>
  <c r="SMA56" i="7" s="1"/>
  <c r="SMC56" i="7" s="1"/>
  <c r="SME56" i="7" s="1"/>
  <c r="SMG56" i="7" s="1"/>
  <c r="SMI56" i="7" s="1"/>
  <c r="SMK56" i="7" s="1"/>
  <c r="SMM56" i="7" s="1"/>
  <c r="SMO56" i="7" s="1"/>
  <c r="SMQ56" i="7" s="1"/>
  <c r="SMS56" i="7" s="1"/>
  <c r="SMU56" i="7" s="1"/>
  <c r="SMW56" i="7" s="1"/>
  <c r="SMY56" i="7" s="1"/>
  <c r="SNA56" i="7" s="1"/>
  <c r="SNC56" i="7" s="1"/>
  <c r="SNE56" i="7" s="1"/>
  <c r="SNG56" i="7" s="1"/>
  <c r="SNI56" i="7" s="1"/>
  <c r="SNK56" i="7" s="1"/>
  <c r="SNM56" i="7" s="1"/>
  <c r="SNO56" i="7" s="1"/>
  <c r="SNQ56" i="7" s="1"/>
  <c r="SNS56" i="7" s="1"/>
  <c r="SNU56" i="7" s="1"/>
  <c r="SNW56" i="7" s="1"/>
  <c r="SNY56" i="7" s="1"/>
  <c r="SOA56" i="7" s="1"/>
  <c r="SOC56" i="7" s="1"/>
  <c r="SOE56" i="7" s="1"/>
  <c r="SOG56" i="7" s="1"/>
  <c r="SOI56" i="7" s="1"/>
  <c r="SOK56" i="7" s="1"/>
  <c r="SOM56" i="7" s="1"/>
  <c r="SOO56" i="7" s="1"/>
  <c r="SOQ56" i="7" s="1"/>
  <c r="SOS56" i="7" s="1"/>
  <c r="SOU56" i="7" s="1"/>
  <c r="SOW56" i="7" s="1"/>
  <c r="SOY56" i="7" s="1"/>
  <c r="SPA56" i="7" s="1"/>
  <c r="SPC56" i="7" s="1"/>
  <c r="SPE56" i="7" s="1"/>
  <c r="SPG56" i="7" s="1"/>
  <c r="SPI56" i="7" s="1"/>
  <c r="SPK56" i="7" s="1"/>
  <c r="SPM56" i="7" s="1"/>
  <c r="SPO56" i="7" s="1"/>
  <c r="SPQ56" i="7" s="1"/>
  <c r="SPS56" i="7" s="1"/>
  <c r="SPU56" i="7" s="1"/>
  <c r="SPW56" i="7" s="1"/>
  <c r="SPY56" i="7" s="1"/>
  <c r="SQA56" i="7" s="1"/>
  <c r="SQC56" i="7" s="1"/>
  <c r="SQE56" i="7" s="1"/>
  <c r="SQG56" i="7" s="1"/>
  <c r="SQI56" i="7" s="1"/>
  <c r="SQK56" i="7" s="1"/>
  <c r="SQM56" i="7" s="1"/>
  <c r="SQO56" i="7" s="1"/>
  <c r="SQQ56" i="7" s="1"/>
  <c r="SQS56" i="7" s="1"/>
  <c r="SQU56" i="7" s="1"/>
  <c r="SQW56" i="7" s="1"/>
  <c r="SQY56" i="7" s="1"/>
  <c r="SRA56" i="7" s="1"/>
  <c r="SRC56" i="7" s="1"/>
  <c r="SRE56" i="7" s="1"/>
  <c r="SRG56" i="7" s="1"/>
  <c r="SRI56" i="7" s="1"/>
  <c r="SRK56" i="7" s="1"/>
  <c r="SRM56" i="7" s="1"/>
  <c r="SRO56" i="7" s="1"/>
  <c r="SRQ56" i="7" s="1"/>
  <c r="SRS56" i="7" s="1"/>
  <c r="SRU56" i="7" s="1"/>
  <c r="SRW56" i="7" s="1"/>
  <c r="SRY56" i="7" s="1"/>
  <c r="SSA56" i="7" s="1"/>
  <c r="SSC56" i="7" s="1"/>
  <c r="SSE56" i="7" s="1"/>
  <c r="SSG56" i="7" s="1"/>
  <c r="SSI56" i="7" s="1"/>
  <c r="SSK56" i="7" s="1"/>
  <c r="SSM56" i="7" s="1"/>
  <c r="SSO56" i="7" s="1"/>
  <c r="SSQ56" i="7" s="1"/>
  <c r="SSS56" i="7" s="1"/>
  <c r="SSU56" i="7" s="1"/>
  <c r="SSW56" i="7" s="1"/>
  <c r="SSY56" i="7" s="1"/>
  <c r="STA56" i="7" s="1"/>
  <c r="STC56" i="7" s="1"/>
  <c r="STE56" i="7" s="1"/>
  <c r="STG56" i="7" s="1"/>
  <c r="STI56" i="7" s="1"/>
  <c r="STK56" i="7" s="1"/>
  <c r="STM56" i="7" s="1"/>
  <c r="STO56" i="7" s="1"/>
  <c r="STQ56" i="7" s="1"/>
  <c r="STS56" i="7" s="1"/>
  <c r="STU56" i="7" s="1"/>
  <c r="STW56" i="7" s="1"/>
  <c r="STY56" i="7" s="1"/>
  <c r="SUA56" i="7" s="1"/>
  <c r="SUC56" i="7" s="1"/>
  <c r="SUE56" i="7" s="1"/>
  <c r="SUG56" i="7" s="1"/>
  <c r="SUI56" i="7" s="1"/>
  <c r="SUK56" i="7" s="1"/>
  <c r="SUM56" i="7" s="1"/>
  <c r="SUO56" i="7" s="1"/>
  <c r="SUQ56" i="7" s="1"/>
  <c r="SUS56" i="7" s="1"/>
  <c r="SUU56" i="7" s="1"/>
  <c r="SUW56" i="7" s="1"/>
  <c r="SUY56" i="7" s="1"/>
  <c r="SVA56" i="7" s="1"/>
  <c r="SVC56" i="7" s="1"/>
  <c r="SVE56" i="7" s="1"/>
  <c r="SVG56" i="7" s="1"/>
  <c r="SVI56" i="7" s="1"/>
  <c r="SVK56" i="7" s="1"/>
  <c r="SVM56" i="7" s="1"/>
  <c r="SVO56" i="7" s="1"/>
  <c r="SVQ56" i="7" s="1"/>
  <c r="SVS56" i="7" s="1"/>
  <c r="SVU56" i="7" s="1"/>
  <c r="SVW56" i="7" s="1"/>
  <c r="SVY56" i="7" s="1"/>
  <c r="SWA56" i="7" s="1"/>
  <c r="SWC56" i="7" s="1"/>
  <c r="SWE56" i="7" s="1"/>
  <c r="SWG56" i="7" s="1"/>
  <c r="SWI56" i="7" s="1"/>
  <c r="SWK56" i="7" s="1"/>
  <c r="SWM56" i="7" s="1"/>
  <c r="SWO56" i="7" s="1"/>
  <c r="SWQ56" i="7" s="1"/>
  <c r="SWS56" i="7" s="1"/>
  <c r="SWU56" i="7" s="1"/>
  <c r="SWW56" i="7" s="1"/>
  <c r="SWY56" i="7" s="1"/>
  <c r="SXA56" i="7" s="1"/>
  <c r="SXC56" i="7" s="1"/>
  <c r="SXE56" i="7" s="1"/>
  <c r="SXG56" i="7" s="1"/>
  <c r="SXI56" i="7" s="1"/>
  <c r="SXK56" i="7" s="1"/>
  <c r="SXM56" i="7" s="1"/>
  <c r="SXO56" i="7" s="1"/>
  <c r="SXQ56" i="7" s="1"/>
  <c r="SXS56" i="7" s="1"/>
  <c r="SXU56" i="7" s="1"/>
  <c r="SXW56" i="7" s="1"/>
  <c r="SXY56" i="7" s="1"/>
  <c r="SYA56" i="7" s="1"/>
  <c r="SYC56" i="7" s="1"/>
  <c r="SYE56" i="7" s="1"/>
  <c r="SYG56" i="7" s="1"/>
  <c r="SYI56" i="7" s="1"/>
  <c r="SYK56" i="7" s="1"/>
  <c r="SYM56" i="7" s="1"/>
  <c r="SYO56" i="7" s="1"/>
  <c r="SYQ56" i="7" s="1"/>
  <c r="SYS56" i="7" s="1"/>
  <c r="SYU56" i="7" s="1"/>
  <c r="SYW56" i="7" s="1"/>
  <c r="SYY56" i="7" s="1"/>
  <c r="SZA56" i="7" s="1"/>
  <c r="SZC56" i="7" s="1"/>
  <c r="SZE56" i="7" s="1"/>
  <c r="SZG56" i="7" s="1"/>
  <c r="SZI56" i="7" s="1"/>
  <c r="SZK56" i="7" s="1"/>
  <c r="SZM56" i="7" s="1"/>
  <c r="SZO56" i="7" s="1"/>
  <c r="SZQ56" i="7" s="1"/>
  <c r="SZS56" i="7" s="1"/>
  <c r="SZU56" i="7" s="1"/>
  <c r="SZW56" i="7" s="1"/>
  <c r="SZY56" i="7" s="1"/>
  <c r="TAA56" i="7" s="1"/>
  <c r="TAC56" i="7" s="1"/>
  <c r="TAE56" i="7" s="1"/>
  <c r="TAG56" i="7" s="1"/>
  <c r="TAI56" i="7" s="1"/>
  <c r="TAK56" i="7" s="1"/>
  <c r="TAM56" i="7" s="1"/>
  <c r="TAO56" i="7" s="1"/>
  <c r="TAQ56" i="7" s="1"/>
  <c r="TAS56" i="7" s="1"/>
  <c r="TAU56" i="7" s="1"/>
  <c r="TAW56" i="7" s="1"/>
  <c r="TAY56" i="7" s="1"/>
  <c r="TBA56" i="7" s="1"/>
  <c r="TBC56" i="7" s="1"/>
  <c r="TBE56" i="7" s="1"/>
  <c r="TBG56" i="7" s="1"/>
  <c r="TBI56" i="7" s="1"/>
  <c r="TBK56" i="7" s="1"/>
  <c r="TBM56" i="7" s="1"/>
  <c r="TBO56" i="7" s="1"/>
  <c r="TBQ56" i="7" s="1"/>
  <c r="TBS56" i="7" s="1"/>
  <c r="TBU56" i="7" s="1"/>
  <c r="TBW56" i="7" s="1"/>
  <c r="TBY56" i="7" s="1"/>
  <c r="TCA56" i="7" s="1"/>
  <c r="TCC56" i="7" s="1"/>
  <c r="TCE56" i="7" s="1"/>
  <c r="TCG56" i="7" s="1"/>
  <c r="TCI56" i="7" s="1"/>
  <c r="TCK56" i="7" s="1"/>
  <c r="TCM56" i="7" s="1"/>
  <c r="TCO56" i="7" s="1"/>
  <c r="TCQ56" i="7" s="1"/>
  <c r="TCS56" i="7" s="1"/>
  <c r="TCU56" i="7" s="1"/>
  <c r="TCW56" i="7" s="1"/>
  <c r="TCY56" i="7" s="1"/>
  <c r="TDA56" i="7" s="1"/>
  <c r="TDC56" i="7" s="1"/>
  <c r="TDE56" i="7" s="1"/>
  <c r="TDG56" i="7" s="1"/>
  <c r="TDI56" i="7" s="1"/>
  <c r="TDK56" i="7" s="1"/>
  <c r="TDM56" i="7" s="1"/>
  <c r="TDO56" i="7" s="1"/>
  <c r="TDQ56" i="7" s="1"/>
  <c r="TDS56" i="7" s="1"/>
  <c r="TDU56" i="7" s="1"/>
  <c r="TDW56" i="7" s="1"/>
  <c r="TDY56" i="7" s="1"/>
  <c r="TEA56" i="7" s="1"/>
  <c r="TEC56" i="7" s="1"/>
  <c r="TEE56" i="7" s="1"/>
  <c r="TEG56" i="7" s="1"/>
  <c r="TEI56" i="7" s="1"/>
  <c r="TEK56" i="7" s="1"/>
  <c r="TEM56" i="7" s="1"/>
  <c r="TEO56" i="7" s="1"/>
  <c r="TEQ56" i="7" s="1"/>
  <c r="TES56" i="7" s="1"/>
  <c r="TEU56" i="7" s="1"/>
  <c r="TEW56" i="7" s="1"/>
  <c r="TEY56" i="7" s="1"/>
  <c r="TFA56" i="7" s="1"/>
  <c r="TFC56" i="7" s="1"/>
  <c r="TFE56" i="7" s="1"/>
  <c r="TFG56" i="7" s="1"/>
  <c r="TFI56" i="7" s="1"/>
  <c r="TFK56" i="7" s="1"/>
  <c r="TFM56" i="7" s="1"/>
  <c r="TFO56" i="7" s="1"/>
  <c r="TFQ56" i="7" s="1"/>
  <c r="TFS56" i="7" s="1"/>
  <c r="TFU56" i="7" s="1"/>
  <c r="TFW56" i="7" s="1"/>
  <c r="TFY56" i="7" s="1"/>
  <c r="TGA56" i="7" s="1"/>
  <c r="TGC56" i="7" s="1"/>
  <c r="TGE56" i="7" s="1"/>
  <c r="TGG56" i="7" s="1"/>
  <c r="TGI56" i="7" s="1"/>
  <c r="TGK56" i="7" s="1"/>
  <c r="TGM56" i="7" s="1"/>
  <c r="TGO56" i="7" s="1"/>
  <c r="TGQ56" i="7" s="1"/>
  <c r="TGS56" i="7" s="1"/>
  <c r="TGU56" i="7" s="1"/>
  <c r="TGW56" i="7" s="1"/>
  <c r="TGY56" i="7" s="1"/>
  <c r="THA56" i="7" s="1"/>
  <c r="THC56" i="7" s="1"/>
  <c r="THE56" i="7" s="1"/>
  <c r="THG56" i="7" s="1"/>
  <c r="THI56" i="7" s="1"/>
  <c r="THK56" i="7" s="1"/>
  <c r="THM56" i="7" s="1"/>
  <c r="THO56" i="7" s="1"/>
  <c r="THQ56" i="7" s="1"/>
  <c r="THS56" i="7" s="1"/>
  <c r="THU56" i="7" s="1"/>
  <c r="THW56" i="7" s="1"/>
  <c r="THY56" i="7" s="1"/>
  <c r="TIA56" i="7" s="1"/>
  <c r="TIC56" i="7" s="1"/>
  <c r="TIE56" i="7" s="1"/>
  <c r="TIG56" i="7" s="1"/>
  <c r="TII56" i="7" s="1"/>
  <c r="TIK56" i="7" s="1"/>
  <c r="TIM56" i="7" s="1"/>
  <c r="TIO56" i="7" s="1"/>
  <c r="TIQ56" i="7" s="1"/>
  <c r="TIS56" i="7" s="1"/>
  <c r="TIU56" i="7" s="1"/>
  <c r="TIW56" i="7" s="1"/>
  <c r="TIY56" i="7" s="1"/>
  <c r="TJA56" i="7" s="1"/>
  <c r="TJC56" i="7" s="1"/>
  <c r="TJE56" i="7" s="1"/>
  <c r="TJG56" i="7" s="1"/>
  <c r="TJI56" i="7" s="1"/>
  <c r="TJK56" i="7" s="1"/>
  <c r="TJM56" i="7" s="1"/>
  <c r="TJO56" i="7" s="1"/>
  <c r="TJQ56" i="7" s="1"/>
  <c r="TJS56" i="7" s="1"/>
  <c r="TJU56" i="7" s="1"/>
  <c r="TJW56" i="7" s="1"/>
  <c r="TJY56" i="7" s="1"/>
  <c r="TKA56" i="7" s="1"/>
  <c r="TKC56" i="7" s="1"/>
  <c r="TKE56" i="7" s="1"/>
  <c r="TKG56" i="7" s="1"/>
  <c r="TKI56" i="7" s="1"/>
  <c r="TKK56" i="7" s="1"/>
  <c r="TKM56" i="7" s="1"/>
  <c r="TKO56" i="7" s="1"/>
  <c r="TKQ56" i="7" s="1"/>
  <c r="TKS56" i="7" s="1"/>
  <c r="TKU56" i="7" s="1"/>
  <c r="TKW56" i="7" s="1"/>
  <c r="TKY56" i="7" s="1"/>
  <c r="TLA56" i="7" s="1"/>
  <c r="TLC56" i="7" s="1"/>
  <c r="TLE56" i="7" s="1"/>
  <c r="TLG56" i="7" s="1"/>
  <c r="TLI56" i="7" s="1"/>
  <c r="TLK56" i="7" s="1"/>
  <c r="TLM56" i="7" s="1"/>
  <c r="TLO56" i="7" s="1"/>
  <c r="TLQ56" i="7" s="1"/>
  <c r="TLS56" i="7" s="1"/>
  <c r="TLU56" i="7" s="1"/>
  <c r="TLW56" i="7" s="1"/>
  <c r="TLY56" i="7" s="1"/>
  <c r="TMA56" i="7" s="1"/>
  <c r="TMC56" i="7" s="1"/>
  <c r="TME56" i="7" s="1"/>
  <c r="TMG56" i="7" s="1"/>
  <c r="TMI56" i="7" s="1"/>
  <c r="TMK56" i="7" s="1"/>
  <c r="TMM56" i="7" s="1"/>
  <c r="TMO56" i="7" s="1"/>
  <c r="TMQ56" i="7" s="1"/>
  <c r="TMS56" i="7" s="1"/>
  <c r="TMU56" i="7" s="1"/>
  <c r="TMW56" i="7" s="1"/>
  <c r="TMY56" i="7" s="1"/>
  <c r="TNA56" i="7" s="1"/>
  <c r="TNC56" i="7" s="1"/>
  <c r="TNE56" i="7" s="1"/>
  <c r="TNG56" i="7" s="1"/>
  <c r="TNI56" i="7" s="1"/>
  <c r="TNK56" i="7" s="1"/>
  <c r="TNM56" i="7" s="1"/>
  <c r="TNO56" i="7" s="1"/>
  <c r="TNQ56" i="7" s="1"/>
  <c r="TNS56" i="7" s="1"/>
  <c r="TNU56" i="7" s="1"/>
  <c r="TNW56" i="7" s="1"/>
  <c r="TNY56" i="7" s="1"/>
  <c r="TOA56" i="7" s="1"/>
  <c r="TOC56" i="7" s="1"/>
  <c r="TOE56" i="7" s="1"/>
  <c r="TOG56" i="7" s="1"/>
  <c r="TOI56" i="7" s="1"/>
  <c r="TOK56" i="7" s="1"/>
  <c r="TOM56" i="7" s="1"/>
  <c r="TOO56" i="7" s="1"/>
  <c r="TOQ56" i="7" s="1"/>
  <c r="TOS56" i="7" s="1"/>
  <c r="TOU56" i="7" s="1"/>
  <c r="TOW56" i="7" s="1"/>
  <c r="TOY56" i="7" s="1"/>
  <c r="TPA56" i="7" s="1"/>
  <c r="TPC56" i="7" s="1"/>
  <c r="TPE56" i="7" s="1"/>
  <c r="TPG56" i="7" s="1"/>
  <c r="TPI56" i="7" s="1"/>
  <c r="TPK56" i="7" s="1"/>
  <c r="TPM56" i="7" s="1"/>
  <c r="TPO56" i="7" s="1"/>
  <c r="TPQ56" i="7" s="1"/>
  <c r="TPS56" i="7" s="1"/>
  <c r="TPU56" i="7" s="1"/>
  <c r="TPW56" i="7" s="1"/>
  <c r="TPY56" i="7" s="1"/>
  <c r="TQA56" i="7" s="1"/>
  <c r="TQC56" i="7" s="1"/>
  <c r="TQE56" i="7" s="1"/>
  <c r="TQG56" i="7" s="1"/>
  <c r="TQI56" i="7" s="1"/>
  <c r="TQK56" i="7" s="1"/>
  <c r="TQM56" i="7" s="1"/>
  <c r="TQO56" i="7" s="1"/>
  <c r="TQQ56" i="7" s="1"/>
  <c r="TQS56" i="7" s="1"/>
  <c r="TQU56" i="7" s="1"/>
  <c r="TQW56" i="7" s="1"/>
  <c r="TQY56" i="7" s="1"/>
  <c r="TRA56" i="7" s="1"/>
  <c r="TRC56" i="7" s="1"/>
  <c r="TRE56" i="7" s="1"/>
  <c r="TRG56" i="7" s="1"/>
  <c r="TRI56" i="7" s="1"/>
  <c r="TRK56" i="7" s="1"/>
  <c r="TRM56" i="7" s="1"/>
  <c r="TRO56" i="7" s="1"/>
  <c r="TRQ56" i="7" s="1"/>
  <c r="TRS56" i="7" s="1"/>
  <c r="TRU56" i="7" s="1"/>
  <c r="TRW56" i="7" s="1"/>
  <c r="TRY56" i="7" s="1"/>
  <c r="TSA56" i="7" s="1"/>
  <c r="TSC56" i="7" s="1"/>
  <c r="TSE56" i="7" s="1"/>
  <c r="TSG56" i="7" s="1"/>
  <c r="TSI56" i="7" s="1"/>
  <c r="TSK56" i="7" s="1"/>
  <c r="TSM56" i="7" s="1"/>
  <c r="TSO56" i="7" s="1"/>
  <c r="TSQ56" i="7" s="1"/>
  <c r="TSS56" i="7" s="1"/>
  <c r="TSU56" i="7" s="1"/>
  <c r="TSW56" i="7" s="1"/>
  <c r="TSY56" i="7" s="1"/>
  <c r="TTA56" i="7" s="1"/>
  <c r="TTC56" i="7" s="1"/>
  <c r="TTE56" i="7" s="1"/>
  <c r="TTG56" i="7" s="1"/>
  <c r="TTI56" i="7" s="1"/>
  <c r="TTK56" i="7" s="1"/>
  <c r="TTM56" i="7" s="1"/>
  <c r="TTO56" i="7" s="1"/>
  <c r="TTQ56" i="7" s="1"/>
  <c r="TTS56" i="7" s="1"/>
  <c r="TTU56" i="7" s="1"/>
  <c r="TTW56" i="7" s="1"/>
  <c r="TTY56" i="7" s="1"/>
  <c r="TUA56" i="7" s="1"/>
  <c r="TUC56" i="7" s="1"/>
  <c r="TUE56" i="7" s="1"/>
  <c r="TUG56" i="7" s="1"/>
  <c r="TUI56" i="7" s="1"/>
  <c r="TUK56" i="7" s="1"/>
  <c r="TUM56" i="7" s="1"/>
  <c r="TUO56" i="7" s="1"/>
  <c r="TUQ56" i="7" s="1"/>
  <c r="TUS56" i="7" s="1"/>
  <c r="TUU56" i="7" s="1"/>
  <c r="TUW56" i="7" s="1"/>
  <c r="TUY56" i="7" s="1"/>
  <c r="TVA56" i="7" s="1"/>
  <c r="TVC56" i="7" s="1"/>
  <c r="TVE56" i="7" s="1"/>
  <c r="TVG56" i="7" s="1"/>
  <c r="TVI56" i="7" s="1"/>
  <c r="TVK56" i="7" s="1"/>
  <c r="TVM56" i="7" s="1"/>
  <c r="TVO56" i="7" s="1"/>
  <c r="TVQ56" i="7" s="1"/>
  <c r="TVS56" i="7" s="1"/>
  <c r="TVU56" i="7" s="1"/>
  <c r="TVW56" i="7" s="1"/>
  <c r="TVY56" i="7" s="1"/>
  <c r="TWA56" i="7" s="1"/>
  <c r="TWC56" i="7" s="1"/>
  <c r="TWE56" i="7" s="1"/>
  <c r="TWG56" i="7" s="1"/>
  <c r="TWI56" i="7" s="1"/>
  <c r="TWK56" i="7" s="1"/>
  <c r="TWM56" i="7" s="1"/>
  <c r="TWO56" i="7" s="1"/>
  <c r="TWQ56" i="7" s="1"/>
  <c r="TWS56" i="7" s="1"/>
  <c r="TWU56" i="7" s="1"/>
  <c r="TWW56" i="7" s="1"/>
  <c r="TWY56" i="7" s="1"/>
  <c r="TXA56" i="7" s="1"/>
  <c r="TXC56" i="7" s="1"/>
  <c r="TXE56" i="7" s="1"/>
  <c r="TXG56" i="7" s="1"/>
  <c r="TXI56" i="7" s="1"/>
  <c r="TXK56" i="7" s="1"/>
  <c r="TXM56" i="7" s="1"/>
  <c r="TXO56" i="7" s="1"/>
  <c r="TXQ56" i="7" s="1"/>
  <c r="TXS56" i="7" s="1"/>
  <c r="TXU56" i="7" s="1"/>
  <c r="TXW56" i="7" s="1"/>
  <c r="TXY56" i="7" s="1"/>
  <c r="TYA56" i="7" s="1"/>
  <c r="TYC56" i="7" s="1"/>
  <c r="TYE56" i="7" s="1"/>
  <c r="TYG56" i="7" s="1"/>
  <c r="TYI56" i="7" s="1"/>
  <c r="TYK56" i="7" s="1"/>
  <c r="TYM56" i="7" s="1"/>
  <c r="TYO56" i="7" s="1"/>
  <c r="TYQ56" i="7" s="1"/>
  <c r="TYS56" i="7" s="1"/>
  <c r="TYU56" i="7" s="1"/>
  <c r="TYW56" i="7" s="1"/>
  <c r="TYY56" i="7" s="1"/>
  <c r="TZA56" i="7" s="1"/>
  <c r="TZC56" i="7" s="1"/>
  <c r="TZE56" i="7" s="1"/>
  <c r="TZG56" i="7" s="1"/>
  <c r="TZI56" i="7" s="1"/>
  <c r="TZK56" i="7" s="1"/>
  <c r="TZM56" i="7" s="1"/>
  <c r="TZO56" i="7" s="1"/>
  <c r="TZQ56" i="7" s="1"/>
  <c r="TZS56" i="7" s="1"/>
  <c r="TZU56" i="7" s="1"/>
  <c r="TZW56" i="7" s="1"/>
  <c r="TZY56" i="7" s="1"/>
  <c r="UAA56" i="7" s="1"/>
  <c r="UAC56" i="7" s="1"/>
  <c r="UAE56" i="7" s="1"/>
  <c r="UAG56" i="7" s="1"/>
  <c r="UAI56" i="7" s="1"/>
  <c r="UAK56" i="7" s="1"/>
  <c r="UAM56" i="7" s="1"/>
  <c r="UAO56" i="7" s="1"/>
  <c r="UAQ56" i="7" s="1"/>
  <c r="UAS56" i="7" s="1"/>
  <c r="UAU56" i="7" s="1"/>
  <c r="UAW56" i="7" s="1"/>
  <c r="UAY56" i="7" s="1"/>
  <c r="UBA56" i="7" s="1"/>
  <c r="UBC56" i="7" s="1"/>
  <c r="UBE56" i="7" s="1"/>
  <c r="UBG56" i="7" s="1"/>
  <c r="UBI56" i="7" s="1"/>
  <c r="UBK56" i="7" s="1"/>
  <c r="UBM56" i="7" s="1"/>
  <c r="UBO56" i="7" s="1"/>
  <c r="UBQ56" i="7" s="1"/>
  <c r="UBS56" i="7" s="1"/>
  <c r="UBU56" i="7" s="1"/>
  <c r="UBW56" i="7" s="1"/>
  <c r="UBY56" i="7" s="1"/>
  <c r="UCA56" i="7" s="1"/>
  <c r="UCC56" i="7" s="1"/>
  <c r="UCE56" i="7" s="1"/>
  <c r="UCG56" i="7" s="1"/>
  <c r="UCI56" i="7" s="1"/>
  <c r="UCK56" i="7" s="1"/>
  <c r="UCM56" i="7" s="1"/>
  <c r="UCO56" i="7" s="1"/>
  <c r="UCQ56" i="7" s="1"/>
  <c r="UCS56" i="7" s="1"/>
  <c r="UCU56" i="7" s="1"/>
  <c r="UCW56" i="7" s="1"/>
  <c r="UCY56" i="7" s="1"/>
  <c r="UDA56" i="7" s="1"/>
  <c r="UDC56" i="7" s="1"/>
  <c r="UDE56" i="7" s="1"/>
  <c r="UDG56" i="7" s="1"/>
  <c r="UDI56" i="7" s="1"/>
  <c r="UDK56" i="7" s="1"/>
  <c r="UDM56" i="7" s="1"/>
  <c r="UDO56" i="7" s="1"/>
  <c r="UDQ56" i="7" s="1"/>
  <c r="UDS56" i="7" s="1"/>
  <c r="UDU56" i="7" s="1"/>
  <c r="UDW56" i="7" s="1"/>
  <c r="UDY56" i="7" s="1"/>
  <c r="UEA56" i="7" s="1"/>
  <c r="UEC56" i="7" s="1"/>
  <c r="UEE56" i="7" s="1"/>
  <c r="UEG56" i="7" s="1"/>
  <c r="UEI56" i="7" s="1"/>
  <c r="UEK56" i="7" s="1"/>
  <c r="UEM56" i="7" s="1"/>
  <c r="UEO56" i="7" s="1"/>
  <c r="UEQ56" i="7" s="1"/>
  <c r="UES56" i="7" s="1"/>
  <c r="UEU56" i="7" s="1"/>
  <c r="UEW56" i="7" s="1"/>
  <c r="UEY56" i="7" s="1"/>
  <c r="UFA56" i="7" s="1"/>
  <c r="UFC56" i="7" s="1"/>
  <c r="UFE56" i="7" s="1"/>
  <c r="UFG56" i="7" s="1"/>
  <c r="UFI56" i="7" s="1"/>
  <c r="UFK56" i="7" s="1"/>
  <c r="UFM56" i="7" s="1"/>
  <c r="UFO56" i="7" s="1"/>
  <c r="UFQ56" i="7" s="1"/>
  <c r="UFS56" i="7" s="1"/>
  <c r="UFU56" i="7" s="1"/>
  <c r="UFW56" i="7" s="1"/>
  <c r="UFY56" i="7" s="1"/>
  <c r="UGA56" i="7" s="1"/>
  <c r="UGC56" i="7" s="1"/>
  <c r="UGE56" i="7" s="1"/>
  <c r="UGG56" i="7" s="1"/>
  <c r="UGI56" i="7" s="1"/>
  <c r="UGK56" i="7" s="1"/>
  <c r="UGM56" i="7" s="1"/>
  <c r="UGO56" i="7" s="1"/>
  <c r="UGQ56" i="7" s="1"/>
  <c r="UGS56" i="7" s="1"/>
  <c r="UGU56" i="7" s="1"/>
  <c r="UGW56" i="7" s="1"/>
  <c r="UGY56" i="7" s="1"/>
  <c r="UHA56" i="7" s="1"/>
  <c r="UHC56" i="7" s="1"/>
  <c r="UHE56" i="7" s="1"/>
  <c r="UHG56" i="7" s="1"/>
  <c r="UHI56" i="7" s="1"/>
  <c r="UHK56" i="7" s="1"/>
  <c r="UHM56" i="7" s="1"/>
  <c r="UHO56" i="7" s="1"/>
  <c r="UHQ56" i="7" s="1"/>
  <c r="UHS56" i="7" s="1"/>
  <c r="UHU56" i="7" s="1"/>
  <c r="UHW56" i="7" s="1"/>
  <c r="UHY56" i="7" s="1"/>
  <c r="UIA56" i="7" s="1"/>
  <c r="UIC56" i="7" s="1"/>
  <c r="UIE56" i="7" s="1"/>
  <c r="UIG56" i="7" s="1"/>
  <c r="UII56" i="7" s="1"/>
  <c r="UIK56" i="7" s="1"/>
  <c r="UIM56" i="7" s="1"/>
  <c r="UIO56" i="7" s="1"/>
  <c r="UIQ56" i="7" s="1"/>
  <c r="UIS56" i="7" s="1"/>
  <c r="UIU56" i="7" s="1"/>
  <c r="UIW56" i="7" s="1"/>
  <c r="UIY56" i="7" s="1"/>
  <c r="UJA56" i="7" s="1"/>
  <c r="UJC56" i="7" s="1"/>
  <c r="UJE56" i="7" s="1"/>
  <c r="UJG56" i="7" s="1"/>
  <c r="UJI56" i="7" s="1"/>
  <c r="UJK56" i="7" s="1"/>
  <c r="UJM56" i="7" s="1"/>
  <c r="UJO56" i="7" s="1"/>
  <c r="UJQ56" i="7" s="1"/>
  <c r="UJS56" i="7" s="1"/>
  <c r="UJU56" i="7" s="1"/>
  <c r="UJW56" i="7" s="1"/>
  <c r="UJY56" i="7" s="1"/>
  <c r="UKA56" i="7" s="1"/>
  <c r="UKC56" i="7" s="1"/>
  <c r="UKE56" i="7" s="1"/>
  <c r="UKG56" i="7" s="1"/>
  <c r="UKI56" i="7" s="1"/>
  <c r="UKK56" i="7" s="1"/>
  <c r="UKM56" i="7" s="1"/>
  <c r="UKO56" i="7" s="1"/>
  <c r="UKQ56" i="7" s="1"/>
  <c r="UKS56" i="7" s="1"/>
  <c r="UKU56" i="7" s="1"/>
  <c r="UKW56" i="7" s="1"/>
  <c r="UKY56" i="7" s="1"/>
  <c r="ULA56" i="7" s="1"/>
  <c r="ULC56" i="7" s="1"/>
  <c r="ULE56" i="7" s="1"/>
  <c r="ULG56" i="7" s="1"/>
  <c r="ULI56" i="7" s="1"/>
  <c r="ULK56" i="7" s="1"/>
  <c r="ULM56" i="7" s="1"/>
  <c r="ULO56" i="7" s="1"/>
  <c r="ULQ56" i="7" s="1"/>
  <c r="ULS56" i="7" s="1"/>
  <c r="ULU56" i="7" s="1"/>
  <c r="ULW56" i="7" s="1"/>
  <c r="ULY56" i="7" s="1"/>
  <c r="UMA56" i="7" s="1"/>
  <c r="UMC56" i="7" s="1"/>
  <c r="UME56" i="7" s="1"/>
  <c r="UMG56" i="7" s="1"/>
  <c r="UMI56" i="7" s="1"/>
  <c r="UMK56" i="7" s="1"/>
  <c r="UMM56" i="7" s="1"/>
  <c r="UMO56" i="7" s="1"/>
  <c r="UMQ56" i="7" s="1"/>
  <c r="UMS56" i="7" s="1"/>
  <c r="UMU56" i="7" s="1"/>
  <c r="UMW56" i="7" s="1"/>
  <c r="UMY56" i="7" s="1"/>
  <c r="UNA56" i="7" s="1"/>
  <c r="UNC56" i="7" s="1"/>
  <c r="UNE56" i="7" s="1"/>
  <c r="UNG56" i="7" s="1"/>
  <c r="UNI56" i="7" s="1"/>
  <c r="UNK56" i="7" s="1"/>
  <c r="UNM56" i="7" s="1"/>
  <c r="UNO56" i="7" s="1"/>
  <c r="UNQ56" i="7" s="1"/>
  <c r="UNS56" i="7" s="1"/>
  <c r="UNU56" i="7" s="1"/>
  <c r="UNW56" i="7" s="1"/>
  <c r="UNY56" i="7" s="1"/>
  <c r="UOA56" i="7" s="1"/>
  <c r="UOC56" i="7" s="1"/>
  <c r="UOE56" i="7" s="1"/>
  <c r="UOG56" i="7" s="1"/>
  <c r="UOI56" i="7" s="1"/>
  <c r="UOK56" i="7" s="1"/>
  <c r="UOM56" i="7" s="1"/>
  <c r="UOO56" i="7" s="1"/>
  <c r="UOQ56" i="7" s="1"/>
  <c r="UOS56" i="7" s="1"/>
  <c r="UOU56" i="7" s="1"/>
  <c r="UOW56" i="7" s="1"/>
  <c r="UOY56" i="7" s="1"/>
  <c r="UPA56" i="7" s="1"/>
  <c r="UPC56" i="7" s="1"/>
  <c r="UPE56" i="7" s="1"/>
  <c r="UPG56" i="7" s="1"/>
  <c r="UPI56" i="7" s="1"/>
  <c r="UPK56" i="7" s="1"/>
  <c r="UPM56" i="7" s="1"/>
  <c r="UPO56" i="7" s="1"/>
  <c r="UPQ56" i="7" s="1"/>
  <c r="UPS56" i="7" s="1"/>
  <c r="UPU56" i="7" s="1"/>
  <c r="UPW56" i="7" s="1"/>
  <c r="UPY56" i="7" s="1"/>
  <c r="UQA56" i="7" s="1"/>
  <c r="UQC56" i="7" s="1"/>
  <c r="UQE56" i="7" s="1"/>
  <c r="UQG56" i="7" s="1"/>
  <c r="UQI56" i="7" s="1"/>
  <c r="UQK56" i="7" s="1"/>
  <c r="UQM56" i="7" s="1"/>
  <c r="UQO56" i="7" s="1"/>
  <c r="UQQ56" i="7" s="1"/>
  <c r="UQS56" i="7" s="1"/>
  <c r="UQU56" i="7" s="1"/>
  <c r="UQW56" i="7" s="1"/>
  <c r="UQY56" i="7" s="1"/>
  <c r="URA56" i="7" s="1"/>
  <c r="URC56" i="7" s="1"/>
  <c r="URE56" i="7" s="1"/>
  <c r="URG56" i="7" s="1"/>
  <c r="URI56" i="7" s="1"/>
  <c r="URK56" i="7" s="1"/>
  <c r="URM56" i="7" s="1"/>
  <c r="URO56" i="7" s="1"/>
  <c r="URQ56" i="7" s="1"/>
  <c r="URS56" i="7" s="1"/>
  <c r="URU56" i="7" s="1"/>
  <c r="URW56" i="7" s="1"/>
  <c r="URY56" i="7" s="1"/>
  <c r="USA56" i="7" s="1"/>
  <c r="USC56" i="7" s="1"/>
  <c r="USE56" i="7" s="1"/>
  <c r="USG56" i="7" s="1"/>
  <c r="USI56" i="7" s="1"/>
  <c r="USK56" i="7" s="1"/>
  <c r="USM56" i="7" s="1"/>
  <c r="USO56" i="7" s="1"/>
  <c r="USQ56" i="7" s="1"/>
  <c r="USS56" i="7" s="1"/>
  <c r="USU56" i="7" s="1"/>
  <c r="USW56" i="7" s="1"/>
  <c r="USY56" i="7" s="1"/>
  <c r="UTA56" i="7" s="1"/>
  <c r="UTC56" i="7" s="1"/>
  <c r="UTE56" i="7" s="1"/>
  <c r="UTG56" i="7" s="1"/>
  <c r="UTI56" i="7" s="1"/>
  <c r="UTK56" i="7" s="1"/>
  <c r="UTM56" i="7" s="1"/>
  <c r="UTO56" i="7" s="1"/>
  <c r="UTQ56" i="7" s="1"/>
  <c r="UTS56" i="7" s="1"/>
  <c r="UTU56" i="7" s="1"/>
  <c r="UTW56" i="7" s="1"/>
  <c r="UTY56" i="7" s="1"/>
  <c r="UUA56" i="7" s="1"/>
  <c r="UUC56" i="7" s="1"/>
  <c r="UUE56" i="7" s="1"/>
  <c r="UUG56" i="7" s="1"/>
  <c r="UUI56" i="7" s="1"/>
  <c r="UUK56" i="7" s="1"/>
  <c r="UUM56" i="7" s="1"/>
  <c r="UUO56" i="7" s="1"/>
  <c r="UUQ56" i="7" s="1"/>
  <c r="UUS56" i="7" s="1"/>
  <c r="UUU56" i="7" s="1"/>
  <c r="UUW56" i="7" s="1"/>
  <c r="UUY56" i="7" s="1"/>
  <c r="UVA56" i="7" s="1"/>
  <c r="UVC56" i="7" s="1"/>
  <c r="UVE56" i="7" s="1"/>
  <c r="UVG56" i="7" s="1"/>
  <c r="UVI56" i="7" s="1"/>
  <c r="UVK56" i="7" s="1"/>
  <c r="UVM56" i="7" s="1"/>
  <c r="UVO56" i="7" s="1"/>
  <c r="UVQ56" i="7" s="1"/>
  <c r="UVS56" i="7" s="1"/>
  <c r="UVU56" i="7" s="1"/>
  <c r="UVW56" i="7" s="1"/>
  <c r="UVY56" i="7" s="1"/>
  <c r="UWA56" i="7" s="1"/>
  <c r="UWC56" i="7" s="1"/>
  <c r="UWE56" i="7" s="1"/>
  <c r="UWG56" i="7" s="1"/>
  <c r="UWI56" i="7" s="1"/>
  <c r="UWK56" i="7" s="1"/>
  <c r="UWM56" i="7" s="1"/>
  <c r="UWO56" i="7" s="1"/>
  <c r="UWQ56" i="7" s="1"/>
  <c r="UWS56" i="7" s="1"/>
  <c r="UWU56" i="7" s="1"/>
  <c r="UWW56" i="7" s="1"/>
  <c r="UWY56" i="7" s="1"/>
  <c r="UXA56" i="7" s="1"/>
  <c r="UXC56" i="7" s="1"/>
  <c r="UXE56" i="7" s="1"/>
  <c r="UXG56" i="7" s="1"/>
  <c r="UXI56" i="7" s="1"/>
  <c r="UXK56" i="7" s="1"/>
  <c r="UXM56" i="7" s="1"/>
  <c r="UXO56" i="7" s="1"/>
  <c r="UXQ56" i="7" s="1"/>
  <c r="UXS56" i="7" s="1"/>
  <c r="UXU56" i="7" s="1"/>
  <c r="UXW56" i="7" s="1"/>
  <c r="UXY56" i="7" s="1"/>
  <c r="UYA56" i="7" s="1"/>
  <c r="UYC56" i="7" s="1"/>
  <c r="UYE56" i="7" s="1"/>
  <c r="UYG56" i="7" s="1"/>
  <c r="UYI56" i="7" s="1"/>
  <c r="UYK56" i="7" s="1"/>
  <c r="UYM56" i="7" s="1"/>
  <c r="UYO56" i="7" s="1"/>
  <c r="UYQ56" i="7" s="1"/>
  <c r="UYS56" i="7" s="1"/>
  <c r="UYU56" i="7" s="1"/>
  <c r="UYW56" i="7" s="1"/>
  <c r="UYY56" i="7" s="1"/>
  <c r="UZA56" i="7" s="1"/>
  <c r="UZC56" i="7" s="1"/>
  <c r="UZE56" i="7" s="1"/>
  <c r="UZG56" i="7" s="1"/>
  <c r="UZI56" i="7" s="1"/>
  <c r="UZK56" i="7" s="1"/>
  <c r="UZM56" i="7" s="1"/>
  <c r="UZO56" i="7" s="1"/>
  <c r="UZQ56" i="7" s="1"/>
  <c r="UZS56" i="7" s="1"/>
  <c r="UZU56" i="7" s="1"/>
  <c r="UZW56" i="7" s="1"/>
  <c r="UZY56" i="7" s="1"/>
  <c r="VAA56" i="7" s="1"/>
  <c r="VAC56" i="7" s="1"/>
  <c r="VAE56" i="7" s="1"/>
  <c r="VAG56" i="7" s="1"/>
  <c r="VAI56" i="7" s="1"/>
  <c r="VAK56" i="7" s="1"/>
  <c r="VAM56" i="7" s="1"/>
  <c r="VAO56" i="7" s="1"/>
  <c r="VAQ56" i="7" s="1"/>
  <c r="VAS56" i="7" s="1"/>
  <c r="VAU56" i="7" s="1"/>
  <c r="VAW56" i="7" s="1"/>
  <c r="VAY56" i="7" s="1"/>
  <c r="VBA56" i="7" s="1"/>
  <c r="VBC56" i="7" s="1"/>
  <c r="VBE56" i="7" s="1"/>
  <c r="VBG56" i="7" s="1"/>
  <c r="VBI56" i="7" s="1"/>
  <c r="VBK56" i="7" s="1"/>
  <c r="VBM56" i="7" s="1"/>
  <c r="VBO56" i="7" s="1"/>
  <c r="VBQ56" i="7" s="1"/>
  <c r="VBS56" i="7" s="1"/>
  <c r="VBU56" i="7" s="1"/>
  <c r="VBW56" i="7" s="1"/>
  <c r="VBY56" i="7" s="1"/>
  <c r="VCA56" i="7" s="1"/>
  <c r="VCC56" i="7" s="1"/>
  <c r="VCE56" i="7" s="1"/>
  <c r="VCG56" i="7" s="1"/>
  <c r="VCI56" i="7" s="1"/>
  <c r="VCK56" i="7" s="1"/>
  <c r="VCM56" i="7" s="1"/>
  <c r="VCO56" i="7" s="1"/>
  <c r="VCQ56" i="7" s="1"/>
  <c r="VCS56" i="7" s="1"/>
  <c r="VCU56" i="7" s="1"/>
  <c r="VCW56" i="7" s="1"/>
  <c r="VCY56" i="7" s="1"/>
  <c r="VDA56" i="7" s="1"/>
  <c r="VDC56" i="7" s="1"/>
  <c r="VDE56" i="7" s="1"/>
  <c r="VDG56" i="7" s="1"/>
  <c r="VDI56" i="7" s="1"/>
  <c r="VDK56" i="7" s="1"/>
  <c r="VDM56" i="7" s="1"/>
  <c r="VDO56" i="7" s="1"/>
  <c r="VDQ56" i="7" s="1"/>
  <c r="VDS56" i="7" s="1"/>
  <c r="VDU56" i="7" s="1"/>
  <c r="VDW56" i="7" s="1"/>
  <c r="VDY56" i="7" s="1"/>
  <c r="VEA56" i="7" s="1"/>
  <c r="VEC56" i="7" s="1"/>
  <c r="VEE56" i="7" s="1"/>
  <c r="VEG56" i="7" s="1"/>
  <c r="VEI56" i="7" s="1"/>
  <c r="VEK56" i="7" s="1"/>
  <c r="VEM56" i="7" s="1"/>
  <c r="VEO56" i="7" s="1"/>
  <c r="VEQ56" i="7" s="1"/>
  <c r="VES56" i="7" s="1"/>
  <c r="VEU56" i="7" s="1"/>
  <c r="VEW56" i="7" s="1"/>
  <c r="VEY56" i="7" s="1"/>
  <c r="VFA56" i="7" s="1"/>
  <c r="VFC56" i="7" s="1"/>
  <c r="VFE56" i="7" s="1"/>
  <c r="VFG56" i="7" s="1"/>
  <c r="VFI56" i="7" s="1"/>
  <c r="VFK56" i="7" s="1"/>
  <c r="VFM56" i="7" s="1"/>
  <c r="VFO56" i="7" s="1"/>
  <c r="VFQ56" i="7" s="1"/>
  <c r="VFS56" i="7" s="1"/>
  <c r="VFU56" i="7" s="1"/>
  <c r="VFW56" i="7" s="1"/>
  <c r="VFY56" i="7" s="1"/>
  <c r="VGA56" i="7" s="1"/>
  <c r="VGC56" i="7" s="1"/>
  <c r="VGE56" i="7" s="1"/>
  <c r="VGG56" i="7" s="1"/>
  <c r="VGI56" i="7" s="1"/>
  <c r="VGK56" i="7" s="1"/>
  <c r="VGM56" i="7" s="1"/>
  <c r="VGO56" i="7" s="1"/>
  <c r="VGQ56" i="7" s="1"/>
  <c r="VGS56" i="7" s="1"/>
  <c r="VGU56" i="7" s="1"/>
  <c r="VGW56" i="7" s="1"/>
  <c r="VGY56" i="7" s="1"/>
  <c r="VHA56" i="7" s="1"/>
  <c r="VHC56" i="7" s="1"/>
  <c r="VHE56" i="7" s="1"/>
  <c r="VHG56" i="7" s="1"/>
  <c r="VHI56" i="7" s="1"/>
  <c r="VHK56" i="7" s="1"/>
  <c r="VHM56" i="7" s="1"/>
  <c r="VHO56" i="7" s="1"/>
  <c r="VHQ56" i="7" s="1"/>
  <c r="VHS56" i="7" s="1"/>
  <c r="VHU56" i="7" s="1"/>
  <c r="VHW56" i="7" s="1"/>
  <c r="VHY56" i="7" s="1"/>
  <c r="VIA56" i="7" s="1"/>
  <c r="VIC56" i="7" s="1"/>
  <c r="VIE56" i="7" s="1"/>
  <c r="VIG56" i="7" s="1"/>
  <c r="VII56" i="7" s="1"/>
  <c r="VIK56" i="7" s="1"/>
  <c r="VIM56" i="7" s="1"/>
  <c r="VIO56" i="7" s="1"/>
  <c r="VIQ56" i="7" s="1"/>
  <c r="VIS56" i="7" s="1"/>
  <c r="VIU56" i="7" s="1"/>
  <c r="VIW56" i="7" s="1"/>
  <c r="VIY56" i="7" s="1"/>
  <c r="VJA56" i="7" s="1"/>
  <c r="VJC56" i="7" s="1"/>
  <c r="VJE56" i="7" s="1"/>
  <c r="VJG56" i="7" s="1"/>
  <c r="VJI56" i="7" s="1"/>
  <c r="VJK56" i="7" s="1"/>
  <c r="VJM56" i="7" s="1"/>
  <c r="VJO56" i="7" s="1"/>
  <c r="VJQ56" i="7" s="1"/>
  <c r="VJS56" i="7" s="1"/>
  <c r="VJU56" i="7" s="1"/>
  <c r="VJW56" i="7" s="1"/>
  <c r="VJY56" i="7" s="1"/>
  <c r="VKA56" i="7" s="1"/>
  <c r="VKC56" i="7" s="1"/>
  <c r="VKE56" i="7" s="1"/>
  <c r="VKG56" i="7" s="1"/>
  <c r="VKI56" i="7" s="1"/>
  <c r="VKK56" i="7" s="1"/>
  <c r="VKM56" i="7" s="1"/>
  <c r="VKO56" i="7" s="1"/>
  <c r="VKQ56" i="7" s="1"/>
  <c r="VKS56" i="7" s="1"/>
  <c r="VKU56" i="7" s="1"/>
  <c r="VKW56" i="7" s="1"/>
  <c r="VKY56" i="7" s="1"/>
  <c r="VLA56" i="7" s="1"/>
  <c r="VLC56" i="7" s="1"/>
  <c r="VLE56" i="7" s="1"/>
  <c r="VLG56" i="7" s="1"/>
  <c r="VLI56" i="7" s="1"/>
  <c r="VLK56" i="7" s="1"/>
  <c r="VLM56" i="7" s="1"/>
  <c r="VLO56" i="7" s="1"/>
  <c r="VLQ56" i="7" s="1"/>
  <c r="VLS56" i="7" s="1"/>
  <c r="VLU56" i="7" s="1"/>
  <c r="VLW56" i="7" s="1"/>
  <c r="VLY56" i="7" s="1"/>
  <c r="VMA56" i="7" s="1"/>
  <c r="VMC56" i="7" s="1"/>
  <c r="VME56" i="7" s="1"/>
  <c r="VMG56" i="7" s="1"/>
  <c r="VMI56" i="7" s="1"/>
  <c r="VMK56" i="7" s="1"/>
  <c r="VMM56" i="7" s="1"/>
  <c r="VMO56" i="7" s="1"/>
  <c r="VMQ56" i="7" s="1"/>
  <c r="VMS56" i="7" s="1"/>
  <c r="VMU56" i="7" s="1"/>
  <c r="VMW56" i="7" s="1"/>
  <c r="VMY56" i="7" s="1"/>
  <c r="VNA56" i="7" s="1"/>
  <c r="VNC56" i="7" s="1"/>
  <c r="VNE56" i="7" s="1"/>
  <c r="VNG56" i="7" s="1"/>
  <c r="VNI56" i="7" s="1"/>
  <c r="VNK56" i="7" s="1"/>
  <c r="VNM56" i="7" s="1"/>
  <c r="VNO56" i="7" s="1"/>
  <c r="VNQ56" i="7" s="1"/>
  <c r="VNS56" i="7" s="1"/>
  <c r="VNU56" i="7" s="1"/>
  <c r="VNW56" i="7" s="1"/>
  <c r="VNY56" i="7" s="1"/>
  <c r="VOA56" i="7" s="1"/>
  <c r="VOC56" i="7" s="1"/>
  <c r="VOE56" i="7" s="1"/>
  <c r="VOG56" i="7" s="1"/>
  <c r="VOI56" i="7" s="1"/>
  <c r="VOK56" i="7" s="1"/>
  <c r="VOM56" i="7" s="1"/>
  <c r="VOO56" i="7" s="1"/>
  <c r="VOQ56" i="7" s="1"/>
  <c r="VOS56" i="7" s="1"/>
  <c r="VOU56" i="7" s="1"/>
  <c r="VOW56" i="7" s="1"/>
  <c r="VOY56" i="7" s="1"/>
  <c r="VPA56" i="7" s="1"/>
  <c r="VPC56" i="7" s="1"/>
  <c r="VPE56" i="7" s="1"/>
  <c r="VPG56" i="7" s="1"/>
  <c r="VPI56" i="7" s="1"/>
  <c r="VPK56" i="7" s="1"/>
  <c r="VPM56" i="7" s="1"/>
  <c r="VPO56" i="7" s="1"/>
  <c r="VPQ56" i="7" s="1"/>
  <c r="VPS56" i="7" s="1"/>
  <c r="VPU56" i="7" s="1"/>
  <c r="VPW56" i="7" s="1"/>
  <c r="VPY56" i="7" s="1"/>
  <c r="VQA56" i="7" s="1"/>
  <c r="VQC56" i="7" s="1"/>
  <c r="VQE56" i="7" s="1"/>
  <c r="VQG56" i="7" s="1"/>
  <c r="VQI56" i="7" s="1"/>
  <c r="VQK56" i="7" s="1"/>
  <c r="VQM56" i="7" s="1"/>
  <c r="VQO56" i="7" s="1"/>
  <c r="VQQ56" i="7" s="1"/>
  <c r="VQS56" i="7" s="1"/>
  <c r="VQU56" i="7" s="1"/>
  <c r="VQW56" i="7" s="1"/>
  <c r="VQY56" i="7" s="1"/>
  <c r="VRA56" i="7" s="1"/>
  <c r="VRC56" i="7" s="1"/>
  <c r="VRE56" i="7" s="1"/>
  <c r="VRG56" i="7" s="1"/>
  <c r="VRI56" i="7" s="1"/>
  <c r="VRK56" i="7" s="1"/>
  <c r="VRM56" i="7" s="1"/>
  <c r="VRO56" i="7" s="1"/>
  <c r="VRQ56" i="7" s="1"/>
  <c r="VRS56" i="7" s="1"/>
  <c r="VRU56" i="7" s="1"/>
  <c r="VRW56" i="7" s="1"/>
  <c r="VRY56" i="7" s="1"/>
  <c r="VSA56" i="7" s="1"/>
  <c r="VSC56" i="7" s="1"/>
  <c r="VSE56" i="7" s="1"/>
  <c r="VSG56" i="7" s="1"/>
  <c r="VSI56" i="7" s="1"/>
  <c r="VSK56" i="7" s="1"/>
  <c r="VSM56" i="7" s="1"/>
  <c r="VSO56" i="7" s="1"/>
  <c r="VSQ56" i="7" s="1"/>
  <c r="VSS56" i="7" s="1"/>
  <c r="VSU56" i="7" s="1"/>
  <c r="VSW56" i="7" s="1"/>
  <c r="VSY56" i="7" s="1"/>
  <c r="VTA56" i="7" s="1"/>
  <c r="VTC56" i="7" s="1"/>
  <c r="VTE56" i="7" s="1"/>
  <c r="VTG56" i="7" s="1"/>
  <c r="VTI56" i="7" s="1"/>
  <c r="VTK56" i="7" s="1"/>
  <c r="VTM56" i="7" s="1"/>
  <c r="VTO56" i="7" s="1"/>
  <c r="VTQ56" i="7" s="1"/>
  <c r="VTS56" i="7" s="1"/>
  <c r="VTU56" i="7" s="1"/>
  <c r="VTW56" i="7" s="1"/>
  <c r="VTY56" i="7" s="1"/>
  <c r="VUA56" i="7" s="1"/>
  <c r="VUC56" i="7" s="1"/>
  <c r="VUE56" i="7" s="1"/>
  <c r="VUG56" i="7" s="1"/>
  <c r="VUI56" i="7" s="1"/>
  <c r="VUK56" i="7" s="1"/>
  <c r="VUM56" i="7" s="1"/>
  <c r="VUO56" i="7" s="1"/>
  <c r="VUQ56" i="7" s="1"/>
  <c r="VUS56" i="7" s="1"/>
  <c r="VUU56" i="7" s="1"/>
  <c r="VUW56" i="7" s="1"/>
  <c r="VUY56" i="7" s="1"/>
  <c r="VVA56" i="7" s="1"/>
  <c r="VVC56" i="7" s="1"/>
  <c r="VVE56" i="7" s="1"/>
  <c r="VVG56" i="7" s="1"/>
  <c r="VVI56" i="7" s="1"/>
  <c r="VVK56" i="7" s="1"/>
  <c r="VVM56" i="7" s="1"/>
  <c r="VVO56" i="7" s="1"/>
  <c r="VVQ56" i="7" s="1"/>
  <c r="VVS56" i="7" s="1"/>
  <c r="VVU56" i="7" s="1"/>
  <c r="VVW56" i="7" s="1"/>
  <c r="VVY56" i="7" s="1"/>
  <c r="VWA56" i="7" s="1"/>
  <c r="VWC56" i="7" s="1"/>
  <c r="VWE56" i="7" s="1"/>
  <c r="VWG56" i="7" s="1"/>
  <c r="VWI56" i="7" s="1"/>
  <c r="VWK56" i="7" s="1"/>
  <c r="VWM56" i="7" s="1"/>
  <c r="VWO56" i="7" s="1"/>
  <c r="VWQ56" i="7" s="1"/>
  <c r="VWS56" i="7" s="1"/>
  <c r="VWU56" i="7" s="1"/>
  <c r="VWW56" i="7" s="1"/>
  <c r="VWY56" i="7" s="1"/>
  <c r="VXA56" i="7" s="1"/>
  <c r="VXC56" i="7" s="1"/>
  <c r="VXE56" i="7" s="1"/>
  <c r="VXG56" i="7" s="1"/>
  <c r="VXI56" i="7" s="1"/>
  <c r="VXK56" i="7" s="1"/>
  <c r="VXM56" i="7" s="1"/>
  <c r="VXO56" i="7" s="1"/>
  <c r="VXQ56" i="7" s="1"/>
  <c r="VXS56" i="7" s="1"/>
  <c r="VXU56" i="7" s="1"/>
  <c r="VXW56" i="7" s="1"/>
  <c r="VXY56" i="7" s="1"/>
  <c r="VYA56" i="7" s="1"/>
  <c r="VYC56" i="7" s="1"/>
  <c r="VYE56" i="7" s="1"/>
  <c r="VYG56" i="7" s="1"/>
  <c r="VYI56" i="7" s="1"/>
  <c r="VYK56" i="7" s="1"/>
  <c r="VYM56" i="7" s="1"/>
  <c r="VYO56" i="7" s="1"/>
  <c r="VYQ56" i="7" s="1"/>
  <c r="VYS56" i="7" s="1"/>
  <c r="VYU56" i="7" s="1"/>
  <c r="VYW56" i="7" s="1"/>
  <c r="VYY56" i="7" s="1"/>
  <c r="VZA56" i="7" s="1"/>
  <c r="VZC56" i="7" s="1"/>
  <c r="VZE56" i="7" s="1"/>
  <c r="VZG56" i="7" s="1"/>
  <c r="VZI56" i="7" s="1"/>
  <c r="VZK56" i="7" s="1"/>
  <c r="VZM56" i="7" s="1"/>
  <c r="VZO56" i="7" s="1"/>
  <c r="VZQ56" i="7" s="1"/>
  <c r="VZS56" i="7" s="1"/>
  <c r="VZU56" i="7" s="1"/>
  <c r="VZW56" i="7" s="1"/>
  <c r="VZY56" i="7" s="1"/>
  <c r="WAA56" i="7" s="1"/>
  <c r="WAC56" i="7" s="1"/>
  <c r="WAE56" i="7" s="1"/>
  <c r="WAG56" i="7" s="1"/>
  <c r="WAI56" i="7" s="1"/>
  <c r="WAK56" i="7" s="1"/>
  <c r="WAM56" i="7" s="1"/>
  <c r="WAO56" i="7" s="1"/>
  <c r="WAQ56" i="7" s="1"/>
  <c r="WAS56" i="7" s="1"/>
  <c r="WAU56" i="7" s="1"/>
  <c r="WAW56" i="7" s="1"/>
  <c r="WAY56" i="7" s="1"/>
  <c r="WBA56" i="7" s="1"/>
  <c r="WBC56" i="7" s="1"/>
  <c r="WBE56" i="7" s="1"/>
  <c r="WBG56" i="7" s="1"/>
  <c r="WBI56" i="7" s="1"/>
  <c r="WBK56" i="7" s="1"/>
  <c r="WBM56" i="7" s="1"/>
  <c r="WBO56" i="7" s="1"/>
  <c r="WBQ56" i="7" s="1"/>
  <c r="WBS56" i="7" s="1"/>
  <c r="WBU56" i="7" s="1"/>
  <c r="WBW56" i="7" s="1"/>
  <c r="WBY56" i="7" s="1"/>
  <c r="WCA56" i="7" s="1"/>
  <c r="WCC56" i="7" s="1"/>
  <c r="WCE56" i="7" s="1"/>
  <c r="WCG56" i="7" s="1"/>
  <c r="WCI56" i="7" s="1"/>
  <c r="WCK56" i="7" s="1"/>
  <c r="WCM56" i="7" s="1"/>
  <c r="WCO56" i="7" s="1"/>
  <c r="WCQ56" i="7" s="1"/>
  <c r="WCS56" i="7" s="1"/>
  <c r="WCU56" i="7" s="1"/>
  <c r="WCW56" i="7" s="1"/>
  <c r="WCY56" i="7" s="1"/>
  <c r="WDA56" i="7" s="1"/>
  <c r="WDC56" i="7" s="1"/>
  <c r="WDE56" i="7" s="1"/>
  <c r="WDG56" i="7" s="1"/>
  <c r="WDI56" i="7" s="1"/>
  <c r="WDK56" i="7" s="1"/>
  <c r="WDM56" i="7" s="1"/>
  <c r="WDO56" i="7" s="1"/>
  <c r="WDQ56" i="7" s="1"/>
  <c r="WDS56" i="7" s="1"/>
  <c r="WDU56" i="7" s="1"/>
  <c r="WDW56" i="7" s="1"/>
  <c r="WDY56" i="7" s="1"/>
  <c r="WEA56" i="7" s="1"/>
  <c r="WEC56" i="7" s="1"/>
  <c r="WEE56" i="7" s="1"/>
  <c r="WEG56" i="7" s="1"/>
  <c r="WEI56" i="7" s="1"/>
  <c r="WEK56" i="7" s="1"/>
  <c r="WEM56" i="7" s="1"/>
  <c r="WEO56" i="7" s="1"/>
  <c r="WEQ56" i="7" s="1"/>
  <c r="WES56" i="7" s="1"/>
  <c r="WEU56" i="7" s="1"/>
  <c r="WEW56" i="7" s="1"/>
  <c r="WEY56" i="7" s="1"/>
  <c r="WFA56" i="7" s="1"/>
  <c r="WFC56" i="7" s="1"/>
  <c r="WFE56" i="7" s="1"/>
  <c r="WFG56" i="7" s="1"/>
  <c r="WFI56" i="7" s="1"/>
  <c r="WFK56" i="7" s="1"/>
  <c r="WFM56" i="7" s="1"/>
  <c r="WFO56" i="7" s="1"/>
  <c r="WFQ56" i="7" s="1"/>
  <c r="WFS56" i="7" s="1"/>
  <c r="WFU56" i="7" s="1"/>
  <c r="WFW56" i="7" s="1"/>
  <c r="WFY56" i="7" s="1"/>
  <c r="WGA56" i="7" s="1"/>
  <c r="WGC56" i="7" s="1"/>
  <c r="WGE56" i="7" s="1"/>
  <c r="WGG56" i="7" s="1"/>
  <c r="WGI56" i="7" s="1"/>
  <c r="WGK56" i="7" s="1"/>
  <c r="WGM56" i="7" s="1"/>
  <c r="WGO56" i="7" s="1"/>
  <c r="WGQ56" i="7" s="1"/>
  <c r="WGS56" i="7" s="1"/>
  <c r="WGU56" i="7" s="1"/>
  <c r="WGW56" i="7" s="1"/>
  <c r="WGY56" i="7" s="1"/>
  <c r="WHA56" i="7" s="1"/>
  <c r="WHC56" i="7" s="1"/>
  <c r="WHE56" i="7" s="1"/>
  <c r="WHG56" i="7" s="1"/>
  <c r="WHI56" i="7" s="1"/>
  <c r="WHK56" i="7" s="1"/>
  <c r="WHM56" i="7" s="1"/>
  <c r="WHO56" i="7" s="1"/>
  <c r="WHQ56" i="7" s="1"/>
  <c r="WHS56" i="7" s="1"/>
  <c r="WHU56" i="7" s="1"/>
  <c r="WHW56" i="7" s="1"/>
  <c r="WHY56" i="7" s="1"/>
  <c r="WIA56" i="7" s="1"/>
  <c r="WIC56" i="7" s="1"/>
  <c r="WIE56" i="7" s="1"/>
  <c r="WIG56" i="7" s="1"/>
  <c r="WII56" i="7" s="1"/>
  <c r="WIK56" i="7" s="1"/>
  <c r="WIM56" i="7" s="1"/>
  <c r="WIO56" i="7" s="1"/>
  <c r="WIQ56" i="7" s="1"/>
  <c r="WIS56" i="7" s="1"/>
  <c r="WIU56" i="7" s="1"/>
  <c r="WIW56" i="7" s="1"/>
  <c r="WIY56" i="7" s="1"/>
  <c r="WJA56" i="7" s="1"/>
  <c r="WJC56" i="7" s="1"/>
  <c r="WJE56" i="7" s="1"/>
  <c r="WJG56" i="7" s="1"/>
  <c r="WJI56" i="7" s="1"/>
  <c r="WJK56" i="7" s="1"/>
  <c r="WJM56" i="7" s="1"/>
  <c r="WJO56" i="7" s="1"/>
  <c r="WJQ56" i="7" s="1"/>
  <c r="WJS56" i="7" s="1"/>
  <c r="WJU56" i="7" s="1"/>
  <c r="WJW56" i="7" s="1"/>
  <c r="WJY56" i="7" s="1"/>
  <c r="WKA56" i="7" s="1"/>
  <c r="WKC56" i="7" s="1"/>
  <c r="WKE56" i="7" s="1"/>
  <c r="WKG56" i="7" s="1"/>
  <c r="WKI56" i="7" s="1"/>
  <c r="WKK56" i="7" s="1"/>
  <c r="WKM56" i="7" s="1"/>
  <c r="WKO56" i="7" s="1"/>
  <c r="WKQ56" i="7" s="1"/>
  <c r="WKS56" i="7" s="1"/>
  <c r="WKU56" i="7" s="1"/>
  <c r="WKW56" i="7" s="1"/>
  <c r="WKY56" i="7" s="1"/>
  <c r="WLA56" i="7" s="1"/>
  <c r="WLC56" i="7" s="1"/>
  <c r="WLE56" i="7" s="1"/>
  <c r="WLG56" i="7" s="1"/>
  <c r="WLI56" i="7" s="1"/>
  <c r="WLK56" i="7" s="1"/>
  <c r="WLM56" i="7" s="1"/>
  <c r="WLO56" i="7" s="1"/>
  <c r="WLQ56" i="7" s="1"/>
  <c r="WLS56" i="7" s="1"/>
  <c r="WLU56" i="7" s="1"/>
  <c r="WLW56" i="7" s="1"/>
  <c r="WLY56" i="7" s="1"/>
  <c r="WMA56" i="7" s="1"/>
  <c r="WMC56" i="7" s="1"/>
  <c r="WME56" i="7" s="1"/>
  <c r="WMG56" i="7" s="1"/>
  <c r="WMI56" i="7" s="1"/>
  <c r="WMK56" i="7" s="1"/>
  <c r="WMM56" i="7" s="1"/>
  <c r="WMO56" i="7" s="1"/>
  <c r="WMQ56" i="7" s="1"/>
  <c r="WMS56" i="7" s="1"/>
  <c r="WMU56" i="7" s="1"/>
  <c r="WMW56" i="7" s="1"/>
  <c r="WMY56" i="7" s="1"/>
  <c r="WNA56" i="7" s="1"/>
  <c r="WNC56" i="7" s="1"/>
  <c r="WNE56" i="7" s="1"/>
  <c r="WNG56" i="7" s="1"/>
  <c r="WNI56" i="7" s="1"/>
  <c r="WNK56" i="7" s="1"/>
  <c r="WNM56" i="7" s="1"/>
  <c r="WNO56" i="7" s="1"/>
  <c r="WNQ56" i="7" s="1"/>
  <c r="WNS56" i="7" s="1"/>
  <c r="WNU56" i="7" s="1"/>
  <c r="WNW56" i="7" s="1"/>
  <c r="WNY56" i="7" s="1"/>
  <c r="WOA56" i="7" s="1"/>
  <c r="WOC56" i="7" s="1"/>
  <c r="WOE56" i="7" s="1"/>
  <c r="WOG56" i="7" s="1"/>
  <c r="WOI56" i="7" s="1"/>
  <c r="WOK56" i="7" s="1"/>
  <c r="WOM56" i="7" s="1"/>
  <c r="WOO56" i="7" s="1"/>
  <c r="WOQ56" i="7" s="1"/>
  <c r="WOS56" i="7" s="1"/>
  <c r="WOU56" i="7" s="1"/>
  <c r="WOW56" i="7" s="1"/>
  <c r="WOY56" i="7" s="1"/>
  <c r="WPA56" i="7" s="1"/>
  <c r="WPC56" i="7" s="1"/>
  <c r="WPE56" i="7" s="1"/>
  <c r="WPG56" i="7" s="1"/>
  <c r="WPI56" i="7" s="1"/>
  <c r="WPK56" i="7" s="1"/>
  <c r="WPM56" i="7" s="1"/>
  <c r="WPO56" i="7" s="1"/>
  <c r="WPQ56" i="7" s="1"/>
  <c r="WPS56" i="7" s="1"/>
  <c r="WPU56" i="7" s="1"/>
  <c r="WPW56" i="7" s="1"/>
  <c r="WPY56" i="7" s="1"/>
  <c r="WQA56" i="7" s="1"/>
  <c r="WQC56" i="7" s="1"/>
  <c r="WQE56" i="7" s="1"/>
  <c r="WQG56" i="7" s="1"/>
  <c r="WQI56" i="7" s="1"/>
  <c r="WQK56" i="7" s="1"/>
  <c r="WQM56" i="7" s="1"/>
  <c r="WQO56" i="7" s="1"/>
  <c r="WQQ56" i="7" s="1"/>
  <c r="WQS56" i="7" s="1"/>
  <c r="WQU56" i="7" s="1"/>
  <c r="WQW56" i="7" s="1"/>
  <c r="WQY56" i="7" s="1"/>
  <c r="WRA56" i="7" s="1"/>
  <c r="WRC56" i="7" s="1"/>
  <c r="WRE56" i="7" s="1"/>
  <c r="WRG56" i="7" s="1"/>
  <c r="WRI56" i="7" s="1"/>
  <c r="WRK56" i="7" s="1"/>
  <c r="WRM56" i="7" s="1"/>
  <c r="WRO56" i="7" s="1"/>
  <c r="WRQ56" i="7" s="1"/>
  <c r="WRS56" i="7" s="1"/>
  <c r="WRU56" i="7" s="1"/>
  <c r="WRW56" i="7" s="1"/>
  <c r="WRY56" i="7" s="1"/>
  <c r="WSA56" i="7" s="1"/>
  <c r="WSC56" i="7" s="1"/>
  <c r="WSE56" i="7" s="1"/>
  <c r="WSG56" i="7" s="1"/>
  <c r="WSI56" i="7" s="1"/>
  <c r="WSK56" i="7" s="1"/>
  <c r="WSM56" i="7" s="1"/>
  <c r="WSO56" i="7" s="1"/>
  <c r="WSQ56" i="7" s="1"/>
  <c r="WSS56" i="7" s="1"/>
  <c r="WSU56" i="7" s="1"/>
  <c r="WSW56" i="7" s="1"/>
  <c r="WSY56" i="7" s="1"/>
  <c r="WTA56" i="7" s="1"/>
  <c r="WTC56" i="7" s="1"/>
  <c r="WTE56" i="7" s="1"/>
  <c r="WTG56" i="7" s="1"/>
  <c r="WTI56" i="7" s="1"/>
  <c r="WTK56" i="7" s="1"/>
  <c r="WTM56" i="7" s="1"/>
  <c r="WTO56" i="7" s="1"/>
  <c r="WTQ56" i="7" s="1"/>
  <c r="WTS56" i="7" s="1"/>
  <c r="WTU56" i="7" s="1"/>
  <c r="WTW56" i="7" s="1"/>
  <c r="WTY56" i="7" s="1"/>
  <c r="WUA56" i="7" s="1"/>
  <c r="WUC56" i="7" s="1"/>
  <c r="WUE56" i="7" s="1"/>
  <c r="WUG56" i="7" s="1"/>
  <c r="WUI56" i="7" s="1"/>
  <c r="WUK56" i="7" s="1"/>
  <c r="WUM56" i="7" s="1"/>
  <c r="WUO56" i="7" s="1"/>
  <c r="WUQ56" i="7" s="1"/>
  <c r="WUS56" i="7" s="1"/>
  <c r="WUU56" i="7" s="1"/>
  <c r="WUW56" i="7" s="1"/>
  <c r="WUY56" i="7" s="1"/>
  <c r="WVA56" i="7" s="1"/>
  <c r="WVC56" i="7" s="1"/>
  <c r="WVE56" i="7" s="1"/>
  <c r="WVG56" i="7" s="1"/>
  <c r="WVI56" i="7" s="1"/>
  <c r="WVK56" i="7" s="1"/>
  <c r="WVM56" i="7" s="1"/>
  <c r="WVO56" i="7" s="1"/>
  <c r="WVQ56" i="7" s="1"/>
  <c r="WVS56" i="7" s="1"/>
  <c r="WVU56" i="7" s="1"/>
  <c r="WVW56" i="7" s="1"/>
  <c r="WVY56" i="7" s="1"/>
  <c r="WWA56" i="7" s="1"/>
  <c r="WWC56" i="7" s="1"/>
  <c r="WWE56" i="7" s="1"/>
  <c r="WWG56" i="7" s="1"/>
  <c r="WWI56" i="7" s="1"/>
  <c r="WWK56" i="7" s="1"/>
  <c r="WWM56" i="7" s="1"/>
  <c r="WWO56" i="7" s="1"/>
  <c r="WWQ56" i="7" s="1"/>
  <c r="WWS56" i="7" s="1"/>
  <c r="WWU56" i="7" s="1"/>
  <c r="WWW56" i="7" s="1"/>
  <c r="WWY56" i="7" s="1"/>
  <c r="WXA56" i="7" s="1"/>
  <c r="WXC56" i="7" s="1"/>
  <c r="WXE56" i="7" s="1"/>
  <c r="WXG56" i="7" s="1"/>
  <c r="WXI56" i="7" s="1"/>
  <c r="WXK56" i="7" s="1"/>
  <c r="WXM56" i="7" s="1"/>
  <c r="WXO56" i="7" s="1"/>
  <c r="WXQ56" i="7" s="1"/>
  <c r="WXS56" i="7" s="1"/>
  <c r="WXU56" i="7" s="1"/>
  <c r="WXW56" i="7" s="1"/>
  <c r="WXY56" i="7" s="1"/>
  <c r="WYA56" i="7" s="1"/>
  <c r="WYC56" i="7" s="1"/>
  <c r="WYE56" i="7" s="1"/>
  <c r="WYG56" i="7" s="1"/>
  <c r="WYI56" i="7" s="1"/>
  <c r="WYK56" i="7" s="1"/>
  <c r="WYM56" i="7" s="1"/>
  <c r="WYO56" i="7" s="1"/>
  <c r="WYQ56" i="7" s="1"/>
  <c r="WYS56" i="7" s="1"/>
  <c r="WYU56" i="7" s="1"/>
  <c r="WYW56" i="7" s="1"/>
  <c r="WYY56" i="7" s="1"/>
  <c r="WZA56" i="7" s="1"/>
  <c r="WZC56" i="7" s="1"/>
  <c r="WZE56" i="7" s="1"/>
  <c r="WZG56" i="7" s="1"/>
  <c r="WZI56" i="7" s="1"/>
  <c r="WZK56" i="7" s="1"/>
  <c r="WZM56" i="7" s="1"/>
  <c r="WZO56" i="7" s="1"/>
  <c r="WZQ56" i="7" s="1"/>
  <c r="WZS56" i="7" s="1"/>
  <c r="WZU56" i="7" s="1"/>
  <c r="WZW56" i="7" s="1"/>
  <c r="WZY56" i="7" s="1"/>
  <c r="XAA56" i="7" s="1"/>
  <c r="XAC56" i="7" s="1"/>
  <c r="XAE56" i="7" s="1"/>
  <c r="XAG56" i="7" s="1"/>
  <c r="XAI56" i="7" s="1"/>
  <c r="XAK56" i="7" s="1"/>
  <c r="XAM56" i="7" s="1"/>
  <c r="XAO56" i="7" s="1"/>
  <c r="XAQ56" i="7" s="1"/>
  <c r="XAS56" i="7" s="1"/>
  <c r="XAU56" i="7" s="1"/>
  <c r="XAW56" i="7" s="1"/>
  <c r="XAY56" i="7" s="1"/>
  <c r="XBA56" i="7" s="1"/>
  <c r="XBC56" i="7" s="1"/>
  <c r="XBE56" i="7" s="1"/>
  <c r="XBG56" i="7" s="1"/>
  <c r="XBI56" i="7" s="1"/>
  <c r="XBK56" i="7" s="1"/>
  <c r="XBM56" i="7" s="1"/>
  <c r="XBO56" i="7" s="1"/>
  <c r="XBQ56" i="7" s="1"/>
  <c r="XBS56" i="7" s="1"/>
  <c r="XBU56" i="7" s="1"/>
  <c r="XBW56" i="7" s="1"/>
  <c r="XBY56" i="7" s="1"/>
  <c r="XCA56" i="7" s="1"/>
  <c r="XCC56" i="7" s="1"/>
  <c r="XCE56" i="7" s="1"/>
  <c r="XCG56" i="7" s="1"/>
  <c r="XCI56" i="7" s="1"/>
  <c r="XCK56" i="7" s="1"/>
  <c r="XCM56" i="7" s="1"/>
  <c r="XCO56" i="7" s="1"/>
  <c r="XCQ56" i="7" s="1"/>
  <c r="XCS56" i="7" s="1"/>
  <c r="XCU56" i="7" s="1"/>
  <c r="XCW56" i="7" s="1"/>
  <c r="XCY56" i="7" s="1"/>
  <c r="XDA56" i="7" s="1"/>
  <c r="XDC56" i="7" s="1"/>
  <c r="XDE56" i="7" s="1"/>
  <c r="XDG56" i="7" s="1"/>
  <c r="XDI56" i="7" s="1"/>
  <c r="XDK56" i="7" s="1"/>
  <c r="XDM56" i="7" s="1"/>
  <c r="XDO56" i="7" s="1"/>
  <c r="XDQ56" i="7" s="1"/>
  <c r="XDS56" i="7" s="1"/>
  <c r="XDU56" i="7" s="1"/>
  <c r="XDW56" i="7" s="1"/>
  <c r="XDY56" i="7" s="1"/>
  <c r="XEA56" i="7" s="1"/>
  <c r="XEC56" i="7" s="1"/>
  <c r="XEE56" i="7" s="1"/>
  <c r="XEG56" i="7" s="1"/>
  <c r="XEI56" i="7" s="1"/>
  <c r="XEK56" i="7" s="1"/>
  <c r="XEM56" i="7" s="1"/>
  <c r="XEO56" i="7" s="1"/>
  <c r="XEQ56" i="7" s="1"/>
  <c r="XES56" i="7" s="1"/>
  <c r="XEU56" i="7" s="1"/>
  <c r="XEW56" i="7" s="1"/>
  <c r="XEY56" i="7" s="1"/>
  <c r="XFA56" i="7" s="1"/>
  <c r="XFC56" i="7" s="1"/>
  <c r="W862" i="3"/>
  <c r="W861" i="3"/>
  <c r="Q635" i="3"/>
  <c r="T635" i="3"/>
  <c r="S53" i="4"/>
  <c r="E30" i="4"/>
  <c r="E94" i="4"/>
  <c r="E95" i="4"/>
  <c r="E84" i="4"/>
  <c r="E85" i="4"/>
  <c r="E86" i="4"/>
  <c r="E87" i="4"/>
  <c r="E88" i="4"/>
  <c r="E89" i="4"/>
  <c r="E90" i="4"/>
  <c r="E91" i="4"/>
  <c r="E92" i="4"/>
  <c r="E83" i="4"/>
  <c r="E80" i="4"/>
  <c r="E79" i="4"/>
  <c r="E75" i="4"/>
  <c r="E66" i="4"/>
  <c r="E67" i="4"/>
  <c r="E68" i="4"/>
  <c r="E65" i="4"/>
  <c r="E59" i="4"/>
  <c r="E60" i="4"/>
  <c r="E61" i="4"/>
  <c r="E58" i="4"/>
  <c r="E46" i="4"/>
  <c r="E47" i="4"/>
  <c r="E48" i="4"/>
  <c r="E49" i="4"/>
  <c r="E50" i="4"/>
  <c r="E51" i="4"/>
  <c r="E52" i="4"/>
  <c r="E45" i="4"/>
  <c r="E43" i="4"/>
  <c r="E40" i="4"/>
  <c r="E31" i="4"/>
  <c r="E32" i="4"/>
  <c r="E33" i="4"/>
  <c r="E35" i="4"/>
  <c r="E69" i="4"/>
  <c r="C93" i="4"/>
  <c r="E93" i="4" s="1"/>
  <c r="C53" i="4"/>
  <c r="E53" i="4" s="1"/>
  <c r="AO648" i="3"/>
  <c r="W857" i="3"/>
  <c r="W872" i="3"/>
  <c r="G67" i="7" l="1"/>
  <c r="I67" i="7" s="1"/>
  <c r="K67" i="7" s="1"/>
  <c r="M67" i="7" s="1"/>
  <c r="O67" i="7" s="1"/>
  <c r="Q67" i="7" s="1"/>
  <c r="S67" i="7" s="1"/>
  <c r="U67" i="7" s="1"/>
  <c r="W67" i="7" s="1"/>
  <c r="Y67" i="7" s="1"/>
  <c r="AA67" i="7" s="1"/>
  <c r="AC67" i="7" s="1"/>
  <c r="AE67" i="7" s="1"/>
  <c r="AG67" i="7" s="1"/>
  <c r="E41" i="7"/>
  <c r="Z53" i="24"/>
  <c r="Z52" i="24"/>
  <c r="R52" i="24"/>
  <c r="E29" i="4"/>
  <c r="E10" i="4"/>
  <c r="E5" i="4"/>
  <c r="E4" i="4"/>
  <c r="V97" i="24"/>
  <c r="AB97" i="24"/>
  <c r="O97" i="24"/>
  <c r="I97" i="24"/>
  <c r="O86" i="24"/>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BB4" i="24" a="1"/>
  <c r="BB4" i="24" s="1"/>
  <c r="AT22" i="24" l="1"/>
  <c r="BB6" i="24" a="1"/>
  <c r="BB6" i="24" s="1"/>
  <c r="BB5" i="24"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BE106" i="3"/>
  <c r="BE107" i="3"/>
  <c r="BE108" i="3"/>
  <c r="BE109" i="3"/>
  <c r="BE110" i="3"/>
  <c r="BE105" i="3"/>
  <c r="BE64" i="3"/>
  <c r="T826" i="20" l="1"/>
  <c r="AF826" i="20" s="1"/>
  <c r="G37" i="21"/>
  <c r="C39" i="21" s="1"/>
  <c r="Y229" i="3"/>
  <c r="Z229" i="3" s="1"/>
  <c r="Y228" i="3"/>
  <c r="Z228" i="3" s="1"/>
  <c r="Y227" i="3"/>
  <c r="Z227" i="3" s="1"/>
  <c r="Y226" i="3"/>
  <c r="Z226" i="3" s="1"/>
  <c r="Y225" i="3"/>
  <c r="Z225" i="3" s="1"/>
  <c r="G154" i="21" l="1"/>
  <c r="AW927" i="3"/>
  <c r="AG927" i="3" s="1"/>
  <c r="BE104" i="3"/>
  <c r="AD67" i="15" l="1"/>
  <c r="Y67" i="15"/>
  <c r="BE103" i="3" l="1"/>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E33" i="7"/>
  <c r="E32" i="7"/>
  <c r="E31" i="7"/>
  <c r="E30" i="7"/>
  <c r="E29" i="7"/>
  <c r="E28" i="7"/>
  <c r="G28" i="7" s="1"/>
  <c r="I28" i="7" s="1"/>
  <c r="K28" i="7" s="1"/>
  <c r="M28" i="7" s="1"/>
  <c r="O28" i="7" s="1"/>
  <c r="Q28" i="7" s="1"/>
  <c r="S28" i="7" s="1"/>
  <c r="U28" i="7" s="1"/>
  <c r="W28" i="7" s="1"/>
  <c r="Y28" i="7" s="1"/>
  <c r="AA28" i="7" s="1"/>
  <c r="AC28" i="7" s="1"/>
  <c r="AE28" i="7" s="1"/>
  <c r="AG28" i="7" s="1"/>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5" i="11"/>
  <c r="C36" i="11"/>
  <c r="C37" i="11"/>
  <c r="C38"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B80" i="13"/>
  <c r="R80" i="4"/>
  <c r="R79" i="4"/>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87" i="13"/>
  <c r="E53" i="13"/>
  <c r="E50" i="13"/>
  <c r="E48" i="13"/>
  <c r="E47" i="13"/>
  <c r="E46" i="13"/>
  <c r="E45" i="13"/>
  <c r="E41" i="13"/>
  <c r="E37" i="13"/>
  <c r="E29" i="13"/>
  <c r="E27" i="13"/>
  <c r="E25" i="13"/>
  <c r="E23" i="13"/>
  <c r="E22" i="13"/>
  <c r="E21" i="13"/>
  <c r="E20" i="13"/>
  <c r="E19" i="13"/>
  <c r="E18" i="13"/>
  <c r="E17" i="13"/>
  <c r="E15" i="13"/>
  <c r="E14" i="13"/>
  <c r="E13" i="13"/>
  <c r="E10" i="13"/>
  <c r="F10" i="13" s="1"/>
  <c r="B99" i="13"/>
  <c r="C99" i="13" s="1"/>
  <c r="C104" i="13" s="1"/>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C53" i="13" s="1"/>
  <c r="B52" i="13"/>
  <c r="B51" i="13"/>
  <c r="B50" i="13"/>
  <c r="B49" i="13"/>
  <c r="B48" i="13"/>
  <c r="B47" i="13"/>
  <c r="B46" i="13"/>
  <c r="B43" i="13"/>
  <c r="C43" i="13" s="1"/>
  <c r="C42" i="4"/>
  <c r="B42" i="13" s="1"/>
  <c r="B41" i="13"/>
  <c r="B40" i="13"/>
  <c r="C40" i="13" s="1"/>
  <c r="C42" i="13" s="1"/>
  <c r="B37" i="13"/>
  <c r="B35" i="13"/>
  <c r="B34" i="13"/>
  <c r="B29" i="13"/>
  <c r="B27" i="13"/>
  <c r="B25" i="13"/>
  <c r="B23" i="13"/>
  <c r="B22" i="13"/>
  <c r="B21" i="13"/>
  <c r="B20" i="13"/>
  <c r="B19" i="13"/>
  <c r="B18" i="13"/>
  <c r="B17" i="13"/>
  <c r="B5" i="13"/>
  <c r="B6" i="13"/>
  <c r="B7" i="13"/>
  <c r="C8" i="4"/>
  <c r="B9" i="13"/>
  <c r="B10" i="13"/>
  <c r="C10" i="13" s="1"/>
  <c r="C11" i="13" s="1"/>
  <c r="B13" i="13"/>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R90" i="4"/>
  <c r="R89" i="4"/>
  <c r="R88" i="4"/>
  <c r="R87" i="4"/>
  <c r="R86" i="4"/>
  <c r="R85" i="4"/>
  <c r="R83" i="4"/>
  <c r="R76" i="4"/>
  <c r="R75" i="4"/>
  <c r="R72" i="4"/>
  <c r="R73" i="4"/>
  <c r="R74" i="4"/>
  <c r="R69" i="4"/>
  <c r="R65" i="4"/>
  <c r="S65" i="4" s="1"/>
  <c r="R61" i="4"/>
  <c r="R60" i="4"/>
  <c r="R59" i="4"/>
  <c r="R58" i="4"/>
  <c r="R57" i="4"/>
  <c r="R56" i="4"/>
  <c r="R53" i="4"/>
  <c r="R52" i="4"/>
  <c r="S52" i="4" s="1"/>
  <c r="E52" i="13" s="1"/>
  <c r="R51" i="4"/>
  <c r="S51" i="4" s="1"/>
  <c r="E51" i="13" s="1"/>
  <c r="R50" i="4"/>
  <c r="R49" i="4"/>
  <c r="S49" i="4" s="1"/>
  <c r="R48" i="4"/>
  <c r="R47" i="4"/>
  <c r="R46" i="4"/>
  <c r="R45" i="4"/>
  <c r="R43" i="4"/>
  <c r="S43" i="4" s="1"/>
  <c r="E43" i="13" s="1"/>
  <c r="F43" i="13" s="1"/>
  <c r="R41" i="4"/>
  <c r="R40" i="4"/>
  <c r="S40" i="4" s="1"/>
  <c r="R37" i="4"/>
  <c r="R35" i="4"/>
  <c r="S35" i="4" s="1"/>
  <c r="R34" i="4"/>
  <c r="R33" i="4"/>
  <c r="S33" i="4" s="1"/>
  <c r="R32" i="4"/>
  <c r="S32" i="4" s="1"/>
  <c r="R31" i="4"/>
  <c r="S31" i="4" s="1"/>
  <c r="R30" i="4"/>
  <c r="S30" i="4"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R99" i="4" l="1"/>
  <c r="E104" i="4"/>
  <c r="S79" i="4" a="1"/>
  <c r="S79" i="4" s="1"/>
  <c r="C4" i="13" a="1"/>
  <c r="C4" i="13" s="1"/>
  <c r="S94" i="4" a="1"/>
  <c r="S94" i="4" s="1"/>
  <c r="E94" i="13" s="1"/>
  <c r="C83" i="13" a="1"/>
  <c r="C83" i="13" s="1"/>
  <c r="C56" i="13" a="1"/>
  <c r="C56" i="13" s="1"/>
  <c r="C72" i="13" a="1"/>
  <c r="C72" i="13" s="1"/>
  <c r="S89" i="4" a="1"/>
  <c r="S89" i="4" s="1"/>
  <c r="E89" i="13" s="1"/>
  <c r="C65" i="13" a="1"/>
  <c r="C65" i="13" s="1"/>
  <c r="S84" i="4" a="1"/>
  <c r="C79" i="13" a="1"/>
  <c r="C79" i="13" s="1"/>
  <c r="E65" i="13"/>
  <c r="F65" i="13" s="1" a="1"/>
  <c r="F65" i="13" s="1"/>
  <c r="S70" i="4"/>
  <c r="E70" i="13" s="1"/>
  <c r="S54" i="4"/>
  <c r="E54" i="13" s="1"/>
  <c r="E49" i="13"/>
  <c r="F45" i="13" s="1" a="1"/>
  <c r="F45" i="13" s="1"/>
  <c r="S42" i="4"/>
  <c r="E42" i="13" s="1"/>
  <c r="E40" i="13"/>
  <c r="F40" i="13" s="1"/>
  <c r="F42" i="13" s="1"/>
  <c r="B26" i="4"/>
  <c r="D35" i="11"/>
  <c r="B8" i="13"/>
  <c r="N183" i="24"/>
  <c r="T20" i="21"/>
  <c r="AD7" i="15"/>
  <c r="AD68" i="15"/>
  <c r="BE24" i="3"/>
  <c r="BE69" i="3"/>
  <c r="D36" i="11"/>
  <c r="D94" i="11"/>
  <c r="D86" i="11"/>
  <c r="D87" i="11"/>
  <c r="D103" i="11"/>
  <c r="D6" i="11"/>
  <c r="D25" i="11"/>
  <c r="D91" i="11"/>
  <c r="D54" i="11"/>
  <c r="D90" i="11"/>
  <c r="D70" i="11"/>
  <c r="D93" i="11"/>
  <c r="D85" i="11"/>
  <c r="D89" i="11"/>
  <c r="D101"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D24" i="11"/>
  <c r="B71" i="11"/>
  <c r="B105" i="11"/>
  <c r="O12" i="4"/>
  <c r="D10" i="11"/>
  <c r="B43" i="11"/>
  <c r="Q12" i="4"/>
  <c r="K12" i="4"/>
  <c r="D61" i="11"/>
  <c r="D57" i="11"/>
  <c r="B9" i="11"/>
  <c r="J12" i="4"/>
  <c r="D30" i="11"/>
  <c r="D22" i="11"/>
  <c r="R77" i="4"/>
  <c r="D80"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97" i="11"/>
  <c r="J63" i="13"/>
  <c r="J97" i="13" s="1"/>
  <c r="J105" i="13" s="1"/>
  <c r="J107" i="13" s="1"/>
  <c r="D81" i="11"/>
  <c r="B77" i="4"/>
  <c r="C78" i="11"/>
  <c r="D60" i="11"/>
  <c r="M12" i="4"/>
  <c r="D63" i="4"/>
  <c r="D97" i="4" s="1"/>
  <c r="D105" i="4" s="1"/>
  <c r="BE68" i="3" s="1"/>
  <c r="R26" i="4"/>
  <c r="R42" i="4"/>
  <c r="R54" i="4"/>
  <c r="R62" i="4"/>
  <c r="D63" i="13"/>
  <c r="D97" i="13" s="1"/>
  <c r="D105" i="13" s="1"/>
  <c r="B97" i="11"/>
  <c r="D23" i="11"/>
  <c r="D19" i="11"/>
  <c r="D14" i="11"/>
  <c r="D7" i="11"/>
  <c r="R8" i="4"/>
  <c r="R96" i="4"/>
  <c r="G63" i="13"/>
  <c r="G97" i="13" s="1"/>
  <c r="G105" i="13" s="1"/>
  <c r="G107" i="13" s="1"/>
  <c r="R81" i="4"/>
  <c r="M53" i="7"/>
  <c r="K58" i="7"/>
  <c r="C27" i="11"/>
  <c r="AB48" i="15"/>
  <c r="B82" i="11"/>
  <c r="H63" i="4"/>
  <c r="H97" i="4" s="1"/>
  <c r="H105" i="4" s="1"/>
  <c r="G63" i="4"/>
  <c r="G97" i="4" s="1"/>
  <c r="G105" i="4" s="1"/>
  <c r="I58" i="7"/>
  <c r="C9" i="11"/>
  <c r="B63" i="11"/>
  <c r="T63" i="4"/>
  <c r="B96" i="4"/>
  <c r="D84" i="11"/>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O649" i="3"/>
  <c r="AM567" i="3" s="1"/>
  <c r="K29" i="7"/>
  <c r="S29"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99" i="4" l="1"/>
  <c r="R104" i="4"/>
  <c r="S104" i="4"/>
  <c r="E99" i="13"/>
  <c r="F99" i="13" s="1"/>
  <c r="F104" i="13" s="1"/>
  <c r="E105" i="4"/>
  <c r="AM574" i="3"/>
  <c r="S84" i="4"/>
  <c r="E84" i="13" s="1"/>
  <c r="E79" i="13"/>
  <c r="E30" i="13"/>
  <c r="BA1067" i="3"/>
  <c r="E104" i="13"/>
  <c r="AJ634" i="20"/>
  <c r="G108" i="21"/>
  <c r="D105" i="11"/>
  <c r="N190" i="24"/>
  <c r="D43" i="11"/>
  <c r="D71" i="11"/>
  <c r="B12" i="4"/>
  <c r="D82" i="11"/>
  <c r="D78" i="11"/>
  <c r="R12" i="4"/>
  <c r="D12" i="11"/>
  <c r="D63" i="11"/>
  <c r="B13" i="11"/>
  <c r="R63" i="4"/>
  <c r="R97" i="4" s="1"/>
  <c r="R105" i="4" s="1"/>
  <c r="D27" i="11"/>
  <c r="D97" i="11"/>
  <c r="T97" i="4"/>
  <c r="H63" i="13"/>
  <c r="BE71" i="3"/>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EC660" i="3"/>
  <c r="I1061" i="3"/>
  <c r="AY1015" i="3" s="1"/>
  <c r="AF837" i="20"/>
  <c r="BE79" i="3" s="1"/>
  <c r="Y27" i="15"/>
  <c r="AI27" i="15"/>
  <c r="T27" i="15"/>
  <c r="Y808" i="3"/>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1"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E29" i="21"/>
  <c r="G24" i="21"/>
  <c r="O29" i="21" l="1"/>
  <c r="P29" i="21" s="1" a="1"/>
  <c r="P29" i="21" s="1"/>
  <c r="S29" i="21" s="1"/>
  <c r="O30" i="21"/>
  <c r="P30" i="21" s="1" a="1"/>
  <c r="P30" i="21" s="1"/>
  <c r="S30" i="21" s="1"/>
  <c r="O27" i="21"/>
  <c r="P27" i="21" s="1" a="1"/>
  <c r="P27" i="21" s="1"/>
  <c r="S27" i="21" s="1"/>
  <c r="O28" i="21"/>
  <c r="P28" i="21" s="1" a="1"/>
  <c r="P28" i="21" s="1"/>
  <c r="S28" i="21" s="1"/>
  <c r="O25" i="21"/>
  <c r="P25" i="21" s="1" a="1"/>
  <c r="P25" i="21" s="1"/>
  <c r="S25" i="21" s="1"/>
  <c r="O26" i="21"/>
  <c r="P26" i="21" s="1" a="1"/>
  <c r="P26" i="21" s="1"/>
  <c r="S26" i="21" s="1"/>
  <c r="O20" i="21"/>
  <c r="P20" i="21" s="1" a="1"/>
  <c r="P20" i="21" s="1"/>
  <c r="S20"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AK83" i="20"/>
  <c r="D13" i="11"/>
  <c r="O58" i="7"/>
  <c r="Q53" i="7"/>
  <c r="T105" i="4"/>
  <c r="H97" i="13"/>
  <c r="P31" i="21" a="1"/>
  <c r="P31" i="21" s="1"/>
  <c r="S31" i="21" s="1"/>
  <c r="DU763" i="3"/>
  <c r="O764" i="3" s="1"/>
  <c r="BG761" i="3"/>
  <c r="BU761" i="3"/>
  <c r="AH761" i="3" s="1"/>
  <c r="BE43" i="3" s="1"/>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F27" i="21"/>
  <c r="G52" i="21"/>
  <c r="G54" i="21" s="1"/>
  <c r="G56" i="21" s="1"/>
  <c r="E12" i="21" s="1"/>
  <c r="F28" i="21"/>
  <c r="G28" i="21" s="1"/>
  <c r="G61" i="21"/>
  <c r="G63" i="21" s="1"/>
  <c r="G65" i="21" s="1"/>
  <c r="E13" i="21" s="1"/>
  <c r="AK190" i="20" l="1"/>
  <c r="T827" i="20"/>
  <c r="AF827" i="20" s="1"/>
  <c r="H105" i="13"/>
  <c r="T107" i="4"/>
  <c r="H107" i="13" s="1"/>
  <c r="Q58" i="7"/>
  <c r="S53" i="7"/>
  <c r="G45" i="21"/>
  <c r="G47" i="21" s="1"/>
  <c r="E10" i="21" s="1"/>
  <c r="E11" i="21"/>
  <c r="AP718" i="20"/>
  <c r="AJ724" i="20" s="1"/>
  <c r="AK816" i="20" s="1"/>
  <c r="T841" i="20" s="1"/>
  <c r="AF841" i="20" s="1"/>
  <c r="BE82" i="3" s="1"/>
  <c r="AP719" i="20"/>
  <c r="I4" i="7"/>
  <c r="I5" i="7" s="1"/>
  <c r="K9" i="7"/>
  <c r="E11" i="7"/>
  <c r="AJ1001" i="3"/>
  <c r="E137" i="20"/>
  <c r="E138" i="20" s="1"/>
  <c r="AK142" i="20" s="1"/>
  <c r="AB1000" i="3"/>
  <c r="DU810" i="3"/>
  <c r="U386" i="20" s="1"/>
  <c r="P430" i="3"/>
  <c r="I6" i="7"/>
  <c r="G7" i="7"/>
  <c r="G11" i="7" s="1"/>
  <c r="O15" i="7"/>
  <c r="M9" i="7"/>
  <c r="O8" i="7"/>
  <c r="G27" i="21"/>
  <c r="F26" i="21"/>
  <c r="AD11" i="15" l="1"/>
  <c r="AD23" i="15" s="1"/>
  <c r="AD26" i="15" s="1"/>
  <c r="AD28" i="15" s="1"/>
  <c r="AI11" i="15"/>
  <c r="AI23" i="15" s="1"/>
  <c r="AI26" i="15" s="1"/>
  <c r="AI28" i="15" s="1"/>
  <c r="AJ1038" i="3"/>
  <c r="AJ1025" i="3"/>
  <c r="AJ1045" i="3"/>
  <c r="I15" i="21" s="1"/>
  <c r="BE72" i="3"/>
  <c r="T829" i="20"/>
  <c r="AF829" i="20" s="1"/>
  <c r="T833" i="20"/>
  <c r="AF833" i="20" s="1"/>
  <c r="BE76" i="3" s="1"/>
  <c r="S58" i="7"/>
  <c r="U53" i="7"/>
  <c r="AJ1054" i="3"/>
  <c r="AJ1058" i="3"/>
  <c r="AP563" i="20"/>
  <c r="K4" i="7"/>
  <c r="M4" i="7" s="1"/>
  <c r="K6" i="7"/>
  <c r="I7" i="7"/>
  <c r="I11" i="7" s="1"/>
  <c r="G26" i="21"/>
  <c r="F29" i="21"/>
  <c r="G29" i="21"/>
  <c r="Q15" i="7"/>
  <c r="O9" i="7"/>
  <c r="Q8" i="7"/>
  <c r="BE74" i="3" l="1"/>
  <c r="AP566" i="20"/>
  <c r="U58" i="7"/>
  <c r="W53" i="7"/>
  <c r="AJ1062" i="3"/>
  <c r="AP565" i="20"/>
  <c r="K5" i="7"/>
  <c r="O4" i="7"/>
  <c r="M5" i="7"/>
  <c r="M6" i="7"/>
  <c r="K7" i="7"/>
  <c r="S15" i="7"/>
  <c r="G93" i="21"/>
  <c r="G31" i="21"/>
  <c r="G33" i="21" s="1"/>
  <c r="E9" i="21" s="1"/>
  <c r="G102" i="21"/>
  <c r="G104" i="21" s="1"/>
  <c r="E16" i="21" s="1"/>
  <c r="G125" i="21"/>
  <c r="G110" i="21"/>
  <c r="Q9" i="7"/>
  <c r="S8" i="7"/>
  <c r="AP567" i="20" l="1"/>
  <c r="G94" i="21"/>
  <c r="E15" i="21" s="1"/>
  <c r="W58" i="7"/>
  <c r="Y53" i="7"/>
  <c r="T24" i="15"/>
  <c r="AP570" i="20"/>
  <c r="AP569" i="20" s="1"/>
  <c r="K11" i="7"/>
  <c r="O5" i="7"/>
  <c r="Q4" i="7"/>
  <c r="M7" i="7"/>
  <c r="M11" i="7" s="1"/>
  <c r="O6" i="7"/>
  <c r="G115" i="21"/>
  <c r="G127" i="21"/>
  <c r="G111" i="21"/>
  <c r="U15" i="7"/>
  <c r="U8" i="7"/>
  <c r="S9" i="7"/>
  <c r="AP572" i="20" l="1"/>
  <c r="AF565" i="20" s="1"/>
  <c r="AA53" i="7"/>
  <c r="Y58" i="7"/>
  <c r="G129" i="21"/>
  <c r="E17" i="21" s="1"/>
  <c r="E14" i="21" s="1"/>
  <c r="E18" i="21" s="1"/>
  <c r="E70" i="7"/>
  <c r="S4" i="7"/>
  <c r="Q5" i="7"/>
  <c r="O7" i="7"/>
  <c r="O11" i="7" s="1"/>
  <c r="Q6" i="7"/>
  <c r="W15" i="7"/>
  <c r="U9" i="7"/>
  <c r="W8" i="7"/>
  <c r="AC53" i="7" l="1"/>
  <c r="AA58" i="7"/>
  <c r="U4" i="7"/>
  <c r="S5" i="7"/>
  <c r="Q7" i="7"/>
  <c r="Q11" i="7" s="1"/>
  <c r="S6" i="7"/>
  <c r="Y15" i="7"/>
  <c r="W9" i="7"/>
  <c r="Y8" i="7"/>
  <c r="AE53" i="7" l="1"/>
  <c r="AC58" i="7"/>
  <c r="U5" i="7"/>
  <c r="W4" i="7"/>
  <c r="S7" i="7"/>
  <c r="S11" i="7" s="1"/>
  <c r="U6" i="7"/>
  <c r="AA15" i="7"/>
  <c r="Y9" i="7"/>
  <c r="AA8" i="7"/>
  <c r="AG53" i="7" l="1"/>
  <c r="AG58" i="7" s="1"/>
  <c r="AE58" i="7"/>
  <c r="W5" i="7"/>
  <c r="Y4" i="7"/>
  <c r="U7" i="7"/>
  <c r="U11" i="7" s="1"/>
  <c r="W6" i="7"/>
  <c r="AC15" i="7"/>
  <c r="AC8" i="7"/>
  <c r="AA9" i="7"/>
  <c r="AA4" i="7" l="1"/>
  <c r="Y5" i="7"/>
  <c r="Y6" i="7"/>
  <c r="W7" i="7"/>
  <c r="W11" i="7" s="1"/>
  <c r="AE15" i="7"/>
  <c r="AC9" i="7"/>
  <c r="AE8" i="7"/>
  <c r="AA5" i="7" l="1"/>
  <c r="AC4" i="7"/>
  <c r="Y7" i="7"/>
  <c r="Y11" i="7" s="1"/>
  <c r="AA6" i="7"/>
  <c r="AG15" i="7"/>
  <c r="AE9" i="7"/>
  <c r="AG8" i="7"/>
  <c r="AG9" i="7" s="1"/>
  <c r="AC5" i="7" l="1"/>
  <c r="AE4" i="7"/>
  <c r="AC6" i="7"/>
  <c r="AA7" i="7"/>
  <c r="AA11" i="7" s="1"/>
  <c r="AE5" i="7" l="1"/>
  <c r="AG4" i="7"/>
  <c r="AE6" i="7"/>
  <c r="AC7" i="7"/>
  <c r="AC11" i="7" s="1"/>
  <c r="AG5" i="7" l="1"/>
  <c r="AE7" i="7"/>
  <c r="AE11" i="7" s="1"/>
  <c r="AG6" i="7"/>
  <c r="AG7" i="7" l="1"/>
  <c r="AG11" i="7" s="1"/>
  <c r="BH761" i="3" l="1"/>
  <c r="AC761" i="3" s="1"/>
  <c r="BE42" i="3" l="1"/>
  <c r="E92" i="20"/>
  <c r="E93" i="20" s="1"/>
  <c r="E94" i="20" s="1"/>
  <c r="AP94" i="20" s="1"/>
  <c r="E102" i="20"/>
  <c r="E105" i="20" s="1"/>
  <c r="AP105" i="20" s="1"/>
  <c r="AK108" i="20" l="1"/>
  <c r="T828" i="20" s="1"/>
  <c r="AF828" i="20" s="1"/>
  <c r="H3" i="21"/>
  <c r="BE73" i="3" l="1"/>
  <c r="BE77" i="3"/>
  <c r="B31" i="11" l="1"/>
  <c r="C31" i="11"/>
  <c r="B32" i="11"/>
  <c r="C32" i="11"/>
  <c r="B33" i="11"/>
  <c r="C33" i="11"/>
  <c r="B34" i="11"/>
  <c r="C34" i="11"/>
  <c r="B30" i="13"/>
  <c r="B31" i="13"/>
  <c r="B32" i="13"/>
  <c r="B33" i="13"/>
  <c r="B30" i="4"/>
  <c r="B31" i="4"/>
  <c r="B32" i="4"/>
  <c r="B33" i="4"/>
  <c r="C38" i="4"/>
  <c r="C29" i="13" l="1" a="1"/>
  <c r="C29" i="13" s="1"/>
  <c r="D31" i="11"/>
  <c r="D33" i="11"/>
  <c r="D34" i="11"/>
  <c r="B39" i="11"/>
  <c r="D32" i="11"/>
  <c r="C39" i="11"/>
  <c r="B38" i="4"/>
  <c r="B38" i="13"/>
  <c r="D39" i="11" l="1"/>
  <c r="B46" i="11" l="1"/>
  <c r="B55" i="11" s="1"/>
  <c r="B64" i="11" s="1"/>
  <c r="B98" i="11" s="1"/>
  <c r="B106" i="11" s="1"/>
  <c r="C46" i="11"/>
  <c r="C55" i="11" s="1"/>
  <c r="B45" i="13"/>
  <c r="C45" i="13" s="1" a="1"/>
  <c r="C45" i="13" s="1"/>
  <c r="B45" i="4"/>
  <c r="C54" i="4"/>
  <c r="C63" i="4" s="1"/>
  <c r="D46" i="11" l="1"/>
  <c r="C64" i="11"/>
  <c r="D55" i="11"/>
  <c r="C97" i="4"/>
  <c r="B63" i="13"/>
  <c r="B54" i="13"/>
  <c r="B54" i="4"/>
  <c r="B63" i="4" s="1"/>
  <c r="C105" i="4" l="1"/>
  <c r="B97" i="4"/>
  <c r="B97" i="13"/>
  <c r="C98" i="11"/>
  <c r="D64" i="11"/>
  <c r="B105" i="13" l="1"/>
  <c r="BE101" i="3"/>
  <c r="AG268" i="20"/>
  <c r="AC464" i="3"/>
  <c r="B105" i="4"/>
  <c r="C106" i="11"/>
  <c r="D106" i="11" s="1"/>
  <c r="D98" i="11"/>
  <c r="AB265" i="20" l="1"/>
  <c r="AG267" i="20" s="1"/>
  <c r="AG269" i="20" s="1"/>
  <c r="AK272" i="20" s="1"/>
  <c r="T834" i="20" s="1"/>
  <c r="N180" i="24"/>
  <c r="BE22" i="3"/>
  <c r="AB47" i="15"/>
  <c r="AB49" i="15" s="1"/>
  <c r="AB54" i="15" s="1"/>
  <c r="AB55" i="15" s="1"/>
  <c r="AC463" i="3"/>
  <c r="BE44" i="3" s="1"/>
  <c r="N191" i="24" l="1"/>
  <c r="N181" i="24"/>
  <c r="E31" i="13"/>
  <c r="S38" i="4"/>
  <c r="S63" i="4" l="1"/>
  <c r="E38" i="13"/>
  <c r="E63" i="13" l="1"/>
  <c r="W888" i="3" l="1"/>
  <c r="E21" i="7" l="1"/>
  <c r="AC892" i="3"/>
  <c r="AC894" i="3" s="1"/>
  <c r="E22" i="7"/>
  <c r="E35" i="7" s="1"/>
  <c r="E37" i="7" s="1"/>
  <c r="G21" i="7"/>
  <c r="E49" i="7" l="1"/>
  <c r="E45" i="7"/>
  <c r="G22" i="7"/>
  <c r="G35" i="7" s="1"/>
  <c r="G37" i="7" s="1"/>
  <c r="I21" i="7"/>
  <c r="E60" i="7" l="1"/>
  <c r="E72" i="7" s="1"/>
  <c r="E47" i="7"/>
  <c r="E48" i="7"/>
  <c r="G49" i="7"/>
  <c r="G45" i="7"/>
  <c r="I22" i="7"/>
  <c r="I35" i="7" s="1"/>
  <c r="I37" i="7" s="1"/>
  <c r="K21" i="7"/>
  <c r="G60" i="7" l="1"/>
  <c r="G66" i="7" s="1"/>
  <c r="G47" i="7"/>
  <c r="G48" i="7"/>
  <c r="I49" i="7"/>
  <c r="I45" i="7"/>
  <c r="M21" i="7"/>
  <c r="K22" i="7"/>
  <c r="K35" i="7" s="1"/>
  <c r="K37" i="7" s="1"/>
  <c r="G70" i="7" l="1"/>
  <c r="G62" i="7"/>
  <c r="I60" i="7"/>
  <c r="I47" i="7"/>
  <c r="I48" i="7"/>
  <c r="O21" i="7"/>
  <c r="M22" i="7"/>
  <c r="M35" i="7" s="1"/>
  <c r="M37" i="7" s="1"/>
  <c r="K49" i="7"/>
  <c r="K45" i="7"/>
  <c r="G72" i="7" l="1"/>
  <c r="I62" i="7"/>
  <c r="I66" i="7"/>
  <c r="I70" i="7" s="1"/>
  <c r="O22" i="7"/>
  <c r="O35" i="7" s="1"/>
  <c r="O37" i="7" s="1"/>
  <c r="Q21" i="7"/>
  <c r="M49" i="7"/>
  <c r="M45" i="7"/>
  <c r="K60" i="7"/>
  <c r="K47" i="7"/>
  <c r="K48" i="7"/>
  <c r="I72" i="7" l="1"/>
  <c r="O45" i="7"/>
  <c r="O49" i="7"/>
  <c r="S21" i="7"/>
  <c r="Q22" i="7"/>
  <c r="Q35" i="7" s="1"/>
  <c r="Q37" i="7" s="1"/>
  <c r="M47" i="7"/>
  <c r="M48" i="7"/>
  <c r="M60" i="7"/>
  <c r="K62" i="7"/>
  <c r="K66" i="7"/>
  <c r="K70" i="7" s="1"/>
  <c r="K72" i="7" l="1"/>
  <c r="O47" i="7"/>
  <c r="O48" i="7"/>
  <c r="O60" i="7"/>
  <c r="U21" i="7"/>
  <c r="S22" i="7"/>
  <c r="S35" i="7" s="1"/>
  <c r="S37" i="7" s="1"/>
  <c r="Q49" i="7"/>
  <c r="Q45" i="7"/>
  <c r="M66" i="7"/>
  <c r="M70" i="7" s="1"/>
  <c r="M62" i="7"/>
  <c r="M72" i="7" l="1"/>
  <c r="O62" i="7"/>
  <c r="O66" i="7"/>
  <c r="O70" i="7" s="1"/>
  <c r="W21" i="7"/>
  <c r="U22" i="7"/>
  <c r="U35" i="7" s="1"/>
  <c r="U37" i="7" s="1"/>
  <c r="S45" i="7"/>
  <c r="S49" i="7"/>
  <c r="Q48" i="7"/>
  <c r="Q47" i="7"/>
  <c r="Q60" i="7"/>
  <c r="O72" i="7" l="1"/>
  <c r="W22" i="7"/>
  <c r="W35" i="7" s="1"/>
  <c r="W37" i="7" s="1"/>
  <c r="Y21" i="7"/>
  <c r="U49" i="7"/>
  <c r="U45" i="7"/>
  <c r="S60" i="7"/>
  <c r="S48" i="7"/>
  <c r="S47" i="7"/>
  <c r="Q66" i="7"/>
  <c r="Q70" i="7" s="1"/>
  <c r="Q62" i="7"/>
  <c r="Q72" i="7" l="1"/>
  <c r="W49" i="7"/>
  <c r="W45" i="7"/>
  <c r="Y22" i="7"/>
  <c r="Y35" i="7" s="1"/>
  <c r="Y37" i="7" s="1"/>
  <c r="AA21" i="7"/>
  <c r="U48" i="7"/>
  <c r="U47" i="7"/>
  <c r="U60" i="7"/>
  <c r="S66" i="7"/>
  <c r="S70" i="7" s="1"/>
  <c r="S62" i="7"/>
  <c r="S72" i="7" l="1"/>
  <c r="W47" i="7"/>
  <c r="W48" i="7"/>
  <c r="W60" i="7"/>
  <c r="Y49" i="7"/>
  <c r="Y45" i="7"/>
  <c r="AA22" i="7"/>
  <c r="AA35" i="7" s="1"/>
  <c r="AA37" i="7" s="1"/>
  <c r="AC21" i="7"/>
  <c r="U66" i="7"/>
  <c r="U70" i="7" s="1"/>
  <c r="U62" i="7"/>
  <c r="U72" i="7" l="1"/>
  <c r="W66" i="7"/>
  <c r="W70" i="7" s="1"/>
  <c r="W62" i="7"/>
  <c r="Y60" i="7"/>
  <c r="Y47" i="7"/>
  <c r="Y48" i="7"/>
  <c r="AA49" i="7"/>
  <c r="AA45" i="7"/>
  <c r="AC22" i="7"/>
  <c r="AC35" i="7" s="1"/>
  <c r="AC37" i="7" s="1"/>
  <c r="AE21" i="7"/>
  <c r="W72" i="7" l="1"/>
  <c r="Y66" i="7"/>
  <c r="Y70" i="7" s="1"/>
  <c r="Y62" i="7"/>
  <c r="AA48" i="7"/>
  <c r="AA60" i="7"/>
  <c r="AA47" i="7"/>
  <c r="AC49" i="7"/>
  <c r="AC45" i="7"/>
  <c r="AG21" i="7"/>
  <c r="AG22" i="7" s="1"/>
  <c r="AG35" i="7" s="1"/>
  <c r="AG37" i="7" s="1"/>
  <c r="AE22" i="7"/>
  <c r="AE35" i="7" s="1"/>
  <c r="AE37" i="7" s="1"/>
  <c r="Y72" i="7" l="1"/>
  <c r="AA66" i="7"/>
  <c r="AA70" i="7" s="1"/>
  <c r="AA62" i="7"/>
  <c r="AC48" i="7"/>
  <c r="AC47" i="7"/>
  <c r="AC60" i="7"/>
  <c r="AG49" i="7"/>
  <c r="AG45" i="7"/>
  <c r="AE49" i="7"/>
  <c r="AE45" i="7"/>
  <c r="AA72" i="7" l="1"/>
  <c r="AC62" i="7"/>
  <c r="AC66" i="7"/>
  <c r="AC70" i="7" s="1"/>
  <c r="AG60" i="7"/>
  <c r="AG48" i="7"/>
  <c r="AG47" i="7"/>
  <c r="AE48" i="7"/>
  <c r="AE60" i="7"/>
  <c r="AE47" i="7"/>
  <c r="AC72" i="7" l="1"/>
  <c r="AG62" i="7"/>
  <c r="AG66" i="7"/>
  <c r="AG70" i="7" s="1"/>
  <c r="AE66" i="7"/>
  <c r="AE70" i="7" s="1"/>
  <c r="AE62" i="7"/>
  <c r="AG72" i="7" l="1"/>
  <c r="AE72" i="7"/>
  <c r="E35" i="13" l="1"/>
  <c r="E34" i="13" s="1"/>
  <c r="E33" i="13" s="1"/>
  <c r="E32" i="13" s="1"/>
  <c r="F29" i="13" s="1" a="1"/>
  <c r="F29" i="13" l="1"/>
  <c r="C81" i="13" s="1"/>
  <c r="F38" i="13" l="1"/>
  <c r="E80" i="13"/>
  <c r="F79" i="13" s="1" a="1"/>
  <c r="S81" i="4"/>
  <c r="C96" i="13"/>
  <c r="C77" i="13"/>
  <c r="C70" i="13" s="1"/>
  <c r="F54" i="13" s="1"/>
  <c r="C8" i="13" s="1"/>
  <c r="C38" i="13"/>
  <c r="F70" i="13"/>
  <c r="S96" i="4"/>
  <c r="E96" i="13" s="1"/>
  <c r="E85" i="13"/>
  <c r="C62" i="13"/>
  <c r="C54" i="13" l="1"/>
  <c r="C63" i="13" s="1"/>
  <c r="C97" i="13" s="1"/>
  <c r="C105" i="13" s="1"/>
  <c r="C12" i="13"/>
  <c r="E95" i="13" s="1"/>
  <c r="E92" i="13" s="1"/>
  <c r="E91" i="13" s="1"/>
  <c r="E90" i="13" s="1"/>
  <c r="F89" i="13" s="1" a="1"/>
  <c r="F79" i="13"/>
  <c r="E81" i="13"/>
  <c r="S97" i="4"/>
  <c r="F63" i="13"/>
  <c r="F89" i="13" l="1"/>
  <c r="E86" i="13" s="1"/>
  <c r="F84" i="13" s="1" a="1"/>
  <c r="S105" i="4"/>
  <c r="E97" i="13"/>
  <c r="AZ1055" i="3"/>
  <c r="F81" i="13"/>
  <c r="AZ1060" i="3" l="1"/>
  <c r="BA1064" i="3" s="1"/>
  <c r="BA1068" i="3" s="1"/>
  <c r="BA1065" i="3"/>
  <c r="S107" i="4"/>
  <c r="I9" i="21"/>
  <c r="E105" i="13"/>
  <c r="F84" i="13"/>
  <c r="F96" i="13" l="1"/>
  <c r="F97" i="13" s="1"/>
  <c r="F105" i="13" s="1"/>
  <c r="F107" i="13" s="1"/>
  <c r="T11" i="15" s="1"/>
  <c r="T23" i="15" s="1"/>
  <c r="G165" i="21"/>
  <c r="G166" i="21"/>
  <c r="AF564" i="20"/>
  <c r="AF566" i="20" s="1"/>
  <c r="AK572" i="20" s="1"/>
  <c r="T840" i="20" s="1"/>
  <c r="AF840" i="20" s="1"/>
  <c r="AC465" i="3"/>
  <c r="E107" i="13"/>
  <c r="AA1065" i="3"/>
  <c r="AA1066" i="3" s="1"/>
  <c r="G1067" i="3" s="1"/>
  <c r="Y11" i="15" l="1"/>
  <c r="Y23" i="15" s="1"/>
  <c r="Y26" i="15" s="1"/>
  <c r="Y28" i="15" s="1"/>
  <c r="BE81" i="3"/>
  <c r="AF843" i="20"/>
  <c r="BE70" i="3" s="1"/>
  <c r="T26" i="15"/>
  <c r="T28" i="15" s="1"/>
  <c r="Y64" i="15" l="1"/>
  <c r="Y68" i="15" s="1"/>
  <c r="Y69" i="15" s="1"/>
  <c r="AD38" i="15"/>
  <c r="AD40" i="15" s="1"/>
  <c r="T29" i="15"/>
  <c r="Y38" i="15"/>
  <c r="Y40" i="15" s="1"/>
  <c r="Y41" i="15" l="1"/>
  <c r="AB56" i="15" s="1"/>
  <c r="AB57" i="15" s="1"/>
  <c r="AB59" i="15" s="1"/>
  <c r="AB77" i="15" s="1"/>
  <c r="AB78" i="15" s="1"/>
  <c r="M26" i="3" l="1"/>
  <c r="P204" i="3" s="1"/>
  <c r="I10" i="21"/>
  <c r="I11" i="21" s="1"/>
  <c r="I18" i="21" s="1"/>
  <c r="H4" i="21" s="1"/>
  <c r="H5" i="21" s="1"/>
  <c r="BE83" i="3" s="1"/>
  <c r="AB79" i="15"/>
  <c r="AB81" i="15" s="1"/>
  <c r="J82" i="15" s="1"/>
  <c r="M27" i="3"/>
  <c r="BE20" i="3"/>
  <c r="P205" i="3"/>
  <c r="BE19"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rgb="FF000000"/>
            <rFont val="Tahoma"/>
            <family val="2"/>
          </rPr>
          <t>Include prior approval of Executive Director in Tab 10 when selecting this option.</t>
        </r>
      </text>
    </comment>
    <comment ref="Z817"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rgb="FF000000"/>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rgb="FF000000"/>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<sst xmlns="http://schemas.openxmlformats.org/spreadsheetml/2006/main" count="5080" uniqueCount="2804">
  <si>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</si>
  <si>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</si>
  <si>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</si>
  <si>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</si>
  <si>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</si>
  <si>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</si>
  <si>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</si>
  <si>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</si>
  <si>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</si>
  <si>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</si>
  <si>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</si>
  <si>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</si>
  <si>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</si>
  <si>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</si>
  <si>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</si>
  <si>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</si>
  <si>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</si>
  <si>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</si>
  <si>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</si>
  <si>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</si>
  <si>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</si>
  <si>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</si>
  <si>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</si>
  <si>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</si>
  <si>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</si>
  <si>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</si>
  <si>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</si>
  <si>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</si>
  <si>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</si>
  <si>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</si>
  <si>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</si>
  <si>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</si>
  <si>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</si>
  <si>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</si>
  <si>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</si>
  <si>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</si>
  <si>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</si>
  <si>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</si>
  <si>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</si>
  <si>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</si>
  <si>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</si>
  <si>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</si>
  <si>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</si>
  <si>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</si>
  <si>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</si>
  <si>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</si>
  <si>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</si>
  <si>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</si>
  <si>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</si>
  <si>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</si>
  <si>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</si>
  <si>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</si>
  <si>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</si>
  <si>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</si>
  <si>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</si>
  <si>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</si>
  <si>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</si>
  <si>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</si>
  <si>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</si>
  <si>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</si>
  <si>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</si>
  <si>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</si>
  <si>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</si>
  <si>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</si>
  <si>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</si>
  <si>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</si>
  <si>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</si>
  <si>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</si>
  <si>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</si>
  <si>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</si>
  <si>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</si>
  <si>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</si>
  <si>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</si>
  <si>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</si>
  <si>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</si>
  <si>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</si>
  <si>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</si>
  <si>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</si>
  <si>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</si>
  <si>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</si>
  <si>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</si>
  <si>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</si>
  <si>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</si>
  <si>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</si>
  <si>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</si>
  <si>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</si>
  <si>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</si>
  <si>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</si>
  <si>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</si>
  <si>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</si>
  <si>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</si>
  <si>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</si>
  <si>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</si>
  <si>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</si>
  <si>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</si>
  <si>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</si>
  <si>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</si>
  <si>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</si>
  <si>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</si>
  <si>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</si>
  <si>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</si>
  <si>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</si>
  <si>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</si>
  <si>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</si>
  <si>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</si>
  <si>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</si>
  <si>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</si>
  <si>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</si>
  <si>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</si>
  <si>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</si>
  <si>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</si>
  <si>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</si>
  <si>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</si>
  <si>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</si>
  <si>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</si>
  <si>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</si>
  <si>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</si>
  <si>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</si>
  <si>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</si>
  <si>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</si>
  <si>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</si>
  <si>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</si>
  <si>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</si>
  <si>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</si>
  <si>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</si>
  <si>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</si>
  <si>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</si>
  <si>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</si>
  <si>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</si>
  <si>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</si>
  <si>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</si>
  <si>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</si>
  <si>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</si>
  <si>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</si>
  <si>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</si>
  <si>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</si>
  <si>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</si>
  <si>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</si>
  <si>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</si>
  <si>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</si>
  <si>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</si>
  <si>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</si>
  <si>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</si>
  <si>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</si>
  <si>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</si>
  <si>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</si>
  <si>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</si>
  <si>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</si>
  <si>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</si>
  <si>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</si>
  <si>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</si>
  <si>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</si>
  <si>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</si>
  <si>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</si>
  <si>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</si>
  <si>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</si>
  <si>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</si>
  <si>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</si>
  <si>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</si>
  <si>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</si>
  <si>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</si>
  <si>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</si>
  <si>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</si>
  <si>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</si>
  <si>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</si>
  <si>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</si>
  <si>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</si>
  <si>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</si>
  <si>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</si>
  <si>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</si>
  <si>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</si>
  <si>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</si>
  <si>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</si>
  <si>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</si>
  <si>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</si>
  <si>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</si>
  <si>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</si>
  <si>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</si>
  <si>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</si>
  <si>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</si>
  <si>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</si>
  <si>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</si>
  <si>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</si>
  <si>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</si>
  <si>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</si>
  <si>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</si>
  <si>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</si>
  <si>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</si>
  <si>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</si>
  <si>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</si>
  <si>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</si>
  <si>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</si>
  <si>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</si>
  <si>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</si>
  <si>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</si>
  <si>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</si>
  <si>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</si>
  <si>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</si>
  <si>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</si>
  <si>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</si>
  <si>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</si>
  <si>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</si>
  <si>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</si>
  <si>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</si>
  <si>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</si>
  <si>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</si>
  <si>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</si>
  <si>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</si>
  <si>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</si>
  <si>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</si>
  <si>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</si>
  <si>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</si>
  <si>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</si>
  <si>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</si>
  <si>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</si>
  <si>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</si>
  <si>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</si>
  <si>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</si>
  <si>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</si>
  <si>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</si>
  <si>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</si>
  <si>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</si>
  <si>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</si>
  <si>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</si>
  <si>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</si>
  <si>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</si>
  <si>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</si>
  <si>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</si>
  <si>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</si>
  <si>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</si>
  <si>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</si>
  <si>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</si>
  <si>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</si>
  <si>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</si>
  <si>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</si>
  <si>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</si>
  <si>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</si>
  <si>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</si>
  <si>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</si>
  <si>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</si>
  <si>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</si>
  <si>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</si>
  <si>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</si>
  <si>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</si>
  <si>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</si>
  <si>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</si>
  <si>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</si>
  <si>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</si>
  <si>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</si>
  <si>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</si>
  <si>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</si>
  <si>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</si>
  <si>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</si>
  <si>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</si>
  <si>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</si>
  <si>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</si>
  <si>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</si>
  <si>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</si>
  <si>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</si>
  <si>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</si>
  <si>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</si>
  <si>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</si>
  <si>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</si>
  <si>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</si>
  <si>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</si>
  <si>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</si>
  <si>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</si>
  <si>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</si>
  <si>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</si>
  <si>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</si>
  <si>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</si>
  <si>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</si>
  <si>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</si>
  <si>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</si>
  <si>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</si>
  <si>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</si>
  <si>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</si>
  <si>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</si>
  <si>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</si>
  <si>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</si>
  <si>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</si>
  <si>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</si>
  <si>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</si>
  <si>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</si>
  <si>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</si>
  <si>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</si>
  <si>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</si>
  <si>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</si>
  <si>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</si>
  <si>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</si>
  <si>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</si>
  <si>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</si>
  <si>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</si>
  <si>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</si>
  <si>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</si>
  <si>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</si>
  <si>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</si>
  <si>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</si>
  <si>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</si>
  <si>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</si>
  <si>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</si>
  <si>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</si>
  <si>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</si>
  <si>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</si>
  <si>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</si>
  <si>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</si>
  <si>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</si>
  <si>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</si>
  <si>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</si>
  <si>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</si>
  <si>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</si>
  <si>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</si>
  <si>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</si>
  <si>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</si>
  <si>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</si>
  <si>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</si>
  <si>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</si>
  <si>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</si>
  <si>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</si>
  <si>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</si>
  <si>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</si>
  <si>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</si>
  <si>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</si>
  <si>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</si>
  <si>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</si>
  <si>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</si>
  <si>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</si>
  <si>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</si>
  <si>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</si>
  <si>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</si>
  <si>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</si>
  <si>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</si>
  <si>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</si>
  <si>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</si>
  <si>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</si>
  <si>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</si>
  <si>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</si>
  <si>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</si>
  <si>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</si>
  <si>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</si>
  <si>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</si>
  <si>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</si>
  <si>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</si>
  <si>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</si>
  <si>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</si>
  <si>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</si>
  <si>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</si>
  <si>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</si>
  <si>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</si>
  <si>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</si>
  <si>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</si>
  <si>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</si>
  <si>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</si>
  <si>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</si>
  <si>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</si>
  <si>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</si>
  <si>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</si>
  <si>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</si>
  <si>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</si>
  <si>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</si>
  <si>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</si>
  <si>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</si>
  <si>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</si>
  <si>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</si>
  <si>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</si>
  <si>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</si>
  <si>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</si>
  <si>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</si>
  <si>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</si>
  <si>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</si>
  <si>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</si>
  <si>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</si>
  <si>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</si>
  <si>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</si>
  <si>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</si>
  <si>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</si>
  <si>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</si>
  <si>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</si>
  <si>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</si>
  <si>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</si>
  <si>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</si>
  <si>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</si>
  <si>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</si>
  <si>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</si>
  <si>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</si>
  <si>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</si>
  <si>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</si>
  <si>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</si>
  <si>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</si>
  <si>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</si>
  <si>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</si>
  <si>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</si>
  <si>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</si>
  <si>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</si>
  <si>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</si>
  <si>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</si>
  <si>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</si>
  <si>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</si>
  <si>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</si>
  <si>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</si>
  <si>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</si>
  <si>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</si>
  <si>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</si>
  <si>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</si>
  <si>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</si>
  <si>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</si>
  <si>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</si>
  <si>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</si>
  <si>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</si>
  <si>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</si>
  <si>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</si>
  <si>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</si>
  <si>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</si>
  <si>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</si>
  <si>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</si>
  <si>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</si>
  <si>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</si>
  <si>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</si>
  <si>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</si>
  <si>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</si>
  <si>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</si>
  <si>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</si>
  <si>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</si>
  <si>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</si>
  <si>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</si>
  <si>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</si>
  <si>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</si>
  <si>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</si>
  <si>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</si>
  <si>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</si>
  <si>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</si>
  <si>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</si>
  <si>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</si>
  <si>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</si>
  <si>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</si>
  <si>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</si>
  <si>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</si>
  <si>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</si>
  <si>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</si>
  <si>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</si>
  <si>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</si>
  <si>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</si>
  <si>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</si>
  <si>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</si>
  <si>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</si>
  <si>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</si>
  <si>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</si>
  <si>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</si>
  <si>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</si>
  <si>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</si>
  <si>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</si>
  <si>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</si>
  <si>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</si>
  <si>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</si>
  <si>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</si>
  <si>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</si>
  <si>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</si>
  <si>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</si>
  <si>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</si>
  <si>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</si>
  <si>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</si>
  <si>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</si>
  <si>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</si>
  <si>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</si>
  <si>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</si>
  <si>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</si>
  <si>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</si>
  <si>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</si>
  <si>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</si>
  <si>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</si>
  <si>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</si>
  <si>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</si>
  <si>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</si>
  <si>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</si>
  <si>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</si>
  <si>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</si>
  <si>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</si>
  <si>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</si>
  <si>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</si>
  <si>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</si>
  <si>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</si>
  <si>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</si>
  <si>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</si>
  <si>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</si>
  <si>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</si>
  <si>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</si>
  <si>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</si>
  <si>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</si>
  <si>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</si>
  <si>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</si>
  <si>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</si>
  <si>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</si>
  <si>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</si>
  <si>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</si>
  <si>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</si>
  <si>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</si>
  <si>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</si>
  <si>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</si>
  <si>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</si>
  <si>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</si>
  <si>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</si>
  <si>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</si>
  <si>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</si>
  <si>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</si>
  <si>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</si>
  <si>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</si>
  <si>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</si>
  <si>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</si>
  <si>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</si>
  <si>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</si>
  <si>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</si>
  <si>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</si>
  <si>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</si>
  <si>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</si>
  <si>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</si>
  <si>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</si>
  <si>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</si>
  <si>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</si>
  <si>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</si>
  <si>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</si>
  <si>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</si>
  <si>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</si>
  <si>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</si>
  <si>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</si>
  <si>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</si>
  <si>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</si>
  <si>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</si>
  <si>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</si>
  <si>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</si>
  <si>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</si>
  <si>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</si>
  <si>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</si>
  <si>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</si>
  <si>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</si>
  <si>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</si>
  <si>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</si>
  <si>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</si>
  <si>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</si>
  <si>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</si>
  <si>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</si>
  <si>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</si>
  <si>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</si>
  <si>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</si>
  <si>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</si>
  <si>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</si>
  <si>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</si>
  <si>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</si>
  <si>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</si>
  <si>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</si>
  <si>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</si>
  <si>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</si>
  <si>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</si>
  <si>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</si>
  <si>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</si>
  <si>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</si>
  <si>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</si>
  <si>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</si>
  <si>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</si>
  <si>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</si>
  <si>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</si>
  <si>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</si>
  <si>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</si>
  <si>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</si>
  <si>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</si>
  <si>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</si>
  <si>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</si>
  <si>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</si>
  <si>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</si>
  <si>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</si>
  <si>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</si>
  <si>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</si>
  <si>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</si>
  <si>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</si>
  <si>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</si>
  <si>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</si>
  <si>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</si>
  <si>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</si>
  <si>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</si>
  <si>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</si>
  <si>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</si>
  <si>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</si>
  <si>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</si>
  <si>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</si>
  <si>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</si>
  <si>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</si>
  <si>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</si>
  <si>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</si>
  <si>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</si>
  <si>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</si>
  <si>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</si>
  <si>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</si>
  <si>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</si>
  <si>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</si>
  <si>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</si>
  <si>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</si>
  <si>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</si>
  <si>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</si>
  <si>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</si>
  <si>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</si>
  <si>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</si>
  <si>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</si>
  <si>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</si>
  <si>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</si>
  <si>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</si>
  <si>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</si>
  <si>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</si>
  <si>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</si>
  <si>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</si>
  <si>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</si>
  <si>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</si>
  <si>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</si>
  <si>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</si>
  <si>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</si>
  <si>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</si>
  <si>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</si>
  <si>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</si>
  <si>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</si>
  <si>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</si>
  <si>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</si>
  <si>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</si>
  <si>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</si>
  <si>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</si>
  <si>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</si>
  <si>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</si>
  <si>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</si>
  <si>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</si>
  <si>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</si>
  <si>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</si>
  <si>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</si>
  <si>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</si>
  <si>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</si>
  <si>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</si>
  <si>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</si>
  <si>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</si>
  <si>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</si>
  <si>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</si>
  <si>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</si>
  <si>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</si>
  <si>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</si>
  <si>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</si>
  <si>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</si>
  <si>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</si>
  <si>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</si>
  <si>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</si>
  <si>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</si>
  <si>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</si>
  <si>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</si>
  <si>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</si>
  <si>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</si>
  <si>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</si>
  <si>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</si>
  <si>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</si>
  <si>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</si>
  <si>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</si>
  <si>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</si>
  <si>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</si>
  <si>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</si>
  <si>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</si>
  <si>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</si>
  <si>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</si>
  <si>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</si>
  <si>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</si>
  <si>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</si>
  <si>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</si>
  <si>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</si>
  <si>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</si>
  <si>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</si>
  <si>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</si>
  <si>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</si>
  <si>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</si>
  <si>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</si>
  <si>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</si>
  <si>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</si>
  <si>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CRP Monterey LP</t>
  </si>
  <si>
    <t>MIP Amount</t>
  </si>
  <si>
    <t>PROJECT NAME:</t>
  </si>
  <si>
    <t>8955 Monterey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</si>
  <si>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</si>
  <si>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</si>
  <si>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</si>
  <si>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</si>
  <si>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</si>
  <si>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</si>
  <si>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</si>
  <si>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</si>
  <si>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</si>
  <si>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</si>
  <si>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</si>
  <si>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</si>
  <si>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</si>
  <si>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</si>
  <si>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</si>
  <si>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</si>
  <si>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</si>
  <si>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</si>
  <si>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</si>
  <si>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</si>
  <si>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</si>
  <si>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</si>
  <si>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</si>
  <si>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</si>
  <si>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</si>
  <si>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</si>
  <si>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</si>
  <si>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</si>
  <si>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</si>
  <si>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</si>
  <si>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</si>
  <si>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</si>
  <si>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</si>
  <si>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</si>
  <si>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</si>
  <si>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</si>
  <si>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</si>
  <si>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</si>
  <si>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</si>
  <si>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</si>
  <si>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</si>
  <si>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</si>
  <si>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</si>
  <si>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</si>
  <si>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</si>
  <si>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</si>
  <si>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</si>
  <si>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</si>
  <si>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</si>
  <si>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</si>
  <si>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</si>
  <si>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</si>
  <si>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</si>
  <si>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</si>
  <si>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</si>
  <si>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</si>
  <si>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</si>
  <si>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</si>
  <si>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</si>
  <si>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</si>
  <si>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</si>
  <si>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</si>
  <si>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</si>
  <si>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</si>
  <si>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</si>
  <si>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</si>
  <si>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</si>
  <si>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</si>
  <si>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</si>
  <si>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</si>
  <si>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</si>
  <si>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</si>
  <si>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</si>
  <si>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</si>
  <si>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</si>
  <si>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</si>
  <si>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</si>
  <si>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</si>
  <si>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</si>
  <si>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</si>
  <si>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</si>
  <si>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</si>
  <si>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</si>
  <si>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</si>
  <si>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</si>
  <si>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</si>
  <si>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</si>
  <si>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</si>
  <si>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</si>
  <si>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</si>
  <si>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</si>
  <si>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</si>
  <si>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</si>
  <si>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</si>
  <si>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</si>
  <si>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</si>
  <si>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</si>
  <si>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</si>
  <si>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</si>
  <si>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</si>
  <si>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</si>
  <si>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</si>
  <si>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</si>
  <si>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</si>
  <si>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</si>
  <si>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</si>
  <si>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</si>
  <si>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</si>
  <si>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</si>
  <si>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</si>
  <si>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</si>
  <si>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</si>
  <si>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</si>
  <si>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</si>
  <si>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</si>
  <si>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</si>
  <si>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</si>
  <si>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</si>
  <si>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</si>
  <si>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</si>
  <si>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</si>
  <si>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</si>
  <si>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May</t>
  </si>
  <si>
    <t>, 2026 at</t>
  </si>
  <si>
    <t>San Diego</t>
  </si>
  <si>
    <t>, California.</t>
  </si>
  <si>
    <t xml:space="preserve">By: </t>
  </si>
  <si>
    <t>(Original Signature)</t>
  </si>
  <si>
    <t>Paul Salib</t>
  </si>
  <si>
    <t>(Typed or printed name)</t>
  </si>
  <si>
    <t xml:space="preserve">Application type: </t>
  </si>
  <si>
    <t>4%</t>
  </si>
  <si>
    <t xml:space="preserve">Please select your county: </t>
  </si>
  <si>
    <t>Authorized Signatory</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</si>
  <si>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</si>
  <si>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</si>
  <si>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</si>
  <si>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</si>
  <si>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</si>
  <si>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</si>
  <si>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Gilroy, Housing and Community Development Department</t>
  </si>
  <si>
    <t>Inland (Fresno, Imperial, Kern, Kings, Madera, Merced, Riverside, San Bernardino, Stanislaus, and Tulare Counties)</t>
  </si>
  <si>
    <t>4% 2026 TBLs</t>
  </si>
  <si>
    <t>9% 2026 TBLs</t>
  </si>
  <si>
    <t>City Manager:</t>
  </si>
  <si>
    <t>Ms.Marilyn L. Roaf</t>
  </si>
  <si>
    <t>Northern (Butte, El Dorado, Placer, Sacramento, San Joaquin, Shasta, Solano, Sutter, Yuba, and Yolo Counties)</t>
  </si>
  <si>
    <t>Title:</t>
  </si>
  <si>
    <t>HCD Coordinator</t>
  </si>
  <si>
    <t>N/A</t>
  </si>
  <si>
    <t xml:space="preserve">Mailing Address: </t>
  </si>
  <si>
    <t>7351 Rosanna St</t>
  </si>
  <si>
    <t>2025 100% RENTS</t>
  </si>
  <si>
    <t>2025 FAIR MARKET RENTS</t>
  </si>
  <si>
    <t xml:space="preserve">City: </t>
  </si>
  <si>
    <t>Gilroy</t>
  </si>
  <si>
    <t>ALAMEDA</t>
  </si>
  <si>
    <t>Alameda</t>
  </si>
  <si>
    <t>California Tax Credit Allocation Committee</t>
  </si>
  <si>
    <t>Housing and Urban Development</t>
  </si>
  <si>
    <t xml:space="preserve">Zip Code: </t>
  </si>
  <si>
    <t>ALPINE</t>
  </si>
  <si>
    <t>Alpine</t>
  </si>
  <si>
    <t>Phone Number:</t>
  </si>
  <si>
    <t>408-846-0290</t>
  </si>
  <si>
    <t>Ext.</t>
  </si>
  <si>
    <t>AMADOR</t>
  </si>
  <si>
    <t>Amador</t>
  </si>
  <si>
    <t>County</t>
  </si>
  <si>
    <t>SRO/Studio</t>
  </si>
  <si>
    <t>1 Bedroom</t>
  </si>
  <si>
    <t>2 Bedrooms</t>
  </si>
  <si>
    <t>3 Bedrooms</t>
  </si>
  <si>
    <t>4 Bedrooms</t>
  </si>
  <si>
    <t>5 Bedrooms</t>
  </si>
  <si>
    <t>SRO/STUDIO</t>
  </si>
  <si>
    <t>4+ Bedrooms</t>
  </si>
  <si>
    <t xml:space="preserve">FAX Number: </t>
  </si>
  <si>
    <t>408-846-0429</t>
  </si>
  <si>
    <t>BUTTE</t>
  </si>
  <si>
    <t>Butte</t>
  </si>
  <si>
    <t xml:space="preserve">E-mail: </t>
  </si>
  <si>
    <t>mroaf@ci.gilroy.ca.us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</si>
  <si>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</si>
  <si>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</si>
  <si>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</si>
  <si>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</si>
  <si>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</si>
  <si>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</si>
  <si>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</si>
  <si>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</si>
  <si>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</si>
  <si>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</si>
  <si>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</si>
  <si>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</si>
  <si>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</si>
  <si>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</si>
  <si>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</si>
  <si>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</si>
  <si>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</si>
  <si>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</si>
  <si>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</si>
  <si>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</si>
  <si>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</si>
  <si>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</si>
  <si>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</si>
  <si>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</si>
  <si>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</si>
  <si>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</si>
  <si>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</si>
  <si>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</si>
  <si>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</si>
  <si>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</si>
  <si>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</si>
  <si>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</si>
  <si>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</si>
  <si>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</si>
  <si>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</si>
  <si>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</si>
  <si>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</si>
  <si>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</si>
  <si>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</si>
  <si>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</si>
  <si>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</si>
  <si>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</si>
  <si>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</si>
  <si>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</si>
  <si>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</si>
  <si>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</si>
  <si>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</si>
  <si>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</si>
  <si>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</si>
  <si>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</si>
  <si>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</si>
  <si>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</si>
  <si>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</si>
  <si>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</si>
  <si>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</si>
  <si>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</si>
  <si>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</si>
  <si>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</si>
  <si>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</si>
  <si>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</si>
  <si>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</si>
  <si>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</si>
  <si>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</si>
  <si>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</si>
  <si>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</si>
  <si>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</si>
  <si>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</si>
  <si>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</si>
  <si>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</si>
  <si>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</si>
  <si>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</si>
  <si>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</si>
  <si>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</si>
  <si>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</si>
  <si>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</si>
  <si>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</si>
  <si>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8955 Monterey Rd</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</si>
  <si>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</si>
  <si>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</si>
  <si>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</si>
  <si>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</si>
  <si>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</si>
  <si>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</si>
  <si>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</si>
  <si>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</si>
  <si>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</si>
  <si>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</si>
  <si>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</si>
  <si>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</si>
  <si>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Santa Clara</t>
  </si>
  <si>
    <t>RIVERSIDE</t>
  </si>
  <si>
    <t>Riverside</t>
  </si>
  <si>
    <t>Zip Code:</t>
  </si>
  <si>
    <t>Census Tract:</t>
  </si>
  <si>
    <t>Large Family</t>
  </si>
  <si>
    <t>SACRAMENTO</t>
  </si>
  <si>
    <t>Sacramento</t>
  </si>
  <si>
    <t>Assessor's Parcel Number(s):</t>
  </si>
  <si>
    <t>790-14-025</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</si>
  <si>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</si>
  <si>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</si>
  <si>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</si>
  <si>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</si>
  <si>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</si>
  <si>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</si>
  <si>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</si>
  <si>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</si>
  <si>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</si>
  <si>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</si>
  <si>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</si>
  <si>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</si>
  <si>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</si>
  <si>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</si>
  <si>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</si>
  <si>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</si>
  <si>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</si>
  <si>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</si>
  <si>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</si>
  <si>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</si>
  <si>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</si>
  <si>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</si>
  <si>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</si>
  <si>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</si>
  <si>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</si>
  <si>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</si>
  <si>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</si>
  <si>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</si>
  <si>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</si>
  <si>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</si>
  <si>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</si>
  <si>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</si>
  <si>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</si>
  <si>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</si>
  <si>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</si>
  <si>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</si>
  <si>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</si>
  <si>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</si>
  <si>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</si>
  <si>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</si>
  <si>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</si>
  <si>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</si>
  <si>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</si>
  <si>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</si>
  <si>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</si>
  <si>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</si>
  <si>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</si>
  <si>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</si>
  <si>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</si>
  <si>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</si>
  <si>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</si>
  <si>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</si>
  <si>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</si>
  <si>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</si>
  <si>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</si>
  <si>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</si>
  <si>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</si>
  <si>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</si>
  <si>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</si>
  <si>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</si>
  <si>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</si>
  <si>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</si>
  <si>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</si>
  <si>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</si>
  <si>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</si>
  <si>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</si>
  <si>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</si>
  <si>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</si>
  <si>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</si>
  <si>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</si>
  <si>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</si>
  <si>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</si>
  <si>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</si>
  <si>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</si>
  <si>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</si>
  <si>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</si>
  <si>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</si>
  <si>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</si>
  <si>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</si>
  <si>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</si>
  <si>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</si>
  <si>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</si>
  <si>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</si>
  <si>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</si>
  <si>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</si>
  <si>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</si>
  <si>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</si>
  <si>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</si>
  <si>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</si>
  <si>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</si>
  <si>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</si>
  <si>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</si>
  <si>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</si>
  <si>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</si>
  <si>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</si>
  <si>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</si>
  <si>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</si>
  <si>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</si>
  <si>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</si>
  <si>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</si>
  <si>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</si>
  <si>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</si>
  <si>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</si>
  <si>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</si>
  <si>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</si>
  <si>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</si>
  <si>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</si>
  <si>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</si>
  <si>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</si>
  <si>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</si>
  <si>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</si>
  <si>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</si>
  <si>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</si>
  <si>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</si>
  <si>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</si>
  <si>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</si>
  <si>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</si>
  <si>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</si>
  <si>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</si>
  <si>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</si>
  <si>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</si>
  <si>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</si>
  <si>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</si>
  <si>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122 E 42nd Street, Suite 1903</t>
  </si>
  <si>
    <t>New York</t>
  </si>
  <si>
    <t>State:</t>
  </si>
  <si>
    <t>NY</t>
  </si>
  <si>
    <t>Contact Person:</t>
  </si>
  <si>
    <t>Phone:</t>
  </si>
  <si>
    <t>212-776-1914</t>
  </si>
  <si>
    <t>Ext.:</t>
  </si>
  <si>
    <t>Fax:</t>
  </si>
  <si>
    <t>both nonprofits</t>
  </si>
  <si>
    <t xml:space="preserve">Email: </t>
  </si>
  <si>
    <t>psalib@crpaffordable.com</t>
  </si>
  <si>
    <t>Legal Status of Applicant:</t>
  </si>
  <si>
    <t>Parent Company:</t>
  </si>
  <si>
    <t>Community Revitalization and Development Corporation &amp; CRP Affordable Housing and Community Development LLC.</t>
  </si>
  <si>
    <t>If Other, Specify:</t>
  </si>
  <si>
    <t>both for-profit</t>
  </si>
  <si>
    <t>General Partner(s) Information (post-closing GPs):</t>
  </si>
  <si>
    <t>D(1)</t>
  </si>
  <si>
    <t>General Partner Name:</t>
  </si>
  <si>
    <t>Community Revitalization and Development Corporation</t>
  </si>
  <si>
    <t>Managing GP</t>
  </si>
  <si>
    <t>1918 West Street</t>
  </si>
  <si>
    <t>OWNERSHIP</t>
  </si>
  <si>
    <t>Nonprofit</t>
  </si>
  <si>
    <t>Redding</t>
  </si>
  <si>
    <t>CA</t>
  </si>
  <si>
    <t>INTEREST (%):</t>
  </si>
  <si>
    <t>currently exists</t>
  </si>
  <si>
    <t>David Rutledge</t>
  </si>
  <si>
    <t>to be formed</t>
  </si>
  <si>
    <t>For Profit</t>
  </si>
  <si>
    <t>530.241.6960</t>
  </si>
  <si>
    <t>david@crdc.org</t>
  </si>
  <si>
    <t>Nonprofit/For Profit:</t>
  </si>
  <si>
    <t>D(2)</t>
  </si>
  <si>
    <t>General Partner Name:*</t>
  </si>
  <si>
    <t>CRP Monterey AGP LLC</t>
  </si>
  <si>
    <t>Administrative GP</t>
  </si>
  <si>
    <t>CRP Affordable Housing and Community Development LLC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</si>
  <si>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</si>
  <si>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</si>
  <si>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</si>
  <si>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</si>
  <si>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</si>
  <si>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</si>
  <si>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</si>
  <si>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</si>
  <si>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</si>
  <si>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Seth Sterneck</t>
  </si>
  <si>
    <t>646-518-7280</t>
  </si>
  <si>
    <t>ssterneck@crpaffordable.com</t>
  </si>
  <si>
    <t>Participatory Role:</t>
  </si>
  <si>
    <t>Developer</t>
  </si>
  <si>
    <t>(e.g., General Partner, Consultant, etc.)</t>
  </si>
  <si>
    <t>II. APPLICATION - SECTION 4: DEVELOPMENT TEAM INFORMATION</t>
  </si>
  <si>
    <t>Indicate and List All Development Team Members</t>
  </si>
  <si>
    <t>Developer:</t>
  </si>
  <si>
    <t>Architect:</t>
  </si>
  <si>
    <t>Aura Architecture Inc.</t>
  </si>
  <si>
    <t>Address:</t>
  </si>
  <si>
    <t xml:space="preserve">434 N Main Suite 207 </t>
  </si>
  <si>
    <t>City, State, Zip</t>
  </si>
  <si>
    <t>New York, NY 10168</t>
  </si>
  <si>
    <t>City, State, Zip:</t>
  </si>
  <si>
    <t>Corona, CA 92878</t>
  </si>
  <si>
    <t>Garrett Bascom</t>
  </si>
  <si>
    <t>909-206-9177</t>
  </si>
  <si>
    <t>Email:</t>
  </si>
  <si>
    <t>gbascom@crpaffordable.com</t>
  </si>
  <si>
    <t>Attorney:</t>
  </si>
  <si>
    <t>Hobson Bernardino + Davis LLP</t>
  </si>
  <si>
    <t>General Contractor:</t>
  </si>
  <si>
    <t>Ironcore Construction LLC</t>
  </si>
  <si>
    <t>6060 Center Drive, Floor 10</t>
  </si>
  <si>
    <t xml:space="preserve">4429 Morena Boulevard, Suite A	</t>
  </si>
  <si>
    <t>Los Angeles, CA 90045</t>
  </si>
  <si>
    <t>San Diego, CA 92127</t>
  </si>
  <si>
    <t>Jason Hobson</t>
  </si>
  <si>
    <t>Thomas A. Hodgin</t>
  </si>
  <si>
    <t>213-235-9191</t>
  </si>
  <si>
    <t>(619) 378-7878</t>
  </si>
  <si>
    <t>jhobson@hbdlegal.com</t>
  </si>
  <si>
    <t>thodgin@ironcorecc.com</t>
  </si>
  <si>
    <t>Tax Professional:</t>
  </si>
  <si>
    <t>Novogradac &amp; Company LLP</t>
  </si>
  <si>
    <t>Energy Consultant:</t>
  </si>
  <si>
    <t>Partner Energy</t>
  </si>
  <si>
    <t>1300 114th Avenue SE, Suite 240</t>
  </si>
  <si>
    <t>980 Knox St. Suite 150</t>
  </si>
  <si>
    <t>Bellevue, WA 98004</t>
  </si>
  <si>
    <t>Los Angeles, Ca 90502</t>
  </si>
  <si>
    <t>Thomas Stagg</t>
  </si>
  <si>
    <t>Kelsey Shaw</t>
  </si>
  <si>
    <t>425-453-5783</t>
  </si>
  <si>
    <t>310-356-2199</t>
  </si>
  <si>
    <t>thomas.stagg@novoco.com</t>
  </si>
  <si>
    <t>kshaw@ptrenergy.com</t>
  </si>
  <si>
    <t>CPA:</t>
  </si>
  <si>
    <t>Novogradac Consulting LLP</t>
  </si>
  <si>
    <t>Investor:</t>
  </si>
  <si>
    <t>U.S. Bancorp</t>
  </si>
  <si>
    <t>6700 Antioch Rd #450</t>
  </si>
  <si>
    <t>1307 Washington Ave, Suite 300</t>
  </si>
  <si>
    <t>Merriam, Kansas 66204</t>
  </si>
  <si>
    <t>St. Louis, MO 63103</t>
  </si>
  <si>
    <t>Sebastian Glowacki</t>
  </si>
  <si>
    <t>515-519-1234</t>
  </si>
  <si>
    <t>303-349-4132</t>
  </si>
  <si>
    <t>sebastian.glowacki@usbank.com</t>
  </si>
  <si>
    <t>Consultant:</t>
  </si>
  <si>
    <t>Market Analyst:</t>
  </si>
  <si>
    <t>Kinetic Valuation Group</t>
  </si>
  <si>
    <t>3901 S 147th Street, Suite 144</t>
  </si>
  <si>
    <t>Omaha, NE 68144</t>
  </si>
  <si>
    <t>Jay A. Wortmann</t>
  </si>
  <si>
    <t>402-202-0771</t>
  </si>
  <si>
    <t>jay@kvgteam.com</t>
  </si>
  <si>
    <t>Appraiser:</t>
  </si>
  <si>
    <t>CNA Consultant:</t>
  </si>
  <si>
    <t>Bond Issuer:</t>
  </si>
  <si>
    <t>California Housing Finance Authority</t>
  </si>
  <si>
    <t>Prop. Mgmt. Co.:</t>
  </si>
  <si>
    <t>Buckingham Property Management</t>
  </si>
  <si>
    <t>500 Capitol Mall, Ste. 1400</t>
  </si>
  <si>
    <t>601 Pollasky Ave. Suite 201</t>
  </si>
  <si>
    <t>Sacramento, CA 95814</t>
  </si>
  <si>
    <t>Clovis, CA 93612</t>
  </si>
  <si>
    <t>Kevin Brown</t>
  </si>
  <si>
    <t>Rosemary Lynch</t>
  </si>
  <si>
    <t>916-326-8808</t>
  </si>
  <si>
    <t>(559) 452-8250</t>
  </si>
  <si>
    <t>KBrown@CalHFA.ca.gov</t>
  </si>
  <si>
    <t>rlynch@buckinghampm.com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</si>
  <si>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</si>
  <si>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</si>
  <si>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</si>
  <si>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</si>
  <si>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</si>
  <si>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</si>
  <si>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</si>
  <si>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</si>
  <si>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</si>
  <si>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</si>
  <si>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</si>
  <si>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</si>
  <si>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</si>
  <si>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</si>
  <si>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</si>
  <si>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</si>
  <si>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</si>
  <si>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</si>
  <si>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</si>
  <si>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</si>
  <si>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</si>
  <si>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</si>
  <si>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</si>
  <si>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</si>
  <si>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</si>
  <si>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</si>
  <si>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</si>
  <si>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</si>
  <si>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</si>
  <si>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</si>
  <si>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</si>
  <si>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</si>
  <si>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</si>
  <si>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</si>
  <si>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Douglas Howard</t>
  </si>
  <si>
    <t>Seller Principal:</t>
  </si>
  <si>
    <t xml:space="preserve">Douglas Howard </t>
  </si>
  <si>
    <t>Principal</t>
  </si>
  <si>
    <t>Seller Address:</t>
  </si>
  <si>
    <t>419 E Madison Avenue</t>
  </si>
  <si>
    <t>Saint Louis, Missouri 63122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</si>
  <si>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</si>
  <si>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</si>
  <si>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</si>
  <si>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</si>
  <si>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</si>
  <si>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</si>
  <si>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(314) 495-4958</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</si>
  <si>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</si>
  <si>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</si>
  <si>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</si>
  <si>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</si>
  <si>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</si>
  <si>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</si>
  <si>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</si>
  <si>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</si>
  <si>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</si>
  <si>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</si>
  <si>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</si>
  <si>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</si>
  <si>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</si>
  <si>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</si>
  <si>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</si>
  <si>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</si>
  <si>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</si>
  <si>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</si>
  <si>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</si>
  <si>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</si>
  <si>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</si>
  <si>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</si>
  <si>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</si>
  <si>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 xml:space="preserve"> 5 stories of type-III wood framed building over one story of type-I substructure.
 </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</si>
  <si>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</si>
  <si>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</si>
  <si>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</si>
  <si>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</si>
  <si>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</si>
  <si>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</si>
  <si>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</si>
  <si>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</si>
  <si>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</si>
  <si>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</si>
  <si>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</si>
  <si>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</si>
  <si>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</si>
  <si>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</si>
  <si>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</si>
  <si>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</si>
  <si>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</si>
  <si>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</si>
  <si>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</si>
  <si>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</si>
  <si>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</si>
  <si>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</si>
  <si>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</si>
  <si>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</si>
  <si>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</si>
  <si>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</si>
  <si>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</si>
  <si>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</si>
  <si>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</si>
  <si>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</si>
  <si>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</si>
  <si>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</si>
  <si>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</si>
  <si>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</si>
  <si>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</si>
  <si>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</si>
  <si>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</si>
  <si>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</si>
  <si>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</si>
  <si>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</si>
  <si>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</si>
  <si>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</si>
  <si>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</si>
  <si>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</si>
  <si>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</si>
  <si>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</si>
  <si>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</si>
  <si>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</si>
  <si>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</si>
  <si>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</si>
  <si>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</si>
  <si>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</si>
  <si>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</si>
  <si>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</si>
  <si>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High Density Residential - identified as a By-right Housing Element site by the city of Gilroy</t>
  </si>
  <si>
    <t>Current Zoning and Maximum Density</t>
  </si>
  <si>
    <t>R4 High Density Residential District - 30 units/acre</t>
  </si>
  <si>
    <t>Proposed Zoning and Maximum Density</t>
  </si>
  <si>
    <t>R4 High Density Residential District - 56.5 units/acre</t>
  </si>
  <si>
    <t>Occupancy restrictions that run with the land due to CUP’s or density bonuses?</t>
  </si>
  <si>
    <t>(if yes, explain here)</t>
  </si>
  <si>
    <t>Subject to Inclusionary Zoning?</t>
  </si>
  <si>
    <t>Building Height Requirements</t>
  </si>
  <si>
    <t>75' or 6 stories</t>
  </si>
  <si>
    <t>Required Parking Ratio</t>
  </si>
  <si>
    <t>1 Stall per 1BR, 2 Stall per 2BR and 2 Stall per 3BR</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</si>
  <si>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</si>
  <si>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</si>
  <si>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</si>
  <si>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</si>
  <si>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</si>
  <si>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</si>
  <si>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</si>
  <si>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</si>
  <si>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</si>
  <si>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</si>
  <si>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</si>
  <si>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</si>
  <si>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</si>
  <si>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</si>
  <si>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</si>
  <si>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</si>
  <si>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</si>
  <si>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</si>
  <si>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</si>
  <si>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</si>
  <si>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</si>
  <si>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</si>
  <si>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</si>
  <si>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</si>
  <si>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</si>
  <si>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</si>
  <si>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</si>
  <si>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</si>
  <si>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</si>
  <si>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</si>
  <si>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</si>
  <si>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</si>
  <si>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</si>
  <si>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</si>
  <si>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</si>
  <si>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</si>
  <si>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</si>
  <si>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</si>
  <si>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</si>
  <si>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</si>
  <si>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</si>
  <si>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</si>
  <si>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</si>
  <si>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</si>
  <si>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</si>
  <si>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</si>
  <si>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</si>
  <si>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</si>
  <si>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</si>
  <si>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</si>
  <si>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</si>
  <si>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</si>
  <si>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</si>
  <si>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</si>
  <si>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</si>
  <si>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</si>
  <si>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</si>
  <si>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</si>
  <si>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</si>
  <si>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</si>
  <si>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</si>
  <si>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</si>
  <si>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</si>
  <si>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</si>
  <si>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</si>
  <si>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</si>
  <si>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</si>
  <si>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</si>
  <si>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</si>
  <si>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</si>
  <si>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</si>
  <si>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 Exempt Construciton Loan</t>
  </si>
  <si>
    <t>Variable</t>
  </si>
  <si>
    <t>Taxable Construction loan</t>
  </si>
  <si>
    <t>Federal LIHTC Equity</t>
  </si>
  <si>
    <t>State LIHTC Equity</t>
  </si>
  <si>
    <t>Deferred Costs</t>
  </si>
  <si>
    <t>6)</t>
  </si>
  <si>
    <t>7)</t>
  </si>
  <si>
    <t>8)</t>
  </si>
  <si>
    <t>9)</t>
  </si>
  <si>
    <t>10)</t>
  </si>
  <si>
    <t>11)</t>
  </si>
  <si>
    <t>12)</t>
  </si>
  <si>
    <t>Total Funds For Construction:</t>
  </si>
  <si>
    <t>Lender/Source:</t>
  </si>
  <si>
    <t>300 South Grand  Avenue</t>
  </si>
  <si>
    <t>Los Angeles CA 90071</t>
  </si>
  <si>
    <t>Contact Name:</t>
  </si>
  <si>
    <t>Hao Li</t>
  </si>
  <si>
    <t>213-239-1914</t>
  </si>
  <si>
    <t>Type of Financing:</t>
  </si>
  <si>
    <t>Loan, Tax Exempt</t>
  </si>
  <si>
    <t>Variable Rate Index (if applicable):</t>
  </si>
  <si>
    <t>Is the Lender/Source Committed?</t>
  </si>
  <si>
    <t>Private</t>
  </si>
  <si>
    <t>4429 Morena Blvd Suite A</t>
  </si>
  <si>
    <t>San Diego, CA 92117</t>
  </si>
  <si>
    <t>Cost Deferral/ Private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</si>
  <si>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</si>
  <si>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</si>
  <si>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</si>
  <si>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</si>
  <si>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</si>
  <si>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</si>
  <si>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 Permanent Loan (Tranche A)</t>
  </si>
  <si>
    <t>Required</t>
  </si>
  <si>
    <t>Residual</t>
  </si>
  <si>
    <t>Deferred Developere Fee</t>
  </si>
  <si>
    <t>Deferred</t>
  </si>
  <si>
    <t>Total Permanent Financing:</t>
  </si>
  <si>
    <t>Total Tax Credit Equity:</t>
  </si>
  <si>
    <t>Total Sources of Project Funds: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</si>
  <si>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</si>
  <si>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</si>
  <si>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</si>
  <si>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</si>
  <si>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</si>
  <si>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</si>
  <si>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</si>
  <si>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</si>
  <si>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</si>
  <si>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</si>
  <si>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</si>
  <si>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</si>
  <si>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</si>
  <si>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</si>
  <si>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</si>
  <si>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</si>
  <si>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</si>
  <si>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</si>
  <si>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</si>
  <si>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</si>
  <si>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</si>
  <si>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</si>
  <si>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</si>
  <si>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</si>
  <si>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</si>
  <si>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</si>
  <si>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</si>
  <si>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</si>
  <si>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</si>
  <si>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</si>
  <si>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</si>
  <si>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</si>
  <si>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</si>
  <si>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</si>
  <si>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</si>
  <si>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</si>
  <si>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</si>
  <si>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</si>
  <si>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</si>
  <si>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</si>
  <si>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</si>
  <si>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</si>
  <si>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</si>
  <si>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</si>
  <si>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</si>
  <si>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</si>
  <si>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</si>
  <si>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</si>
  <si>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</si>
  <si>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</si>
  <si>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</si>
  <si>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</si>
  <si>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</si>
  <si>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</si>
  <si>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</si>
  <si>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</si>
  <si>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</si>
  <si>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</si>
  <si>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</si>
  <si>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</si>
  <si>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</si>
  <si>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</si>
  <si>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</si>
  <si>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</si>
  <si>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</si>
  <si>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</si>
  <si>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</si>
  <si>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</si>
  <si>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</si>
  <si>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</si>
  <si>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</si>
  <si>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</si>
  <si>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</si>
  <si>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</si>
  <si>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</si>
  <si>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</si>
  <si>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</si>
  <si>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</si>
  <si>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</si>
  <si>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</si>
  <si>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</si>
  <si>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</si>
  <si>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</si>
  <si>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</si>
  <si>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</si>
  <si>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</si>
  <si>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</si>
  <si>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</si>
  <si>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</si>
  <si>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</si>
  <si>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</si>
  <si>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</si>
  <si>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Santa Clara County Housing Authority</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</si>
  <si>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</si>
  <si>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</si>
  <si>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</si>
  <si>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</si>
  <si>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</si>
  <si>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</si>
  <si>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</si>
  <si>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</si>
  <si>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</si>
  <si>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</si>
  <si>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</si>
  <si>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</si>
  <si>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</si>
  <si>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</si>
  <si>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</si>
  <si>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</si>
  <si>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</si>
  <si>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</si>
  <si>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</si>
  <si>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</si>
  <si>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</si>
  <si>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</si>
  <si>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</si>
  <si>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</si>
  <si>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</si>
  <si>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</si>
  <si>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</si>
  <si>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</si>
  <si>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</si>
  <si>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Maintenance Contracts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</si>
  <si>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</si>
  <si>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</si>
  <si>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</si>
  <si>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</si>
  <si>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</si>
  <si>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</si>
  <si>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</si>
  <si>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</si>
  <si>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</si>
  <si>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</si>
  <si>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</si>
  <si>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</si>
  <si>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</si>
  <si>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</si>
  <si>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</si>
  <si>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</si>
  <si>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</si>
  <si>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</si>
  <si>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</si>
  <si>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</si>
  <si>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</si>
  <si>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</si>
  <si>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</si>
  <si>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</si>
  <si>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</si>
  <si>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</si>
  <si>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</si>
  <si>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</si>
  <si>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</si>
  <si>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</si>
  <si>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</si>
  <si>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</si>
  <si>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</si>
  <si>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</si>
  <si>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</si>
  <si>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</si>
  <si>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</si>
  <si>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</si>
  <si>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</si>
  <si>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</si>
  <si>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</si>
  <si>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</si>
  <si>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</si>
  <si>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</si>
  <si>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</si>
  <si>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</si>
  <si>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</si>
  <si>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</si>
  <si>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</si>
  <si>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</si>
  <si>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</si>
  <si>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</si>
  <si>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</si>
  <si>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</si>
  <si>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</si>
  <si>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</si>
  <si>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</si>
  <si>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</si>
  <si>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</si>
  <si>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</si>
  <si>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</si>
  <si>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LIHTC</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</si>
  <si>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</si>
  <si>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</si>
  <si>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</si>
  <si>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</si>
  <si>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</si>
  <si>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</si>
  <si>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</si>
  <si>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</si>
  <si>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</si>
  <si>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</si>
  <si>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</si>
  <si>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</si>
  <si>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</si>
  <si>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</si>
  <si>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</si>
  <si>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</si>
  <si>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</si>
  <si>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</si>
  <si>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</si>
  <si>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</si>
  <si>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</si>
  <si>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</si>
  <si>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</si>
  <si>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</si>
  <si>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</si>
  <si>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</si>
  <si>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</si>
  <si>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</si>
  <si>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</si>
  <si>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</si>
  <si>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</si>
  <si>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</si>
  <si>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</si>
  <si>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</si>
  <si>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</si>
  <si>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</si>
  <si>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</si>
  <si>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</si>
  <si>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</si>
  <si>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</si>
  <si>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</si>
  <si>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</si>
  <si>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</si>
  <si>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</si>
  <si>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</si>
  <si>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</si>
  <si>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</si>
  <si>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</si>
  <si>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</si>
  <si>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</si>
  <si>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</si>
  <si>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</si>
  <si>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</si>
  <si>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</si>
  <si>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</si>
  <si>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</si>
  <si>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</si>
  <si>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</si>
  <si>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</si>
  <si>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</si>
  <si>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</si>
  <si>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</si>
  <si>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</si>
  <si>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</si>
  <si>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</si>
  <si>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</si>
  <si>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</si>
  <si>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</si>
  <si>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</si>
  <si>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</si>
  <si>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</si>
  <si>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</si>
  <si>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</si>
  <si>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</si>
  <si>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</si>
  <si>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</si>
  <si>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</si>
  <si>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</si>
  <si>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</si>
  <si>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</si>
  <si>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</si>
  <si>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</si>
  <si>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</si>
  <si>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</si>
  <si>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</si>
  <si>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</si>
  <si>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</si>
  <si>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</si>
  <si>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</si>
  <si>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</si>
  <si>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</si>
  <si>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</si>
  <si>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</si>
  <si>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</si>
  <si>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</si>
  <si>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</si>
  <si>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</si>
  <si>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</si>
  <si>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</si>
  <si>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</si>
  <si>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</si>
  <si>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</si>
  <si>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</si>
  <si>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</si>
  <si>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</si>
  <si>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</si>
  <si>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</si>
  <si>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</si>
  <si>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</si>
  <si>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</si>
  <si>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</si>
  <si>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</si>
  <si>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</si>
  <si>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</si>
  <si>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</si>
  <si>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</si>
  <si>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</si>
  <si>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</si>
  <si>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</si>
  <si>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</si>
  <si>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</si>
  <si>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</si>
  <si>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</si>
  <si>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</si>
  <si>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</si>
  <si>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</si>
  <si>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</si>
  <si>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</si>
  <si>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</si>
  <si>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</si>
  <si>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</si>
  <si>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</si>
  <si>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</si>
  <si>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</si>
  <si>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</si>
  <si>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</si>
  <si>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</si>
  <si>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</si>
  <si>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</si>
  <si>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</si>
  <si>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</si>
  <si>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</si>
  <si>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</si>
  <si>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</si>
  <si>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</si>
  <si>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</si>
  <si>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</si>
  <si>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</si>
  <si>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</si>
  <si>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</si>
  <si>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</si>
  <si>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</si>
  <si>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</si>
  <si>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</si>
  <si>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</si>
  <si>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</si>
  <si>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</si>
  <si>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</si>
  <si>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</si>
  <si>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</si>
  <si>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</si>
  <si>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</si>
  <si>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</si>
  <si>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</si>
  <si>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</si>
  <si>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</si>
  <si>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</si>
  <si>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</si>
  <si>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</si>
  <si>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</si>
  <si>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</si>
  <si>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</si>
  <si>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</si>
  <si>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</si>
  <si>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</si>
  <si>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</si>
  <si>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</si>
  <si>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</si>
  <si>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</si>
  <si>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</si>
  <si>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</si>
  <si>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</si>
  <si>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</si>
  <si>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</si>
  <si>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</si>
  <si>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</si>
  <si>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</si>
  <si>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</si>
  <si>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</si>
  <si>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</si>
  <si>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</si>
  <si>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</si>
  <si>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</si>
  <si>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</si>
  <si>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</si>
  <si>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</si>
  <si>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Relocation Cost + CDLAC Fee</t>
  </si>
  <si>
    <t>Misc. 3rd Party Costs</t>
  </si>
  <si>
    <t>Predevelopment Loan Interest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</si>
  <si>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</si>
  <si>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</si>
  <si>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</si>
  <si>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</si>
  <si>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</si>
  <si>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</si>
  <si>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</si>
  <si>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</si>
  <si>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</si>
  <si>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</si>
  <si>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</si>
  <si>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</si>
  <si>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</si>
  <si>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</si>
  <si>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</si>
  <si>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</si>
  <si>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</si>
  <si>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</si>
  <si>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</si>
  <si>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</si>
  <si>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</si>
  <si>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</si>
  <si>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</si>
  <si>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</si>
  <si>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</si>
  <si>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</si>
  <si>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</si>
  <si>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</si>
  <si>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</si>
  <si>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</si>
  <si>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</si>
  <si>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</si>
  <si>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</si>
  <si>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</si>
  <si>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</si>
  <si>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</si>
  <si>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</si>
  <si>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</si>
  <si>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</si>
  <si>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</si>
  <si>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</si>
  <si>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</si>
  <si>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</si>
  <si>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</si>
  <si>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</si>
  <si>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</si>
  <si>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</si>
  <si>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</si>
  <si>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</si>
  <si>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</si>
  <si>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</si>
  <si>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</si>
  <si>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</si>
  <si>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</si>
  <si>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</si>
  <si>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</si>
  <si>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</si>
  <si>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</si>
  <si>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</si>
  <si>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</si>
  <si>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</si>
  <si>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</si>
  <si>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</si>
  <si>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</si>
  <si>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</si>
  <si>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</si>
  <si>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</si>
  <si>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</si>
  <si>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</si>
  <si>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</si>
  <si>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</si>
  <si>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</si>
  <si>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</si>
  <si>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</si>
  <si>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</si>
  <si>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</si>
  <si>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</si>
  <si>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</si>
  <si>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</si>
  <si>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</si>
  <si>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</si>
  <si>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</si>
  <si>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</si>
  <si>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</si>
  <si>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</si>
  <si>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</si>
  <si>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</si>
  <si>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</si>
  <si>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</si>
  <si>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</si>
  <si>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</si>
  <si>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</si>
  <si>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</si>
  <si>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</si>
  <si>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</si>
  <si>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</si>
  <si>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</si>
  <si>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</si>
  <si>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</si>
  <si>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</si>
  <si>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</si>
  <si>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</si>
  <si>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</si>
  <si>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</si>
  <si>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</si>
  <si>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</si>
  <si>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</si>
  <si>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</si>
  <si>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</si>
  <si>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</si>
  <si>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</si>
  <si>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</si>
  <si>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</si>
  <si>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LifeSTEPs</t>
  </si>
  <si>
    <t>Description of Service (If necessary, use separate sheet)</t>
  </si>
  <si>
    <t>Instructor-led Adult Educational classes such as health and wellness, or skill building classes, including but not limited to: financial literacy, computer training, home-buyer education, GED, resume building, ESL, nutrition, exercise, health information/awareness, art, parenting, on-site food cultivation and preparation, and smoking cessation. Adult Education instruction shall be no less than eighty-four (84) hours per year.</t>
  </si>
  <si>
    <t>Individualized Health and Wellness services and programs such as Crisis Intervention, Practical Counseling &amp; Emotional Support, Cleanliness &amp; Hygiene Assessment, Eviction Prevention, Government and Insurance Entitlements, and Physical and Mental Health Assessment. Individualized Health and Wellness Services shall be no less than one hundred and fifty-four (154) hours per year.</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</si>
  <si>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</si>
  <si>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</si>
  <si>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</si>
  <si>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</si>
  <si>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</si>
  <si>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</si>
  <si>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</si>
  <si>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</si>
  <si>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</si>
  <si>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Howard Realty Company</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</si>
  <si>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</si>
  <si>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</si>
  <si>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</si>
  <si>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</si>
  <si>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</si>
  <si>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</si>
  <si>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</si>
  <si>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</si>
  <si>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</si>
  <si>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</si>
  <si>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</si>
  <si>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</si>
  <si>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</si>
  <si>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</si>
  <si>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</si>
  <si>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</si>
  <si>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</si>
  <si>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 xml:space="preserve"> The developer has at least three projects which are comparable in their size and complexity to the subject Project, within the past five years. MGP has the minimum 7 point requirement pursuant to CDLAC regulations.</t>
  </si>
  <si>
    <t>Total # of Units</t>
  </si>
  <si>
    <t>Co-Developer/Co-General Partner</t>
  </si>
  <si>
    <t>Community Revitilization and Development Corporation</t>
  </si>
  <si>
    <t>Co-Developer Experience (Enter # for Each Phase - pipeline, under construction, completed)</t>
  </si>
  <si>
    <t>Does the Co-Sponsor/Developer alone meet the minimum 7 points requirement pursuant to CDLAC Regulations Section 5105(f)?</t>
  </si>
  <si>
    <t>If no or N/A, provide explanation:</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</si>
  <si>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</si>
  <si>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</si>
  <si>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</si>
  <si>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</si>
  <si>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</si>
  <si>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</si>
  <si>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</si>
  <si>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</si>
  <si>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</si>
  <si>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The project is a 100% affordable, long-term multifamily development comprising 113 units in a five-story, elevator-served, all-electric building on a 2.0-acre infill site, achieving approximately 56.5 dwelling units per acre and supporting efficient land use and state housing goals. Designed to meet Title 24 Energy Code and CALGreen requirements, the project incorporates a high-performance building envelope, energy-efficient mechanical systems, high-efficacy lighting, and water-efficient plumbing fixtures to reduce energy and water consumption. Individual PTAC units provide zoned electric heating and cooling, allowing residents to control usage and lower utility costs. Low-emitting interior materials and Energy Star–rated appliances enhance indoor air quality and operational efficiency. Durable, low-maintenance exterior and site materials support long-term affordability. The development also includes centralized community spaces, shared laundry, and a courtyard play area, promoting resource efficiency and resident engagement, while construction practices will prioritize waste diversion in compliance with CALGreen standards.</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</si>
  <si>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</si>
  <si>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</si>
  <si>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</si>
  <si>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</si>
  <si>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</si>
  <si>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</si>
  <si>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Lump Sum</t>
  </si>
  <si>
    <t>Is the GC and Developer vertically integrated company (or related parties)</t>
  </si>
  <si>
    <t xml:space="preserve">Form of engagement &amp; Date (i.e. contract, agreement):   </t>
  </si>
  <si>
    <t>AIA Contract dated 2/27/26</t>
  </si>
  <si>
    <t>Scope includes the construction and services required by the Contract Documents, whether completed or partially completed, and includes all other labor, materials, equipment, and services provided or to be provided by the Contractor to fulfill the Contractor’s obligations. The Work may constitute the whole or a part of the Project. All Work shall be performed in accordance with the Contract Documents and all applicable federal, state and local statutes, laws, regulations, ordinances, codes and orders applicable to the Work, including but not limited to California Building Code Chapter 11a, in effect as of the date of execution of this Agreement.</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</si>
  <si>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</si>
  <si>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</si>
  <si>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</si>
  <si>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</si>
  <si>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</si>
  <si>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</si>
  <si>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</si>
  <si>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</si>
  <si>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</si>
  <si>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</si>
  <si>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</si>
  <si>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</si>
  <si>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</si>
  <si>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</si>
  <si>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</si>
  <si>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</si>
  <si>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</si>
  <si>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</si>
  <si>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Based on the historical information review, the subject property was identified as having various automotive repair, towing, welding, and machining tenants on-site from at least 1981 until at least 2008. In addition, a potential oil/water separator (OWS) was observed to the north of the warehouse/commercial building on-site. As such, the long-term historical operations coupled with a potential OWS represent a REC. This will be addressed by the developer.</t>
  </si>
  <si>
    <t>Phase 1</t>
  </si>
  <si>
    <t>Phase 2</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</si>
  <si>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</si>
  <si>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</si>
  <si>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</si>
  <si>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</si>
  <si>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</si>
  <si>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</si>
  <si>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</si>
  <si>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</si>
  <si>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</si>
  <si>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</si>
  <si>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</si>
  <si>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</si>
  <si>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</si>
  <si>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</si>
  <si>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</si>
  <si>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</si>
  <si>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</si>
  <si>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</si>
  <si>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</si>
  <si>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</si>
  <si>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</si>
  <si>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</si>
  <si>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</si>
  <si>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</si>
  <si>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</si>
  <si>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</si>
  <si>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</si>
  <si>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</si>
  <si>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</si>
  <si>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</si>
  <si>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</si>
  <si>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</si>
  <si>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</si>
  <si>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Construction Closing</t>
  </si>
  <si>
    <t>Cash</t>
  </si>
  <si>
    <t>Conversion</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</si>
  <si>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</si>
  <si>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</si>
  <si>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</si>
  <si>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</si>
  <si>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</si>
  <si>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</si>
  <si>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</si>
  <si>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</si>
  <si>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</si>
  <si>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</si>
  <si>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</si>
  <si>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</si>
  <si>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</si>
  <si>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</si>
  <si>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</si>
  <si>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</si>
  <si>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</si>
  <si>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</si>
  <si>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</si>
  <si>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</si>
  <si>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</si>
  <si>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</si>
  <si>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</si>
  <si>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</si>
  <si>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</si>
  <si>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</si>
  <si>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</si>
  <si>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</si>
  <si>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</si>
  <si>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</si>
  <si>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</si>
  <si>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</si>
  <si>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</si>
  <si>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</si>
  <si>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</si>
  <si>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</si>
  <si>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</si>
  <si>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</si>
  <si>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</si>
  <si>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</si>
  <si>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</si>
  <si>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</si>
  <si>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</si>
  <si>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</si>
  <si>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</si>
  <si>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</si>
  <si>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</si>
  <si>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</si>
  <si>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</si>
  <si>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</si>
  <si>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</si>
  <si>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</si>
  <si>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</si>
  <si>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</si>
  <si>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</si>
  <si>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</si>
  <si>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</si>
  <si>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</si>
  <si>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</si>
  <si>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</si>
  <si>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</si>
  <si>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</si>
  <si>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</si>
  <si>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</si>
  <si>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</si>
  <si>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</si>
  <si>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</si>
  <si>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</si>
  <si>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</si>
  <si>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</si>
  <si>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</si>
  <si>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</si>
  <si>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</si>
  <si>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</si>
  <si>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</si>
  <si>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</si>
  <si>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</si>
  <si>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</si>
  <si>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</si>
  <si>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</si>
  <si>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</si>
  <si>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</si>
  <si>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</si>
  <si>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</si>
  <si>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</si>
  <si>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</si>
  <si>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</si>
  <si>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</si>
  <si>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</si>
  <si>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</si>
  <si>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</si>
  <si>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</si>
  <si>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</si>
  <si>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</si>
  <si>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</si>
  <si>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</si>
  <si>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</si>
  <si>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</si>
  <si>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</si>
  <si>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</si>
  <si>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</si>
  <si>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</si>
  <si>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</si>
  <si>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</si>
  <si>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</si>
  <si>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</si>
  <si>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</si>
  <si>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</si>
  <si>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</si>
  <si>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</si>
  <si>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</si>
  <si>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</si>
  <si>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</si>
  <si>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</si>
  <si>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</si>
  <si>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</si>
  <si>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</si>
  <si>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</si>
  <si>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</si>
  <si>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</si>
  <si>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</si>
  <si>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</si>
  <si>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</si>
  <si>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</si>
  <si>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</si>
  <si>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</si>
  <si>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</si>
  <si>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</si>
  <si>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</si>
  <si>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</si>
  <si>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</si>
  <si>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</si>
  <si>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</si>
  <si>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</si>
  <si>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</si>
  <si>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</si>
  <si>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</si>
  <si>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</si>
  <si>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</si>
  <si>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</si>
  <si>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</si>
  <si>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</si>
  <si>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</si>
  <si>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</si>
  <si>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</si>
  <si>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</si>
  <si>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</si>
  <si>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</si>
  <si>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</si>
  <si>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</si>
  <si>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</si>
  <si>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</si>
  <si>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</si>
  <si>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</si>
  <si>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</si>
  <si>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</si>
  <si>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</si>
  <si>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</si>
  <si>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</si>
  <si>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</si>
  <si>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</si>
  <si>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</si>
  <si>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</si>
  <si>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</si>
  <si>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</si>
  <si>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</si>
  <si>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</si>
  <si>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</si>
  <si>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</si>
  <si>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</si>
  <si>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</si>
  <si>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</si>
  <si>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</si>
  <si>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</si>
  <si>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</si>
  <si>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</si>
  <si>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</si>
  <si>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</si>
  <si>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</si>
  <si>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</si>
  <si>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</si>
  <si>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</si>
  <si>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</si>
  <si>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</si>
  <si>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</si>
  <si>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</si>
  <si>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</si>
  <si>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</si>
  <si>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</si>
  <si>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</si>
  <si>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</si>
  <si>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</si>
  <si>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</si>
  <si>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</si>
  <si>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</si>
  <si>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</si>
  <si>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</si>
  <si>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</si>
  <si>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</si>
  <si>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</si>
  <si>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</si>
  <si>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</si>
  <si>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</si>
  <si>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</si>
  <si>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</si>
  <si>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</si>
  <si>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</si>
  <si>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</si>
  <si>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</si>
  <si>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</si>
  <si>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</si>
  <si>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</si>
  <si>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</si>
  <si>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</si>
  <si>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</si>
  <si>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</si>
  <si>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</si>
  <si>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</si>
  <si>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</si>
  <si>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</si>
  <si>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</si>
  <si>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</si>
  <si>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</si>
  <si>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</si>
  <si>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</si>
  <si>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</si>
  <si>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</si>
  <si>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</si>
  <si>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</si>
  <si>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</si>
  <si>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</si>
  <si>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</si>
  <si>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</si>
  <si>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</si>
  <si>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</si>
  <si>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</si>
  <si>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</si>
  <si>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</si>
  <si>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</si>
  <si>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</si>
  <si>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</si>
  <si>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</si>
  <si>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</si>
  <si>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</si>
  <si>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</si>
  <si>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</si>
  <si>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</si>
  <si>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</si>
  <si>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</si>
  <si>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</si>
  <si>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</si>
  <si>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</si>
  <si>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</si>
  <si>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</si>
  <si>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</si>
  <si>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</si>
  <si>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</si>
  <si>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</si>
  <si>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</si>
  <si>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</si>
  <si>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</si>
  <si>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</si>
  <si>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</si>
  <si>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</si>
  <si>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</si>
  <si>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</si>
  <si>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</si>
  <si>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</si>
  <si>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</si>
  <si>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</si>
  <si>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</si>
  <si>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</si>
  <si>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</si>
  <si>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</si>
  <si>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</si>
  <si>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</si>
  <si>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</si>
  <si>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</si>
  <si>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</si>
  <si>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</si>
  <si>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</si>
  <si>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</si>
  <si>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</si>
  <si>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</si>
  <si>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</si>
  <si>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</si>
  <si>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</si>
  <si>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</si>
  <si>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</si>
  <si>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</si>
  <si>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</si>
  <si>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</si>
  <si>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</si>
  <si>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</si>
  <si>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</si>
  <si>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</si>
  <si>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</si>
  <si>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</si>
  <si>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</si>
  <si>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</si>
  <si>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</si>
  <si>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</si>
  <si>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</si>
  <si>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</si>
  <si>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</si>
  <si>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</si>
  <si>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</si>
  <si>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</si>
  <si>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</si>
  <si>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</si>
  <si>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</si>
  <si>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</si>
  <si>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</si>
  <si>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</si>
  <si>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</si>
  <si>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</si>
  <si>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</si>
  <si>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</si>
  <si>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</si>
  <si>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</si>
  <si>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</si>
  <si>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</si>
  <si>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</si>
  <si>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</si>
  <si>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</si>
  <si>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</si>
  <si>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</si>
  <si>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</si>
  <si>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</si>
  <si>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</si>
  <si>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</si>
  <si>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</si>
  <si>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</si>
  <si>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</si>
  <si>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</si>
  <si>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</si>
  <si>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</si>
  <si>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</si>
  <si>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</si>
  <si>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</si>
  <si>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</si>
  <si>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</si>
  <si>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</si>
  <si>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</si>
  <si>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</si>
  <si>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</si>
  <si>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</si>
  <si>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</si>
  <si>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</si>
  <si>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</si>
  <si>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</si>
  <si>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</si>
  <si>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</si>
  <si>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</si>
  <si>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</si>
  <si>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</si>
  <si>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</si>
  <si>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</si>
  <si>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</si>
  <si>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</si>
  <si>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</si>
  <si>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</si>
  <si>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</si>
  <si>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</si>
  <si>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</si>
  <si>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</si>
  <si>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</si>
  <si>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</si>
  <si>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</si>
  <si>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</si>
  <si>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</si>
  <si>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</si>
  <si>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</si>
  <si>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</si>
  <si>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</si>
  <si>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</si>
  <si>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</si>
  <si>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</si>
  <si>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</si>
  <si>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</si>
  <si>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</si>
  <si>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</si>
  <si>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</si>
  <si>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</si>
  <si>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</si>
  <si>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</si>
  <si>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</si>
  <si>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</si>
  <si>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</si>
  <si>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</si>
  <si>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</si>
  <si>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</si>
  <si>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</si>
  <si>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</si>
  <si>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</si>
  <si>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</si>
  <si>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</si>
  <si>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</si>
  <si>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</si>
  <si>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</si>
  <si>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</si>
  <si>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</si>
  <si>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</si>
  <si>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</si>
  <si>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</si>
  <si>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</si>
  <si>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</si>
  <si>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</si>
  <si>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</si>
  <si>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</si>
  <si>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</si>
  <si>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</si>
  <si>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</si>
  <si>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</si>
  <si>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</si>
  <si>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</si>
  <si>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</si>
  <si>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</si>
  <si>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</si>
  <si>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</si>
  <si>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</si>
  <si>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</si>
  <si>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</si>
  <si>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</si>
  <si>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</si>
  <si>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</si>
  <si>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</si>
  <si>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</si>
  <si>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</si>
  <si>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</si>
  <si>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</si>
  <si>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</si>
  <si>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</si>
  <si>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</si>
  <si>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</si>
  <si>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</si>
  <si>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</si>
  <si>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</si>
  <si>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</si>
  <si>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</si>
  <si>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</si>
  <si>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</si>
  <si>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</si>
  <si>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</si>
  <si>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</si>
  <si>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</si>
  <si>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</si>
  <si>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</si>
  <si>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</si>
  <si>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</si>
  <si>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</si>
  <si>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</si>
  <si>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</si>
  <si>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</si>
  <si>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</si>
  <si>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</si>
  <si>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</si>
  <si>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</si>
  <si>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</si>
  <si>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</si>
  <si>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</si>
  <si>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</si>
  <si>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</si>
  <si>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</si>
  <si>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</si>
  <si>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</si>
  <si>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</si>
  <si>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</si>
  <si>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</si>
  <si>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</si>
  <si>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</si>
  <si>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</si>
  <si>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</si>
  <si>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</si>
  <si>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</si>
  <si>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</si>
  <si>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</si>
  <si>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</si>
  <si>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</si>
  <si>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</si>
  <si>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</si>
  <si>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</si>
  <si>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</si>
  <si>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</si>
  <si>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</si>
  <si>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</si>
  <si>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</si>
  <si>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</si>
  <si>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</si>
  <si>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</si>
  <si>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</si>
  <si>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</si>
  <si>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</si>
  <si>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</si>
  <si>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</si>
  <si>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</si>
  <si>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</si>
  <si>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</si>
  <si>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</si>
  <si>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</si>
  <si>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</si>
  <si>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</si>
  <si>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</si>
  <si>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</si>
  <si>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</si>
  <si>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</si>
  <si>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</si>
  <si>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</si>
  <si>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</si>
  <si>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</si>
  <si>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</si>
  <si>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</si>
  <si>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</si>
  <si>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</si>
  <si>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</si>
  <si>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</si>
  <si>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</si>
  <si>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</si>
  <si>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</si>
  <si>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</si>
  <si>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</si>
  <si>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</si>
  <si>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</si>
  <si>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</si>
  <si>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</si>
  <si>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</si>
  <si>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</si>
  <si>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</si>
  <si>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</si>
  <si>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</si>
  <si>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</si>
  <si>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</si>
  <si>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</si>
  <si>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</si>
  <si>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</si>
  <si>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</si>
  <si>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</si>
  <si>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</si>
  <si>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</si>
  <si>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</si>
  <si>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</si>
  <si>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</si>
  <si>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</si>
  <si>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</si>
  <si>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</si>
  <si>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</si>
  <si>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</si>
  <si>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</si>
  <si>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</si>
  <si>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</si>
  <si>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</si>
  <si>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</si>
  <si>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</si>
  <si>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</si>
  <si>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</si>
  <si>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</si>
  <si>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</si>
  <si>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</si>
  <si>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</si>
  <si>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</si>
  <si>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</si>
  <si>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</si>
  <si>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</si>
  <si>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</si>
  <si>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</si>
  <si>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</si>
  <si>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</si>
  <si>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</si>
  <si>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</si>
  <si>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</si>
  <si>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</si>
  <si>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</si>
  <si>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</si>
  <si>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</si>
  <si>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</si>
  <si>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</si>
  <si>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</si>
  <si>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</si>
  <si>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</si>
  <si>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</si>
  <si>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</si>
  <si>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</si>
  <si>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</si>
  <si>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</si>
  <si>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</si>
  <si>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</si>
  <si>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</si>
  <si>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</si>
  <si>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</si>
  <si>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</si>
  <si>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</si>
  <si>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</si>
  <si>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</si>
  <si>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</si>
  <si>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</si>
  <si>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</si>
  <si>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</si>
  <si>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</si>
  <si>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</si>
  <si>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</si>
  <si>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</si>
  <si>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</si>
  <si>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</si>
  <si>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</si>
  <si>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</si>
  <si>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</si>
  <si>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</si>
  <si>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</si>
  <si>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</si>
  <si>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</si>
  <si>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</si>
  <si>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</si>
  <si>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</si>
  <si>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</si>
  <si>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</si>
  <si>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</si>
  <si>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</si>
  <si>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</si>
  <si>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</si>
  <si>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</si>
  <si>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</si>
  <si>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</si>
  <si>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</si>
  <si>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</si>
  <si>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</si>
  <si>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</si>
  <si>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</si>
  <si>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</si>
  <si>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</si>
  <si>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</si>
  <si>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</si>
  <si>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</si>
  <si>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</si>
  <si>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</si>
  <si>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</si>
  <si>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</si>
  <si>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</si>
  <si>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</si>
  <si>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</si>
  <si>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</si>
  <si>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</si>
  <si>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</si>
  <si>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</si>
  <si>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</si>
  <si>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</si>
  <si>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</si>
  <si>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</si>
  <si>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</si>
  <si>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</si>
  <si>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</si>
  <si>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</si>
  <si>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</si>
  <si>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</si>
  <si>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</si>
  <si>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</si>
  <si>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</si>
  <si>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</si>
  <si>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</si>
  <si>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</si>
  <si>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</si>
  <si>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</si>
  <si>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</si>
  <si>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</si>
  <si>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</si>
  <si>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</si>
  <si>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</si>
  <si>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</si>
  <si>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</si>
  <si>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</si>
  <si>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</si>
  <si>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</si>
  <si>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</si>
  <si>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</si>
  <si>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</si>
  <si>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</si>
  <si>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</si>
  <si>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</si>
  <si>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</si>
  <si>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</si>
  <si>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</si>
  <si>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</si>
  <si>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</si>
  <si>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</si>
  <si>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</si>
  <si>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</si>
  <si>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</si>
  <si>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</si>
  <si>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</si>
  <si>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</si>
  <si>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</si>
  <si>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</si>
  <si>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</si>
  <si>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</si>
  <si>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</si>
  <si>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</si>
  <si>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</si>
  <si>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</si>
  <si>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</si>
  <si>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</si>
  <si>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</si>
  <si>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</si>
  <si>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</si>
  <si>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</si>
  <si>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Jefferies B- Bond</t>
  </si>
  <si>
    <t>Other: (B- Bond Interest During Construction+Construction Monitoring +Inspections)</t>
  </si>
  <si>
    <t>Principal &amp; Interest (Tranche A)</t>
  </si>
  <si>
    <t>Principal &amp; Interest (Tranche B)</t>
  </si>
  <si>
    <t>AGP Fee</t>
  </si>
  <si>
    <t>Above residual receipts line for cash flow</t>
  </si>
  <si>
    <t xml:space="preserve">520 Madison Avenue, 6th Floor </t>
  </si>
  <si>
    <t>New York , NY 10022</t>
  </si>
  <si>
    <t>Vikram Shah</t>
  </si>
  <si>
    <t>917-421-1954</t>
  </si>
  <si>
    <t>Jefferies LLC B- Bond</t>
  </si>
  <si>
    <t>Loan Private</t>
  </si>
  <si>
    <t>Citibank Permenant Loan (Tranche B)</t>
  </si>
  <si>
    <t>CTCAC</t>
  </si>
  <si>
    <t>Jefferies LLC  B Bond</t>
  </si>
  <si>
    <t>Fixed</t>
  </si>
  <si>
    <t>Office expenses</t>
  </si>
  <si>
    <t>Benefit+Ast. Manager Salary+ Workers Comp</t>
  </si>
  <si>
    <t>Legal for Perm Loan + B Bond Underwriter and other fees</t>
  </si>
  <si>
    <t>Jefferies B-Bond</t>
  </si>
  <si>
    <t>Lender Legal + Partnership Legal + Bond Issuer Legal + MGP Legal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</si>
</sst>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amily val="3"/>
    </font>
    <font>
      <sz val="9"/>
      <color rgb="FF000000"/>
      <name val="Tahoma"/>
      <family val="2"/>
    </font>
    <font>
      <b/>
      <sz val="9"/>
      <color rgb="FF000000"/>
      <name val="Tahoma"/>
      <family val="2"/>
    </font>
    <font>
      <u/>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37506">
    <xf numFmtId="0" fontId="0" fillId="0" borderId="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18" applyNumberFormat="0" applyAlignment="0" applyProtection="0"/>
    <xf numFmtId="0" fontId="82" fillId="36" borderId="18" applyNumberFormat="0" applyAlignment="0" applyProtection="0"/>
    <xf numFmtId="0" fontId="83"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6" fillId="0" borderId="0" applyFont="0" applyFill="0" applyBorder="0" applyAlignment="0" applyProtection="0"/>
    <xf numFmtId="43" fontId="30" fillId="0" borderId="0" applyFont="0" applyFill="0" applyBorder="0" applyAlignment="0" applyProtection="0"/>
    <xf numFmtId="43" fontId="56" fillId="0" borderId="0" applyFont="0" applyFill="0" applyBorder="0" applyAlignment="0" applyProtection="0"/>
    <xf numFmtId="44" fontId="7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56" fillId="0" borderId="0" applyFont="0" applyFill="0" applyBorder="0" applyAlignment="0" applyProtection="0"/>
    <xf numFmtId="44" fontId="72" fillId="0" borderId="0" applyFont="0" applyFill="0" applyBorder="0" applyAlignment="0" applyProtection="0"/>
    <xf numFmtId="44" fontId="30" fillId="0" borderId="0" applyFont="0" applyFill="0" applyBorder="0" applyAlignment="0" applyProtection="0"/>
    <xf numFmtId="44" fontId="74" fillId="0" borderId="0" applyFont="0" applyFill="0" applyBorder="0" applyAlignment="0" applyProtection="0"/>
    <xf numFmtId="44" fontId="3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3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6" fillId="0" borderId="0" applyFont="0" applyFill="0" applyBorder="0" applyAlignment="0" applyProtection="0"/>
    <xf numFmtId="44" fontId="6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56"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xf numFmtId="44" fontId="30"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30"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30"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30" fillId="0" borderId="0" applyFont="0" applyFill="0" applyBorder="0" applyAlignment="0" applyProtection="0"/>
    <xf numFmtId="44" fontId="56" fillId="0" borderId="0" applyFont="0" applyFill="0" applyBorder="0" applyAlignment="0" applyProtection="0"/>
    <xf numFmtId="44" fontId="30" fillId="0" borderId="0" applyFont="0" applyFill="0" applyBorder="0" applyAlignment="0" applyProtection="0"/>
    <xf numFmtId="44" fontId="6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70" fillId="0" borderId="0" applyFont="0" applyFill="0" applyBorder="0" applyAlignment="0" applyProtection="0"/>
    <xf numFmtId="44" fontId="30"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39" borderId="18" applyNumberFormat="0" applyAlignment="0" applyProtection="0"/>
    <xf numFmtId="0" fontId="23" fillId="0" borderId="0" applyNumberFormat="0" applyBorder="0"/>
    <xf numFmtId="0" fontId="24" fillId="0" borderId="0" applyBorder="0" applyAlignment="0"/>
    <xf numFmtId="0" fontId="25" fillId="0" borderId="0" applyFill="0" applyBorder="0" applyAlignment="0"/>
    <xf numFmtId="0" fontId="90" fillId="0" borderId="23" applyNumberFormat="0" applyFill="0" applyAlignment="0" applyProtection="0"/>
    <xf numFmtId="0" fontId="91" fillId="40" borderId="0" applyNumberFormat="0" applyBorder="0" applyAlignment="0" applyProtection="0"/>
    <xf numFmtId="0" fontId="92" fillId="0" borderId="0"/>
    <xf numFmtId="0" fontId="56" fillId="0" borderId="0"/>
    <xf numFmtId="0" fontId="92" fillId="0" borderId="0"/>
    <xf numFmtId="0" fontId="56" fillId="0" borderId="0"/>
    <xf numFmtId="0" fontId="56" fillId="0" borderId="0"/>
    <xf numFmtId="0" fontId="3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6" fillId="0" borderId="0"/>
    <xf numFmtId="169" fontId="57" fillId="0" borderId="0"/>
    <xf numFmtId="0" fontId="79" fillId="0" borderId="0"/>
    <xf numFmtId="0" fontId="30" fillId="0" borderId="0"/>
    <xf numFmtId="0" fontId="30" fillId="0" borderId="0"/>
    <xf numFmtId="0" fontId="62" fillId="0" borderId="0"/>
    <xf numFmtId="0" fontId="56" fillId="0" borderId="0"/>
    <xf numFmtId="0" fontId="62" fillId="0" borderId="0"/>
    <xf numFmtId="0" fontId="56" fillId="0" borderId="0"/>
    <xf numFmtId="0" fontId="67" fillId="0" borderId="0"/>
    <xf numFmtId="0" fontId="56" fillId="0" borderId="0"/>
    <xf numFmtId="0" fontId="79" fillId="0" borderId="0"/>
    <xf numFmtId="0" fontId="56"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6"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6" fillId="0" borderId="0"/>
    <xf numFmtId="0" fontId="79" fillId="0" borderId="0"/>
    <xf numFmtId="0" fontId="79" fillId="0" borderId="0"/>
    <xf numFmtId="0" fontId="79" fillId="0" borderId="0"/>
    <xf numFmtId="0" fontId="79" fillId="0" borderId="0"/>
    <xf numFmtId="0" fontId="67" fillId="0" borderId="0"/>
    <xf numFmtId="0" fontId="56" fillId="0" borderId="0">
      <alignment vertical="top"/>
    </xf>
    <xf numFmtId="0" fontId="79" fillId="0" borderId="0"/>
    <xf numFmtId="0" fontId="79" fillId="0" borderId="0"/>
    <xf numFmtId="0" fontId="79" fillId="0" borderId="0"/>
    <xf numFmtId="0" fontId="79" fillId="0" borderId="0"/>
    <xf numFmtId="0" fontId="67" fillId="0" borderId="0"/>
    <xf numFmtId="0" fontId="30" fillId="0" borderId="0"/>
    <xf numFmtId="0" fontId="79" fillId="0" borderId="0"/>
    <xf numFmtId="0" fontId="30" fillId="0" borderId="0"/>
    <xf numFmtId="0" fontId="79" fillId="0" borderId="0"/>
    <xf numFmtId="0" fontId="79" fillId="0" borderId="0"/>
    <xf numFmtId="0" fontId="79" fillId="0" borderId="0"/>
    <xf numFmtId="0" fontId="79"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79" fillId="0" borderId="0"/>
    <xf numFmtId="0" fontId="62" fillId="0" borderId="0"/>
    <xf numFmtId="0" fontId="79" fillId="0" borderId="0"/>
    <xf numFmtId="0" fontId="56"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0" fillId="0" borderId="0"/>
    <xf numFmtId="0" fontId="56" fillId="0" borderId="0">
      <alignment vertical="top"/>
    </xf>
    <xf numFmtId="0" fontId="79" fillId="0" borderId="0"/>
    <xf numFmtId="0" fontId="79" fillId="0" borderId="0"/>
    <xf numFmtId="0" fontId="79" fillId="0" borderId="0"/>
    <xf numFmtId="0" fontId="79" fillId="0" borderId="0"/>
    <xf numFmtId="0" fontId="3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0" fillId="0" borderId="0"/>
    <xf numFmtId="0" fontId="79" fillId="0" borderId="0"/>
    <xf numFmtId="0" fontId="79" fillId="0" borderId="0"/>
    <xf numFmtId="0" fontId="79" fillId="0" borderId="0"/>
    <xf numFmtId="0" fontId="21" fillId="0" borderId="0" applyProtection="0">
      <protection locked="0"/>
    </xf>
    <xf numFmtId="0" fontId="30" fillId="0" borderId="0" applyProtection="0">
      <protection locked="0"/>
    </xf>
    <xf numFmtId="0" fontId="30" fillId="0" borderId="0" applyProtection="0">
      <protection locked="0"/>
    </xf>
    <xf numFmtId="0" fontId="57" fillId="0" borderId="0"/>
    <xf numFmtId="0" fontId="21" fillId="0" borderId="0"/>
    <xf numFmtId="0" fontId="71"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1"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94" fillId="36" borderId="25" applyNumberFormat="0" applyAlignment="0" applyProtection="0"/>
    <xf numFmtId="0" fontId="94" fillId="36" borderId="25" applyNumberFormat="0" applyAlignment="0" applyProtection="0"/>
    <xf numFmtId="0" fontId="26"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21" fillId="0" borderId="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9" fontId="21" fillId="0" borderId="0" applyFont="0" applyFill="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105" fillId="0" borderId="0" applyNumberForma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95" fillId="0" borderId="0" applyNumberForma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44" fontId="21" fillId="0" borderId="0" applyFont="0" applyFill="0" applyBorder="0" applyAlignment="0" applyProtection="0"/>
    <xf numFmtId="9" fontId="114" fillId="0" borderId="0" applyFont="0" applyFill="0" applyBorder="0" applyAlignment="0" applyProtection="0"/>
    <xf numFmtId="0" fontId="114" fillId="0" borderId="0"/>
    <xf numFmtId="0" fontId="15" fillId="0" borderId="0"/>
    <xf numFmtId="0" fontId="21" fillId="0" borderId="0"/>
    <xf numFmtId="43" fontId="15" fillId="0" borderId="0" applyFont="0" applyFill="0" applyBorder="0" applyAlignment="0" applyProtection="0"/>
    <xf numFmtId="9" fontId="15" fillId="0" borderId="0" applyFont="0" applyFill="0" applyBorder="0" applyAlignment="0" applyProtection="0"/>
    <xf numFmtId="0" fontId="14" fillId="0" borderId="0"/>
    <xf numFmtId="44" fontId="14" fillId="0" borderId="0" applyFont="0" applyFill="0" applyBorder="0" applyAlignment="0" applyProtection="0"/>
    <xf numFmtId="9" fontId="14" fillId="0" borderId="0" applyFont="0" applyFill="0" applyBorder="0" applyAlignment="0" applyProtection="0"/>
    <xf numFmtId="43" fontId="141" fillId="0" borderId="0" applyFon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4" fontId="143"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0" fontId="7" fillId="0" borderId="0"/>
    <xf numFmtId="0" fontId="21" fillId="0" borderId="0" applyBorder="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81"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56" fillId="0" borderId="0">
      <alignment vertical="top"/>
    </xf>
    <xf numFmtId="0" fontId="56" fillId="0" borderId="0">
      <alignment vertical="top"/>
    </xf>
    <xf numFmtId="0" fontId="4" fillId="0" borderId="0"/>
    <xf numFmtId="0" fontId="4" fillId="0" borderId="0"/>
    <xf numFmtId="0" fontId="56" fillId="0" borderId="0">
      <alignment vertical="top"/>
    </xf>
    <xf numFmtId="0" fontId="182" fillId="0" borderId="0">
      <alignment vertical="top"/>
    </xf>
    <xf numFmtId="0" fontId="56" fillId="0" borderId="0">
      <alignment vertical="top"/>
    </xf>
    <xf numFmtId="0" fontId="56" fillId="0" borderId="0">
      <alignment vertical="top"/>
    </xf>
    <xf numFmtId="0" fontId="18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43" fontId="71" fillId="0" borderId="0" applyFont="0" applyFill="0" applyBorder="0" applyAlignment="0" applyProtection="0"/>
    <xf numFmtId="0" fontId="4" fillId="16" borderId="0" applyNumberFormat="0" applyBorder="0" applyAlignment="0" applyProtection="0"/>
    <xf numFmtId="0" fontId="4" fillId="22" borderId="0" applyNumberFormat="0" applyBorder="0" applyAlignment="0" applyProtection="0"/>
    <xf numFmtId="43" fontId="7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7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56" fillId="0" borderId="0">
      <alignment vertical="top"/>
    </xf>
    <xf numFmtId="0" fontId="56" fillId="0" borderId="0">
      <alignment vertical="top"/>
    </xf>
    <xf numFmtId="43"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93" fillId="0" borderId="0"/>
    <xf numFmtId="0" fontId="71" fillId="41" borderId="24" applyNumberFormat="0" applyFont="0" applyAlignment="0" applyProtection="0"/>
    <xf numFmtId="0" fontId="71" fillId="41" borderId="24" applyNumberFormat="0" applyFont="0" applyAlignment="0" applyProtection="0"/>
    <xf numFmtId="43" fontId="21" fillId="0" borderId="0" applyFont="0" applyFill="0" applyBorder="0" applyAlignment="0" applyProtection="0"/>
    <xf numFmtId="0" fontId="21"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21" fillId="0" borderId="0"/>
    <xf numFmtId="0" fontId="4" fillId="41" borderId="24" applyNumberFormat="0" applyFont="0" applyAlignment="0" applyProtection="0"/>
    <xf numFmtId="0" fontId="4" fillId="41" borderId="24" applyNumberFormat="0" applyFont="0" applyAlignment="0" applyProtection="0"/>
    <xf numFmtId="169" fontId="18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56"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56"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cellStyleXfs>
  <cellXfs count="2618">
    <xf numFmtId="0" fontId="0" fillId="0" borderId="0" xfId="0"/>
    <xf numFmtId="0" fontId="0" fillId="0" borderId="0" xfId="0" applyAlignment="1">
      <alignment horizontal="center"/>
    </xf>
    <xf numFmtId="0" fontId="28" fillId="0" borderId="0" xfId="0" applyFont="1"/>
    <xf numFmtId="0" fontId="21" fillId="0" borderId="0" xfId="0" applyFont="1"/>
    <xf numFmtId="0" fontId="30" fillId="0" borderId="0" xfId="0" applyFont="1"/>
    <xf numFmtId="0" fontId="0" fillId="0" borderId="4" xfId="0" applyBorder="1"/>
    <xf numFmtId="0" fontId="2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8" fillId="0" borderId="4" xfId="0" applyFont="1" applyBorder="1"/>
    <xf numFmtId="164" fontId="0" fillId="0" borderId="0" xfId="0" applyNumberFormat="1" applyAlignment="1">
      <alignment horizontal="right"/>
    </xf>
    <xf numFmtId="0" fontId="28" fillId="0" borderId="0" xfId="0" applyFont="1" applyAlignment="1">
      <alignment horizontal="center"/>
    </xf>
    <xf numFmtId="0" fontId="21" fillId="0" borderId="0" xfId="543"/>
    <xf numFmtId="0" fontId="36" fillId="0" borderId="0" xfId="0" applyFont="1"/>
    <xf numFmtId="0" fontId="29" fillId="0" borderId="0" xfId="0" applyFont="1" applyAlignment="1">
      <alignment vertical="top"/>
    </xf>
    <xf numFmtId="0" fontId="29" fillId="0" borderId="0" xfId="0" applyFont="1" applyAlignment="1">
      <alignment vertical="top" wrapText="1"/>
    </xf>
    <xf numFmtId="0" fontId="29" fillId="0" borderId="0" xfId="0" applyFont="1" applyAlignment="1">
      <alignment horizontal="left" vertical="top"/>
    </xf>
    <xf numFmtId="0" fontId="29" fillId="0" borderId="0" xfId="0" applyFont="1" applyAlignment="1">
      <alignment horizontal="left"/>
    </xf>
    <xf numFmtId="0" fontId="29" fillId="0" borderId="0" xfId="0" applyFont="1"/>
    <xf numFmtId="1" fontId="29" fillId="0" borderId="0" xfId="0" applyNumberFormat="1" applyFont="1" applyAlignment="1">
      <alignment horizontal="left"/>
    </xf>
    <xf numFmtId="0" fontId="31" fillId="0" borderId="0" xfId="0" applyFont="1"/>
    <xf numFmtId="1" fontId="29" fillId="0" borderId="0" xfId="0" applyNumberFormat="1" applyFont="1" applyAlignment="1">
      <alignment horizontal="right"/>
    </xf>
    <xf numFmtId="0" fontId="0" fillId="0" borderId="0" xfId="0" applyAlignment="1">
      <alignment horizontal="right"/>
    </xf>
    <xf numFmtId="0" fontId="33" fillId="0" borderId="0" xfId="0" applyFont="1"/>
    <xf numFmtId="172" fontId="21" fillId="0" borderId="0" xfId="543" applyNumberFormat="1"/>
    <xf numFmtId="9" fontId="21" fillId="0" borderId="0" xfId="543" applyNumberFormat="1" applyAlignment="1">
      <alignment horizontal="left"/>
    </xf>
    <xf numFmtId="168" fontId="21" fillId="0" borderId="0" xfId="543" applyNumberFormat="1"/>
    <xf numFmtId="0" fontId="32" fillId="0" borderId="0" xfId="0" applyFont="1"/>
    <xf numFmtId="0" fontId="34" fillId="0" borderId="0" xfId="0" applyFont="1"/>
    <xf numFmtId="0" fontId="2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8" fillId="0" borderId="1" xfId="0" applyFont="1" applyBorder="1" applyAlignment="1">
      <alignment horizontal="center" wrapText="1"/>
    </xf>
    <xf numFmtId="0" fontId="2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4" xfId="0" applyFont="1" applyBorder="1" applyAlignment="1">
      <alignment horizontal="center"/>
    </xf>
    <xf numFmtId="0" fontId="37" fillId="0" borderId="3" xfId="0" applyFont="1" applyBorder="1" applyAlignment="1">
      <alignment horizontal="left"/>
    </xf>
    <xf numFmtId="0" fontId="37" fillId="0" borderId="9" xfId="0" applyFont="1" applyBorder="1" applyAlignment="1">
      <alignment horizontal="left"/>
    </xf>
    <xf numFmtId="0" fontId="28" fillId="0" borderId="4" xfId="0" applyFont="1" applyBorder="1" applyAlignment="1">
      <alignment horizontal="right"/>
    </xf>
    <xf numFmtId="0" fontId="28" fillId="0" borderId="5" xfId="0" applyFont="1" applyBorder="1" applyAlignment="1">
      <alignment horizontal="right"/>
    </xf>
    <xf numFmtId="0" fontId="37" fillId="0" borderId="0" xfId="0" applyFont="1" applyAlignment="1">
      <alignment horizontal="left"/>
    </xf>
    <xf numFmtId="0" fontId="28" fillId="0" borderId="0" xfId="0" applyFont="1" applyAlignment="1">
      <alignment horizontal="right"/>
    </xf>
    <xf numFmtId="0" fontId="2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9" xfId="0" applyFont="1" applyBorder="1"/>
    <xf numFmtId="164" fontId="0" fillId="0" borderId="0" xfId="0" applyNumberFormat="1" applyAlignment="1">
      <alignment horizontal="center"/>
    </xf>
    <xf numFmtId="0" fontId="0" fillId="0" borderId="12" xfId="0" applyBorder="1"/>
    <xf numFmtId="49" fontId="21" fillId="0" borderId="0" xfId="543" applyNumberFormat="1"/>
    <xf numFmtId="0" fontId="21" fillId="0" borderId="8" xfId="543" applyBorder="1"/>
    <xf numFmtId="0" fontId="21" fillId="0" borderId="9" xfId="543" applyBorder="1"/>
    <xf numFmtId="0" fontId="21" fillId="0" borderId="10" xfId="543" applyBorder="1"/>
    <xf numFmtId="0" fontId="21" fillId="0" borderId="1" xfId="543" applyBorder="1"/>
    <xf numFmtId="0" fontId="21" fillId="0" borderId="12" xfId="543" applyBorder="1"/>
    <xf numFmtId="0" fontId="21" fillId="0" borderId="2" xfId="543" applyBorder="1"/>
    <xf numFmtId="0" fontId="21" fillId="0" borderId="7" xfId="543" applyBorder="1"/>
    <xf numFmtId="0" fontId="21" fillId="0" borderId="0" xfId="543" applyAlignment="1">
      <alignment horizontal="center"/>
    </xf>
    <xf numFmtId="0" fontId="29" fillId="0" borderId="6" xfId="543" applyFont="1" applyBorder="1" applyAlignment="1">
      <alignment vertical="top" wrapText="1"/>
    </xf>
    <xf numFmtId="0" fontId="0" fillId="2" borderId="2" xfId="0" applyFill="1" applyBorder="1"/>
    <xf numFmtId="0" fontId="0" fillId="2" borderId="7" xfId="0" applyFill="1" applyBorder="1"/>
    <xf numFmtId="0" fontId="28" fillId="0" borderId="6" xfId="0" applyFont="1" applyBorder="1" applyAlignment="1">
      <alignment horizontal="right"/>
    </xf>
    <xf numFmtId="0" fontId="27" fillId="0" borderId="0" xfId="0" applyFont="1" applyAlignment="1">
      <alignment horizontal="center" vertical="center"/>
    </xf>
    <xf numFmtId="0" fontId="28" fillId="0" borderId="0" xfId="0" applyFont="1" applyAlignment="1">
      <alignment vertical="top"/>
    </xf>
    <xf numFmtId="166" fontId="0" fillId="0" borderId="0" xfId="0" applyNumberFormat="1" applyAlignment="1">
      <alignment horizontal="right"/>
    </xf>
    <xf numFmtId="0" fontId="45" fillId="0" borderId="0" xfId="0" applyFont="1"/>
    <xf numFmtId="0" fontId="38" fillId="0" borderId="0" xfId="0" applyFont="1"/>
    <xf numFmtId="0" fontId="22" fillId="0" borderId="0" xfId="244" applyBorder="1" applyProtection="1"/>
    <xf numFmtId="0" fontId="22" fillId="0" borderId="0" xfId="244" applyFill="1" applyBorder="1" applyAlignment="1">
      <alignment horizontal="center" vertical="center"/>
    </xf>
    <xf numFmtId="0" fontId="21" fillId="0" borderId="3" xfId="543" applyBorder="1"/>
    <xf numFmtId="0" fontId="35" fillId="0" borderId="6" xfId="0" applyFont="1" applyBorder="1" applyAlignment="1">
      <alignment vertical="top" wrapText="1"/>
    </xf>
    <xf numFmtId="0" fontId="35" fillId="0" borderId="5" xfId="0" applyFont="1" applyBorder="1" applyAlignment="1">
      <alignment vertical="top" wrapText="1"/>
    </xf>
    <xf numFmtId="0" fontId="35" fillId="0" borderId="4" xfId="0" applyFont="1" applyBorder="1" applyAlignment="1">
      <alignment vertical="top" wrapText="1"/>
    </xf>
    <xf numFmtId="0" fontId="35" fillId="2" borderId="6" xfId="0" applyFont="1" applyFill="1" applyBorder="1" applyAlignment="1">
      <alignment vertical="top" wrapText="1"/>
    </xf>
    <xf numFmtId="0" fontId="0" fillId="0" borderId="8" xfId="0" applyBorder="1"/>
    <xf numFmtId="0" fontId="28" fillId="0" borderId="2" xfId="0" applyFont="1" applyBorder="1"/>
    <xf numFmtId="0" fontId="21" fillId="0" borderId="0" xfId="0" applyFont="1" applyAlignment="1">
      <alignment horizontal="left"/>
    </xf>
    <xf numFmtId="0" fontId="21" fillId="0" borderId="0" xfId="0" applyFont="1" applyAlignment="1">
      <alignment vertical="top"/>
    </xf>
    <xf numFmtId="0" fontId="44" fillId="0" borderId="0" xfId="0" applyFont="1"/>
    <xf numFmtId="0" fontId="21" fillId="0" borderId="3" xfId="0" applyFont="1" applyBorder="1"/>
    <xf numFmtId="0" fontId="2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5" fillId="3" borderId="4" xfId="0" applyFont="1" applyFill="1" applyBorder="1" applyAlignment="1">
      <alignment vertical="top" wrapText="1"/>
    </xf>
    <xf numFmtId="0" fontId="35" fillId="3" borderId="5" xfId="0" applyFont="1" applyFill="1" applyBorder="1" applyAlignment="1">
      <alignment vertical="top" wrapText="1"/>
    </xf>
    <xf numFmtId="0" fontId="46" fillId="0" borderId="0" xfId="0" applyFont="1"/>
    <xf numFmtId="0" fontId="28" fillId="0" borderId="2" xfId="0" applyFont="1" applyBorder="1" applyAlignment="1">
      <alignment horizontal="center"/>
    </xf>
    <xf numFmtId="0" fontId="28" fillId="0" borderId="0" xfId="0" applyFont="1" applyAlignment="1">
      <alignment horizontal="center" vertical="center" wrapText="1"/>
    </xf>
    <xf numFmtId="0" fontId="28" fillId="0" borderId="7" xfId="543" applyFont="1" applyBorder="1" applyAlignment="1">
      <alignment horizontal="right"/>
    </xf>
    <xf numFmtId="0" fontId="29" fillId="0" borderId="9" xfId="543" applyFont="1" applyBorder="1"/>
    <xf numFmtId="0" fontId="29" fillId="0" borderId="6" xfId="543" applyFont="1" applyBorder="1" applyAlignment="1">
      <alignment horizontal="right"/>
    </xf>
    <xf numFmtId="0" fontId="28" fillId="0" borderId="0" xfId="0" applyFont="1" applyAlignment="1">
      <alignment horizontal="center"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0" borderId="11" xfId="0" applyFont="1" applyBorder="1" applyAlignment="1">
      <alignment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24" fillId="0" borderId="11" xfId="0" applyFont="1" applyBorder="1" applyAlignment="1">
      <alignment horizontal="right" vertical="top" wrapText="1"/>
    </xf>
    <xf numFmtId="0" fontId="51" fillId="0" borderId="0" xfId="0" applyFont="1" applyAlignment="1">
      <alignment horizontal="left" vertical="top"/>
    </xf>
    <xf numFmtId="0" fontId="53" fillId="0" borderId="0" xfId="0" applyFont="1" applyAlignment="1">
      <alignment vertical="top" wrapText="1"/>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0" fontId="21" fillId="0" borderId="0" xfId="244" applyFont="1" applyFill="1" applyBorder="1" applyAlignment="1" applyProtection="1">
      <alignment horizontal="left"/>
    </xf>
    <xf numFmtId="0" fontId="27" fillId="3" borderId="11" xfId="0" applyFont="1" applyFill="1" applyBorder="1" applyAlignment="1">
      <alignment vertical="top"/>
    </xf>
    <xf numFmtId="0" fontId="0" fillId="7" borderId="0" xfId="0" applyFill="1"/>
    <xf numFmtId="0" fontId="39" fillId="0" borderId="0" xfId="0" applyFont="1" applyAlignment="1">
      <alignment horizontal="center"/>
    </xf>
    <xf numFmtId="0" fontId="39" fillId="0" borderId="0" xfId="0" applyFont="1" applyAlignment="1">
      <alignment horizontal="left"/>
    </xf>
    <xf numFmtId="49" fontId="28" fillId="0" borderId="0" xfId="0" applyNumberFormat="1" applyFont="1" applyAlignment="1">
      <alignment horizontal="center"/>
    </xf>
    <xf numFmtId="0" fontId="48" fillId="0" borderId="0" xfId="0" applyFont="1" applyAlignment="1">
      <alignment horizontal="center"/>
    </xf>
    <xf numFmtId="0" fontId="50" fillId="0" borderId="3" xfId="0" applyFont="1" applyBorder="1"/>
    <xf numFmtId="168" fontId="0" fillId="0" borderId="0" xfId="0" applyNumberFormat="1" applyAlignment="1">
      <alignment horizontal="center"/>
    </xf>
    <xf numFmtId="0" fontId="51" fillId="0" borderId="4" xfId="0" applyFont="1" applyBorder="1" applyAlignment="1">
      <alignment horizontal="right"/>
    </xf>
    <xf numFmtId="0" fontId="56" fillId="0" borderId="0" xfId="0" applyFont="1"/>
    <xf numFmtId="168" fontId="21" fillId="0" borderId="0" xfId="0" applyNumberFormat="1" applyFont="1" applyAlignment="1">
      <alignment horizontal="left" vertical="top"/>
    </xf>
    <xf numFmtId="0" fontId="53" fillId="0" borderId="0" xfId="0" applyFont="1" applyAlignment="1">
      <alignment horizontal="right" vertical="top" wrapText="1"/>
    </xf>
    <xf numFmtId="0" fontId="53" fillId="0" borderId="14" xfId="0" applyFont="1" applyBorder="1" applyAlignment="1">
      <alignment vertical="top" wrapText="1"/>
    </xf>
    <xf numFmtId="0" fontId="53" fillId="0" borderId="11" xfId="0" applyFont="1" applyBorder="1" applyAlignment="1" applyProtection="1">
      <alignment vertical="top"/>
      <protection locked="0"/>
    </xf>
    <xf numFmtId="0" fontId="28" fillId="0" borderId="0" xfId="542" applyFont="1" applyProtection="1">
      <protection locked="0"/>
    </xf>
    <xf numFmtId="0" fontId="21" fillId="0" borderId="0" xfId="539" applyProtection="1"/>
    <xf numFmtId="0" fontId="28" fillId="0" borderId="0" xfId="543" applyFont="1"/>
    <xf numFmtId="0" fontId="21" fillId="0" borderId="0" xfId="0" applyFont="1" applyProtection="1">
      <protection locked="0"/>
    </xf>
    <xf numFmtId="0" fontId="59" fillId="0" borderId="0" xfId="0" applyFont="1" applyAlignment="1">
      <alignment horizontal="center"/>
    </xf>
    <xf numFmtId="0" fontId="30" fillId="0" borderId="0" xfId="271"/>
    <xf numFmtId="0" fontId="28" fillId="0" borderId="0" xfId="271" applyFont="1"/>
    <xf numFmtId="0" fontId="30" fillId="0" borderId="0" xfId="271" applyAlignment="1">
      <alignment horizontal="left"/>
    </xf>
    <xf numFmtId="168" fontId="28" fillId="0" borderId="2" xfId="543" applyNumberFormat="1" applyFont="1" applyBorder="1" applyAlignment="1">
      <alignment horizontal="center" vertical="center"/>
    </xf>
    <xf numFmtId="0" fontId="26" fillId="0" borderId="0" xfId="0" applyFont="1"/>
    <xf numFmtId="0" fontId="61" fillId="0" borderId="0" xfId="0" applyFont="1"/>
    <xf numFmtId="0" fontId="59" fillId="0" borderId="0" xfId="0" applyFont="1"/>
    <xf numFmtId="10" fontId="0" fillId="0" borderId="0" xfId="0" applyNumberFormat="1" applyAlignment="1">
      <alignment horizontal="center"/>
    </xf>
    <xf numFmtId="3" fontId="0" fillId="0" borderId="0" xfId="0" applyNumberFormat="1"/>
    <xf numFmtId="168" fontId="28" fillId="0" borderId="0" xfId="0" applyNumberFormat="1" applyFont="1" applyAlignment="1">
      <alignment horizontal="center"/>
    </xf>
    <xf numFmtId="3" fontId="30" fillId="0" borderId="0" xfId="0" applyNumberFormat="1" applyFont="1"/>
    <xf numFmtId="0" fontId="60" fillId="0" borderId="0" xfId="0" applyFont="1"/>
    <xf numFmtId="168" fontId="26" fillId="0" borderId="0" xfId="0" applyNumberFormat="1" applyFont="1"/>
    <xf numFmtId="10" fontId="26" fillId="0" borderId="0" xfId="0" applyNumberFormat="1" applyFont="1" applyAlignment="1">
      <alignment horizontal="center"/>
    </xf>
    <xf numFmtId="3" fontId="63" fillId="0" borderId="0" xfId="0" applyNumberFormat="1" applyFont="1"/>
    <xf numFmtId="3" fontId="26" fillId="0" borderId="0" xfId="0" applyNumberFormat="1" applyFont="1"/>
    <xf numFmtId="168" fontId="60" fillId="0" borderId="0" xfId="0" applyNumberFormat="1" applyFont="1"/>
    <xf numFmtId="168" fontId="60" fillId="0" borderId="0" xfId="0" applyNumberFormat="1" applyFont="1" applyAlignment="1">
      <alignment horizontal="center"/>
    </xf>
    <xf numFmtId="0" fontId="26" fillId="5" borderId="0" xfId="0" applyFont="1" applyFill="1" applyAlignment="1">
      <alignment horizontal="left"/>
    </xf>
    <xf numFmtId="0" fontId="26" fillId="5" borderId="0" xfId="0" applyFont="1" applyFill="1"/>
    <xf numFmtId="10" fontId="26" fillId="0" borderId="0" xfId="0" applyNumberFormat="1" applyFont="1"/>
    <xf numFmtId="172" fontId="26" fillId="0" borderId="0" xfId="0" applyNumberFormat="1" applyFont="1"/>
    <xf numFmtId="172" fontId="26" fillId="0" borderId="0" xfId="0" applyNumberFormat="1" applyFont="1" applyAlignment="1">
      <alignment horizontal="center"/>
    </xf>
    <xf numFmtId="0" fontId="26" fillId="0" borderId="6" xfId="0" applyFont="1" applyBorder="1"/>
    <xf numFmtId="10" fontId="26" fillId="0" borderId="6" xfId="0" applyNumberFormat="1" applyFont="1" applyBorder="1" applyAlignment="1">
      <alignment horizontal="center"/>
    </xf>
    <xf numFmtId="3" fontId="26" fillId="0" borderId="6" xfId="0" applyNumberFormat="1" applyFont="1" applyBorder="1"/>
    <xf numFmtId="3" fontId="30" fillId="0" borderId="0" xfId="0" applyNumberFormat="1" applyFont="1" applyAlignment="1">
      <alignment vertical="top"/>
    </xf>
    <xf numFmtId="10" fontId="28" fillId="0" borderId="0" xfId="0" applyNumberFormat="1" applyFont="1" applyAlignment="1">
      <alignment horizontal="center"/>
    </xf>
    <xf numFmtId="0" fontId="59" fillId="0" borderId="6" xfId="0" applyFont="1" applyBorder="1" applyAlignment="1">
      <alignment horizontal="center"/>
    </xf>
    <xf numFmtId="0" fontId="30" fillId="0" borderId="4" xfId="271" applyBorder="1"/>
    <xf numFmtId="0" fontId="3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8" fillId="0" borderId="0" xfId="0" applyNumberFormat="1" applyFont="1" applyAlignment="1">
      <alignment horizontal="center"/>
    </xf>
    <xf numFmtId="0" fontId="35" fillId="3" borderId="4" xfId="271" applyFont="1" applyFill="1" applyBorder="1" applyAlignment="1">
      <alignment vertical="top" wrapText="1"/>
    </xf>
    <xf numFmtId="0" fontId="27" fillId="3" borderId="11" xfId="271" applyFont="1" applyFill="1" applyBorder="1" applyAlignment="1">
      <alignment vertical="top"/>
    </xf>
    <xf numFmtId="0" fontId="28" fillId="0" borderId="9" xfId="271" applyFont="1" applyBorder="1" applyAlignment="1">
      <alignment horizontal="center" wrapText="1"/>
    </xf>
    <xf numFmtId="0" fontId="35" fillId="3" borderId="4" xfId="271" applyFont="1" applyFill="1" applyBorder="1" applyAlignment="1" applyProtection="1">
      <alignment vertical="top" wrapText="1"/>
      <protection locked="0"/>
    </xf>
    <xf numFmtId="0" fontId="35" fillId="3" borderId="5" xfId="271" applyFont="1" applyFill="1" applyBorder="1" applyAlignment="1" applyProtection="1">
      <alignment vertical="top" wrapText="1"/>
      <protection locked="0"/>
    </xf>
    <xf numFmtId="0" fontId="28" fillId="0" borderId="13" xfId="271" applyFont="1" applyBorder="1" applyAlignment="1">
      <alignment horizontal="center" wrapText="1"/>
    </xf>
    <xf numFmtId="0" fontId="46" fillId="2" borderId="11" xfId="271" applyFont="1" applyFill="1" applyBorder="1" applyAlignment="1">
      <alignment horizontal="left" vertical="top" wrapText="1"/>
    </xf>
    <xf numFmtId="0" fontId="30" fillId="0" borderId="11" xfId="271" applyBorder="1" applyAlignment="1" applyProtection="1">
      <alignment vertical="top" wrapText="1"/>
      <protection locked="0"/>
    </xf>
    <xf numFmtId="168" fontId="30" fillId="5" borderId="11" xfId="271" applyNumberFormat="1" applyFill="1" applyBorder="1" applyAlignment="1" applyProtection="1">
      <alignment vertical="top" wrapText="1"/>
      <protection locked="0"/>
    </xf>
    <xf numFmtId="0" fontId="30" fillId="5" borderId="3" xfId="271" applyFill="1" applyBorder="1" applyAlignment="1" applyProtection="1">
      <alignment vertical="top" wrapText="1"/>
      <protection locked="0"/>
    </xf>
    <xf numFmtId="0" fontId="30" fillId="5" borderId="11" xfId="271" applyFill="1" applyBorder="1" applyAlignment="1" applyProtection="1">
      <alignment vertical="top" wrapText="1"/>
      <protection locked="0"/>
    </xf>
    <xf numFmtId="0" fontId="30" fillId="0" borderId="11" xfId="271" applyBorder="1" applyAlignment="1">
      <alignment horizontal="right" vertical="top" wrapText="1"/>
    </xf>
    <xf numFmtId="168" fontId="30" fillId="0" borderId="11" xfId="271" applyNumberFormat="1" applyBorder="1" applyAlignment="1">
      <alignment vertical="top" wrapText="1"/>
    </xf>
    <xf numFmtId="0" fontId="28" fillId="0" borderId="11" xfId="271" applyFont="1" applyBorder="1" applyAlignment="1">
      <alignment horizontal="right" vertical="top" wrapText="1"/>
    </xf>
    <xf numFmtId="0" fontId="30" fillId="5" borderId="11" xfId="271" applyFill="1" applyBorder="1" applyAlignment="1" applyProtection="1">
      <alignment horizontal="right" vertical="top" wrapText="1"/>
      <protection locked="0"/>
    </xf>
    <xf numFmtId="168" fontId="28" fillId="0" borderId="11" xfId="271" applyNumberFormat="1" applyFont="1" applyBorder="1" applyAlignment="1">
      <alignment vertical="top" wrapText="1"/>
    </xf>
    <xf numFmtId="0" fontId="38" fillId="0" borderId="11" xfId="271" applyFont="1" applyBorder="1" applyAlignment="1">
      <alignment horizontal="right" vertical="top" wrapText="1"/>
    </xf>
    <xf numFmtId="0" fontId="35" fillId="0" borderId="0" xfId="271" applyFont="1" applyAlignment="1" applyProtection="1">
      <alignment vertical="top" wrapText="1"/>
      <protection locked="0"/>
    </xf>
    <xf numFmtId="0" fontId="30" fillId="0" borderId="5" xfId="271" applyBorder="1" applyAlignment="1" applyProtection="1">
      <alignment vertical="top" wrapText="1"/>
      <protection locked="0"/>
    </xf>
    <xf numFmtId="0" fontId="28" fillId="0" borderId="3" xfId="271" applyFont="1" applyBorder="1" applyAlignment="1">
      <alignment horizontal="left" vertical="top"/>
    </xf>
    <xf numFmtId="0" fontId="30" fillId="0" borderId="4" xfId="271" applyBorder="1" applyAlignment="1" applyProtection="1">
      <alignment horizontal="left" vertical="top"/>
      <protection locked="0"/>
    </xf>
    <xf numFmtId="0" fontId="30" fillId="0" borderId="4" xfId="271" applyBorder="1" applyAlignment="1" applyProtection="1">
      <alignment vertical="top" wrapText="1"/>
      <protection locked="0"/>
    </xf>
    <xf numFmtId="0" fontId="35" fillId="0" borderId="0" xfId="271" applyFont="1" applyAlignment="1">
      <alignment vertical="top" wrapText="1"/>
    </xf>
    <xf numFmtId="0" fontId="30"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38"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30" fillId="0" borderId="0" xfId="271" applyAlignment="1">
      <alignment horizontal="left" vertical="top"/>
    </xf>
    <xf numFmtId="0" fontId="28" fillId="0" borderId="0" xfId="271" applyFont="1" applyAlignment="1">
      <alignment horizontal="right"/>
    </xf>
    <xf numFmtId="0" fontId="29" fillId="0" borderId="0" xfId="271" applyFont="1" applyAlignment="1">
      <alignment horizontal="center"/>
    </xf>
    <xf numFmtId="1" fontId="30" fillId="0" borderId="15" xfId="271" applyNumberFormat="1" applyBorder="1"/>
    <xf numFmtId="1" fontId="30" fillId="0" borderId="14" xfId="271" applyNumberFormat="1" applyBorder="1"/>
    <xf numFmtId="0" fontId="29" fillId="0" borderId="6" xfId="271" applyFont="1" applyBorder="1" applyAlignment="1">
      <alignment horizontal="left"/>
    </xf>
    <xf numFmtId="0" fontId="29" fillId="0" borderId="6" xfId="271" applyFont="1" applyBorder="1" applyAlignment="1">
      <alignment horizontal="right"/>
    </xf>
    <xf numFmtId="165" fontId="30" fillId="0" borderId="0" xfId="271" applyNumberFormat="1"/>
    <xf numFmtId="170" fontId="30" fillId="0" borderId="14" xfId="271" applyNumberFormat="1" applyBorder="1"/>
    <xf numFmtId="1" fontId="28" fillId="0" borderId="11" xfId="271" applyNumberFormat="1" applyFont="1" applyBorder="1"/>
    <xf numFmtId="165" fontId="28" fillId="0" borderId="11" xfId="271" applyNumberFormat="1" applyFont="1" applyBorder="1"/>
    <xf numFmtId="0" fontId="0" fillId="0" borderId="0" xfId="0" applyProtection="1">
      <protection locked="0"/>
    </xf>
    <xf numFmtId="0" fontId="26" fillId="0" borderId="0" xfId="0" applyFont="1" applyProtection="1">
      <protection locked="0"/>
    </xf>
    <xf numFmtId="0" fontId="26" fillId="0" borderId="0" xfId="271" applyFont="1" applyProtection="1">
      <protection locked="0"/>
    </xf>
    <xf numFmtId="168" fontId="26" fillId="0" borderId="0" xfId="271" applyNumberFormat="1" applyFont="1" applyProtection="1">
      <protection locked="0"/>
    </xf>
    <xf numFmtId="0" fontId="34" fillId="0" borderId="1" xfId="0" applyFont="1" applyBorder="1"/>
    <xf numFmtId="0" fontId="21" fillId="0" borderId="2" xfId="0" applyFont="1" applyBorder="1" applyAlignment="1">
      <alignment horizontal="left"/>
    </xf>
    <xf numFmtId="0" fontId="21" fillId="0" borderId="2" xfId="0" applyFont="1" applyBorder="1"/>
    <xf numFmtId="0" fontId="34" fillId="0" borderId="8" xfId="0" applyFont="1" applyBorder="1"/>
    <xf numFmtId="0" fontId="34" fillId="0" borderId="9" xfId="0" applyFont="1" applyBorder="1"/>
    <xf numFmtId="0" fontId="28" fillId="0" borderId="0" xfId="0" applyFont="1" applyAlignment="1">
      <alignment horizontal="left" vertical="top"/>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69" fillId="0" borderId="0" xfId="0" applyFont="1" applyAlignment="1">
      <alignment horizontal="left" vertical="center"/>
    </xf>
    <xf numFmtId="49" fontId="45" fillId="0" borderId="0" xfId="0" applyNumberFormat="1" applyFont="1" applyAlignment="1">
      <alignment horizontal="center"/>
    </xf>
    <xf numFmtId="0" fontId="50" fillId="0" borderId="0" xfId="0" applyFont="1"/>
    <xf numFmtId="5" fontId="73" fillId="0" borderId="11" xfId="541" applyNumberFormat="1" applyFont="1" applyBorder="1" applyAlignment="1" applyProtection="1">
      <alignment horizontal="center"/>
    </xf>
    <xf numFmtId="5" fontId="73" fillId="42"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5" fillId="0" borderId="13" xfId="0" applyFont="1" applyBorder="1" applyAlignment="1">
      <alignment vertical="top" wrapText="1"/>
    </xf>
    <xf numFmtId="0" fontId="35" fillId="0" borderId="0" xfId="0" applyFont="1" applyAlignment="1">
      <alignment vertical="top" wrapText="1"/>
    </xf>
    <xf numFmtId="0" fontId="75" fillId="2" borderId="13" xfId="0" applyFont="1" applyFill="1" applyBorder="1" applyAlignment="1">
      <alignment vertical="top" wrapText="1"/>
    </xf>
    <xf numFmtId="0" fontId="75" fillId="0" borderId="0" xfId="0" applyFont="1" applyAlignment="1">
      <alignment vertical="top" wrapText="1"/>
    </xf>
    <xf numFmtId="0" fontId="75"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8" fillId="0" borderId="0" xfId="0" applyFont="1" applyAlignment="1">
      <alignment horizontal="left" vertical="top" wrapText="1"/>
    </xf>
    <xf numFmtId="0" fontId="59" fillId="0" borderId="0" xfId="0" applyFont="1" applyAlignment="1">
      <alignment horizontal="left" vertical="center"/>
    </xf>
    <xf numFmtId="0" fontId="28" fillId="0" borderId="2" xfId="543" applyFont="1" applyBorder="1" applyAlignment="1">
      <alignment horizontal="center"/>
    </xf>
    <xf numFmtId="0" fontId="0" fillId="0" borderId="0" xfId="543" applyFont="1"/>
    <xf numFmtId="0" fontId="22"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99" fillId="0" borderId="0" xfId="0" applyFont="1" applyAlignment="1">
      <alignment horizontal="left" vertical="top"/>
    </xf>
    <xf numFmtId="0" fontId="100" fillId="0" borderId="0" xfId="0" applyFont="1" applyAlignment="1">
      <alignment horizontal="left" vertical="top"/>
    </xf>
    <xf numFmtId="0" fontId="68" fillId="0" borderId="0" xfId="0" applyFont="1"/>
    <xf numFmtId="0" fontId="28" fillId="8" borderId="11" xfId="542" applyFont="1" applyFill="1" applyBorder="1" applyAlignment="1">
      <alignment horizontal="left"/>
    </xf>
    <xf numFmtId="0" fontId="28" fillId="8" borderId="11" xfId="542" applyFont="1" applyFill="1" applyBorder="1" applyAlignment="1">
      <alignment horizontal="center"/>
    </xf>
    <xf numFmtId="0" fontId="58" fillId="8" borderId="11" xfId="542" applyFont="1" applyFill="1" applyBorder="1" applyAlignment="1">
      <alignment horizontal="left"/>
    </xf>
    <xf numFmtId="0" fontId="58" fillId="0" borderId="11" xfId="542" applyFont="1" applyBorder="1" applyAlignment="1">
      <alignment horizontal="left"/>
    </xf>
    <xf numFmtId="0" fontId="28" fillId="0" borderId="0" xfId="271" applyFont="1" applyAlignment="1" applyProtection="1">
      <alignment horizontal="center" wrapText="1"/>
      <protection locked="0"/>
    </xf>
    <xf numFmtId="0" fontId="30" fillId="0" borderId="0" xfId="271" applyAlignment="1" applyProtection="1">
      <alignment vertical="top" wrapText="1"/>
      <protection locked="0"/>
    </xf>
    <xf numFmtId="0" fontId="28" fillId="0" borderId="0" xfId="271" applyFont="1" applyAlignment="1" applyProtection="1">
      <alignment vertical="top" wrapText="1"/>
      <protection locked="0"/>
    </xf>
    <xf numFmtId="0" fontId="21" fillId="0" borderId="0" xfId="0" applyFont="1" applyAlignment="1">
      <alignment horizontal="center"/>
    </xf>
    <xf numFmtId="0" fontId="35" fillId="0" borderId="8" xfId="569" applyFont="1" applyBorder="1" applyAlignment="1">
      <alignment vertical="top" wrapText="1"/>
    </xf>
    <xf numFmtId="0" fontId="35"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24"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0"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8" fillId="0" borderId="0" xfId="569" applyFont="1" applyAlignment="1">
      <alignment horizontal="left" vertical="top"/>
    </xf>
    <xf numFmtId="0" fontId="103" fillId="0" borderId="0" xfId="569" applyFont="1" applyAlignment="1">
      <alignment horizontal="left" vertical="top"/>
    </xf>
    <xf numFmtId="0" fontId="59" fillId="0" borderId="0" xfId="569" applyFont="1" applyAlignment="1">
      <alignment horizontal="left" vertical="center"/>
    </xf>
    <xf numFmtId="0" fontId="36" fillId="0" borderId="0" xfId="569" applyFont="1" applyAlignment="1">
      <alignment vertical="top" wrapText="1"/>
    </xf>
    <xf numFmtId="0" fontId="36" fillId="0" borderId="12" xfId="569" applyFont="1" applyBorder="1" applyAlignment="1">
      <alignment vertical="top" wrapText="1"/>
    </xf>
    <xf numFmtId="0" fontId="36"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21" fillId="0" borderId="0" xfId="569" applyAlignment="1">
      <alignment vertical="top" wrapText="1"/>
    </xf>
    <xf numFmtId="0" fontId="21" fillId="0" borderId="0" xfId="569" applyAlignment="1">
      <alignment vertical="top"/>
    </xf>
    <xf numFmtId="0" fontId="50" fillId="0" borderId="0" xfId="569" applyFont="1" applyAlignment="1">
      <alignment horizontal="right" vertical="top" wrapText="1"/>
    </xf>
    <xf numFmtId="0" fontId="28" fillId="0" borderId="0" xfId="569" applyFont="1" applyAlignment="1">
      <alignment horizontal="left" vertical="top" wrapText="1"/>
    </xf>
    <xf numFmtId="168" fontId="50" fillId="0" borderId="0" xfId="569" applyNumberFormat="1" applyFont="1" applyAlignment="1">
      <alignment horizontal="right" vertical="top" wrapText="1"/>
    </xf>
    <xf numFmtId="0" fontId="21" fillId="0" borderId="0" xfId="569" applyAlignment="1" applyProtection="1">
      <alignment horizontal="left" vertical="top" wrapText="1"/>
      <protection locked="0"/>
    </xf>
    <xf numFmtId="0" fontId="21" fillId="0" borderId="0" xfId="569" applyAlignment="1">
      <alignment horizontal="right" vertical="top" wrapText="1"/>
    </xf>
    <xf numFmtId="0" fontId="21" fillId="0" borderId="0" xfId="569" applyAlignment="1">
      <alignment horizontal="left" vertical="top"/>
    </xf>
    <xf numFmtId="0" fontId="75" fillId="0" borderId="0" xfId="569" applyFont="1" applyAlignment="1">
      <alignment vertical="top" wrapText="1"/>
    </xf>
    <xf numFmtId="0" fontId="75" fillId="0" borderId="12" xfId="569" applyFont="1" applyBorder="1" applyAlignment="1">
      <alignment vertical="top" wrapText="1"/>
    </xf>
    <xf numFmtId="0" fontId="75" fillId="0" borderId="8" xfId="569" applyFont="1" applyBorder="1" applyAlignment="1">
      <alignment vertical="top" wrapText="1"/>
    </xf>
    <xf numFmtId="0" fontId="35" fillId="0" borderId="0" xfId="569" applyFont="1" applyAlignment="1">
      <alignment horizontal="right" vertical="top" wrapText="1"/>
    </xf>
    <xf numFmtId="0" fontId="75"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21" fillId="0" borderId="0" xfId="569"/>
    <xf numFmtId="0" fontId="27" fillId="0" borderId="0" xfId="569" applyFont="1" applyAlignment="1">
      <alignment horizontal="center" vertical="center"/>
    </xf>
    <xf numFmtId="0" fontId="28" fillId="0" borderId="0" xfId="569" applyFont="1"/>
    <xf numFmtId="0" fontId="21" fillId="0" borderId="1" xfId="569" applyBorder="1"/>
    <xf numFmtId="0" fontId="21" fillId="0" borderId="2" xfId="569" applyBorder="1"/>
    <xf numFmtId="0" fontId="21" fillId="0" borderId="8" xfId="569" applyBorder="1"/>
    <xf numFmtId="0" fontId="21" fillId="0" borderId="9" xfId="569" applyBorder="1"/>
    <xf numFmtId="0" fontId="21" fillId="0" borderId="6" xfId="569" applyBorder="1"/>
    <xf numFmtId="0" fontId="29" fillId="0" borderId="0" xfId="569" applyFont="1"/>
    <xf numFmtId="0" fontId="21" fillId="0" borderId="7" xfId="569" applyBorder="1"/>
    <xf numFmtId="0" fontId="21" fillId="0" borderId="12" xfId="569" applyBorder="1"/>
    <xf numFmtId="0" fontId="21" fillId="0" borderId="10" xfId="569" applyBorder="1"/>
    <xf numFmtId="0" fontId="29" fillId="0" borderId="0" xfId="569" applyFont="1" applyAlignment="1">
      <alignment vertical="top" wrapText="1"/>
    </xf>
    <xf numFmtId="0" fontId="21" fillId="0" borderId="0" xfId="569" applyAlignment="1">
      <alignment horizontal="right"/>
    </xf>
    <xf numFmtId="0" fontId="21" fillId="0" borderId="0" xfId="569" applyAlignment="1">
      <alignment wrapText="1"/>
    </xf>
    <xf numFmtId="0" fontId="21" fillId="0" borderId="0" xfId="569" applyAlignment="1">
      <alignment vertical="center"/>
    </xf>
    <xf numFmtId="0" fontId="40" fillId="0" borderId="0" xfId="569" applyFont="1" applyAlignment="1">
      <alignment vertical="center" wrapText="1"/>
    </xf>
    <xf numFmtId="0" fontId="39" fillId="0" borderId="0" xfId="569" applyFont="1" applyAlignment="1">
      <alignment vertical="top" wrapText="1"/>
    </xf>
    <xf numFmtId="0" fontId="28" fillId="0" borderId="0" xfId="569" applyFont="1" applyAlignment="1">
      <alignment vertical="top" wrapText="1"/>
    </xf>
    <xf numFmtId="0" fontId="29" fillId="0" borderId="0" xfId="569" applyFont="1" applyAlignment="1">
      <alignment horizontal="left" vertical="top" wrapText="1"/>
    </xf>
    <xf numFmtId="164" fontId="21" fillId="0" borderId="0" xfId="569" applyNumberFormat="1" applyAlignment="1">
      <alignment horizontal="right"/>
    </xf>
    <xf numFmtId="168" fontId="21" fillId="0" borderId="0" xfId="569" applyNumberFormat="1" applyAlignment="1">
      <alignment horizontal="right"/>
    </xf>
    <xf numFmtId="0" fontId="101" fillId="0" borderId="0" xfId="569" applyFont="1" applyAlignment="1">
      <alignment horizontal="left" vertical="top" wrapText="1"/>
    </xf>
    <xf numFmtId="168" fontId="21" fillId="0" borderId="0" xfId="569" applyNumberFormat="1" applyAlignment="1">
      <alignment wrapText="1"/>
    </xf>
    <xf numFmtId="0" fontId="26" fillId="0" borderId="11" xfId="253" applyFont="1" applyBorder="1" applyAlignment="1">
      <alignment horizontal="center" wrapText="1"/>
    </xf>
    <xf numFmtId="0" fontId="26" fillId="0" borderId="0" xfId="253" applyFont="1" applyAlignment="1">
      <alignment horizontal="center" wrapText="1"/>
    </xf>
    <xf numFmtId="3" fontId="26" fillId="0" borderId="11" xfId="271" applyNumberFormat="1" applyFont="1" applyBorder="1"/>
    <xf numFmtId="3" fontId="26" fillId="0" borderId="0" xfId="271" applyNumberFormat="1" applyFont="1"/>
    <xf numFmtId="0" fontId="60" fillId="0" borderId="0" xfId="271" applyFont="1" applyAlignment="1">
      <alignment horizontal="left"/>
    </xf>
    <xf numFmtId="0" fontId="60" fillId="0" borderId="0" xfId="271" applyFont="1" applyAlignment="1">
      <alignment horizontal="right"/>
    </xf>
    <xf numFmtId="168" fontId="26" fillId="0" borderId="11" xfId="271" applyNumberFormat="1" applyFont="1" applyBorder="1"/>
    <xf numFmtId="168" fontId="26" fillId="0" borderId="0" xfId="271" applyNumberFormat="1" applyFont="1"/>
    <xf numFmtId="0" fontId="50" fillId="0" borderId="0" xfId="569" applyFont="1" applyAlignment="1">
      <alignment horizontal="left"/>
    </xf>
    <xf numFmtId="0" fontId="21" fillId="0" borderId="3" xfId="569" applyBorder="1"/>
    <xf numFmtId="0" fontId="102" fillId="0" borderId="0" xfId="1834"/>
    <xf numFmtId="0" fontId="0" fillId="0" borderId="0" xfId="0" applyAlignment="1">
      <alignment horizontal="left" vertical="top"/>
    </xf>
    <xf numFmtId="0" fontId="101" fillId="0" borderId="0" xfId="0" applyFont="1" applyAlignment="1">
      <alignment vertical="top" wrapText="1"/>
    </xf>
    <xf numFmtId="0" fontId="50" fillId="0" borderId="0" xfId="271" applyFont="1" applyAlignment="1">
      <alignment vertical="top" wrapText="1"/>
    </xf>
    <xf numFmtId="4" fontId="21" fillId="0" borderId="0" xfId="1192" applyNumberFormat="1" applyAlignment="1">
      <alignment horizontal="left" vertical="top" wrapText="1"/>
    </xf>
    <xf numFmtId="0" fontId="21" fillId="0" borderId="0" xfId="0" applyFont="1" applyAlignment="1">
      <alignment horizontal="left" vertical="top" wrapText="1"/>
    </xf>
    <xf numFmtId="0" fontId="28" fillId="0" borderId="12" xfId="543" applyFont="1" applyBorder="1" applyAlignment="1">
      <alignment horizontal="right"/>
    </xf>
    <xf numFmtId="4" fontId="21" fillId="0" borderId="0" xfId="569" applyNumberFormat="1" applyAlignment="1">
      <alignment horizontal="left"/>
    </xf>
    <xf numFmtId="0" fontId="21" fillId="0" borderId="0" xfId="569" applyAlignment="1">
      <alignment horizontal="left" vertical="top" wrapText="1"/>
    </xf>
    <xf numFmtId="0" fontId="21" fillId="0" borderId="0" xfId="569" applyAlignment="1">
      <alignment horizontal="left"/>
    </xf>
    <xf numFmtId="0" fontId="21" fillId="0" borderId="0" xfId="1192" applyAlignment="1">
      <alignment horizontal="left"/>
    </xf>
    <xf numFmtId="0" fontId="28" fillId="0" borderId="0" xfId="569" applyFont="1" applyAlignment="1">
      <alignment horizontal="left"/>
    </xf>
    <xf numFmtId="0" fontId="44" fillId="0" borderId="0" xfId="1192" applyFont="1"/>
    <xf numFmtId="0" fontId="50" fillId="0" borderId="11" xfId="0" applyFont="1" applyBorder="1" applyAlignment="1">
      <alignment horizontal="right" vertical="center"/>
    </xf>
    <xf numFmtId="0" fontId="21" fillId="0" borderId="0" xfId="1192" applyAlignment="1">
      <alignment horizontal="left" vertical="top" wrapText="1"/>
    </xf>
    <xf numFmtId="0" fontId="44" fillId="0" borderId="0" xfId="0" applyFont="1" applyAlignment="1">
      <alignment vertical="top" wrapText="1"/>
    </xf>
    <xf numFmtId="0" fontId="44" fillId="0" borderId="0" xfId="0" applyFont="1" applyAlignment="1">
      <alignment horizontal="left" vertical="top" wrapText="1"/>
    </xf>
    <xf numFmtId="6" fontId="51" fillId="0" borderId="0" xfId="569" applyNumberFormat="1" applyFont="1" applyAlignment="1">
      <alignment horizontal="right" vertical="top"/>
    </xf>
    <xf numFmtId="0" fontId="21" fillId="0" borderId="0" xfId="0" applyFont="1" applyAlignment="1">
      <alignment vertical="top" wrapText="1"/>
    </xf>
    <xf numFmtId="168" fontId="30" fillId="0" borderId="28" xfId="540" applyNumberFormat="1" applyBorder="1" applyAlignment="1" applyProtection="1">
      <alignment horizontal="center"/>
    </xf>
    <xf numFmtId="168" fontId="30" fillId="0" borderId="29" xfId="540" applyNumberFormat="1" applyBorder="1" applyAlignment="1" applyProtection="1">
      <alignment horizontal="center"/>
    </xf>
    <xf numFmtId="168" fontId="30" fillId="0" borderId="30" xfId="540" applyNumberFormat="1" applyBorder="1" applyAlignment="1" applyProtection="1">
      <alignment horizontal="center"/>
    </xf>
    <xf numFmtId="168" fontId="30" fillId="0" borderId="31" xfId="540" applyNumberFormat="1" applyBorder="1" applyAlignment="1" applyProtection="1">
      <alignment horizontal="center"/>
    </xf>
    <xf numFmtId="168" fontId="30" fillId="0" borderId="32" xfId="540" applyNumberFormat="1" applyBorder="1" applyAlignment="1" applyProtection="1">
      <alignment horizontal="center"/>
    </xf>
    <xf numFmtId="168" fontId="30" fillId="0" borderId="33" xfId="540" applyNumberFormat="1" applyBorder="1" applyAlignment="1" applyProtection="1">
      <alignment horizontal="center"/>
    </xf>
    <xf numFmtId="168" fontId="30" fillId="0" borderId="34" xfId="540" applyNumberFormat="1" applyBorder="1" applyAlignment="1" applyProtection="1">
      <alignment horizontal="center"/>
    </xf>
    <xf numFmtId="168" fontId="30" fillId="0" borderId="35" xfId="540" applyNumberFormat="1" applyBorder="1" applyAlignment="1" applyProtection="1">
      <alignment horizontal="center"/>
    </xf>
    <xf numFmtId="168" fontId="30" fillId="0" borderId="36" xfId="540" applyNumberFormat="1" applyBorder="1" applyAlignment="1" applyProtection="1">
      <alignment horizontal="center"/>
    </xf>
    <xf numFmtId="168" fontId="30" fillId="0" borderId="37" xfId="540" applyNumberFormat="1" applyBorder="1" applyAlignment="1" applyProtection="1">
      <alignment horizontal="center"/>
    </xf>
    <xf numFmtId="168" fontId="30" fillId="0" borderId="38" xfId="540" applyNumberFormat="1" applyBorder="1" applyAlignment="1" applyProtection="1">
      <alignment horizontal="center"/>
    </xf>
    <xf numFmtId="168" fontId="30" fillId="0" borderId="39" xfId="540" applyNumberFormat="1" applyBorder="1" applyAlignment="1" applyProtection="1">
      <alignment horizontal="center"/>
    </xf>
    <xf numFmtId="168" fontId="30" fillId="0" borderId="40" xfId="540" applyNumberFormat="1" applyBorder="1" applyAlignment="1" applyProtection="1">
      <alignment horizontal="center"/>
    </xf>
    <xf numFmtId="168" fontId="30" fillId="0" borderId="0" xfId="540" applyNumberFormat="1" applyAlignment="1" applyProtection="1">
      <alignment horizontal="center"/>
    </xf>
    <xf numFmtId="168" fontId="30" fillId="0" borderId="14" xfId="540" applyNumberFormat="1" applyBorder="1" applyAlignment="1" applyProtection="1">
      <alignment horizontal="center"/>
    </xf>
    <xf numFmtId="168" fontId="30" fillId="0" borderId="41" xfId="540" applyNumberFormat="1" applyBorder="1" applyAlignment="1" applyProtection="1">
      <alignment horizontal="center"/>
    </xf>
    <xf numFmtId="168" fontId="30" fillId="0" borderId="42" xfId="540" applyNumberFormat="1" applyBorder="1" applyAlignment="1" applyProtection="1">
      <alignment horizontal="center"/>
    </xf>
    <xf numFmtId="168" fontId="30" fillId="0" borderId="43" xfId="540" applyNumberFormat="1" applyBorder="1" applyAlignment="1" applyProtection="1">
      <alignment horizontal="center"/>
    </xf>
    <xf numFmtId="168" fontId="30" fillId="0" borderId="44" xfId="540" applyNumberFormat="1" applyBorder="1" applyAlignment="1" applyProtection="1">
      <alignment horizontal="center"/>
    </xf>
    <xf numFmtId="0" fontId="21" fillId="0" borderId="0" xfId="1192"/>
    <xf numFmtId="0" fontId="21" fillId="0" borderId="0" xfId="0" applyFont="1" applyAlignment="1">
      <alignment wrapText="1"/>
    </xf>
    <xf numFmtId="0" fontId="44" fillId="0" borderId="0" xfId="0" applyFont="1" applyAlignment="1">
      <alignment horizontal="left" vertical="top"/>
    </xf>
    <xf numFmtId="0" fontId="44" fillId="0" borderId="0" xfId="0" applyFont="1" applyAlignment="1">
      <alignment vertical="top"/>
    </xf>
    <xf numFmtId="0" fontId="21" fillId="0" borderId="0" xfId="569" applyAlignment="1">
      <alignment horizontal="center"/>
    </xf>
    <xf numFmtId="0" fontId="39" fillId="0" borderId="0" xfId="569" applyFont="1" applyAlignment="1">
      <alignment horizontal="left"/>
    </xf>
    <xf numFmtId="0" fontId="39" fillId="0" borderId="0" xfId="569" applyFont="1" applyAlignment="1">
      <alignment horizontal="center"/>
    </xf>
    <xf numFmtId="49" fontId="28" fillId="0" borderId="0" xfId="569" applyNumberFormat="1" applyFont="1" applyAlignment="1">
      <alignment horizontal="center"/>
    </xf>
    <xf numFmtId="0" fontId="48" fillId="0" borderId="0" xfId="569" applyFont="1" applyAlignment="1">
      <alignment horizontal="center"/>
    </xf>
    <xf numFmtId="0" fontId="21" fillId="5" borderId="6" xfId="569" applyFill="1" applyBorder="1" applyProtection="1">
      <protection locked="0"/>
    </xf>
    <xf numFmtId="0" fontId="22" fillId="0" borderId="0" xfId="244" applyAlignment="1" applyProtection="1">
      <alignment horizontal="center"/>
    </xf>
    <xf numFmtId="49" fontId="21" fillId="0" borderId="0" xfId="569" applyNumberFormat="1" applyAlignment="1">
      <alignment horizontal="center"/>
    </xf>
    <xf numFmtId="0" fontId="21" fillId="0" borderId="0" xfId="569" applyAlignment="1">
      <alignment horizontal="center" vertical="center"/>
    </xf>
    <xf numFmtId="0" fontId="21" fillId="0" borderId="0" xfId="1192" applyAlignment="1">
      <alignment horizontal="center"/>
    </xf>
    <xf numFmtId="0" fontId="28" fillId="0" borderId="0" xfId="569" applyFont="1" applyAlignment="1">
      <alignment horizontal="center"/>
    </xf>
    <xf numFmtId="0" fontId="21" fillId="0" borderId="0" xfId="569" applyAlignment="1">
      <alignment horizontal="left" indent="4"/>
    </xf>
    <xf numFmtId="0" fontId="21" fillId="0" borderId="0" xfId="569" quotePrefix="1" applyAlignment="1">
      <alignment horizontal="left"/>
    </xf>
    <xf numFmtId="0" fontId="39" fillId="0" borderId="0" xfId="569" applyFont="1"/>
    <xf numFmtId="0" fontId="21" fillId="0" borderId="0" xfId="1192" applyAlignment="1" applyProtection="1">
      <alignment horizontal="left"/>
      <protection locked="0"/>
    </xf>
    <xf numFmtId="0" fontId="21" fillId="0" borderId="0" xfId="569" applyAlignment="1" applyProtection="1">
      <alignment horizontal="left"/>
      <protection locked="0"/>
    </xf>
    <xf numFmtId="49" fontId="21" fillId="0" borderId="0" xfId="1192" applyNumberFormat="1" applyAlignment="1">
      <alignment horizontal="center"/>
    </xf>
    <xf numFmtId="0" fontId="48" fillId="0" borderId="0" xfId="1192" applyFont="1" applyAlignment="1">
      <alignment horizontal="center"/>
    </xf>
    <xf numFmtId="0" fontId="28" fillId="0" borderId="0" xfId="1192" applyFont="1" applyAlignment="1">
      <alignment horizontal="left"/>
    </xf>
    <xf numFmtId="4" fontId="21" fillId="0" borderId="0" xfId="1192" applyNumberFormat="1" applyAlignment="1">
      <alignment horizontal="left"/>
    </xf>
    <xf numFmtId="0" fontId="28" fillId="0" borderId="0" xfId="569" quotePrefix="1" applyFont="1" applyAlignment="1">
      <alignment horizontal="center"/>
    </xf>
    <xf numFmtId="49" fontId="21" fillId="0" borderId="0" xfId="569" applyNumberFormat="1"/>
    <xf numFmtId="0" fontId="46" fillId="0" borderId="0" xfId="569" applyFont="1" applyAlignment="1">
      <alignment horizontal="left"/>
    </xf>
    <xf numFmtId="4" fontId="48" fillId="0" borderId="0" xfId="569" applyNumberFormat="1" applyFont="1" applyAlignment="1">
      <alignment horizontal="center"/>
    </xf>
    <xf numFmtId="4" fontId="21" fillId="0" borderId="0" xfId="569" applyNumberFormat="1" applyAlignment="1">
      <alignment horizontal="center"/>
    </xf>
    <xf numFmtId="4" fontId="21" fillId="0" borderId="0" xfId="569" applyNumberFormat="1"/>
    <xf numFmtId="0" fontId="45" fillId="0" borderId="0" xfId="569" applyFont="1" applyAlignment="1">
      <alignment horizontal="left"/>
    </xf>
    <xf numFmtId="0" fontId="22"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0" fontId="21" fillId="0" borderId="11" xfId="271" applyFont="1" applyBorder="1" applyAlignment="1">
      <alignment horizontal="right" vertical="top" wrapText="1"/>
    </xf>
    <xf numFmtId="0" fontId="29" fillId="0" borderId="0" xfId="569" applyFont="1" applyAlignment="1">
      <alignment horizontal="left"/>
    </xf>
    <xf numFmtId="0" fontId="99" fillId="0" borderId="0" xfId="0" applyFont="1"/>
    <xf numFmtId="0" fontId="110" fillId="0" borderId="0" xfId="0" applyFont="1" applyAlignment="1">
      <alignment horizontal="left" vertical="top"/>
    </xf>
    <xf numFmtId="0" fontId="111" fillId="0" borderId="0" xfId="0" applyFont="1" applyAlignment="1">
      <alignment horizontal="left" vertical="top"/>
    </xf>
    <xf numFmtId="168" fontId="29"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21" fillId="0" borderId="0" xfId="271" applyFont="1" applyAlignment="1">
      <alignment horizontal="left" vertical="top"/>
    </xf>
    <xf numFmtId="0" fontId="50" fillId="0" borderId="0" xfId="569" applyFont="1"/>
    <xf numFmtId="0" fontId="21" fillId="0" borderId="0" xfId="0" applyFont="1" applyAlignment="1">
      <alignment horizontal="left" vertical="top"/>
    </xf>
    <xf numFmtId="4" fontId="21" fillId="0" borderId="0" xfId="1192" applyNumberFormat="1" applyAlignment="1">
      <alignment vertical="top" wrapText="1"/>
    </xf>
    <xf numFmtId="0" fontId="28" fillId="0" borderId="16" xfId="271" applyFont="1" applyBorder="1"/>
    <xf numFmtId="0" fontId="55" fillId="0" borderId="0" xfId="569" applyFont="1"/>
    <xf numFmtId="0" fontId="40" fillId="0" borderId="0" xfId="569" applyFont="1"/>
    <xf numFmtId="0" fontId="21" fillId="0" borderId="0" xfId="1192" applyAlignment="1">
      <alignment vertical="top" wrapText="1"/>
    </xf>
    <xf numFmtId="49" fontId="21" fillId="0" borderId="0" xfId="1192" applyNumberFormat="1" applyAlignment="1">
      <alignment vertical="top" wrapText="1"/>
    </xf>
    <xf numFmtId="0" fontId="52" fillId="0" borderId="9" xfId="543" applyFont="1" applyBorder="1" applyAlignment="1">
      <alignment vertical="top"/>
    </xf>
    <xf numFmtId="0" fontId="21" fillId="0" borderId="0" xfId="0" applyFont="1" applyAlignment="1">
      <alignment vertical="center"/>
    </xf>
    <xf numFmtId="0" fontId="112" fillId="0" borderId="0" xfId="0" applyFont="1"/>
    <xf numFmtId="3" fontId="99" fillId="0" borderId="0" xfId="0" applyNumberFormat="1" applyFont="1"/>
    <xf numFmtId="0" fontId="99" fillId="0" borderId="0" xfId="0" applyFont="1" applyAlignment="1">
      <alignment horizontal="left"/>
    </xf>
    <xf numFmtId="168" fontId="113" fillId="0" borderId="0" xfId="0" applyNumberFormat="1" applyFont="1" applyAlignment="1">
      <alignment horizontal="left" vertical="top"/>
    </xf>
    <xf numFmtId="0" fontId="99" fillId="0" borderId="0" xfId="0" applyFont="1" applyAlignment="1">
      <alignment horizontal="left" vertical="center"/>
    </xf>
    <xf numFmtId="0" fontId="115" fillId="0" borderId="0" xfId="0" applyFont="1"/>
    <xf numFmtId="172" fontId="21" fillId="0" borderId="8" xfId="543" applyNumberFormat="1" applyBorder="1"/>
    <xf numFmtId="0" fontId="21" fillId="0" borderId="8" xfId="4495" applyFont="1" applyBorder="1"/>
    <xf numFmtId="0" fontId="21" fillId="0" borderId="0" xfId="4495" applyFont="1"/>
    <xf numFmtId="0" fontId="27" fillId="0" borderId="0" xfId="4495" applyFont="1" applyAlignment="1">
      <alignment horizontal="center" vertical="center"/>
    </xf>
    <xf numFmtId="0" fontId="28" fillId="0" borderId="0" xfId="4495" applyFont="1" applyAlignment="1">
      <alignment horizontal="left"/>
    </xf>
    <xf numFmtId="0" fontId="28" fillId="0" borderId="0" xfId="4495" applyFont="1"/>
    <xf numFmtId="0" fontId="31" fillId="0" borderId="0" xfId="4495" applyFont="1" applyAlignment="1">
      <alignment horizontal="center" vertical="center"/>
    </xf>
    <xf numFmtId="0" fontId="31" fillId="0" borderId="27" xfId="4495" applyFont="1" applyBorder="1" applyAlignment="1">
      <alignment horizontal="center" vertical="center"/>
    </xf>
    <xf numFmtId="0" fontId="31" fillId="0" borderId="46" xfId="4495" applyFont="1" applyBorder="1" applyAlignment="1">
      <alignment horizontal="center" vertical="center"/>
    </xf>
    <xf numFmtId="0" fontId="28" fillId="0" borderId="0" xfId="4495" applyFont="1" applyAlignment="1">
      <alignment horizontal="right"/>
    </xf>
    <xf numFmtId="0" fontId="21" fillId="0" borderId="0" xfId="1192" quotePrefix="1" applyAlignment="1">
      <alignment horizontal="center"/>
    </xf>
    <xf numFmtId="0" fontId="45" fillId="0" borderId="0" xfId="4495" applyFont="1" applyAlignment="1">
      <alignment horizontal="left" vertical="center"/>
    </xf>
    <xf numFmtId="49" fontId="29" fillId="0" borderId="0" xfId="4495" applyNumberFormat="1" applyFont="1" applyAlignment="1">
      <alignment horizontal="left" vertical="top"/>
    </xf>
    <xf numFmtId="0" fontId="21" fillId="0" borderId="47" xfId="4495" applyFont="1" applyBorder="1" applyAlignment="1">
      <alignment horizontal="left" vertical="center"/>
    </xf>
    <xf numFmtId="0" fontId="31" fillId="0" borderId="48" xfId="4495" applyFont="1" applyBorder="1" applyAlignment="1">
      <alignment horizontal="center" vertical="center"/>
    </xf>
    <xf numFmtId="0" fontId="29" fillId="0" borderId="0" xfId="4495" applyFont="1"/>
    <xf numFmtId="0" fontId="29" fillId="0" borderId="0" xfId="4495" applyFont="1" applyAlignment="1">
      <alignment horizontal="left" vertical="top"/>
    </xf>
    <xf numFmtId="0" fontId="116" fillId="0" borderId="0" xfId="4496" applyFont="1" applyAlignment="1">
      <alignment horizontal="left" vertical="top" wrapText="1"/>
    </xf>
    <xf numFmtId="0" fontId="116" fillId="0" borderId="54" xfId="4496" applyFont="1" applyBorder="1" applyAlignment="1">
      <alignment horizontal="left" vertical="top" wrapText="1"/>
    </xf>
    <xf numFmtId="0" fontId="21" fillId="0" borderId="0" xfId="4495" applyFont="1" applyAlignment="1">
      <alignment horizontal="left" vertical="center"/>
    </xf>
    <xf numFmtId="0" fontId="117" fillId="0" borderId="0" xfId="4496" applyFont="1" applyAlignment="1">
      <alignment vertical="center"/>
    </xf>
    <xf numFmtId="0" fontId="116" fillId="0" borderId="0" xfId="4496" applyFont="1"/>
    <xf numFmtId="0" fontId="116" fillId="0" borderId="0" xfId="4496" applyFont="1" applyAlignment="1">
      <alignment vertical="center"/>
    </xf>
    <xf numFmtId="0" fontId="118" fillId="0" borderId="0" xfId="4496" applyFont="1" applyAlignment="1">
      <alignment vertical="center"/>
    </xf>
    <xf numFmtId="0" fontId="21" fillId="0" borderId="0" xfId="4496" applyFont="1" applyAlignment="1">
      <alignment vertical="center"/>
    </xf>
    <xf numFmtId="0" fontId="29" fillId="0" borderId="3" xfId="4495" applyFont="1" applyBorder="1" applyAlignment="1">
      <alignment vertical="top" wrapText="1"/>
    </xf>
    <xf numFmtId="0" fontId="29" fillId="0" borderId="4" xfId="4495" applyFont="1" applyBorder="1" applyAlignment="1">
      <alignment vertical="top" wrapText="1"/>
    </xf>
    <xf numFmtId="164" fontId="114" fillId="0" borderId="4" xfId="4495" applyNumberFormat="1" applyBorder="1" applyAlignment="1">
      <alignment horizontal="right"/>
    </xf>
    <xf numFmtId="0" fontId="29" fillId="0" borderId="4" xfId="4495" applyFont="1" applyBorder="1"/>
    <xf numFmtId="0" fontId="28" fillId="0" borderId="5" xfId="4495" applyFont="1" applyBorder="1" applyAlignment="1">
      <alignment horizontal="right"/>
    </xf>
    <xf numFmtId="0" fontId="21" fillId="0" borderId="16" xfId="4495" applyFont="1" applyBorder="1"/>
    <xf numFmtId="0" fontId="21" fillId="0" borderId="16" xfId="4495" applyFont="1" applyBorder="1" applyAlignment="1">
      <alignment horizontal="left" vertical="top"/>
    </xf>
    <xf numFmtId="0" fontId="29" fillId="0" borderId="16" xfId="4495" applyFont="1" applyBorder="1" applyAlignment="1">
      <alignment horizontal="left" vertical="top" wrapText="1"/>
    </xf>
    <xf numFmtId="0" fontId="29" fillId="0" borderId="45" xfId="4495" applyFont="1" applyBorder="1" applyAlignment="1">
      <alignment horizontal="left" vertical="top" wrapText="1"/>
    </xf>
    <xf numFmtId="0" fontId="114" fillId="0" borderId="0" xfId="4495"/>
    <xf numFmtId="0" fontId="22" fillId="0" borderId="0" xfId="244" applyFill="1" applyBorder="1" applyAlignment="1" applyProtection="1">
      <alignment horizontal="left" vertical="top"/>
    </xf>
    <xf numFmtId="0" fontId="22" fillId="0" borderId="0" xfId="244" applyFill="1" applyBorder="1" applyAlignment="1" applyProtection="1">
      <alignment horizontal="left" vertical="top" wrapText="1"/>
    </xf>
    <xf numFmtId="0" fontId="29" fillId="0" borderId="0" xfId="4495" applyFont="1" applyAlignment="1">
      <alignment horizontal="left" vertical="top" wrapText="1"/>
    </xf>
    <xf numFmtId="0" fontId="29" fillId="0" borderId="0" xfId="4495" applyFont="1" applyAlignment="1">
      <alignment horizontal="right" vertical="top"/>
    </xf>
    <xf numFmtId="0" fontId="21" fillId="0" borderId="0" xfId="4495" applyFont="1" applyAlignment="1">
      <alignment vertical="center" wrapText="1"/>
    </xf>
    <xf numFmtId="0" fontId="116" fillId="0" borderId="53" xfId="4496" applyFont="1" applyBorder="1" applyAlignment="1">
      <alignment vertical="top" wrapText="1"/>
    </xf>
    <xf numFmtId="0" fontId="116" fillId="0" borderId="0" xfId="4496" applyFont="1" applyAlignment="1">
      <alignment vertical="top" wrapText="1"/>
    </xf>
    <xf numFmtId="10" fontId="116" fillId="0" borderId="0" xfId="4496" applyNumberFormat="1" applyFont="1" applyAlignment="1">
      <alignment vertical="top" wrapText="1"/>
    </xf>
    <xf numFmtId="0" fontId="116" fillId="0" borderId="54" xfId="4496" applyFont="1" applyBorder="1" applyAlignment="1">
      <alignment vertical="top" wrapText="1"/>
    </xf>
    <xf numFmtId="0" fontId="116" fillId="0" borderId="0" xfId="4496" applyFont="1" applyAlignment="1">
      <alignment vertical="top"/>
    </xf>
    <xf numFmtId="165" fontId="116" fillId="0" borderId="0" xfId="4496" applyNumberFormat="1" applyFont="1" applyAlignment="1">
      <alignment vertical="top" wrapText="1"/>
    </xf>
    <xf numFmtId="0" fontId="28" fillId="0" borderId="57" xfId="4495" applyFont="1" applyBorder="1"/>
    <xf numFmtId="0" fontId="28" fillId="0" borderId="58" xfId="4495" applyFont="1" applyBorder="1"/>
    <xf numFmtId="0" fontId="28" fillId="0" borderId="58" xfId="4495" applyFont="1" applyBorder="1" applyAlignment="1">
      <alignment horizontal="right"/>
    </xf>
    <xf numFmtId="0" fontId="28" fillId="0" borderId="59" xfId="4495" applyFont="1" applyBorder="1" applyAlignment="1">
      <alignment horizontal="right"/>
    </xf>
    <xf numFmtId="0" fontId="116" fillId="0" borderId="53" xfId="4496" applyFont="1" applyBorder="1" applyAlignment="1">
      <alignment horizontal="left" vertical="top" wrapText="1"/>
    </xf>
    <xf numFmtId="0" fontId="116" fillId="0" borderId="0" xfId="4496" applyFont="1" applyAlignment="1">
      <alignment horizontal="left" vertical="top"/>
    </xf>
    <xf numFmtId="0" fontId="31" fillId="0" borderId="57" xfId="4495" applyFont="1" applyBorder="1" applyAlignment="1">
      <alignment horizontal="center" vertical="center"/>
    </xf>
    <xf numFmtId="0" fontId="31" fillId="0" borderId="58" xfId="4495" applyFont="1" applyBorder="1" applyAlignment="1">
      <alignment horizontal="center" vertical="center"/>
    </xf>
    <xf numFmtId="0" fontId="31" fillId="0" borderId="59" xfId="4495" applyFont="1" applyBorder="1" applyAlignment="1">
      <alignment horizontal="center" vertical="center"/>
    </xf>
    <xf numFmtId="0" fontId="28" fillId="0" borderId="0" xfId="4495" applyFont="1" applyAlignment="1">
      <alignment horizontal="center"/>
    </xf>
    <xf numFmtId="0" fontId="28" fillId="0" borderId="8" xfId="4495" applyFont="1" applyBorder="1"/>
    <xf numFmtId="0" fontId="29" fillId="0" borderId="0" xfId="4495" applyFont="1" applyAlignment="1">
      <alignment horizontal="left"/>
    </xf>
    <xf numFmtId="0" fontId="28" fillId="0" borderId="0" xfId="4495" applyFont="1" applyAlignment="1">
      <alignment horizontal="center" vertical="top"/>
    </xf>
    <xf numFmtId="0" fontId="21" fillId="0" borderId="0" xfId="4495" applyFont="1" applyAlignment="1">
      <alignment horizontal="center"/>
    </xf>
    <xf numFmtId="0" fontId="37" fillId="0" borderId="0" xfId="4495" applyFont="1"/>
    <xf numFmtId="0" fontId="29" fillId="0" borderId="8" xfId="4495" applyFont="1" applyBorder="1"/>
    <xf numFmtId="0" fontId="50" fillId="0" borderId="8" xfId="4495" applyFont="1" applyBorder="1"/>
    <xf numFmtId="1" fontId="21" fillId="0" borderId="0" xfId="1192" applyNumberFormat="1"/>
    <xf numFmtId="0" fontId="21" fillId="0" borderId="3" xfId="4495" applyFont="1" applyBorder="1"/>
    <xf numFmtId="0" fontId="21" fillId="0" borderId="4" xfId="4495" applyFont="1" applyBorder="1"/>
    <xf numFmtId="0" fontId="21" fillId="0" borderId="0" xfId="1192" applyAlignment="1">
      <alignment wrapText="1"/>
    </xf>
    <xf numFmtId="0" fontId="29" fillId="0" borderId="0" xfId="4495" applyFont="1" applyAlignment="1">
      <alignment vertical="top" wrapText="1"/>
    </xf>
    <xf numFmtId="0" fontId="29" fillId="0" borderId="0" xfId="1192" applyFont="1"/>
    <xf numFmtId="0" fontId="21" fillId="0" borderId="0" xfId="4495" applyFont="1" applyAlignment="1">
      <alignment horizontal="left"/>
    </xf>
    <xf numFmtId="0" fontId="29" fillId="0" borderId="3" xfId="4495" applyFont="1" applyBorder="1"/>
    <xf numFmtId="0" fontId="21" fillId="0" borderId="4" xfId="4495" applyFont="1" applyBorder="1" applyAlignment="1">
      <alignment horizontal="right"/>
    </xf>
    <xf numFmtId="1" fontId="21" fillId="0" borderId="0" xfId="4495" applyNumberFormat="1" applyFont="1" applyAlignment="1">
      <alignment horizontal="center"/>
    </xf>
    <xf numFmtId="0" fontId="50" fillId="0" borderId="0" xfId="4495" applyFont="1"/>
    <xf numFmtId="0" fontId="21" fillId="0" borderId="0" xfId="4495" applyFont="1" applyAlignment="1">
      <alignment horizontal="right"/>
    </xf>
    <xf numFmtId="0" fontId="29" fillId="0" borderId="0" xfId="4495" applyFont="1" applyAlignment="1">
      <alignment vertical="top"/>
    </xf>
    <xf numFmtId="0" fontId="29" fillId="0" borderId="27" xfId="4495" applyFont="1" applyBorder="1"/>
    <xf numFmtId="0" fontId="28" fillId="0" borderId="0" xfId="4495" applyFont="1" applyAlignment="1">
      <alignment vertical="top"/>
    </xf>
    <xf numFmtId="0" fontId="39" fillId="0" borderId="0" xfId="4495" applyFont="1" applyAlignment="1">
      <alignment vertical="top" wrapText="1"/>
    </xf>
    <xf numFmtId="0" fontId="28" fillId="0" borderId="0" xfId="4495" applyFont="1" applyAlignment="1">
      <alignment horizontal="left" vertical="top" wrapText="1"/>
    </xf>
    <xf numFmtId="0" fontId="21" fillId="0" borderId="0" xfId="4495" applyFont="1" applyAlignment="1">
      <alignment horizontal="left" vertical="top"/>
    </xf>
    <xf numFmtId="0" fontId="39" fillId="0" borderId="0" xfId="4495" applyFont="1" applyAlignment="1">
      <alignment vertical="top"/>
    </xf>
    <xf numFmtId="0" fontId="21" fillId="0" borderId="10" xfId="4495" applyFont="1" applyBorder="1" applyAlignment="1">
      <alignment horizontal="center"/>
    </xf>
    <xf numFmtId="0" fontId="21" fillId="0" borderId="16" xfId="4495" applyFont="1" applyBorder="1" applyAlignment="1">
      <alignment horizontal="center"/>
    </xf>
    <xf numFmtId="0" fontId="37" fillId="0" borderId="16" xfId="4495" applyFont="1" applyBorder="1"/>
    <xf numFmtId="0" fontId="29" fillId="0" borderId="16" xfId="4495" applyFont="1" applyBorder="1"/>
    <xf numFmtId="0" fontId="21" fillId="0" borderId="0" xfId="4496" applyFont="1" applyAlignment="1">
      <alignment vertical="top" wrapText="1"/>
    </xf>
    <xf numFmtId="0" fontId="28" fillId="0" borderId="0" xfId="1192" applyFont="1" applyAlignment="1">
      <alignment horizontal="right"/>
    </xf>
    <xf numFmtId="0" fontId="21" fillId="0" borderId="0" xfId="4496" applyFont="1"/>
    <xf numFmtId="0" fontId="21" fillId="0" borderId="0" xfId="4496" applyFont="1" applyAlignment="1">
      <alignment horizontal="left"/>
    </xf>
    <xf numFmtId="0" fontId="21" fillId="0" borderId="0" xfId="4496" applyFont="1" applyAlignment="1">
      <alignment horizontal="right"/>
    </xf>
    <xf numFmtId="0" fontId="29" fillId="0" borderId="0" xfId="4496" applyFont="1" applyAlignment="1">
      <alignment vertical="top" wrapText="1"/>
    </xf>
    <xf numFmtId="0" fontId="21" fillId="0" borderId="4" xfId="4496" applyFont="1" applyBorder="1"/>
    <xf numFmtId="0" fontId="28" fillId="0" borderId="4" xfId="4496" applyFont="1" applyBorder="1" applyAlignment="1">
      <alignment horizontal="right"/>
    </xf>
    <xf numFmtId="0" fontId="29" fillId="0" borderId="27" xfId="4495" applyFont="1" applyBorder="1" applyAlignment="1">
      <alignment horizontal="left" vertical="top"/>
    </xf>
    <xf numFmtId="0" fontId="21" fillId="0" borderId="27" xfId="4495" applyFont="1" applyBorder="1" applyAlignment="1">
      <alignment horizontal="left" vertical="top"/>
    </xf>
    <xf numFmtId="0" fontId="28" fillId="0" borderId="27" xfId="4495" applyFont="1" applyBorder="1" applyAlignment="1">
      <alignment horizontal="right"/>
    </xf>
    <xf numFmtId="0" fontId="21" fillId="0" borderId="27" xfId="4495" applyFont="1" applyBorder="1" applyAlignment="1">
      <alignment horizontal="center"/>
    </xf>
    <xf numFmtId="0" fontId="21" fillId="0" borderId="46" xfId="4495" applyFont="1" applyBorder="1" applyAlignment="1">
      <alignment horizontal="center"/>
    </xf>
    <xf numFmtId="164" fontId="29" fillId="0" borderId="0" xfId="4495" applyNumberFormat="1" applyFont="1" applyAlignment="1">
      <alignment horizontal="left" vertical="top" wrapText="1"/>
    </xf>
    <xf numFmtId="0" fontId="32" fillId="0" borderId="0" xfId="4495" applyFont="1"/>
    <xf numFmtId="0" fontId="29" fillId="0" borderId="0" xfId="4495" applyFont="1" applyAlignment="1">
      <alignment horizontal="right"/>
    </xf>
    <xf numFmtId="0" fontId="21" fillId="0" borderId="27" xfId="543" applyBorder="1"/>
    <xf numFmtId="0" fontId="21" fillId="0" borderId="46" xfId="543" applyBorder="1"/>
    <xf numFmtId="0" fontId="28" fillId="0" borderId="0" xfId="4495" applyFont="1" applyAlignment="1">
      <alignment horizontal="left" vertical="top"/>
    </xf>
    <xf numFmtId="1" fontId="114" fillId="0" borderId="0" xfId="4495" applyNumberFormat="1"/>
    <xf numFmtId="0" fontId="21" fillId="0" borderId="0" xfId="4495" applyFont="1" applyAlignment="1">
      <alignment vertical="top" wrapText="1"/>
    </xf>
    <xf numFmtId="0" fontId="21" fillId="0" borderId="0" xfId="4495" applyFont="1" applyAlignment="1">
      <alignment horizontal="left" vertical="top" wrapText="1"/>
    </xf>
    <xf numFmtId="0" fontId="21" fillId="0" borderId="50" xfId="4495" applyFont="1" applyBorder="1" applyAlignment="1">
      <alignment vertical="top"/>
    </xf>
    <xf numFmtId="1" fontId="29" fillId="0" borderId="8" xfId="4495" applyNumberFormat="1" applyFont="1" applyBorder="1"/>
    <xf numFmtId="0" fontId="21" fillId="0" borderId="0" xfId="543" applyAlignment="1">
      <alignment vertical="top"/>
    </xf>
    <xf numFmtId="0" fontId="29" fillId="0" borderId="51" xfId="4495" applyFont="1" applyBorder="1" applyAlignment="1">
      <alignment horizontal="left" vertical="top"/>
    </xf>
    <xf numFmtId="0" fontId="29" fillId="0" borderId="52" xfId="4495" applyFont="1" applyBorder="1" applyAlignment="1">
      <alignment horizontal="left" vertical="top"/>
    </xf>
    <xf numFmtId="0" fontId="114" fillId="0" borderId="0" xfId="4495" applyAlignment="1" applyProtection="1">
      <alignment horizontal="center"/>
      <protection locked="0"/>
    </xf>
    <xf numFmtId="0" fontId="21" fillId="0" borderId="53" xfId="4495" applyFont="1" applyBorder="1" applyAlignment="1">
      <alignment vertical="top"/>
    </xf>
    <xf numFmtId="0" fontId="21" fillId="0" borderId="54" xfId="4495" applyFont="1" applyBorder="1" applyAlignment="1">
      <alignment vertical="top" wrapText="1"/>
    </xf>
    <xf numFmtId="0" fontId="56" fillId="0" borderId="53" xfId="4495" applyFont="1" applyBorder="1"/>
    <xf numFmtId="0" fontId="29" fillId="0" borderId="54" xfId="4495" applyFont="1" applyBorder="1" applyAlignment="1">
      <alignment horizontal="left" vertical="top"/>
    </xf>
    <xf numFmtId="0" fontId="21" fillId="0" borderId="53" xfId="4495" applyFont="1" applyBorder="1" applyAlignment="1">
      <alignment vertical="center" wrapText="1"/>
    </xf>
    <xf numFmtId="0" fontId="56" fillId="0" borderId="57" xfId="4495" applyFont="1" applyBorder="1"/>
    <xf numFmtId="0" fontId="29" fillId="0" borderId="58" xfId="4495" applyFont="1" applyBorder="1" applyAlignment="1">
      <alignment horizontal="left" vertical="top"/>
    </xf>
    <xf numFmtId="0" fontId="29" fillId="0" borderId="12" xfId="4495" applyFont="1" applyBorder="1"/>
    <xf numFmtId="0" fontId="21" fillId="0" borderId="57" xfId="4495" applyFont="1" applyBorder="1" applyAlignment="1">
      <alignment vertical="center"/>
    </xf>
    <xf numFmtId="0" fontId="21" fillId="0" borderId="58" xfId="4495" applyFont="1" applyBorder="1" applyAlignment="1">
      <alignment vertical="top"/>
    </xf>
    <xf numFmtId="0" fontId="21" fillId="0" borderId="59" xfId="4495" applyFont="1" applyBorder="1" applyAlignment="1">
      <alignment vertical="top"/>
    </xf>
    <xf numFmtId="0" fontId="21" fillId="0" borderId="0" xfId="4495" applyFont="1" applyAlignment="1">
      <alignment vertical="top"/>
    </xf>
    <xf numFmtId="0" fontId="29" fillId="0" borderId="4" xfId="4495" applyFont="1" applyBorder="1" applyAlignment="1">
      <alignment horizontal="left" vertical="top"/>
    </xf>
    <xf numFmtId="0" fontId="21" fillId="0" borderId="4" xfId="4495" applyFont="1" applyBorder="1" applyAlignment="1">
      <alignment horizontal="left" vertical="top"/>
    </xf>
    <xf numFmtId="0" fontId="21" fillId="0" borderId="2" xfId="4495" applyFont="1" applyBorder="1"/>
    <xf numFmtId="0" fontId="29" fillId="0" borderId="2" xfId="4495" applyFont="1" applyBorder="1"/>
    <xf numFmtId="0" fontId="21" fillId="0" borderId="2" xfId="4495" applyFont="1" applyBorder="1" applyAlignment="1">
      <alignment horizontal="center"/>
    </xf>
    <xf numFmtId="0" fontId="29" fillId="0" borderId="7" xfId="4495" applyFont="1" applyBorder="1"/>
    <xf numFmtId="0" fontId="37" fillId="0" borderId="0" xfId="4495" applyFont="1" applyAlignment="1">
      <alignment horizontal="right"/>
    </xf>
    <xf numFmtId="0" fontId="119" fillId="0" borderId="0" xfId="4495" applyFont="1" applyAlignment="1">
      <alignment horizontal="left" vertical="top" wrapText="1"/>
    </xf>
    <xf numFmtId="0" fontId="37" fillId="0" borderId="0" xfId="4495" applyFont="1" applyAlignment="1">
      <alignment horizontal="left" vertical="top"/>
    </xf>
    <xf numFmtId="0" fontId="29" fillId="0" borderId="0" xfId="4495" quotePrefix="1" applyFont="1" applyAlignment="1">
      <alignment horizontal="right"/>
    </xf>
    <xf numFmtId="0" fontId="21" fillId="0" borderId="0" xfId="4497"/>
    <xf numFmtId="0" fontId="29" fillId="0" borderId="0" xfId="4495" applyFont="1" applyAlignment="1">
      <alignment horizontal="left" vertical="top" wrapText="1" shrinkToFit="1"/>
    </xf>
    <xf numFmtId="0" fontId="114" fillId="0" borderId="0" xfId="4495" applyAlignment="1">
      <alignment vertical="top" wrapText="1"/>
    </xf>
    <xf numFmtId="0" fontId="29" fillId="0" borderId="4" xfId="4495" applyFont="1" applyBorder="1" applyAlignment="1">
      <alignment horizontal="left" vertical="top" wrapText="1" shrinkToFit="1"/>
    </xf>
    <xf numFmtId="0" fontId="37" fillId="0" borderId="8" xfId="4495" applyFont="1" applyBorder="1"/>
    <xf numFmtId="0" fontId="29" fillId="0" borderId="0" xfId="4495" applyFont="1" applyAlignment="1">
      <alignment horizontal="center"/>
    </xf>
    <xf numFmtId="0" fontId="29" fillId="0" borderId="0" xfId="4495" quotePrefix="1" applyFont="1"/>
    <xf numFmtId="0" fontId="29" fillId="0" borderId="0" xfId="4495" applyFont="1" applyAlignment="1">
      <alignment horizontal="left" vertical="top" shrinkToFit="1"/>
    </xf>
    <xf numFmtId="0" fontId="45" fillId="0" borderId="0" xfId="4495" applyFont="1"/>
    <xf numFmtId="0" fontId="29" fillId="0" borderId="3" xfId="4495" applyFont="1" applyBorder="1" applyAlignment="1">
      <alignment horizontal="center"/>
    </xf>
    <xf numFmtId="0" fontId="114" fillId="0" borderId="8" xfId="4495" applyBorder="1"/>
    <xf numFmtId="0" fontId="28" fillId="0" borderId="8" xfId="4495" applyFont="1" applyBorder="1" applyAlignment="1">
      <alignment vertical="top"/>
    </xf>
    <xf numFmtId="0" fontId="114" fillId="0" borderId="0" xfId="4495" applyAlignment="1">
      <alignment vertical="top"/>
    </xf>
    <xf numFmtId="0" fontId="28" fillId="0" borderId="4" xfId="4495" applyFont="1" applyBorder="1" applyAlignment="1">
      <alignment horizontal="center" vertical="top"/>
    </xf>
    <xf numFmtId="0" fontId="119" fillId="0" borderId="0" xfId="4495" applyFont="1" applyAlignment="1">
      <alignment horizontal="left" vertical="top"/>
    </xf>
    <xf numFmtId="0" fontId="119" fillId="0" borderId="4" xfId="4495" applyFont="1" applyBorder="1" applyAlignment="1">
      <alignment horizontal="left" vertical="top"/>
    </xf>
    <xf numFmtId="168" fontId="21" fillId="0" borderId="0" xfId="4497" applyNumberFormat="1"/>
    <xf numFmtId="1" fontId="29" fillId="0" borderId="0" xfId="4495" applyNumberFormat="1" applyFont="1" applyAlignment="1">
      <alignment horizontal="center" vertical="top"/>
    </xf>
    <xf numFmtId="0" fontId="123" fillId="0" borderId="0" xfId="4495" applyFont="1" applyAlignment="1">
      <alignment vertical="top" wrapText="1"/>
    </xf>
    <xf numFmtId="0" fontId="123" fillId="0" borderId="0" xfId="4495" applyFont="1" applyAlignment="1">
      <alignment horizontal="left" vertical="top" wrapText="1"/>
    </xf>
    <xf numFmtId="0" fontId="29" fillId="0" borderId="6" xfId="4495" applyFont="1" applyBorder="1"/>
    <xf numFmtId="1" fontId="29" fillId="0" borderId="8" xfId="4495" applyNumberFormat="1" applyFont="1" applyBorder="1" applyAlignment="1">
      <alignment horizontal="center" vertical="top"/>
    </xf>
    <xf numFmtId="0" fontId="114" fillId="0" borderId="12" xfId="4495" applyBorder="1"/>
    <xf numFmtId="0" fontId="29" fillId="0" borderId="9" xfId="4495" applyFont="1" applyBorder="1"/>
    <xf numFmtId="0" fontId="114" fillId="0" borderId="10" xfId="4495" applyBorder="1"/>
    <xf numFmtId="0" fontId="37" fillId="0" borderId="3" xfId="4495" applyFont="1" applyBorder="1"/>
    <xf numFmtId="0" fontId="28" fillId="0" borderId="4" xfId="4495" applyFont="1" applyBorder="1"/>
    <xf numFmtId="0" fontId="114" fillId="0" borderId="12" xfId="4495" applyBorder="1" applyAlignment="1">
      <alignment vertical="top"/>
    </xf>
    <xf numFmtId="0" fontId="37" fillId="0" borderId="1" xfId="4495" applyFont="1" applyBorder="1"/>
    <xf numFmtId="0" fontId="123" fillId="0" borderId="2" xfId="4495" applyFont="1" applyBorder="1" applyAlignment="1">
      <alignment horizontal="left" wrapText="1"/>
    </xf>
    <xf numFmtId="0" fontId="123" fillId="0" borderId="2" xfId="4495" applyFont="1" applyBorder="1" applyAlignment="1">
      <alignment horizontal="left"/>
    </xf>
    <xf numFmtId="0" fontId="123" fillId="0" borderId="7" xfId="4495" applyFont="1" applyBorder="1" applyAlignment="1">
      <alignment horizontal="left" wrapText="1"/>
    </xf>
    <xf numFmtId="0" fontId="123" fillId="0" borderId="0" xfId="4495" applyFont="1" applyAlignment="1">
      <alignment horizontal="left" wrapText="1"/>
    </xf>
    <xf numFmtId="0" fontId="37" fillId="0" borderId="9" xfId="4495" applyFont="1" applyBorder="1"/>
    <xf numFmtId="0" fontId="29" fillId="0" borderId="10" xfId="4495" applyFont="1" applyBorder="1"/>
    <xf numFmtId="0" fontId="123" fillId="0" borderId="0" xfId="4495" applyFont="1" applyAlignment="1">
      <alignment wrapText="1"/>
    </xf>
    <xf numFmtId="0" fontId="37" fillId="0" borderId="9" xfId="4495" applyFont="1" applyBorder="1" applyAlignment="1">
      <alignment horizontal="center"/>
    </xf>
    <xf numFmtId="0" fontId="28" fillId="0" borderId="10" xfId="4495" applyFont="1" applyBorder="1"/>
    <xf numFmtId="0" fontId="39" fillId="0" borderId="0" xfId="4495" applyFont="1"/>
    <xf numFmtId="0" fontId="29" fillId="0" borderId="50" xfId="4495" applyFont="1" applyBorder="1"/>
    <xf numFmtId="0" fontId="29" fillId="0" borderId="51" xfId="4495" applyFont="1" applyBorder="1"/>
    <xf numFmtId="1" fontId="29" fillId="0" borderId="51" xfId="4495" quotePrefix="1" applyNumberFormat="1" applyFont="1" applyBorder="1" applyAlignment="1">
      <alignment horizontal="center" vertical="top"/>
    </xf>
    <xf numFmtId="0" fontId="28" fillId="0" borderId="51" xfId="4495" applyFont="1" applyBorder="1"/>
    <xf numFmtId="0" fontId="28" fillId="0" borderId="52" xfId="4495" applyFont="1" applyBorder="1" applyAlignment="1">
      <alignment horizontal="center"/>
    </xf>
    <xf numFmtId="0" fontId="21" fillId="0" borderId="53" xfId="4495" applyFont="1" applyBorder="1"/>
    <xf numFmtId="1" fontId="29" fillId="0" borderId="0" xfId="4495" quotePrefix="1" applyNumberFormat="1" applyFont="1" applyAlignment="1">
      <alignment horizontal="center" vertical="top"/>
    </xf>
    <xf numFmtId="0" fontId="28" fillId="0" borderId="54" xfId="4495" applyFont="1" applyBorder="1" applyAlignment="1">
      <alignment horizontal="center"/>
    </xf>
    <xf numFmtId="0" fontId="37" fillId="0" borderId="0" xfId="4495" applyFont="1" applyAlignment="1">
      <alignment vertical="top"/>
    </xf>
    <xf numFmtId="0" fontId="29" fillId="0" borderId="61" xfId="4495" applyFont="1" applyBorder="1"/>
    <xf numFmtId="0" fontId="114" fillId="0" borderId="58" xfId="4495" applyBorder="1" applyAlignment="1">
      <alignment horizontal="center"/>
    </xf>
    <xf numFmtId="1" fontId="29" fillId="0" borderId="58" xfId="4495" quotePrefix="1" applyNumberFormat="1" applyFont="1" applyBorder="1" applyAlignment="1">
      <alignment horizontal="center" vertical="top"/>
    </xf>
    <xf numFmtId="0" fontId="37" fillId="0" borderId="58" xfId="4495" applyFont="1" applyBorder="1" applyAlignment="1">
      <alignment vertical="top"/>
    </xf>
    <xf numFmtId="0" fontId="29" fillId="0" borderId="58" xfId="4495" applyFont="1" applyBorder="1" applyAlignment="1">
      <alignment vertical="top" wrapText="1"/>
    </xf>
    <xf numFmtId="0" fontId="29" fillId="0" borderId="58" xfId="4495" applyFont="1" applyBorder="1"/>
    <xf numFmtId="0" fontId="28" fillId="0" borderId="58" xfId="4495" applyFont="1" applyBorder="1" applyAlignment="1">
      <alignment horizontal="center"/>
    </xf>
    <xf numFmtId="0" fontId="114" fillId="0" borderId="61" xfId="4495" applyBorder="1"/>
    <xf numFmtId="0" fontId="114" fillId="0" borderId="0" xfId="4495" applyAlignment="1">
      <alignment horizontal="center"/>
    </xf>
    <xf numFmtId="0" fontId="21" fillId="0" borderId="53" xfId="543" applyBorder="1"/>
    <xf numFmtId="0" fontId="29" fillId="0" borderId="54" xfId="4495" applyFont="1" applyBorder="1"/>
    <xf numFmtId="0" fontId="21" fillId="0" borderId="58" xfId="543" applyBorder="1"/>
    <xf numFmtId="1" fontId="29" fillId="0" borderId="58" xfId="4495" applyNumberFormat="1" applyFont="1" applyBorder="1" applyAlignment="1">
      <alignment horizontal="center" vertical="top"/>
    </xf>
    <xf numFmtId="0" fontId="37" fillId="0" borderId="58" xfId="4495" applyFont="1" applyBorder="1" applyAlignment="1">
      <alignment vertical="center"/>
    </xf>
    <xf numFmtId="0" fontId="114" fillId="0" borderId="58" xfId="4495" applyBorder="1" applyAlignment="1">
      <alignment vertical="top" wrapText="1"/>
    </xf>
    <xf numFmtId="0" fontId="21" fillId="0" borderId="58" xfId="4495" applyFont="1" applyBorder="1"/>
    <xf numFmtId="0" fontId="37" fillId="0" borderId="0" xfId="4495" applyFont="1" applyAlignment="1">
      <alignment vertical="center"/>
    </xf>
    <xf numFmtId="0" fontId="29" fillId="0" borderId="53" xfId="4495" applyFont="1" applyBorder="1"/>
    <xf numFmtId="0" fontId="21" fillId="0" borderId="57" xfId="543" applyBorder="1"/>
    <xf numFmtId="0" fontId="29" fillId="0" borderId="58" xfId="4495" applyFont="1" applyBorder="1" applyAlignment="1">
      <alignment vertical="top"/>
    </xf>
    <xf numFmtId="0" fontId="29" fillId="0" borderId="59" xfId="4495" applyFont="1" applyBorder="1"/>
    <xf numFmtId="0" fontId="29" fillId="0" borderId="57" xfId="4495" applyFont="1" applyBorder="1"/>
    <xf numFmtId="0" fontId="21" fillId="0" borderId="51" xfId="4495" applyFont="1" applyBorder="1"/>
    <xf numFmtId="0" fontId="29" fillId="0" borderId="52" xfId="4495" applyFont="1" applyBorder="1"/>
    <xf numFmtId="0" fontId="21" fillId="0" borderId="50" xfId="543" applyBorder="1"/>
    <xf numFmtId="0" fontId="21" fillId="0" borderId="51" xfId="543" applyBorder="1"/>
    <xf numFmtId="0" fontId="21" fillId="0" borderId="52" xfId="543" applyBorder="1"/>
    <xf numFmtId="0" fontId="29" fillId="0" borderId="0" xfId="4495" applyFont="1" applyAlignment="1">
      <alignment wrapText="1"/>
    </xf>
    <xf numFmtId="0" fontId="28" fillId="0" borderId="54" xfId="4495" applyFont="1" applyBorder="1" applyAlignment="1">
      <alignment horizontal="center" vertical="top"/>
    </xf>
    <xf numFmtId="0" fontId="114" fillId="0" borderId="53" xfId="4495" applyBorder="1" applyAlignment="1">
      <alignment horizontal="center"/>
    </xf>
    <xf numFmtId="2" fontId="29" fillId="0" borderId="0" xfId="4495" applyNumberFormat="1" applyFont="1" applyAlignment="1">
      <alignment horizontal="right"/>
    </xf>
    <xf numFmtId="2" fontId="29" fillId="0" borderId="8" xfId="4495" applyNumberFormat="1" applyFont="1" applyBorder="1" applyAlignment="1">
      <alignment horizontal="left"/>
    </xf>
    <xf numFmtId="0" fontId="29" fillId="0" borderId="8" xfId="4495" applyFont="1" applyBorder="1" applyAlignment="1">
      <alignment horizontal="right"/>
    </xf>
    <xf numFmtId="0" fontId="122" fillId="0" borderId="0" xfId="4495" applyFont="1"/>
    <xf numFmtId="0" fontId="114" fillId="0" borderId="57" xfId="4495" applyBorder="1" applyAlignment="1">
      <alignment horizontal="center"/>
    </xf>
    <xf numFmtId="0" fontId="28" fillId="0" borderId="59" xfId="4495" applyFont="1" applyBorder="1" applyAlignment="1">
      <alignment horizontal="center"/>
    </xf>
    <xf numFmtId="9" fontId="29" fillId="0" borderId="0" xfId="4495" applyNumberFormat="1" applyFont="1" applyAlignment="1">
      <alignment horizontal="left"/>
    </xf>
    <xf numFmtId="0" fontId="21" fillId="0" borderId="17" xfId="543" applyBorder="1"/>
    <xf numFmtId="0" fontId="21" fillId="0" borderId="16" xfId="543" applyBorder="1"/>
    <xf numFmtId="0" fontId="21" fillId="0" borderId="51" xfId="4495" quotePrefix="1" applyFont="1" applyBorder="1" applyAlignment="1">
      <alignment horizontal="center" vertical="top"/>
    </xf>
    <xf numFmtId="0" fontId="29" fillId="0" borderId="53" xfId="4495" applyFont="1" applyBorder="1" applyAlignment="1">
      <alignment horizontal="left" vertical="top"/>
    </xf>
    <xf numFmtId="0" fontId="29" fillId="0" borderId="0" xfId="4495" applyFont="1" applyAlignment="1">
      <alignment horizontal="center" vertical="top"/>
    </xf>
    <xf numFmtId="0" fontId="29" fillId="0" borderId="57" xfId="4495" applyFont="1" applyBorder="1" applyAlignment="1">
      <alignment horizontal="left" vertical="top"/>
    </xf>
    <xf numFmtId="0" fontId="29" fillId="0" borderId="58" xfId="4495" applyFont="1" applyBorder="1" applyAlignment="1">
      <alignment horizontal="center" vertical="top"/>
    </xf>
    <xf numFmtId="0" fontId="114" fillId="0" borderId="58" xfId="4495" applyBorder="1"/>
    <xf numFmtId="0" fontId="28" fillId="0" borderId="58" xfId="4495" applyFont="1" applyBorder="1" applyAlignment="1">
      <alignment vertical="top"/>
    </xf>
    <xf numFmtId="0" fontId="28" fillId="0" borderId="58" xfId="4495" applyFont="1" applyBorder="1" applyAlignment="1">
      <alignment horizontal="left" vertical="top"/>
    </xf>
    <xf numFmtId="0" fontId="28" fillId="0" borderId="51" xfId="4495" applyFont="1" applyBorder="1" applyAlignment="1">
      <alignment horizontal="left" vertical="top"/>
    </xf>
    <xf numFmtId="0" fontId="28" fillId="0" borderId="53" xfId="4495" applyFont="1" applyBorder="1" applyAlignment="1">
      <alignment horizontal="left" vertical="top"/>
    </xf>
    <xf numFmtId="0" fontId="50" fillId="0" borderId="0" xfId="4495" applyFont="1" applyAlignment="1">
      <alignment horizontal="left" vertical="top"/>
    </xf>
    <xf numFmtId="0" fontId="29"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1" fillId="0" borderId="0" xfId="4495" applyFont="1"/>
    <xf numFmtId="0" fontId="50" fillId="0" borderId="0" xfId="4495" applyFont="1" applyAlignment="1">
      <alignment vertical="top"/>
    </xf>
    <xf numFmtId="0" fontId="37" fillId="0" borderId="53" xfId="4495" applyFont="1" applyBorder="1"/>
    <xf numFmtId="2" fontId="29" fillId="0" borderId="8" xfId="4495" applyNumberFormat="1" applyFont="1" applyBorder="1" applyAlignment="1">
      <alignment horizontal="right"/>
    </xf>
    <xf numFmtId="0" fontId="28" fillId="0" borderId="50" xfId="4495" applyFont="1" applyBorder="1" applyAlignment="1">
      <alignment horizontal="left" vertical="top"/>
    </xf>
    <xf numFmtId="0" fontId="50" fillId="0" borderId="51" xfId="4495" applyFont="1" applyBorder="1" applyAlignment="1">
      <alignment horizontal="left" vertical="top"/>
    </xf>
    <xf numFmtId="0" fontId="114" fillId="0" borderId="53" xfId="4495" applyBorder="1"/>
    <xf numFmtId="0" fontId="101" fillId="0" borderId="0" xfId="4495" applyFont="1" applyAlignment="1">
      <alignment horizontal="left" vertical="top"/>
    </xf>
    <xf numFmtId="1" fontId="28" fillId="0" borderId="58" xfId="4495" applyNumberFormat="1" applyFont="1" applyBorder="1" applyAlignment="1">
      <alignment vertical="top"/>
    </xf>
    <xf numFmtId="172" fontId="28" fillId="0" borderId="8" xfId="543" applyNumberFormat="1" applyFont="1" applyBorder="1"/>
    <xf numFmtId="172" fontId="28" fillId="0" borderId="0" xfId="543" applyNumberFormat="1" applyFont="1"/>
    <xf numFmtId="0" fontId="37" fillId="0" borderId="0" xfId="4495" applyFont="1" applyAlignment="1">
      <alignment wrapText="1"/>
    </xf>
    <xf numFmtId="0" fontId="37" fillId="0" borderId="0" xfId="4495" applyFont="1" applyAlignment="1">
      <alignment horizontal="center"/>
    </xf>
    <xf numFmtId="0" fontId="37" fillId="0" borderId="0" xfId="4495" applyFont="1" applyAlignment="1">
      <alignment vertical="center" wrapText="1"/>
    </xf>
    <xf numFmtId="180" fontId="29" fillId="0" borderId="0" xfId="4495" applyNumberFormat="1" applyFont="1" applyAlignment="1">
      <alignment horizontal="center"/>
    </xf>
    <xf numFmtId="1" fontId="29" fillId="0" borderId="0" xfId="4495" applyNumberFormat="1" applyFont="1" applyAlignment="1">
      <alignment horizontal="center"/>
    </xf>
    <xf numFmtId="0" fontId="28" fillId="0" borderId="51" xfId="4495" applyFont="1" applyBorder="1" applyAlignment="1">
      <alignment horizontal="center"/>
    </xf>
    <xf numFmtId="0" fontId="28" fillId="0" borderId="51" xfId="4495" applyFont="1" applyBorder="1" applyAlignment="1">
      <alignment vertical="top"/>
    </xf>
    <xf numFmtId="0" fontId="28" fillId="0" borderId="53" xfId="4495" applyFont="1" applyBorder="1"/>
    <xf numFmtId="0" fontId="21" fillId="0" borderId="54" xfId="543" applyBorder="1"/>
    <xf numFmtId="49" fontId="29" fillId="0" borderId="0" xfId="4495" applyNumberFormat="1" applyFont="1" applyAlignment="1">
      <alignment horizontal="left" vertical="center" wrapText="1"/>
    </xf>
    <xf numFmtId="0" fontId="21" fillId="0" borderId="57" xfId="4495" applyFont="1" applyBorder="1"/>
    <xf numFmtId="1" fontId="21" fillId="0" borderId="0" xfId="4495" applyNumberFormat="1" applyFont="1" applyAlignment="1">
      <alignment vertical="center"/>
    </xf>
    <xf numFmtId="0" fontId="39" fillId="0" borderId="50" xfId="4495" applyFont="1" applyBorder="1"/>
    <xf numFmtId="0" fontId="29" fillId="0" borderId="51" xfId="4495" applyFont="1" applyBorder="1" applyAlignment="1">
      <alignment horizontal="center" vertical="top"/>
    </xf>
    <xf numFmtId="0" fontId="29" fillId="0" borderId="51" xfId="4495" applyFont="1" applyBorder="1" applyAlignment="1">
      <alignment vertical="top" wrapText="1"/>
    </xf>
    <xf numFmtId="0" fontId="29" fillId="0" borderId="51" xfId="4495" applyFont="1" applyBorder="1" applyAlignment="1">
      <alignment horizontal="left" vertical="top" wrapText="1"/>
    </xf>
    <xf numFmtId="0" fontId="21" fillId="0" borderId="0" xfId="4495" quotePrefix="1" applyFont="1" applyAlignment="1">
      <alignment horizontal="center" vertical="top"/>
    </xf>
    <xf numFmtId="1" fontId="29" fillId="0" borderId="0" xfId="4495" quotePrefix="1" applyNumberFormat="1" applyFont="1" applyAlignment="1">
      <alignment wrapText="1"/>
    </xf>
    <xf numFmtId="0" fontId="29" fillId="0" borderId="6" xfId="4495" applyFont="1" applyBorder="1" applyAlignment="1">
      <alignment horizontal="right"/>
    </xf>
    <xf numFmtId="0" fontId="116" fillId="0" borderId="0" xfId="4496" applyFont="1" applyAlignment="1">
      <alignment wrapText="1"/>
    </xf>
    <xf numFmtId="0" fontId="21" fillId="0" borderId="0" xfId="4496" applyFont="1" applyAlignment="1">
      <alignment wrapText="1"/>
    </xf>
    <xf numFmtId="0" fontId="37" fillId="0" borderId="51" xfId="4495" applyFont="1" applyBorder="1" applyAlignment="1">
      <alignment vertical="top"/>
    </xf>
    <xf numFmtId="0" fontId="21" fillId="0" borderId="51" xfId="4496" applyFont="1" applyBorder="1" applyAlignment="1">
      <alignment wrapText="1"/>
    </xf>
    <xf numFmtId="0" fontId="28" fillId="0" borderId="51" xfId="4495" applyFont="1" applyBorder="1" applyAlignment="1">
      <alignment horizontal="right"/>
    </xf>
    <xf numFmtId="0" fontId="21" fillId="0" borderId="52" xfId="4495" applyFont="1" applyBorder="1" applyAlignment="1">
      <alignment horizontal="center"/>
    </xf>
    <xf numFmtId="0" fontId="21" fillId="0" borderId="53" xfId="4495" applyFont="1" applyBorder="1" applyAlignment="1">
      <alignment horizontal="left" vertical="top"/>
    </xf>
    <xf numFmtId="0" fontId="21" fillId="0" borderId="54" xfId="4495" applyFont="1" applyBorder="1" applyAlignment="1">
      <alignment horizontal="left" vertical="top"/>
    </xf>
    <xf numFmtId="0" fontId="21" fillId="0" borderId="54" xfId="4495" applyFont="1" applyBorder="1" applyAlignment="1">
      <alignment horizontal="center"/>
    </xf>
    <xf numFmtId="0" fontId="21" fillId="0" borderId="59" xfId="4495" applyFont="1" applyBorder="1" applyAlignment="1">
      <alignment horizontal="center"/>
    </xf>
    <xf numFmtId="9" fontId="21" fillId="0" borderId="0" xfId="4496" applyNumberFormat="1" applyFont="1" applyAlignment="1">
      <alignment horizontal="center"/>
    </xf>
    <xf numFmtId="1" fontId="21" fillId="0" borderId="0" xfId="543" applyNumberFormat="1"/>
    <xf numFmtId="0" fontId="29" fillId="0" borderId="1" xfId="4495" applyFont="1" applyBorder="1"/>
    <xf numFmtId="0" fontId="28" fillId="0" borderId="0" xfId="4495" applyFont="1" applyAlignment="1">
      <alignment horizontal="center" wrapText="1"/>
    </xf>
    <xf numFmtId="0" fontId="28" fillId="0" borderId="9" xfId="4495" applyFont="1" applyBorder="1" applyAlignment="1">
      <alignment horizontal="left"/>
    </xf>
    <xf numFmtId="0" fontId="28" fillId="0" borderId="3" xfId="4495" applyFont="1" applyBorder="1" applyAlignment="1">
      <alignment horizontal="left"/>
    </xf>
    <xf numFmtId="0" fontId="28" fillId="0" borderId="4" xfId="4495" applyFont="1" applyBorder="1" applyAlignment="1">
      <alignment horizontal="left"/>
    </xf>
    <xf numFmtId="0" fontId="21" fillId="0" borderId="2" xfId="4495" applyFont="1" applyBorder="1" applyAlignment="1">
      <alignment horizontal="left"/>
    </xf>
    <xf numFmtId="0" fontId="28" fillId="0" borderId="2" xfId="4495" applyFont="1" applyBorder="1" applyAlignment="1">
      <alignment horizontal="left"/>
    </xf>
    <xf numFmtId="0" fontId="28" fillId="0" borderId="5" xfId="4495" applyFont="1" applyBorder="1" applyAlignment="1">
      <alignment horizontal="left"/>
    </xf>
    <xf numFmtId="180" fontId="59" fillId="0" borderId="0" xfId="4495" applyNumberFormat="1" applyFont="1" applyAlignment="1">
      <alignment horizontal="center" vertical="center"/>
    </xf>
    <xf numFmtId="0" fontId="21" fillId="0" borderId="12" xfId="4495" applyFont="1" applyBorder="1" applyAlignment="1">
      <alignment vertical="top"/>
    </xf>
    <xf numFmtId="0" fontId="45" fillId="0" borderId="0" xfId="4495" applyFont="1" applyAlignment="1">
      <alignment vertical="top" wrapText="1"/>
    </xf>
    <xf numFmtId="0" fontId="21" fillId="0" borderId="51" xfId="4495" applyFont="1" applyBorder="1" applyAlignment="1">
      <alignment horizontal="left" vertical="top" wrapText="1"/>
    </xf>
    <xf numFmtId="0" fontId="21" fillId="0" borderId="51" xfId="4495" applyFont="1" applyBorder="1" applyAlignment="1">
      <alignment horizontal="right"/>
    </xf>
    <xf numFmtId="0" fontId="21" fillId="0" borderId="52" xfId="4495" applyFont="1" applyBorder="1" applyAlignment="1">
      <alignment horizontal="right"/>
    </xf>
    <xf numFmtId="0" fontId="21" fillId="0" borderId="54" xfId="4495" applyFont="1" applyBorder="1" applyAlignment="1">
      <alignment horizontal="right"/>
    </xf>
    <xf numFmtId="0" fontId="21" fillId="0" borderId="58" xfId="4495" applyFont="1" applyBorder="1" applyAlignment="1">
      <alignment horizontal="left" vertical="top" wrapText="1"/>
    </xf>
    <xf numFmtId="0" fontId="21" fillId="0" borderId="58" xfId="4495" applyFont="1" applyBorder="1" applyAlignment="1">
      <alignment horizontal="right"/>
    </xf>
    <xf numFmtId="0" fontId="21" fillId="0" borderId="59" xfId="4495" applyFont="1" applyBorder="1" applyAlignment="1">
      <alignment horizontal="right"/>
    </xf>
    <xf numFmtId="0" fontId="45" fillId="0" borderId="0" xfId="4495" applyFont="1" applyAlignment="1">
      <alignment horizontal="left" vertical="top" wrapText="1"/>
    </xf>
    <xf numFmtId="0" fontId="21" fillId="0" borderId="0" xfId="1192" applyAlignment="1">
      <alignment horizontal="left" vertical="top"/>
    </xf>
    <xf numFmtId="0" fontId="39" fillId="0" borderId="0" xfId="1192" applyFont="1" applyAlignment="1">
      <alignment horizontal="left" vertical="top"/>
    </xf>
    <xf numFmtId="0" fontId="21" fillId="0" borderId="0" xfId="1192" applyAlignment="1">
      <alignment vertical="top"/>
    </xf>
    <xf numFmtId="168" fontId="21" fillId="0" borderId="0" xfId="1192" applyNumberFormat="1"/>
    <xf numFmtId="165" fontId="21" fillId="0" borderId="0" xfId="1192" applyNumberFormat="1"/>
    <xf numFmtId="165" fontId="21" fillId="0" borderId="0" xfId="1192" applyNumberFormat="1" applyAlignment="1">
      <alignment horizontal="right"/>
    </xf>
    <xf numFmtId="2" fontId="21" fillId="0" borderId="0" xfId="1192" applyNumberFormat="1"/>
    <xf numFmtId="6" fontId="21" fillId="0" borderId="0" xfId="1192" applyNumberFormat="1"/>
    <xf numFmtId="0" fontId="28" fillId="0" borderId="0" xfId="1192" applyFont="1"/>
    <xf numFmtId="0" fontId="45" fillId="0" borderId="0" xfId="1192" applyFont="1"/>
    <xf numFmtId="168" fontId="21" fillId="0" borderId="0" xfId="4495" applyNumberFormat="1" applyFont="1"/>
    <xf numFmtId="0" fontId="28" fillId="0" borderId="0" xfId="1192" applyFont="1" applyAlignment="1">
      <alignment vertical="center"/>
    </xf>
    <xf numFmtId="0" fontId="112" fillId="0" borderId="0" xfId="1192" applyFont="1" applyAlignment="1">
      <alignment horizontal="left"/>
    </xf>
    <xf numFmtId="0" fontId="109" fillId="0" borderId="0" xfId="1192" applyFont="1" applyAlignment="1">
      <alignment horizontal="left"/>
    </xf>
    <xf numFmtId="0" fontId="109" fillId="0" borderId="0" xfId="1192" applyFont="1" applyAlignment="1">
      <alignment horizontal="center"/>
    </xf>
    <xf numFmtId="168" fontId="21" fillId="0" borderId="0" xfId="1192" applyNumberFormat="1" applyAlignment="1">
      <alignment horizontal="center"/>
    </xf>
    <xf numFmtId="9" fontId="21" fillId="0" borderId="0" xfId="1192" applyNumberFormat="1"/>
    <xf numFmtId="0" fontId="21" fillId="0" borderId="0" xfId="1192" applyAlignment="1">
      <alignment horizontal="right"/>
    </xf>
    <xf numFmtId="0" fontId="21" fillId="0" borderId="53" xfId="4495" applyFont="1" applyBorder="1" applyAlignment="1">
      <alignment horizontal="left"/>
    </xf>
    <xf numFmtId="6" fontId="28" fillId="0" borderId="0" xfId="1192" applyNumberFormat="1" applyFont="1" applyAlignment="1">
      <alignment horizontal="right"/>
    </xf>
    <xf numFmtId="165" fontId="21" fillId="0" borderId="0" xfId="4495" applyNumberFormat="1" applyFont="1"/>
    <xf numFmtId="0" fontId="51" fillId="0" borderId="4" xfId="4495" applyFont="1" applyBorder="1"/>
    <xf numFmtId="1" fontId="28" fillId="0" borderId="13" xfId="271" applyNumberFormat="1" applyFont="1" applyBorder="1"/>
    <xf numFmtId="1" fontId="30" fillId="0" borderId="13" xfId="271" applyNumberFormat="1" applyBorder="1"/>
    <xf numFmtId="0" fontId="21" fillId="0" borderId="11" xfId="0" applyFont="1" applyBorder="1"/>
    <xf numFmtId="9" fontId="21" fillId="0" borderId="0" xfId="4495" applyNumberFormat="1" applyFont="1"/>
    <xf numFmtId="165" fontId="116" fillId="0" borderId="0" xfId="4496" applyNumberFormat="1" applyFont="1" applyAlignment="1">
      <alignment horizontal="center" vertical="top" wrapText="1"/>
    </xf>
    <xf numFmtId="168" fontId="116" fillId="0" borderId="0" xfId="4496" applyNumberFormat="1" applyFont="1" applyAlignment="1">
      <alignment vertical="top" wrapText="1"/>
    </xf>
    <xf numFmtId="165" fontId="116" fillId="0" borderId="64" xfId="4496" applyNumberFormat="1" applyFont="1" applyBorder="1" applyAlignment="1">
      <alignment horizontal="center" vertical="top" wrapText="1"/>
    </xf>
    <xf numFmtId="165" fontId="116" fillId="0" borderId="53" xfId="4496" applyNumberFormat="1" applyFont="1" applyBorder="1" applyAlignment="1">
      <alignment horizontal="left" vertical="top"/>
    </xf>
    <xf numFmtId="165" fontId="116" fillId="0" borderId="53" xfId="4496" applyNumberFormat="1" applyFont="1" applyBorder="1" applyAlignment="1">
      <alignment horizontal="center" vertical="top" wrapText="1"/>
    </xf>
    <xf numFmtId="168" fontId="116" fillId="0" borderId="0" xfId="4496" applyNumberFormat="1" applyFont="1" applyAlignment="1">
      <alignment vertical="top"/>
    </xf>
    <xf numFmtId="1" fontId="116" fillId="0" borderId="0" xfId="4496" applyNumberFormat="1" applyFont="1" applyAlignment="1">
      <alignment vertical="top" wrapText="1"/>
    </xf>
    <xf numFmtId="164" fontId="29" fillId="0" borderId="0" xfId="4495" applyNumberFormat="1" applyFont="1"/>
    <xf numFmtId="0" fontId="28" fillId="0" borderId="8" xfId="0" applyFont="1" applyBorder="1" applyAlignment="1">
      <alignment horizontal="center" vertical="center" wrapText="1"/>
    </xf>
    <xf numFmtId="0" fontId="2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4" fillId="0" borderId="50" xfId="1192" applyFont="1" applyBorder="1" applyAlignment="1">
      <alignment horizontal="left"/>
    </xf>
    <xf numFmtId="0" fontId="135" fillId="0" borderId="51" xfId="4495" applyFont="1" applyBorder="1" applyAlignment="1">
      <alignment vertical="top"/>
    </xf>
    <xf numFmtId="0" fontId="134" fillId="0" borderId="51" xfId="4495" applyFont="1" applyBorder="1" applyAlignment="1">
      <alignment vertical="top" wrapText="1"/>
    </xf>
    <xf numFmtId="0" fontId="135" fillId="0" borderId="51" xfId="4495" applyFont="1" applyBorder="1"/>
    <xf numFmtId="0" fontId="135" fillId="0" borderId="53" xfId="1192" applyFont="1" applyBorder="1" applyAlignment="1">
      <alignment horizontal="left"/>
    </xf>
    <xf numFmtId="0" fontId="135" fillId="0" borderId="0" xfId="4495" applyFont="1" applyAlignment="1">
      <alignment vertical="top"/>
    </xf>
    <xf numFmtId="0" fontId="134" fillId="0" borderId="0" xfId="4495" applyFont="1" applyAlignment="1">
      <alignment vertical="top" wrapText="1"/>
    </xf>
    <xf numFmtId="0" fontId="135" fillId="0" borderId="0" xfId="4495" applyFont="1"/>
    <xf numFmtId="0" fontId="134" fillId="0" borderId="53" xfId="1192" applyFont="1" applyBorder="1" applyAlignment="1">
      <alignment horizontal="left"/>
    </xf>
    <xf numFmtId="0" fontId="134" fillId="0" borderId="57" xfId="1192" applyFont="1" applyBorder="1" applyAlignment="1">
      <alignment horizontal="left"/>
    </xf>
    <xf numFmtId="0" fontId="135" fillId="0" borderId="58" xfId="4495" applyFont="1" applyBorder="1" applyAlignment="1">
      <alignment vertical="top"/>
    </xf>
    <xf numFmtId="0" fontId="134" fillId="0" borderId="58" xfId="4495" applyFont="1" applyBorder="1" applyAlignment="1">
      <alignment vertical="top" wrapText="1"/>
    </xf>
    <xf numFmtId="0" fontId="135" fillId="0" borderId="58" xfId="4495" applyFont="1" applyBorder="1"/>
    <xf numFmtId="0" fontId="28" fillId="0" borderId="7" xfId="0" applyFont="1" applyBorder="1" applyAlignment="1">
      <alignment horizontal="right"/>
    </xf>
    <xf numFmtId="0" fontId="0" fillId="0" borderId="0" xfId="0" applyAlignment="1" applyProtection="1">
      <alignment horizontal="left" vertical="top" wrapText="1"/>
      <protection locked="0"/>
    </xf>
    <xf numFmtId="0" fontId="21" fillId="0" borderId="9" xfId="0" applyFont="1" applyBorder="1" applyAlignment="1">
      <alignment horizontal="left"/>
    </xf>
    <xf numFmtId="0" fontId="21" fillId="0" borderId="6" xfId="0" applyFont="1" applyBorder="1"/>
    <xf numFmtId="0" fontId="21" fillId="0" borderId="9" xfId="0" applyFont="1" applyBorder="1"/>
    <xf numFmtId="0" fontId="47" fillId="0" borderId="0" xfId="0" applyFont="1" applyAlignment="1">
      <alignment horizontal="center"/>
    </xf>
    <xf numFmtId="0" fontId="27" fillId="0" borderId="0" xfId="0" applyFont="1" applyAlignment="1">
      <alignment horizontal="center" vertical="center" wrapText="1"/>
    </xf>
    <xf numFmtId="0" fontId="36" fillId="0" borderId="0" xfId="0" applyFont="1" applyAlignment="1">
      <alignment horizontal="center"/>
    </xf>
    <xf numFmtId="0" fontId="29" fillId="0" borderId="0" xfId="0" applyFont="1" applyAlignment="1">
      <alignment horizontal="center"/>
    </xf>
    <xf numFmtId="0" fontId="28" fillId="0" borderId="3" xfId="0" applyFont="1" applyBorder="1"/>
    <xf numFmtId="0" fontId="28" fillId="0" borderId="4" xfId="271" applyFont="1" applyBorder="1"/>
    <xf numFmtId="0" fontId="28" fillId="0" borderId="3" xfId="271" applyFont="1" applyBorder="1"/>
    <xf numFmtId="0" fontId="28" fillId="0" borderId="5" xfId="271" applyFont="1" applyBorder="1"/>
    <xf numFmtId="0" fontId="21" fillId="0" borderId="58" xfId="4495" applyFont="1" applyBorder="1" applyAlignment="1">
      <alignment vertical="center" wrapText="1"/>
    </xf>
    <xf numFmtId="0" fontId="21" fillId="0" borderId="59" xfId="4495" applyFont="1" applyBorder="1" applyAlignment="1">
      <alignment vertical="center" wrapText="1"/>
    </xf>
    <xf numFmtId="0" fontId="21" fillId="0" borderId="0" xfId="4495" applyFont="1" applyAlignment="1">
      <alignment horizontal="left" vertical="center" wrapText="1"/>
    </xf>
    <xf numFmtId="0" fontId="28" fillId="0" borderId="5" xfId="0" applyFont="1" applyBorder="1"/>
    <xf numFmtId="168" fontId="26" fillId="43" borderId="0" xfId="0" applyNumberFormat="1" applyFont="1" applyFill="1"/>
    <xf numFmtId="9" fontId="29" fillId="0" borderId="0" xfId="543" applyNumberFormat="1" applyFont="1" applyAlignment="1">
      <alignment horizontal="center"/>
    </xf>
    <xf numFmtId="171" fontId="21" fillId="0" borderId="0" xfId="543" applyNumberFormat="1"/>
    <xf numFmtId="171" fontId="21" fillId="0" borderId="11" xfId="543" applyNumberFormat="1" applyBorder="1"/>
    <xf numFmtId="1" fontId="21" fillId="0" borderId="11" xfId="543" applyNumberFormat="1" applyBorder="1" applyAlignment="1">
      <alignment horizontal="center"/>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21" fillId="0" borderId="12" xfId="543" quotePrefix="1" applyBorder="1"/>
    <xf numFmtId="0" fontId="50" fillId="0" borderId="2" xfId="569" applyFont="1" applyBorder="1" applyAlignment="1">
      <alignment vertical="top"/>
    </xf>
    <xf numFmtId="0" fontId="31" fillId="0" borderId="0" xfId="4495" applyFont="1"/>
    <xf numFmtId="0" fontId="21" fillId="0" borderId="0" xfId="4495" applyFont="1" applyAlignment="1">
      <alignment vertical="top" wrapText="1" shrinkToFit="1"/>
    </xf>
    <xf numFmtId="0" fontId="139" fillId="0" borderId="0" xfId="4495" applyFont="1"/>
    <xf numFmtId="164" fontId="21" fillId="0" borderId="0" xfId="1192" applyNumberFormat="1" applyAlignment="1">
      <alignment horizontal="right"/>
    </xf>
    <xf numFmtId="164" fontId="21" fillId="0" borderId="0" xfId="4495" applyNumberFormat="1" applyFont="1" applyAlignment="1">
      <alignment horizontal="right"/>
    </xf>
    <xf numFmtId="0" fontId="21" fillId="0" borderId="0" xfId="4495" applyFont="1" applyAlignment="1">
      <alignment horizontal="left" vertical="top" wrapText="1" shrinkToFit="1"/>
    </xf>
    <xf numFmtId="0" fontId="21" fillId="0" borderId="6" xfId="4495" applyFont="1" applyBorder="1" applyAlignment="1">
      <alignment vertical="top" wrapText="1"/>
    </xf>
    <xf numFmtId="0" fontId="139" fillId="0" borderId="4" xfId="4495" applyFont="1" applyBorder="1"/>
    <xf numFmtId="0" fontId="21" fillId="0" borderId="4" xfId="4495" applyFont="1" applyBorder="1" applyAlignment="1">
      <alignment horizontal="left" vertical="top" wrapText="1" shrinkToFit="1"/>
    </xf>
    <xf numFmtId="0" fontId="31" fillId="0" borderId="0" xfId="4495" applyFont="1" applyAlignment="1">
      <alignment horizontal="left" vertical="top"/>
    </xf>
    <xf numFmtId="0" fontId="21" fillId="0" borderId="0" xfId="4495" applyFont="1" applyAlignment="1">
      <alignment vertical="center" wrapText="1" shrinkToFit="1"/>
    </xf>
    <xf numFmtId="0" fontId="21" fillId="0" borderId="0" xfId="4495" applyFont="1" applyAlignment="1">
      <alignment horizontal="left" vertical="top" shrinkToFit="1"/>
    </xf>
    <xf numFmtId="0" fontId="21" fillId="0" borderId="0" xfId="4495" applyFont="1" applyAlignment="1">
      <alignment horizontal="left" vertical="center" shrinkToFit="1"/>
    </xf>
    <xf numFmtId="0" fontId="31" fillId="0" borderId="4" xfId="4495" applyFont="1" applyBorder="1"/>
    <xf numFmtId="0" fontId="21" fillId="0" borderId="4" xfId="4495" applyFont="1" applyBorder="1" applyAlignment="1">
      <alignment horizontal="left" vertical="top" shrinkToFit="1"/>
    </xf>
    <xf numFmtId="0" fontId="21" fillId="0" borderId="0" xfId="4495" applyFont="1" applyAlignment="1">
      <alignment vertical="center"/>
    </xf>
    <xf numFmtId="0" fontId="27" fillId="0" borderId="0" xfId="4495" applyFont="1"/>
    <xf numFmtId="0" fontId="31" fillId="0" borderId="0" xfId="4495" applyFont="1" applyAlignment="1">
      <alignment horizontal="center"/>
    </xf>
    <xf numFmtId="0" fontId="21" fillId="0" borderId="4" xfId="4495" applyFont="1" applyBorder="1" applyAlignment="1">
      <alignment horizontal="left" vertical="top" wrapText="1"/>
    </xf>
    <xf numFmtId="44" fontId="21" fillId="0" borderId="0" xfId="707" applyFont="1" applyFill="1" applyBorder="1" applyAlignment="1" applyProtection="1">
      <alignment horizontal="left" vertical="top" wrapText="1"/>
    </xf>
    <xf numFmtId="44" fontId="21" fillId="0" borderId="4" xfId="707" applyFont="1" applyFill="1" applyBorder="1" applyAlignment="1" applyProtection="1">
      <alignment horizontal="left" vertical="top" wrapText="1"/>
    </xf>
    <xf numFmtId="164" fontId="39" fillId="0" borderId="0" xfId="4495" applyNumberFormat="1" applyFont="1" applyAlignment="1">
      <alignment horizontal="left"/>
    </xf>
    <xf numFmtId="0" fontId="31" fillId="0" borderId="0" xfId="4495" applyFont="1" applyAlignment="1">
      <alignment horizontal="left"/>
    </xf>
    <xf numFmtId="0" fontId="21" fillId="0" borderId="4" xfId="4495" applyFont="1" applyBorder="1" applyAlignment="1">
      <alignment vertical="top" wrapText="1"/>
    </xf>
    <xf numFmtId="0" fontId="31" fillId="0" borderId="4" xfId="4495" applyFont="1" applyBorder="1" applyAlignment="1">
      <alignment horizontal="left" vertical="top"/>
    </xf>
    <xf numFmtId="0" fontId="21" fillId="0" borderId="0" xfId="4495" applyFont="1" applyAlignment="1">
      <alignment horizontal="left" vertical="center" wrapText="1" shrinkToFit="1"/>
    </xf>
    <xf numFmtId="0" fontId="21" fillId="0" borderId="6" xfId="4495" applyFont="1" applyBorder="1" applyAlignment="1">
      <alignment horizontal="left" vertical="top" wrapText="1"/>
    </xf>
    <xf numFmtId="2" fontId="112" fillId="0" borderId="0" xfId="0" applyNumberFormat="1" applyFont="1" applyAlignment="1">
      <alignment horizontal="center"/>
    </xf>
    <xf numFmtId="9" fontId="21" fillId="0" borderId="0" xfId="4494" applyFont="1" applyAlignment="1">
      <alignment horizontal="center"/>
    </xf>
    <xf numFmtId="3" fontId="21" fillId="0" borderId="0" xfId="0" applyNumberFormat="1" applyFont="1"/>
    <xf numFmtId="10" fontId="21" fillId="0" borderId="0" xfId="0" applyNumberFormat="1" applyFont="1" applyAlignment="1">
      <alignment horizontal="center"/>
    </xf>
    <xf numFmtId="168" fontId="21" fillId="0" borderId="0" xfId="0" applyNumberFormat="1" applyFont="1"/>
    <xf numFmtId="172" fontId="21" fillId="0" borderId="11" xfId="0" applyNumberFormat="1" applyFont="1" applyBorder="1" applyAlignment="1">
      <alignment horizontal="center"/>
    </xf>
    <xf numFmtId="168" fontId="21" fillId="5" borderId="0" xfId="0" applyNumberFormat="1" applyFont="1" applyFill="1"/>
    <xf numFmtId="3" fontId="21" fillId="5" borderId="0" xfId="0" applyNumberFormat="1" applyFont="1" applyFill="1"/>
    <xf numFmtId="0" fontId="21" fillId="5" borderId="0" xfId="0" applyFont="1" applyFill="1"/>
    <xf numFmtId="3" fontId="21" fillId="5" borderId="6" xfId="0" applyNumberFormat="1" applyFont="1" applyFill="1" applyBorder="1"/>
    <xf numFmtId="3" fontId="21" fillId="0" borderId="6" xfId="0" applyNumberFormat="1" applyFont="1" applyBorder="1"/>
    <xf numFmtId="168" fontId="21" fillId="0" borderId="0" xfId="0" applyNumberFormat="1" applyFont="1" applyAlignment="1">
      <alignment horizontal="center"/>
    </xf>
    <xf numFmtId="3" fontId="21" fillId="0" borderId="0" xfId="0" applyNumberFormat="1" applyFont="1" applyAlignment="1">
      <alignment horizontal="center"/>
    </xf>
    <xf numFmtId="0" fontId="21" fillId="0" borderId="50" xfId="4495" applyFont="1" applyBorder="1" applyAlignment="1">
      <alignment vertical="center"/>
    </xf>
    <xf numFmtId="0" fontId="21" fillId="0" borderId="51" xfId="4495" applyFont="1" applyBorder="1" applyAlignment="1">
      <alignment vertical="center"/>
    </xf>
    <xf numFmtId="0" fontId="21" fillId="0" borderId="52" xfId="4495" applyFont="1" applyBorder="1" applyAlignment="1">
      <alignment vertical="center"/>
    </xf>
    <xf numFmtId="0" fontId="21" fillId="0" borderId="54" xfId="4495" applyFont="1" applyBorder="1" applyAlignment="1">
      <alignment vertical="center" wrapText="1"/>
    </xf>
    <xf numFmtId="0" fontId="21" fillId="0" borderId="53" xfId="4495" applyFont="1" applyBorder="1" applyAlignment="1">
      <alignment vertical="top" wrapText="1"/>
    </xf>
    <xf numFmtId="9" fontId="21" fillId="0" borderId="0" xfId="543" applyNumberFormat="1" applyAlignment="1">
      <alignment horizontal="center"/>
    </xf>
    <xf numFmtId="0" fontId="46" fillId="0" borderId="0" xfId="4496" applyFont="1"/>
    <xf numFmtId="168" fontId="50" fillId="5" borderId="11" xfId="0" applyNumberFormat="1" applyFont="1" applyFill="1" applyBorder="1" applyAlignment="1" applyProtection="1">
      <alignment vertical="top" wrapText="1"/>
      <protection locked="0"/>
    </xf>
    <xf numFmtId="0" fontId="21" fillId="0" borderId="0" xfId="0" applyFont="1" applyAlignment="1">
      <alignment horizontal="left" wrapText="1"/>
    </xf>
    <xf numFmtId="4" fontId="39" fillId="0" borderId="0" xfId="0" applyNumberFormat="1" applyFont="1" applyAlignment="1">
      <alignment horizontal="left"/>
    </xf>
    <xf numFmtId="4" fontId="21" fillId="0" borderId="0" xfId="0" applyNumberFormat="1" applyFont="1" applyAlignment="1">
      <alignment horizontal="left" vertical="top" wrapText="1"/>
    </xf>
    <xf numFmtId="0" fontId="28" fillId="0" borderId="4" xfId="0" applyFont="1" applyBorder="1" applyAlignment="1">
      <alignment horizontal="left"/>
    </xf>
    <xf numFmtId="4" fontId="21" fillId="0" borderId="0" xfId="0" applyNumberFormat="1" applyFont="1" applyAlignment="1">
      <alignment horizontal="left"/>
    </xf>
    <xf numFmtId="43" fontId="48" fillId="0" borderId="0" xfId="4503" applyFont="1" applyAlignment="1" applyProtection="1">
      <alignment horizontal="center"/>
    </xf>
    <xf numFmtId="43" fontId="21" fillId="0" borderId="0" xfId="4503" applyFont="1" applyAlignment="1" applyProtection="1">
      <alignment horizontal="center"/>
    </xf>
    <xf numFmtId="43" fontId="21" fillId="0" borderId="0" xfId="4503" applyFont="1" applyProtection="1"/>
    <xf numFmtId="49" fontId="21" fillId="0" borderId="0" xfId="0" applyNumberFormat="1" applyFont="1"/>
    <xf numFmtId="49" fontId="21" fillId="0" borderId="0" xfId="0" applyNumberFormat="1" applyFont="1" applyAlignment="1">
      <alignment horizontal="center"/>
    </xf>
    <xf numFmtId="4" fontId="21" fillId="0" borderId="0" xfId="0" applyNumberFormat="1" applyFont="1" applyAlignment="1">
      <alignment vertical="top" wrapText="1"/>
    </xf>
    <xf numFmtId="0" fontId="21" fillId="0" borderId="0" xfId="0" quotePrefix="1" applyFont="1"/>
    <xf numFmtId="0" fontId="45" fillId="0" borderId="0" xfId="0" applyFont="1" applyAlignment="1">
      <alignment horizontal="left"/>
    </xf>
    <xf numFmtId="0" fontId="21" fillId="0" borderId="4" xfId="0" applyFont="1" applyBorder="1" applyAlignment="1">
      <alignment horizontal="left"/>
    </xf>
    <xf numFmtId="0" fontId="21" fillId="0" borderId="0" xfId="0" quotePrefix="1" applyFont="1" applyAlignment="1">
      <alignment horizontal="left"/>
    </xf>
    <xf numFmtId="0" fontId="21" fillId="0" borderId="0" xfId="0" quotePrefix="1" applyFont="1" applyAlignment="1">
      <alignment horizontal="left" vertical="top"/>
    </xf>
    <xf numFmtId="0" fontId="45" fillId="0" borderId="0" xfId="1192" applyFont="1" applyAlignment="1">
      <alignment horizontal="left"/>
    </xf>
    <xf numFmtId="0" fontId="48" fillId="0" borderId="0" xfId="0" applyFont="1" applyAlignment="1">
      <alignment horizontal="center" vertical="center"/>
    </xf>
    <xf numFmtId="49" fontId="28" fillId="0" borderId="0" xfId="0" applyNumberFormat="1" applyFont="1" applyAlignment="1">
      <alignment horizontal="center" vertical="center"/>
    </xf>
    <xf numFmtId="49" fontId="21" fillId="0" borderId="0" xfId="0" applyNumberFormat="1" applyFont="1" applyAlignment="1">
      <alignment vertical="center"/>
    </xf>
    <xf numFmtId="4" fontId="21" fillId="0" borderId="0" xfId="0" applyNumberFormat="1" applyFont="1" applyAlignment="1">
      <alignment horizontal="center"/>
    </xf>
    <xf numFmtId="4" fontId="21" fillId="0" borderId="0" xfId="0" applyNumberFormat="1" applyFont="1"/>
    <xf numFmtId="10" fontId="21" fillId="0" borderId="0" xfId="4495" applyNumberFormat="1" applyFont="1"/>
    <xf numFmtId="10" fontId="116" fillId="0" borderId="0" xfId="4496" applyNumberFormat="1" applyFont="1" applyAlignment="1">
      <alignment horizontal="center" vertical="top" wrapText="1"/>
    </xf>
    <xf numFmtId="10" fontId="116" fillId="0" borderId="64" xfId="4496" applyNumberFormat="1" applyFont="1" applyBorder="1" applyAlignment="1">
      <alignment horizontal="center" vertical="top" wrapText="1"/>
    </xf>
    <xf numFmtId="10" fontId="116"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21" fillId="0" borderId="0" xfId="1192" quotePrefix="1" applyNumberFormat="1" applyAlignment="1">
      <alignment horizontal="center"/>
    </xf>
    <xf numFmtId="0" fontId="116" fillId="0" borderId="0" xfId="4495" applyFont="1"/>
    <xf numFmtId="10" fontId="116" fillId="0" borderId="0" xfId="4495" applyNumberFormat="1" applyFont="1"/>
    <xf numFmtId="172" fontId="21" fillId="0" borderId="0" xfId="4495" applyNumberFormat="1" applyFont="1"/>
    <xf numFmtId="0" fontId="0" fillId="0" borderId="10" xfId="0" applyBorder="1" applyAlignment="1">
      <alignment horizontal="left"/>
    </xf>
    <xf numFmtId="1" fontId="21" fillId="0" borderId="0" xfId="1192" applyNumberFormat="1" applyAlignment="1">
      <alignment horizontal="center"/>
    </xf>
    <xf numFmtId="0" fontId="114" fillId="0" borderId="63" xfId="4495" applyBorder="1"/>
    <xf numFmtId="0" fontId="50" fillId="0" borderId="0" xfId="271" applyFont="1" applyAlignment="1">
      <alignment vertical="top"/>
    </xf>
    <xf numFmtId="0" fontId="28" fillId="0" borderId="11" xfId="0" applyFont="1" applyBorder="1" applyAlignment="1">
      <alignment horizontal="right" vertical="top" wrapText="1"/>
    </xf>
    <xf numFmtId="0" fontId="30" fillId="0" borderId="11" xfId="271" applyBorder="1" applyAlignment="1" applyProtection="1">
      <alignment horizontal="right" vertical="top" wrapText="1"/>
      <protection locked="0"/>
    </xf>
    <xf numFmtId="0" fontId="21" fillId="0" borderId="54" xfId="4495" applyFont="1" applyBorder="1" applyAlignment="1">
      <alignment vertical="top"/>
    </xf>
    <xf numFmtId="0" fontId="21" fillId="0" borderId="16" xfId="569" applyBorder="1" applyAlignment="1">
      <alignment horizontal="center"/>
    </xf>
    <xf numFmtId="164" fontId="21" fillId="0" borderId="57" xfId="4495" applyNumberFormat="1" applyFont="1" applyBorder="1" applyAlignment="1">
      <alignment vertical="top" wrapText="1"/>
    </xf>
    <xf numFmtId="164" fontId="21" fillId="0" borderId="58" xfId="4495" applyNumberFormat="1" applyFont="1" applyBorder="1" applyAlignment="1">
      <alignment vertical="top" wrapText="1"/>
    </xf>
    <xf numFmtId="164" fontId="21" fillId="0" borderId="59" xfId="4495" applyNumberFormat="1" applyFont="1" applyBorder="1" applyAlignment="1">
      <alignment vertical="top" wrapText="1"/>
    </xf>
    <xf numFmtId="0" fontId="28" fillId="0" borderId="0" xfId="1192" applyFont="1" applyAlignment="1">
      <alignment horizontal="left" vertical="top" wrapText="1"/>
    </xf>
    <xf numFmtId="0" fontId="21" fillId="0" borderId="16" xfId="569" applyBorder="1"/>
    <xf numFmtId="0" fontId="21" fillId="0" borderId="4" xfId="569" applyBorder="1"/>
    <xf numFmtId="0" fontId="28" fillId="0" borderId="4" xfId="569" applyFont="1" applyBorder="1"/>
    <xf numFmtId="49" fontId="21" fillId="0" borderId="4" xfId="569" applyNumberFormat="1" applyBorder="1"/>
    <xf numFmtId="0" fontId="142" fillId="0" borderId="0" xfId="0" applyFont="1"/>
    <xf numFmtId="0" fontId="21" fillId="0" borderId="0" xfId="0" applyFont="1" applyAlignment="1">
      <alignment horizontal="right"/>
    </xf>
    <xf numFmtId="1" fontId="21" fillId="0" borderId="0" xfId="0" applyNumberFormat="1" applyFont="1" applyAlignment="1">
      <alignment horizontal="center"/>
    </xf>
    <xf numFmtId="0" fontId="28" fillId="0" borderId="0" xfId="0" applyFont="1" applyAlignment="1">
      <alignment horizontal="left" vertical="center"/>
    </xf>
    <xf numFmtId="0" fontId="21" fillId="0" borderId="0" xfId="0" applyFont="1" applyAlignment="1">
      <alignment horizontal="left" vertical="center"/>
    </xf>
    <xf numFmtId="0" fontId="28" fillId="0" borderId="0" xfId="569" applyFont="1" applyAlignment="1">
      <alignment vertical="top"/>
    </xf>
    <xf numFmtId="0" fontId="22" fillId="0" borderId="0" xfId="244" applyAlignment="1"/>
    <xf numFmtId="0" fontId="28" fillId="0" borderId="0" xfId="0" applyFont="1" applyAlignment="1">
      <alignment vertical="top" wrapText="1"/>
    </xf>
    <xf numFmtId="49" fontId="28" fillId="0" borderId="0" xfId="0" applyNumberFormat="1" applyFont="1"/>
    <xf numFmtId="49" fontId="28" fillId="0" borderId="0" xfId="0" applyNumberFormat="1" applyFont="1" applyAlignment="1">
      <alignment vertical="top"/>
    </xf>
    <xf numFmtId="175" fontId="21" fillId="0" borderId="0" xfId="543" applyNumberFormat="1" applyAlignment="1">
      <alignment vertical="center"/>
    </xf>
    <xf numFmtId="0" fontId="92" fillId="43" borderId="6" xfId="4496" applyFont="1" applyFill="1" applyBorder="1" applyAlignment="1" applyProtection="1">
      <alignment horizontal="center"/>
      <protection locked="0"/>
    </xf>
    <xf numFmtId="0" fontId="92" fillId="0" borderId="0" xfId="4496" applyFont="1"/>
    <xf numFmtId="0" fontId="92" fillId="0" borderId="0" xfId="4496" applyFont="1" applyAlignment="1">
      <alignment wrapText="1"/>
    </xf>
    <xf numFmtId="0" fontId="130" fillId="0" borderId="0" xfId="4496" applyFont="1"/>
    <xf numFmtId="181" fontId="131" fillId="0" borderId="0" xfId="4498" applyNumberFormat="1" applyFont="1" applyBorder="1" applyProtection="1"/>
    <xf numFmtId="0" fontId="132" fillId="0" borderId="0" xfId="4496" applyFont="1" applyAlignment="1">
      <alignment vertical="center" wrapText="1"/>
    </xf>
    <xf numFmtId="49" fontId="92" fillId="0" borderId="0" xfId="4496" applyNumberFormat="1" applyFont="1" applyAlignment="1">
      <alignment horizontal="center"/>
    </xf>
    <xf numFmtId="182" fontId="92" fillId="0" borderId="6" xfId="4496" applyNumberFormat="1" applyFont="1" applyBorder="1"/>
    <xf numFmtId="0" fontId="92" fillId="0" borderId="0" xfId="4496" applyFont="1" applyAlignment="1">
      <alignment vertical="center"/>
    </xf>
    <xf numFmtId="182" fontId="92" fillId="0" borderId="0" xfId="4496" applyNumberFormat="1" applyFont="1" applyAlignment="1">
      <alignment vertical="center"/>
    </xf>
    <xf numFmtId="175" fontId="92" fillId="0" borderId="0" xfId="4499" applyNumberFormat="1" applyFont="1" applyFill="1" applyBorder="1" applyAlignment="1" applyProtection="1">
      <alignment horizontal="left" vertical="center"/>
    </xf>
    <xf numFmtId="9" fontId="92" fillId="0" borderId="0" xfId="4499" applyFont="1" applyFill="1" applyBorder="1" applyAlignment="1" applyProtection="1">
      <alignment vertical="center"/>
    </xf>
    <xf numFmtId="183" fontId="92" fillId="0" borderId="0" xfId="4496" applyNumberFormat="1" applyFont="1" applyAlignment="1">
      <alignment vertical="center" wrapText="1"/>
    </xf>
    <xf numFmtId="9" fontId="92" fillId="0" borderId="0" xfId="4499" applyFont="1" applyBorder="1" applyAlignment="1" applyProtection="1">
      <alignment vertical="center"/>
    </xf>
    <xf numFmtId="164" fontId="92" fillId="0" borderId="0" xfId="4496" applyNumberFormat="1" applyFont="1" applyAlignment="1">
      <alignment vertical="center" wrapText="1"/>
    </xf>
    <xf numFmtId="0" fontId="92" fillId="0" borderId="0" xfId="4496" applyFont="1" applyAlignment="1">
      <alignment horizontal="center" vertical="center"/>
    </xf>
    <xf numFmtId="182" fontId="92" fillId="0" borderId="11" xfId="8721" applyNumberFormat="1" applyFont="1" applyBorder="1" applyProtection="1"/>
    <xf numFmtId="182" fontId="92" fillId="0" borderId="11" xfId="4496" applyNumberFormat="1" applyFont="1" applyBorder="1"/>
    <xf numFmtId="164" fontId="92" fillId="0" borderId="0" xfId="4496" applyNumberFormat="1" applyFont="1" applyAlignment="1">
      <alignment wrapText="1"/>
    </xf>
    <xf numFmtId="49" fontId="92" fillId="0" borderId="0" xfId="4496" applyNumberFormat="1" applyFont="1" applyAlignment="1">
      <alignment horizontal="left"/>
    </xf>
    <xf numFmtId="0" fontId="133" fillId="0" borderId="0" xfId="4496" applyFont="1"/>
    <xf numFmtId="9" fontId="92" fillId="0" borderId="11" xfId="4494" applyFont="1" applyFill="1" applyBorder="1" applyAlignment="1" applyProtection="1">
      <alignment horizontal="right"/>
    </xf>
    <xf numFmtId="1" fontId="92" fillId="0" borderId="0" xfId="4496" applyNumberFormat="1" applyFont="1"/>
    <xf numFmtId="0" fontId="130" fillId="45" borderId="3" xfId="4496" applyFont="1" applyFill="1" applyBorder="1" applyAlignment="1">
      <alignment horizontal="left" indent="1"/>
    </xf>
    <xf numFmtId="0" fontId="92" fillId="45" borderId="4" xfId="4496" applyFont="1" applyFill="1" applyBorder="1"/>
    <xf numFmtId="2" fontId="92" fillId="45" borderId="5" xfId="4496" applyNumberFormat="1" applyFont="1" applyFill="1" applyBorder="1"/>
    <xf numFmtId="181" fontId="92" fillId="0" borderId="0" xfId="4496" applyNumberFormat="1" applyFont="1"/>
    <xf numFmtId="165" fontId="131" fillId="0" borderId="0" xfId="4499" applyNumberFormat="1" applyFont="1" applyFill="1" applyBorder="1" applyProtection="1"/>
    <xf numFmtId="9" fontId="92" fillId="0" borderId="0" xfId="4494" applyFont="1" applyFill="1" applyProtection="1"/>
    <xf numFmtId="0" fontId="92" fillId="0" borderId="11" xfId="4496" applyFont="1" applyBorder="1" applyAlignment="1">
      <alignment horizontal="center"/>
    </xf>
    <xf numFmtId="2" fontId="92" fillId="0" borderId="11" xfId="4496" applyNumberFormat="1" applyFont="1" applyBorder="1" applyAlignment="1">
      <alignment horizontal="center"/>
    </xf>
    <xf numFmtId="0" fontId="92" fillId="0" borderId="0" xfId="4496" applyFont="1" applyAlignment="1">
      <alignment vertical="top" wrapText="1"/>
    </xf>
    <xf numFmtId="0" fontId="92" fillId="0" borderId="11" xfId="4496" applyFont="1" applyBorder="1" applyAlignment="1">
      <alignment horizontal="center" vertical="top" wrapText="1"/>
    </xf>
    <xf numFmtId="182" fontId="92" fillId="0" borderId="0" xfId="8721" applyNumberFormat="1" applyFont="1" applyBorder="1" applyProtection="1"/>
    <xf numFmtId="0" fontId="92" fillId="0" borderId="0" xfId="4496" applyFont="1" applyAlignment="1">
      <alignment horizontal="left" indent="1"/>
    </xf>
    <xf numFmtId="182" fontId="92" fillId="0" borderId="0" xfId="4496" applyNumberFormat="1" applyFont="1"/>
    <xf numFmtId="184" fontId="92" fillId="0" borderId="0" xfId="4496" applyNumberFormat="1" applyFont="1"/>
    <xf numFmtId="0" fontId="92" fillId="0" borderId="0" xfId="4496" applyFont="1" applyAlignment="1">
      <alignment horizontal="left"/>
    </xf>
    <xf numFmtId="0" fontId="92" fillId="0" borderId="0" xfId="4496" applyFont="1" applyAlignment="1">
      <alignment horizontal="center"/>
    </xf>
    <xf numFmtId="3" fontId="26" fillId="0" borderId="11" xfId="271" applyNumberFormat="1" applyFont="1" applyBorder="1" applyAlignment="1">
      <alignment horizontal="center"/>
    </xf>
    <xf numFmtId="3" fontId="26" fillId="43" borderId="11" xfId="271" applyNumberFormat="1" applyFont="1" applyFill="1" applyBorder="1" applyProtection="1">
      <protection locked="0"/>
    </xf>
    <xf numFmtId="0" fontId="92" fillId="0" borderId="0" xfId="4496" applyFont="1" applyAlignment="1">
      <alignment horizontal="right"/>
    </xf>
    <xf numFmtId="0" fontId="92" fillId="0" borderId="15" xfId="4496" applyFont="1" applyBorder="1" applyAlignment="1">
      <alignment horizontal="center" vertical="top" wrapText="1"/>
    </xf>
    <xf numFmtId="2" fontId="92" fillId="0" borderId="15" xfId="4496" applyNumberFormat="1" applyFont="1" applyBorder="1" applyAlignment="1">
      <alignment horizontal="center"/>
    </xf>
    <xf numFmtId="0" fontId="92" fillId="0" borderId="15" xfId="4496" applyFont="1" applyBorder="1" applyAlignment="1">
      <alignment horizontal="center"/>
    </xf>
    <xf numFmtId="0" fontId="130" fillId="0" borderId="68" xfId="4496" applyFont="1" applyBorder="1" applyAlignment="1">
      <alignment horizontal="center" vertical="top" wrapText="1"/>
    </xf>
    <xf numFmtId="0" fontId="130" fillId="0" borderId="68" xfId="4496" applyFont="1" applyBorder="1" applyAlignment="1">
      <alignment horizontal="center"/>
    </xf>
    <xf numFmtId="0" fontId="144" fillId="0" borderId="0" xfId="4496" applyFont="1" applyAlignment="1">
      <alignment horizontal="right" vertical="center"/>
    </xf>
    <xf numFmtId="175" fontId="92" fillId="0" borderId="0" xfId="4499" applyNumberFormat="1" applyFont="1" applyFill="1" applyBorder="1" applyAlignment="1" applyProtection="1">
      <alignment horizontal="right" vertical="center"/>
    </xf>
    <xf numFmtId="0" fontId="92" fillId="0" borderId="66" xfId="4496" applyFont="1" applyBorder="1" applyAlignment="1">
      <alignment vertical="center"/>
    </xf>
    <xf numFmtId="0" fontId="92" fillId="0" borderId="41" xfId="4496" applyFont="1" applyBorder="1" applyAlignment="1">
      <alignment vertical="center"/>
    </xf>
    <xf numFmtId="182" fontId="92" fillId="0" borderId="73" xfId="4496" applyNumberFormat="1" applyFont="1" applyBorder="1" applyAlignment="1">
      <alignment vertical="center"/>
    </xf>
    <xf numFmtId="175" fontId="92" fillId="0" borderId="42" xfId="4499" applyNumberFormat="1" applyFont="1" applyFill="1" applyBorder="1" applyAlignment="1" applyProtection="1">
      <alignment horizontal="left" vertical="center"/>
    </xf>
    <xf numFmtId="0" fontId="92" fillId="0" borderId="42" xfId="4496" applyFont="1" applyBorder="1" applyAlignment="1">
      <alignment vertical="center"/>
    </xf>
    <xf numFmtId="0" fontId="92" fillId="0" borderId="44" xfId="4496" applyFont="1" applyBorder="1" applyAlignment="1">
      <alignment vertical="center"/>
    </xf>
    <xf numFmtId="49" fontId="92" fillId="0" borderId="0" xfId="4496" applyNumberFormat="1" applyFont="1" applyAlignment="1">
      <alignment horizontal="center" vertical="center"/>
    </xf>
    <xf numFmtId="0" fontId="92" fillId="0" borderId="65" xfId="4496" applyFont="1" applyBorder="1" applyAlignment="1">
      <alignment vertical="center"/>
    </xf>
    <xf numFmtId="0" fontId="92" fillId="0" borderId="29" xfId="4496" applyFont="1" applyBorder="1" applyAlignment="1">
      <alignment vertical="center"/>
    </xf>
    <xf numFmtId="0" fontId="92" fillId="0" borderId="29" xfId="4496" applyFont="1" applyBorder="1" applyAlignment="1">
      <alignment horizontal="right" vertical="center"/>
    </xf>
    <xf numFmtId="5" fontId="92" fillId="0" borderId="29" xfId="4496" applyNumberFormat="1" applyFont="1" applyBorder="1" applyAlignment="1">
      <alignment vertical="center"/>
    </xf>
    <xf numFmtId="0" fontId="92" fillId="0" borderId="31" xfId="4496" applyFont="1" applyBorder="1" applyAlignment="1">
      <alignment vertical="center"/>
    </xf>
    <xf numFmtId="175" fontId="130" fillId="0" borderId="42" xfId="4494" applyNumberFormat="1" applyFont="1" applyFill="1" applyBorder="1" applyAlignment="1" applyProtection="1">
      <alignment horizontal="center" vertical="center"/>
    </xf>
    <xf numFmtId="0" fontId="130" fillId="0" borderId="29" xfId="4496" applyFont="1" applyBorder="1" applyAlignment="1">
      <alignment vertical="center"/>
    </xf>
    <xf numFmtId="0" fontId="130" fillId="0" borderId="0" xfId="4496" applyFont="1" applyAlignment="1">
      <alignment vertical="center"/>
    </xf>
    <xf numFmtId="0" fontId="130" fillId="0" borderId="42" xfId="4496" applyFont="1" applyBorder="1" applyAlignment="1">
      <alignment vertical="center"/>
    </xf>
    <xf numFmtId="9" fontId="130" fillId="0" borderId="42" xfId="4499" applyFont="1" applyFill="1" applyBorder="1" applyAlignment="1" applyProtection="1">
      <alignment vertical="center"/>
    </xf>
    <xf numFmtId="182" fontId="130" fillId="0" borderId="68" xfId="8721" applyNumberFormat="1" applyFont="1" applyBorder="1" applyProtection="1"/>
    <xf numFmtId="182" fontId="130" fillId="0" borderId="68" xfId="4496" applyNumberFormat="1" applyFont="1" applyBorder="1"/>
    <xf numFmtId="0" fontId="144" fillId="0" borderId="0" xfId="4496" applyFont="1" applyAlignment="1">
      <alignment horizontal="right"/>
    </xf>
    <xf numFmtId="0" fontId="92" fillId="0" borderId="0" xfId="4496" applyFont="1" applyAlignment="1">
      <alignment horizontal="right" vertical="top" wrapText="1" indent="1"/>
    </xf>
    <xf numFmtId="182" fontId="92" fillId="0" borderId="6" xfId="8721" applyNumberFormat="1" applyFont="1" applyBorder="1" applyAlignment="1" applyProtection="1">
      <alignment horizontal="center"/>
    </xf>
    <xf numFmtId="0" fontId="92" fillId="0" borderId="0" xfId="4496" applyFont="1" applyAlignment="1">
      <alignment horizontal="right" indent="1"/>
    </xf>
    <xf numFmtId="0" fontId="92" fillId="0" borderId="0" xfId="4496" applyFont="1" applyAlignment="1">
      <alignment horizontal="right" vertical="top"/>
    </xf>
    <xf numFmtId="0" fontId="130" fillId="0" borderId="0" xfId="4496" applyFont="1" applyAlignment="1">
      <alignment horizontal="right"/>
    </xf>
    <xf numFmtId="182" fontId="130" fillId="0" borderId="0" xfId="8721" applyNumberFormat="1" applyFont="1" applyBorder="1" applyAlignment="1" applyProtection="1">
      <alignment horizontal="center"/>
    </xf>
    <xf numFmtId="10" fontId="92" fillId="0" borderId="0" xfId="4494" applyNumberFormat="1" applyFont="1" applyBorder="1" applyAlignment="1" applyProtection="1">
      <alignment horizontal="center"/>
    </xf>
    <xf numFmtId="184" fontId="92" fillId="0" borderId="6" xfId="4496" applyNumberFormat="1" applyFont="1" applyBorder="1"/>
    <xf numFmtId="0" fontId="130" fillId="0" borderId="0" xfId="4496" applyFont="1" applyAlignment="1">
      <alignment horizontal="right" vertical="top"/>
    </xf>
    <xf numFmtId="182" fontId="130" fillId="0" borderId="0" xfId="4496" applyNumberFormat="1" applyFont="1"/>
    <xf numFmtId="182" fontId="92" fillId="0" borderId="6" xfId="8721" applyNumberFormat="1" applyFont="1" applyBorder="1" applyProtection="1"/>
    <xf numFmtId="184" fontId="92" fillId="0" borderId="0" xfId="4496" applyNumberFormat="1" applyFont="1" applyAlignment="1">
      <alignment horizontal="center"/>
    </xf>
    <xf numFmtId="0" fontId="92" fillId="0" borderId="6" xfId="4496" applyFont="1" applyBorder="1" applyAlignment="1">
      <alignment horizontal="right" vertical="top" wrapText="1" indent="1"/>
    </xf>
    <xf numFmtId="0" fontId="92" fillId="0" borderId="67" xfId="4496" applyFont="1" applyBorder="1" applyAlignment="1">
      <alignment horizontal="right" indent="1"/>
    </xf>
    <xf numFmtId="0" fontId="92" fillId="0" borderId="72" xfId="4496" applyFont="1" applyBorder="1" applyAlignment="1">
      <alignment horizontal="right" indent="1"/>
    </xf>
    <xf numFmtId="0" fontId="92" fillId="0" borderId="72" xfId="4496" quotePrefix="1" applyFont="1" applyBorder="1" applyAlignment="1">
      <alignment horizontal="right" indent="1"/>
    </xf>
    <xf numFmtId="0" fontId="92" fillId="0" borderId="69" xfId="4496" applyFont="1" applyBorder="1" applyAlignment="1">
      <alignment horizontal="right" indent="1"/>
    </xf>
    <xf numFmtId="182" fontId="92" fillId="0" borderId="71" xfId="4496" applyNumberFormat="1" applyFont="1" applyBorder="1"/>
    <xf numFmtId="182" fontId="92" fillId="0" borderId="76" xfId="4496" applyNumberFormat="1" applyFont="1" applyBorder="1"/>
    <xf numFmtId="182" fontId="92" fillId="0" borderId="77" xfId="4496" applyNumberFormat="1" applyFont="1" applyBorder="1"/>
    <xf numFmtId="175" fontId="28" fillId="0" borderId="0" xfId="543" applyNumberFormat="1" applyFont="1" applyAlignment="1">
      <alignment vertical="center"/>
    </xf>
    <xf numFmtId="10" fontId="130" fillId="0" borderId="0" xfId="4494" applyNumberFormat="1" applyFont="1" applyProtection="1"/>
    <xf numFmtId="0" fontId="28" fillId="0" borderId="0" xfId="1192" applyFont="1" applyAlignment="1">
      <alignment horizontal="left" indent="1"/>
    </xf>
    <xf numFmtId="168" fontId="92" fillId="0" borderId="11" xfId="4499" applyNumberFormat="1" applyFont="1" applyFill="1" applyBorder="1" applyAlignment="1" applyProtection="1">
      <alignment horizontal="left" vertical="center" indent="1"/>
    </xf>
    <xf numFmtId="168" fontId="130" fillId="0" borderId="68" xfId="4499" applyNumberFormat="1" applyFont="1" applyFill="1" applyBorder="1" applyAlignment="1" applyProtection="1">
      <alignment horizontal="left" vertical="center" indent="1"/>
    </xf>
    <xf numFmtId="182" fontId="92" fillId="0" borderId="13" xfId="4496" applyNumberFormat="1" applyFont="1" applyBorder="1"/>
    <xf numFmtId="182" fontId="92" fillId="0" borderId="70" xfId="4496" applyNumberFormat="1" applyFont="1" applyBorder="1"/>
    <xf numFmtId="0" fontId="39" fillId="0" borderId="0" xfId="4495" applyFont="1" applyAlignment="1">
      <alignment vertical="center"/>
    </xf>
    <xf numFmtId="0" fontId="116" fillId="0" borderId="0" xfId="4496" applyFont="1" applyAlignment="1">
      <alignment vertical="center" wrapText="1"/>
    </xf>
    <xf numFmtId="0" fontId="26" fillId="43" borderId="0" xfId="1192" applyFont="1" applyFill="1"/>
    <xf numFmtId="3" fontId="63" fillId="43" borderId="6" xfId="1192" applyNumberFormat="1" applyFont="1" applyFill="1" applyBorder="1"/>
    <xf numFmtId="0" fontId="146" fillId="0" borderId="0" xfId="0" applyFont="1"/>
    <xf numFmtId="0" fontId="26" fillId="0" borderId="11" xfId="253" applyFont="1" applyBorder="1" applyAlignment="1" applyProtection="1">
      <alignment horizontal="center" wrapText="1"/>
      <protection locked="0"/>
    </xf>
    <xf numFmtId="0" fontId="147" fillId="0" borderId="0" xfId="0" applyFont="1"/>
    <xf numFmtId="0" fontId="14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21" fillId="43" borderId="3" xfId="569" applyFill="1" applyBorder="1"/>
    <xf numFmtId="0" fontId="151" fillId="0" borderId="0" xfId="0" applyFont="1" applyAlignment="1">
      <alignment horizontal="right"/>
    </xf>
    <xf numFmtId="1" fontId="29" fillId="0" borderId="0" xfId="4495" applyNumberFormat="1" applyFont="1"/>
    <xf numFmtId="0" fontId="28" fillId="0" borderId="4" xfId="569" applyFont="1" applyBorder="1" applyAlignment="1">
      <alignment horizontal="center"/>
    </xf>
    <xf numFmtId="43" fontId="28" fillId="0" borderId="0" xfId="4503" applyFont="1" applyAlignment="1" applyProtection="1">
      <alignment horizontal="center"/>
    </xf>
    <xf numFmtId="0" fontId="28" fillId="0" borderId="0" xfId="569" applyFont="1" applyAlignment="1">
      <alignment horizontal="center" vertical="center"/>
    </xf>
    <xf numFmtId="0" fontId="28" fillId="0" borderId="16" xfId="569" applyFont="1" applyBorder="1" applyAlignment="1">
      <alignment horizontal="center"/>
    </xf>
    <xf numFmtId="49" fontId="28" fillId="0" borderId="4" xfId="569" applyNumberFormat="1" applyFont="1" applyBorder="1" applyAlignment="1">
      <alignment horizontal="center"/>
    </xf>
    <xf numFmtId="4" fontId="28" fillId="0" borderId="0" xfId="569" applyNumberFormat="1" applyFont="1" applyAlignment="1">
      <alignment horizontal="center"/>
    </xf>
    <xf numFmtId="0" fontId="21" fillId="0" borderId="0" xfId="569" applyAlignment="1">
      <alignment horizontal="center" wrapText="1"/>
    </xf>
    <xf numFmtId="0" fontId="21" fillId="0" borderId="0" xfId="0" applyFont="1" applyAlignment="1">
      <alignment vertical="center" wrapText="1"/>
    </xf>
    <xf numFmtId="3" fontId="26" fillId="43" borderId="11" xfId="271" applyNumberFormat="1" applyFont="1" applyFill="1" applyBorder="1" applyAlignment="1" applyProtection="1">
      <alignment horizontal="left"/>
      <protection locked="0"/>
    </xf>
    <xf numFmtId="0" fontId="92" fillId="43" borderId="6" xfId="4496" applyFont="1" applyFill="1" applyBorder="1" applyProtection="1">
      <protection locked="0"/>
    </xf>
    <xf numFmtId="1" fontId="92" fillId="0" borderId="0" xfId="4496" applyNumberFormat="1" applyFont="1" applyProtection="1">
      <protection locked="0"/>
    </xf>
    <xf numFmtId="182" fontId="156" fillId="0" borderId="11" xfId="4496" applyNumberFormat="1" applyFont="1" applyBorder="1"/>
    <xf numFmtId="44" fontId="92" fillId="0" borderId="0" xfId="4496" applyNumberFormat="1" applyFont="1"/>
    <xf numFmtId="182" fontId="26" fillId="0" borderId="11" xfId="4496" applyNumberFormat="1" applyFont="1" applyBorder="1"/>
    <xf numFmtId="9" fontId="92" fillId="0" borderId="0" xfId="4494" applyFont="1"/>
    <xf numFmtId="182" fontId="92" fillId="43" borderId="6" xfId="8721" applyNumberFormat="1" applyFont="1" applyFill="1" applyBorder="1" applyProtection="1">
      <protection locked="0"/>
    </xf>
    <xf numFmtId="0" fontId="21" fillId="0" borderId="0" xfId="4495" applyFont="1" applyAlignment="1">
      <alignment wrapText="1"/>
    </xf>
    <xf numFmtId="168" fontId="168" fillId="48" borderId="79" xfId="700" applyNumberFormat="1" applyFont="1" applyFill="1" applyBorder="1" applyAlignment="1" applyProtection="1">
      <protection locked="0"/>
    </xf>
    <xf numFmtId="3" fontId="43" fillId="10" borderId="0" xfId="543" applyNumberFormat="1" applyFont="1" applyFill="1" applyAlignment="1">
      <alignment vertical="center" wrapText="1"/>
    </xf>
    <xf numFmtId="0" fontId="175" fillId="0" borderId="0" xfId="543" applyFont="1" applyAlignment="1">
      <alignment horizontal="left" vertical="center"/>
    </xf>
    <xf numFmtId="0" fontId="176" fillId="0" borderId="0" xfId="543" applyFont="1" applyAlignment="1">
      <alignment horizontal="right" vertical="top" wrapText="1"/>
    </xf>
    <xf numFmtId="168" fontId="176" fillId="0" borderId="0" xfId="543" applyNumberFormat="1" applyFont="1" applyAlignment="1">
      <alignment horizontal="center" vertical="center"/>
    </xf>
    <xf numFmtId="0" fontId="177" fillId="0" borderId="0" xfId="543" applyFont="1" applyAlignment="1">
      <alignment horizontal="left" vertical="center"/>
    </xf>
    <xf numFmtId="0" fontId="177" fillId="0" borderId="0" xfId="543" applyFont="1" applyAlignment="1">
      <alignment horizontal="right" vertical="top" wrapText="1"/>
    </xf>
    <xf numFmtId="168" fontId="176" fillId="0" borderId="104" xfId="543" applyNumberFormat="1" applyFont="1" applyBorder="1" applyAlignment="1">
      <alignment horizontal="center" vertical="center"/>
    </xf>
    <xf numFmtId="0" fontId="177" fillId="0" borderId="106" xfId="543" applyFont="1" applyBorder="1" applyAlignment="1">
      <alignment horizontal="right" vertical="top" wrapText="1"/>
    </xf>
    <xf numFmtId="0" fontId="28" fillId="0" borderId="0" xfId="4495" applyFont="1" applyAlignment="1">
      <alignment wrapText="1"/>
    </xf>
    <xf numFmtId="182" fontId="21" fillId="0" borderId="0" xfId="700" applyNumberFormat="1" applyFont="1"/>
    <xf numFmtId="9" fontId="21" fillId="0" borderId="0" xfId="1022" applyFont="1"/>
    <xf numFmtId="168" fontId="21"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6" fillId="52" borderId="113" xfId="0" applyFont="1" applyFill="1" applyBorder="1"/>
    <xf numFmtId="0" fontId="116" fillId="53" borderId="113" xfId="0" applyFont="1" applyFill="1" applyBorder="1"/>
    <xf numFmtId="1" fontId="0" fillId="0" borderId="0" xfId="0" applyNumberFormat="1"/>
    <xf numFmtId="0" fontId="22"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2" fillId="0" borderId="0" xfId="244" applyAlignment="1">
      <alignment horizontal="left" vertical="top"/>
    </xf>
    <xf numFmtId="9" fontId="21" fillId="0" borderId="0" xfId="0" applyNumberFormat="1" applyFont="1"/>
    <xf numFmtId="185" fontId="162" fillId="0" borderId="0" xfId="698" applyNumberFormat="1" applyFont="1"/>
    <xf numFmtId="0" fontId="179" fillId="0" borderId="0" xfId="0" applyFont="1" applyAlignment="1">
      <alignment horizontal="center"/>
    </xf>
    <xf numFmtId="0" fontId="21" fillId="0" borderId="0" xfId="569" quotePrefix="1"/>
    <xf numFmtId="168" fontId="149" fillId="0" borderId="0" xfId="0" applyNumberFormat="1" applyFont="1" applyAlignment="1">
      <alignment vertical="center" wrapText="1"/>
    </xf>
    <xf numFmtId="168" fontId="180" fillId="0" borderId="0" xfId="0" applyNumberFormat="1" applyFont="1" applyAlignment="1">
      <alignment horizontal="center" vertical="center" wrapText="1"/>
    </xf>
    <xf numFmtId="0" fontId="0" fillId="0" borderId="0" xfId="0" applyAlignment="1">
      <alignment vertical="center"/>
    </xf>
    <xf numFmtId="0" fontId="28" fillId="0" borderId="0" xfId="4495" quotePrefix="1" applyFont="1"/>
    <xf numFmtId="0" fontId="28" fillId="0" borderId="0" xfId="4495" applyFont="1" applyAlignment="1">
      <alignment horizontal="left" vertical="center"/>
    </xf>
    <xf numFmtId="0" fontId="28" fillId="0" borderId="0" xfId="4495" applyFont="1" applyAlignment="1">
      <alignment vertical="center"/>
    </xf>
    <xf numFmtId="0" fontId="116" fillId="0" borderId="58" xfId="4496" applyFont="1" applyBorder="1" applyAlignment="1">
      <alignment vertical="center"/>
    </xf>
    <xf numFmtId="0" fontId="28" fillId="0" borderId="5" xfId="4495" applyFont="1" applyBorder="1"/>
    <xf numFmtId="182" fontId="92" fillId="0" borderId="6" xfId="4496" applyNumberFormat="1" applyFont="1" applyBorder="1" applyAlignment="1">
      <alignment vertical="center"/>
    </xf>
    <xf numFmtId="1" fontId="92" fillId="0" borderId="0" xfId="4496" applyNumberFormat="1" applyFont="1" applyAlignment="1">
      <alignment horizontal="right" vertical="top" wrapText="1" indent="1"/>
    </xf>
    <xf numFmtId="3" fontId="92" fillId="43" borderId="6" xfId="4496" applyNumberFormat="1" applyFont="1" applyFill="1" applyBorder="1" applyAlignment="1" applyProtection="1">
      <alignment horizontal="center"/>
      <protection locked="0"/>
    </xf>
    <xf numFmtId="0" fontId="5" fillId="0" borderId="0" xfId="8736"/>
    <xf numFmtId="0" fontId="162" fillId="0" borderId="0" xfId="8736" applyFont="1"/>
    <xf numFmtId="0" fontId="97" fillId="0" borderId="0" xfId="8736" applyFont="1"/>
    <xf numFmtId="0" fontId="5" fillId="47" borderId="66" xfId="8736" applyFill="1" applyBorder="1"/>
    <xf numFmtId="0" fontId="5" fillId="47" borderId="0" xfId="8736" applyFill="1"/>
    <xf numFmtId="0" fontId="96" fillId="47" borderId="0" xfId="8736" applyFont="1" applyFill="1"/>
    <xf numFmtId="0" fontId="96" fillId="47" borderId="41" xfId="8736" applyFont="1" applyFill="1" applyBorder="1" applyAlignment="1">
      <alignment horizontal="center"/>
    </xf>
    <xf numFmtId="182" fontId="167" fillId="47" borderId="0" xfId="8737" applyNumberFormat="1" applyFont="1" applyFill="1" applyBorder="1" applyAlignment="1"/>
    <xf numFmtId="0" fontId="5" fillId="47" borderId="41" xfId="8736" applyFill="1" applyBorder="1"/>
    <xf numFmtId="0" fontId="97" fillId="47" borderId="0" xfId="8736" applyFont="1" applyFill="1"/>
    <xf numFmtId="0" fontId="171" fillId="47" borderId="0" xfId="8736" applyFont="1" applyFill="1"/>
    <xf numFmtId="0" fontId="96" fillId="47" borderId="41" xfId="8736" applyFont="1" applyFill="1" applyBorder="1"/>
    <xf numFmtId="0" fontId="96" fillId="0" borderId="0" xfId="8736" applyFont="1"/>
    <xf numFmtId="0" fontId="159" fillId="0" borderId="0" xfId="8736" applyFont="1"/>
    <xf numFmtId="0" fontId="96" fillId="54" borderId="100" xfId="8736" applyFont="1" applyFill="1" applyBorder="1"/>
    <xf numFmtId="0" fontId="5" fillId="53" borderId="99" xfId="8736" applyFill="1" applyBorder="1"/>
    <xf numFmtId="0" fontId="5" fillId="52" borderId="99" xfId="8736" applyFill="1" applyBorder="1"/>
    <xf numFmtId="0" fontId="96" fillId="45" borderId="65" xfId="8736" applyFont="1" applyFill="1" applyBorder="1"/>
    <xf numFmtId="0" fontId="5" fillId="45" borderId="80" xfId="8736" applyFill="1" applyBorder="1"/>
    <xf numFmtId="0" fontId="5" fillId="45" borderId="79" xfId="8736" applyFill="1" applyBorder="1"/>
    <xf numFmtId="0" fontId="5" fillId="45" borderId="78" xfId="8736" applyFill="1" applyBorder="1"/>
    <xf numFmtId="0" fontId="96" fillId="45" borderId="0" xfId="8736" applyFont="1" applyFill="1"/>
    <xf numFmtId="0" fontId="96" fillId="45" borderId="12" xfId="8736" applyFont="1" applyFill="1" applyBorder="1"/>
    <xf numFmtId="0" fontId="96" fillId="45" borderId="29" xfId="8736" applyFont="1" applyFill="1" applyBorder="1"/>
    <xf numFmtId="0" fontId="96" fillId="45" borderId="80" xfId="8736" applyFont="1" applyFill="1" applyBorder="1"/>
    <xf numFmtId="0" fontId="96" fillId="45" borderId="79" xfId="8736" applyFont="1" applyFill="1" applyBorder="1"/>
    <xf numFmtId="0" fontId="96" fillId="45" borderId="78" xfId="8736" applyFont="1" applyFill="1" applyBorder="1"/>
    <xf numFmtId="0" fontId="96" fillId="45" borderId="93" xfId="8736" applyFont="1" applyFill="1" applyBorder="1"/>
    <xf numFmtId="0" fontId="96" fillId="45" borderId="6" xfId="8736" applyFont="1" applyFill="1" applyBorder="1"/>
    <xf numFmtId="0" fontId="96" fillId="45" borderId="10" xfId="8736" applyFont="1" applyFill="1" applyBorder="1"/>
    <xf numFmtId="0" fontId="162" fillId="44" borderId="0" xfId="8736" applyFont="1" applyFill="1"/>
    <xf numFmtId="10" fontId="162" fillId="44" borderId="0" xfId="1022" applyNumberFormat="1" applyFont="1" applyFill="1"/>
    <xf numFmtId="0" fontId="5" fillId="45" borderId="29" xfId="8736" applyFill="1" applyBorder="1"/>
    <xf numFmtId="0" fontId="5" fillId="45" borderId="31" xfId="8736" applyFill="1" applyBorder="1"/>
    <xf numFmtId="0" fontId="96" fillId="45" borderId="92" xfId="8736" applyFont="1" applyFill="1" applyBorder="1"/>
    <xf numFmtId="0" fontId="96" fillId="45" borderId="74" xfId="8736" applyFont="1" applyFill="1" applyBorder="1"/>
    <xf numFmtId="0" fontId="173" fillId="47" borderId="0" xfId="8736" applyFont="1" applyFill="1"/>
    <xf numFmtId="0" fontId="96" fillId="45" borderId="31" xfId="8736" applyFont="1" applyFill="1" applyBorder="1"/>
    <xf numFmtId="0" fontId="5" fillId="47" borderId="0" xfId="8736" applyFill="1" applyAlignment="1">
      <alignment horizontal="left"/>
    </xf>
    <xf numFmtId="0" fontId="165" fillId="51" borderId="11" xfId="8736" applyFont="1" applyFill="1" applyBorder="1"/>
    <xf numFmtId="0" fontId="165" fillId="51" borderId="76" xfId="8736" applyFont="1" applyFill="1" applyBorder="1"/>
    <xf numFmtId="0" fontId="166" fillId="51" borderId="11" xfId="8736" applyFont="1" applyFill="1" applyBorder="1" applyAlignment="1">
      <alignment horizontal="center"/>
    </xf>
    <xf numFmtId="0" fontId="166" fillId="51" borderId="76" xfId="8736" applyFont="1" applyFill="1" applyBorder="1" applyAlignment="1">
      <alignment horizontal="center"/>
    </xf>
    <xf numFmtId="0" fontId="5" fillId="48" borderId="66" xfId="8736" applyFill="1" applyBorder="1"/>
    <xf numFmtId="0" fontId="5" fillId="48" borderId="0" xfId="8736" applyFill="1"/>
    <xf numFmtId="0" fontId="5" fillId="48" borderId="78" xfId="8736" applyFill="1" applyBorder="1"/>
    <xf numFmtId="0" fontId="96" fillId="47" borderId="66" xfId="8736" applyFont="1" applyFill="1" applyBorder="1"/>
    <xf numFmtId="49" fontId="96" fillId="47" borderId="66" xfId="8736" applyNumberFormat="1" applyFont="1" applyFill="1" applyBorder="1" applyAlignment="1">
      <alignment horizontal="right" vertical="top"/>
    </xf>
    <xf numFmtId="0" fontId="5" fillId="47" borderId="73" xfId="8736" applyFill="1" applyBorder="1"/>
    <xf numFmtId="0" fontId="5" fillId="47" borderId="42" xfId="8736" applyFill="1" applyBorder="1"/>
    <xf numFmtId="0" fontId="5" fillId="47" borderId="44" xfId="8736" applyFill="1" applyBorder="1"/>
    <xf numFmtId="0" fontId="5" fillId="44" borderId="66" xfId="8736" applyFill="1" applyBorder="1"/>
    <xf numFmtId="0" fontId="5" fillId="44" borderId="0" xfId="8736" applyFill="1"/>
    <xf numFmtId="0" fontId="5" fillId="44" borderId="41" xfId="8736" applyFill="1" applyBorder="1"/>
    <xf numFmtId="0" fontId="5" fillId="44" borderId="0" xfId="8736" applyFill="1" applyAlignment="1">
      <alignment horizontal="left"/>
    </xf>
    <xf numFmtId="0" fontId="5" fillId="44" borderId="73" xfId="8736" applyFill="1" applyBorder="1"/>
    <xf numFmtId="0" fontId="5" fillId="44" borderId="42" xfId="8736" applyFill="1" applyBorder="1"/>
    <xf numFmtId="0" fontId="5" fillId="44" borderId="44" xfId="8736" applyFill="1" applyBorder="1"/>
    <xf numFmtId="0" fontId="157" fillId="0" borderId="0" xfId="8736" applyFont="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21" fillId="0" borderId="4" xfId="0" applyFont="1" applyBorder="1"/>
    <xf numFmtId="0" fontId="43" fillId="0" borderId="0" xfId="0" applyFont="1"/>
    <xf numFmtId="0" fontId="21" fillId="8" borderId="0" xfId="542" quotePrefix="1" applyFont="1" applyFill="1" applyAlignment="1">
      <alignment horizontal="left"/>
    </xf>
    <xf numFmtId="0" fontId="28" fillId="8" borderId="0" xfId="539" applyFont="1" applyFill="1" applyAlignment="1" applyProtection="1">
      <alignment horizontal="centerContinuous"/>
    </xf>
    <xf numFmtId="0" fontId="21" fillId="8" borderId="0" xfId="542" applyFont="1" applyFill="1"/>
    <xf numFmtId="168" fontId="28" fillId="0" borderId="6" xfId="543" applyNumberFormat="1" applyFont="1" applyBorder="1" applyAlignment="1">
      <alignment horizontal="left"/>
    </xf>
    <xf numFmtId="168" fontId="28" fillId="0" borderId="6" xfId="543" applyNumberFormat="1" applyFont="1" applyBorder="1" applyAlignment="1">
      <alignment horizontal="center"/>
    </xf>
    <xf numFmtId="0" fontId="45" fillId="0" borderId="0" xfId="244" applyFont="1" applyFill="1" applyBorder="1" applyAlignment="1" applyProtection="1">
      <alignment horizontal="left"/>
    </xf>
    <xf numFmtId="0" fontId="21" fillId="0" borderId="0" xfId="0" applyFont="1" applyAlignment="1">
      <alignment horizontal="left" indent="4"/>
    </xf>
    <xf numFmtId="0" fontId="21" fillId="9" borderId="6" xfId="0" applyFont="1" applyFill="1" applyBorder="1"/>
    <xf numFmtId="166" fontId="21" fillId="0" borderId="0" xfId="0" applyNumberFormat="1" applyFont="1" applyAlignment="1">
      <alignment horizontal="left"/>
    </xf>
    <xf numFmtId="166" fontId="21" fillId="0" borderId="0" xfId="0" applyNumberFormat="1" applyFont="1"/>
    <xf numFmtId="168" fontId="21" fillId="0" borderId="0" xfId="0" applyNumberFormat="1" applyFont="1" applyAlignment="1">
      <alignment horizontal="right"/>
    </xf>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5" fontId="21" fillId="0" borderId="0" xfId="542" applyNumberFormat="1" applyFont="1"/>
    <xf numFmtId="0" fontId="21" fillId="0" borderId="11" xfId="0" applyFont="1" applyBorder="1" applyAlignment="1">
      <alignment horizontal="left"/>
    </xf>
    <xf numFmtId="0" fontId="21" fillId="0" borderId="7" xfId="0" applyFont="1" applyBorder="1"/>
    <xf numFmtId="0" fontId="21" fillId="0" borderId="12" xfId="0" applyFont="1" applyBorder="1"/>
    <xf numFmtId="0" fontId="21" fillId="0" borderId="10" xfId="0" applyFont="1" applyBorder="1"/>
    <xf numFmtId="0" fontId="31" fillId="0" borderId="0" xfId="543" applyFont="1"/>
    <xf numFmtId="0" fontId="21" fillId="0" borderId="1" xfId="0" applyFont="1" applyBorder="1"/>
    <xf numFmtId="0" fontId="39" fillId="0" borderId="7" xfId="543" applyFont="1" applyBorder="1"/>
    <xf numFmtId="0" fontId="28" fillId="0" borderId="12" xfId="543" applyFont="1" applyBorder="1" applyAlignment="1">
      <alignment horizontal="center" vertical="top"/>
    </xf>
    <xf numFmtId="0" fontId="29" fillId="0" borderId="8" xfId="543" applyFont="1" applyBorder="1" applyAlignment="1">
      <alignment horizontal="left" vertical="top" wrapText="1"/>
    </xf>
    <xf numFmtId="0" fontId="29" fillId="0" borderId="12" xfId="543" applyFont="1" applyBorder="1" applyAlignment="1">
      <alignment horizontal="center" vertical="top" wrapText="1"/>
    </xf>
    <xf numFmtId="0" fontId="29" fillId="0" borderId="1" xfId="543" applyFont="1" applyBorder="1" applyAlignment="1">
      <alignment horizontal="left" vertical="top" wrapText="1"/>
    </xf>
    <xf numFmtId="0" fontId="29" fillId="0" borderId="2" xfId="543" applyFont="1" applyBorder="1" applyAlignment="1">
      <alignment horizontal="center" vertical="top" wrapText="1"/>
    </xf>
    <xf numFmtId="0" fontId="29" fillId="0" borderId="0" xfId="543" applyFont="1" applyAlignment="1">
      <alignment horizontal="center" vertical="top" wrapText="1"/>
    </xf>
    <xf numFmtId="0" fontId="29" fillId="0" borderId="9" xfId="543" applyFont="1" applyBorder="1" applyAlignment="1">
      <alignment horizontal="left" vertical="top" wrapText="1"/>
    </xf>
    <xf numFmtId="0" fontId="29" fillId="0" borderId="6" xfId="543" applyFont="1" applyBorder="1" applyAlignment="1">
      <alignment horizontal="center" vertical="top" wrapText="1"/>
    </xf>
    <xf numFmtId="0" fontId="28" fillId="0" borderId="0" xfId="543" applyFont="1" applyAlignment="1">
      <alignment horizontal="center"/>
    </xf>
    <xf numFmtId="0" fontId="37" fillId="0" borderId="9" xfId="543" applyFont="1" applyBorder="1" applyAlignment="1">
      <alignment horizontal="left" vertical="top" wrapText="1"/>
    </xf>
    <xf numFmtId="0" fontId="21" fillId="0" borderId="15" xfId="0" applyFont="1" applyBorder="1"/>
    <xf numFmtId="0" fontId="37" fillId="0" borderId="8" xfId="543" applyFont="1" applyBorder="1" applyAlignment="1">
      <alignment horizontal="left" vertical="top" wrapText="1"/>
    </xf>
    <xf numFmtId="0" fontId="37" fillId="0" borderId="0" xfId="543" applyFont="1" applyAlignment="1">
      <alignment horizontal="center" vertical="top" wrapText="1"/>
    </xf>
    <xf numFmtId="2" fontId="21" fillId="0" borderId="11" xfId="0" applyNumberFormat="1" applyFont="1" applyBorder="1"/>
    <xf numFmtId="0" fontId="29" fillId="0" borderId="0" xfId="543" applyFont="1" applyAlignment="1">
      <alignment horizontal="center"/>
    </xf>
    <xf numFmtId="0" fontId="37" fillId="0" borderId="4" xfId="543" applyFont="1" applyBorder="1" applyAlignment="1">
      <alignment horizontal="right" vertical="top" wrapText="1"/>
    </xf>
    <xf numFmtId="0" fontId="37" fillId="0" borderId="0" xfId="543" applyFont="1" applyAlignment="1">
      <alignment horizontal="right" vertical="top" wrapText="1"/>
    </xf>
    <xf numFmtId="0" fontId="28" fillId="0" borderId="0" xfId="543" applyFont="1" applyAlignment="1">
      <alignment horizontal="right" vertical="top" wrapText="1"/>
    </xf>
    <xf numFmtId="0" fontId="28" fillId="0" borderId="2" xfId="543" applyFont="1" applyBorder="1" applyAlignment="1">
      <alignment horizontal="right" vertical="top" wrapText="1"/>
    </xf>
    <xf numFmtId="0" fontId="28" fillId="0" borderId="0" xfId="543" applyFont="1" applyAlignment="1">
      <alignment vertical="center" wrapText="1"/>
    </xf>
    <xf numFmtId="0" fontId="29" fillId="0" borderId="0" xfId="543" applyFont="1"/>
    <xf numFmtId="0" fontId="21" fillId="0" borderId="0" xfId="543" applyAlignment="1">
      <alignment horizontal="left"/>
    </xf>
    <xf numFmtId="0" fontId="50" fillId="4" borderId="11" xfId="0" applyFont="1" applyFill="1" applyBorder="1" applyAlignment="1">
      <alignment vertical="top" wrapText="1"/>
    </xf>
    <xf numFmtId="0" fontId="50" fillId="2" borderId="11" xfId="0" applyFont="1" applyFill="1" applyBorder="1" applyAlignment="1">
      <alignment vertical="top" wrapText="1"/>
    </xf>
    <xf numFmtId="168" fontId="50" fillId="6" borderId="11" xfId="0" applyNumberFormat="1" applyFont="1" applyFill="1" applyBorder="1" applyAlignment="1">
      <alignment horizontal="center" vertical="top" wrapText="1"/>
    </xf>
    <xf numFmtId="0" fontId="50" fillId="0" borderId="11" xfId="0" applyFont="1" applyBorder="1" applyAlignment="1">
      <alignment horizontal="right" vertical="top"/>
    </xf>
    <xf numFmtId="168" fontId="50" fillId="0" borderId="11" xfId="0" applyNumberFormat="1" applyFont="1" applyBorder="1" applyAlignment="1">
      <alignment vertical="top"/>
    </xf>
    <xf numFmtId="168" fontId="50" fillId="5" borderId="11" xfId="0" applyNumberFormat="1" applyFont="1" applyFill="1" applyBorder="1" applyAlignment="1" applyProtection="1">
      <alignment vertical="top"/>
      <protection locked="0"/>
    </xf>
    <xf numFmtId="168" fontId="50" fillId="6" borderId="11" xfId="0" applyNumberFormat="1" applyFont="1" applyFill="1" applyBorder="1" applyAlignment="1">
      <alignment horizontal="center" vertical="top"/>
    </xf>
    <xf numFmtId="0" fontId="50" fillId="2" borderId="11" xfId="0" applyFont="1" applyFill="1" applyBorder="1" applyAlignment="1" applyProtection="1">
      <alignment vertical="top"/>
      <protection locked="0"/>
    </xf>
    <xf numFmtId="168" fontId="50" fillId="44" borderId="11" xfId="0" applyNumberFormat="1" applyFont="1" applyFill="1" applyBorder="1" applyAlignment="1">
      <alignment vertical="top" wrapText="1"/>
    </xf>
    <xf numFmtId="0" fontId="50" fillId="0" borderId="0" xfId="0" applyFont="1" applyAlignment="1">
      <alignment horizontal="left" vertical="top"/>
    </xf>
    <xf numFmtId="3" fontId="50" fillId="0" borderId="11" xfId="0" applyNumberFormat="1" applyFont="1" applyBorder="1" applyAlignment="1">
      <alignment vertical="top" wrapText="1"/>
    </xf>
    <xf numFmtId="0" fontId="50" fillId="2" borderId="12" xfId="0" applyFont="1" applyFill="1" applyBorder="1" applyAlignment="1">
      <alignmen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21" fillId="0" borderId="0" xfId="0" applyNumberFormat="1" applyFont="1" applyAlignment="1">
      <alignment horizontal="center"/>
    </xf>
    <xf numFmtId="10" fontId="43" fillId="0" borderId="0" xfId="0" applyNumberFormat="1" applyFont="1" applyAlignment="1">
      <alignment horizontal="center"/>
    </xf>
    <xf numFmtId="172" fontId="21" fillId="5" borderId="0" xfId="0" applyNumberFormat="1" applyFont="1" applyFill="1" applyAlignment="1">
      <alignment horizontal="center"/>
    </xf>
    <xf numFmtId="3" fontId="21" fillId="0" borderId="0" xfId="0" applyNumberFormat="1" applyFont="1" applyAlignment="1">
      <alignment vertical="top"/>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5" borderId="6" xfId="0" applyFont="1" applyFill="1" applyBorder="1" applyAlignment="1" applyProtection="1">
      <alignment horizontal="left" vertical="top" wrapText="1"/>
      <protection locked="0"/>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50" fillId="0" borderId="0" xfId="0" applyFont="1" applyAlignment="1">
      <alignment vertical="top" wrapText="1"/>
    </xf>
    <xf numFmtId="0" fontId="21" fillId="0" borderId="0" xfId="0" applyFont="1" applyAlignment="1">
      <alignment horizontal="left" vertical="top" wrapText="1"/>
    </xf>
    <xf numFmtId="0" fontId="22" fillId="0" borderId="0" xfId="244" applyAlignment="1"/>
    <xf numFmtId="0" fontId="0" fillId="0" borderId="0" xfId="0"/>
    <xf numFmtId="0" fontId="21" fillId="0" borderId="0" xfId="1192" applyAlignment="1">
      <alignment horizontal="left" vertical="top" wrapText="1"/>
    </xf>
    <xf numFmtId="0" fontId="28" fillId="0" borderId="0" xfId="0" applyFont="1" applyAlignment="1">
      <alignment horizontal="left" vertical="top" wrapText="1"/>
    </xf>
    <xf numFmtId="0" fontId="44" fillId="0" borderId="0" xfId="0" applyFont="1" applyAlignment="1">
      <alignment horizontal="left" vertical="top" wrapText="1"/>
    </xf>
    <xf numFmtId="0" fontId="21" fillId="0" borderId="0" xfId="0" applyFont="1" applyAlignment="1">
      <alignment horizontal="left" wrapText="1"/>
    </xf>
    <xf numFmtId="0" fontId="22" fillId="0" borderId="0" xfId="244" applyAlignment="1" applyProtection="1">
      <alignment horizontal="left"/>
    </xf>
    <xf numFmtId="0" fontId="107" fillId="0" borderId="0" xfId="0" applyFont="1" applyAlignment="1">
      <alignment horizontal="left" wrapText="1"/>
    </xf>
    <xf numFmtId="0" fontId="30" fillId="0" borderId="0" xfId="0" applyFont="1" applyAlignment="1">
      <alignment horizontal="left" wrapText="1"/>
    </xf>
    <xf numFmtId="0" fontId="27" fillId="3" borderId="0" xfId="0" applyFont="1" applyFill="1" applyAlignment="1">
      <alignment horizontal="center" vertical="center" wrapText="1"/>
    </xf>
    <xf numFmtId="0" fontId="27" fillId="3" borderId="16" xfId="0" applyFont="1" applyFill="1" applyBorder="1" applyAlignment="1">
      <alignment horizontal="center" vertical="center" wrapText="1"/>
    </xf>
    <xf numFmtId="0" fontId="99" fillId="0" borderId="0" xfId="0" applyFont="1" applyAlignment="1">
      <alignment horizontal="left" vertical="top" wrapText="1"/>
    </xf>
    <xf numFmtId="0" fontId="22" fillId="0" borderId="0" xfId="244" applyAlignment="1">
      <alignment horizontal="left" vertical="top"/>
    </xf>
    <xf numFmtId="0" fontId="108" fillId="0" borderId="0" xfId="569" applyFont="1" applyAlignment="1">
      <alignment horizontal="center"/>
    </xf>
    <xf numFmtId="0" fontId="109" fillId="0" borderId="0" xfId="569" applyFont="1"/>
    <xf numFmtId="0" fontId="21" fillId="0" borderId="0" xfId="569" applyAlignment="1">
      <alignment wrapText="1"/>
    </xf>
    <xf numFmtId="0" fontId="28" fillId="0" borderId="0" xfId="569" applyFont="1" applyAlignment="1">
      <alignment wrapText="1"/>
    </xf>
    <xf numFmtId="0" fontId="36" fillId="0" borderId="0" xfId="569" applyFont="1" applyAlignment="1">
      <alignment horizontal="center"/>
    </xf>
    <xf numFmtId="0" fontId="21" fillId="0" borderId="0" xfId="569"/>
    <xf numFmtId="0" fontId="21" fillId="0" borderId="0" xfId="1192" applyAlignment="1">
      <alignment vertical="top" wrapText="1"/>
    </xf>
    <xf numFmtId="0" fontId="21" fillId="0" borderId="0" xfId="569" applyAlignment="1">
      <alignment horizontal="left" wrapText="1"/>
    </xf>
    <xf numFmtId="0" fontId="39" fillId="0" borderId="0" xfId="569" applyFont="1" applyAlignment="1">
      <alignment horizontal="center"/>
    </xf>
    <xf numFmtId="0" fontId="28" fillId="0" borderId="0" xfId="569" applyFont="1" applyAlignment="1">
      <alignment horizontal="center"/>
    </xf>
    <xf numFmtId="0" fontId="21" fillId="0" borderId="0" xfId="569" applyAlignment="1">
      <alignment horizontal="left" vertical="top" wrapText="1"/>
    </xf>
    <xf numFmtId="0" fontId="21" fillId="0" borderId="0" xfId="569" applyAlignment="1">
      <alignment horizontal="left"/>
    </xf>
    <xf numFmtId="0" fontId="39" fillId="0" borderId="0" xfId="569" applyFont="1" applyAlignment="1">
      <alignment horizontal="left" vertical="top" wrapText="1"/>
    </xf>
    <xf numFmtId="0" fontId="28" fillId="0" borderId="4" xfId="569" applyFont="1" applyBorder="1" applyAlignment="1">
      <alignment horizontal="left"/>
    </xf>
    <xf numFmtId="4" fontId="21" fillId="0" borderId="0" xfId="1192" applyNumberFormat="1" applyAlignment="1">
      <alignment horizontal="left" vertical="top" wrapText="1"/>
    </xf>
    <xf numFmtId="49" fontId="21" fillId="0" borderId="0" xfId="0" applyNumberFormat="1" applyFont="1" applyAlignment="1">
      <alignment horizontal="left" vertical="top" wrapText="1"/>
    </xf>
    <xf numFmtId="0" fontId="22" fillId="0" borderId="0" xfId="244" applyAlignment="1" applyProtection="1">
      <alignment horizontal="left" vertical="top" wrapText="1"/>
    </xf>
    <xf numFmtId="0" fontId="21" fillId="0" borderId="0" xfId="569" applyAlignment="1">
      <alignment horizontal="left" vertical="top"/>
    </xf>
    <xf numFmtId="0" fontId="28" fillId="0" borderId="4" xfId="569" applyFont="1" applyBorder="1" applyAlignment="1">
      <alignment horizontal="left" vertical="top"/>
    </xf>
    <xf numFmtId="0" fontId="39" fillId="0" borderId="0" xfId="569" applyFont="1" applyAlignment="1">
      <alignment horizontal="left"/>
    </xf>
    <xf numFmtId="4" fontId="21" fillId="0" borderId="0" xfId="569" applyNumberFormat="1" applyAlignment="1">
      <alignment horizontal="left"/>
    </xf>
    <xf numFmtId="4" fontId="21" fillId="0" borderId="0" xfId="569" applyNumberFormat="1" applyAlignment="1">
      <alignment horizontal="left" vertical="top" wrapText="1"/>
    </xf>
    <xf numFmtId="0" fontId="28" fillId="0" borderId="0" xfId="569" applyFont="1" applyAlignment="1">
      <alignment horizontal="left"/>
    </xf>
    <xf numFmtId="0" fontId="39" fillId="0" borderId="0" xfId="1192" applyFont="1" applyAlignment="1">
      <alignment horizontal="left"/>
    </xf>
    <xf numFmtId="0" fontId="21" fillId="0" borderId="0" xfId="1192" applyAlignment="1">
      <alignment horizontal="left"/>
    </xf>
    <xf numFmtId="0" fontId="21" fillId="0" borderId="0" xfId="0" applyFont="1" applyAlignment="1">
      <alignment horizontal="left"/>
    </xf>
    <xf numFmtId="0" fontId="21" fillId="0" borderId="0" xfId="0" applyFont="1" applyAlignment="1">
      <alignment horizontal="left" vertical="top"/>
    </xf>
    <xf numFmtId="0" fontId="28" fillId="0" borderId="0" xfId="0" applyFont="1" applyAlignment="1">
      <alignment horizontal="left" vertical="top"/>
    </xf>
    <xf numFmtId="49" fontId="21" fillId="0" borderId="0" xfId="1192" applyNumberFormat="1" applyAlignment="1">
      <alignment horizontal="left" vertical="top" wrapText="1"/>
    </xf>
    <xf numFmtId="0" fontId="22" fillId="0" borderId="0" xfId="244" applyNumberFormat="1" applyFill="1" applyAlignment="1" applyProtection="1">
      <alignment horizontal="left"/>
    </xf>
    <xf numFmtId="0" fontId="39" fillId="0" borderId="0" xfId="569" applyFont="1" applyAlignment="1">
      <alignment horizontal="left" wrapText="1"/>
    </xf>
    <xf numFmtId="0" fontId="39" fillId="0" borderId="0" xfId="569" applyFont="1" applyAlignment="1">
      <alignment horizontal="center" wrapText="1"/>
    </xf>
    <xf numFmtId="0" fontId="21" fillId="0" borderId="0" xfId="569" applyAlignment="1">
      <alignment horizontal="left" vertical="center" wrapText="1"/>
    </xf>
    <xf numFmtId="0" fontId="28" fillId="0" borderId="4" xfId="0" applyFont="1" applyBorder="1" applyAlignment="1">
      <alignment horizontal="left"/>
    </xf>
    <xf numFmtId="0" fontId="21" fillId="0" borderId="0" xfId="1192" applyAlignment="1" applyProtection="1">
      <alignment horizontal="left" vertical="top" wrapText="1"/>
      <protection locked="0"/>
    </xf>
    <xf numFmtId="0" fontId="0" fillId="0" borderId="0" xfId="0" applyAlignment="1">
      <alignment horizontal="left" vertical="top" wrapText="1"/>
    </xf>
    <xf numFmtId="0" fontId="39" fillId="0" borderId="0" xfId="1192" applyFont="1" applyAlignment="1">
      <alignment horizontal="left" vertical="top" wrapText="1"/>
    </xf>
    <xf numFmtId="0" fontId="21" fillId="0" borderId="0" xfId="569" applyAlignment="1">
      <alignment vertical="top" wrapText="1"/>
    </xf>
    <xf numFmtId="0" fontId="39" fillId="0" borderId="0" xfId="0" applyFont="1" applyAlignment="1">
      <alignment horizontal="left" vertical="top" wrapText="1"/>
    </xf>
    <xf numFmtId="4" fontId="39" fillId="0" borderId="0" xfId="0" applyNumberFormat="1" applyFont="1" applyAlignment="1">
      <alignment horizontal="left" vertical="top" wrapText="1"/>
    </xf>
    <xf numFmtId="0" fontId="28" fillId="0" borderId="4" xfId="0" applyFont="1" applyBorder="1" applyAlignment="1">
      <alignment horizontal="left" vertical="top"/>
    </xf>
    <xf numFmtId="4" fontId="21" fillId="0" borderId="0" xfId="0" applyNumberFormat="1" applyFont="1" applyAlignment="1">
      <alignment horizontal="left" vertical="top" wrapText="1"/>
    </xf>
    <xf numFmtId="0" fontId="21" fillId="0" borderId="27" xfId="569" applyBorder="1" applyAlignment="1">
      <alignment horizontal="left"/>
    </xf>
    <xf numFmtId="0" fontId="28" fillId="0" borderId="16" xfId="569" applyFont="1" applyBorder="1" applyAlignment="1">
      <alignment horizontal="left"/>
    </xf>
    <xf numFmtId="4" fontId="39" fillId="0" borderId="0" xfId="569" applyNumberFormat="1" applyFont="1" applyAlignment="1">
      <alignment horizontal="left" vertical="top" wrapText="1"/>
    </xf>
    <xf numFmtId="0" fontId="39" fillId="0" borderId="0" xfId="0" applyFont="1" applyAlignment="1">
      <alignment horizontal="left"/>
    </xf>
    <xf numFmtId="0" fontId="21" fillId="0" borderId="0" xfId="0" quotePrefix="1" applyFont="1" applyAlignment="1">
      <alignment horizontal="left" vertical="top"/>
    </xf>
    <xf numFmtId="0" fontId="21" fillId="0" borderId="0" xfId="0" quotePrefix="1" applyFont="1" applyAlignment="1">
      <alignment horizontal="left" vertical="top" wrapText="1"/>
    </xf>
    <xf numFmtId="0" fontId="22" fillId="0" borderId="0" xfId="244" quotePrefix="1" applyAlignment="1" applyProtection="1">
      <alignment horizontal="left"/>
    </xf>
    <xf numFmtId="4" fontId="39" fillId="0" borderId="0" xfId="0" applyNumberFormat="1" applyFont="1" applyAlignment="1">
      <alignment horizontal="left"/>
    </xf>
    <xf numFmtId="0" fontId="28" fillId="0" borderId="0" xfId="1192" applyFont="1" applyAlignment="1">
      <alignment horizontal="left" vertical="top" wrapText="1"/>
    </xf>
    <xf numFmtId="0" fontId="21" fillId="0" borderId="0" xfId="0" applyFont="1" applyAlignment="1">
      <alignment horizontal="left" vertical="center" wrapText="1"/>
    </xf>
    <xf numFmtId="0" fontId="22" fillId="0" borderId="0" xfId="244" applyFill="1" applyBorder="1" applyAlignment="1">
      <alignment horizontal="left" vertical="top" wrapText="1"/>
    </xf>
    <xf numFmtId="0" fontId="21" fillId="0" borderId="0" xfId="0" applyFont="1" applyAlignment="1">
      <alignment vertical="center" wrapText="1"/>
    </xf>
    <xf numFmtId="0" fontId="28" fillId="0" borderId="0" xfId="0" applyFont="1" applyAlignment="1">
      <alignment vertical="top" wrapText="1"/>
    </xf>
    <xf numFmtId="4" fontId="21" fillId="0" borderId="0" xfId="0" applyNumberFormat="1" applyFont="1" applyAlignment="1">
      <alignment horizontal="left"/>
    </xf>
    <xf numFmtId="0" fontId="39" fillId="0" borderId="0" xfId="569" applyFont="1" applyAlignment="1">
      <alignment horizontal="left" vertical="top"/>
    </xf>
    <xf numFmtId="0" fontId="39" fillId="0" borderId="0" xfId="0" applyFont="1" applyAlignment="1">
      <alignment horizontal="left" vertical="top"/>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7" fillId="0" borderId="105" xfId="543" applyNumberFormat="1" applyFont="1" applyBorder="1" applyAlignment="1">
      <alignment horizontal="right" vertical="center" wrapText="1"/>
    </xf>
    <xf numFmtId="175" fontId="177" fillId="0" borderId="107" xfId="543" applyNumberFormat="1" applyFont="1" applyBorder="1" applyAlignment="1">
      <alignment horizontal="center" vertical="center" wrapText="1"/>
    </xf>
    <xf numFmtId="175" fontId="177" fillId="0" borderId="108" xfId="543" applyNumberFormat="1" applyFont="1" applyBorder="1" applyAlignment="1">
      <alignment horizontal="center" vertical="center" wrapText="1"/>
    </xf>
    <xf numFmtId="175" fontId="177" fillId="0" borderId="109" xfId="543" applyNumberFormat="1" applyFont="1" applyBorder="1" applyAlignment="1">
      <alignment horizontal="center" vertical="center" wrapText="1"/>
    </xf>
    <xf numFmtId="0" fontId="176"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1" fillId="45"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21" fillId="0" borderId="11" xfId="0" applyFont="1" applyBorder="1" applyAlignment="1">
      <alignment horizontal="center"/>
    </xf>
    <xf numFmtId="0" fontId="21" fillId="2" borderId="11" xfId="0" applyFont="1" applyFill="1" applyBorder="1" applyAlignment="1">
      <alignment horizontal="center"/>
    </xf>
    <xf numFmtId="0" fontId="0" fillId="0" borderId="11" xfId="0" applyBorder="1" applyAlignment="1">
      <alignment horizontal="center"/>
    </xf>
    <xf numFmtId="0" fontId="21" fillId="0" borderId="11" xfId="543" applyBorder="1" applyAlignment="1">
      <alignment horizontal="center"/>
    </xf>
    <xf numFmtId="3" fontId="21" fillId="0" borderId="11" xfId="0" applyNumberFormat="1" applyFont="1" applyBorder="1" applyAlignment="1">
      <alignment horizontal="center"/>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10" fontId="21" fillId="0" borderId="11" xfId="0" applyNumberFormat="1" applyFont="1" applyBorder="1" applyAlignment="1">
      <alignment horizontal="center"/>
    </xf>
    <xf numFmtId="0" fontId="21"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8" fillId="0" borderId="3" xfId="0" applyFont="1" applyBorder="1" applyAlignment="1">
      <alignment horizontal="right"/>
    </xf>
    <xf numFmtId="0" fontId="28" fillId="0" borderId="4" xfId="0" applyFont="1" applyBorder="1" applyAlignment="1">
      <alignment horizontal="right"/>
    </xf>
    <xf numFmtId="0" fontId="28" fillId="0" borderId="6" xfId="0" applyFont="1" applyBorder="1" applyAlignment="1">
      <alignment horizontal="right"/>
    </xf>
    <xf numFmtId="0" fontId="28" fillId="0" borderId="5" xfId="0" applyFont="1" applyBorder="1" applyAlignment="1">
      <alignment horizontal="right"/>
    </xf>
    <xf numFmtId="180" fontId="29" fillId="43" borderId="3" xfId="0" applyNumberFormat="1" applyFont="1" applyFill="1" applyBorder="1" applyAlignment="1" applyProtection="1">
      <alignment horizontal="center" vertical="center"/>
      <protection locked="0"/>
    </xf>
    <xf numFmtId="180" fontId="29" fillId="43" borderId="4" xfId="0" applyNumberFormat="1" applyFont="1" applyFill="1" applyBorder="1" applyAlignment="1" applyProtection="1">
      <alignment horizontal="center" vertical="center"/>
      <protection locked="0"/>
    </xf>
    <xf numFmtId="180" fontId="29"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8" fillId="0" borderId="6" xfId="0" applyFont="1" applyBorder="1" applyAlignment="1">
      <alignment horizontal="center"/>
    </xf>
    <xf numFmtId="0" fontId="28" fillId="0" borderId="10" xfId="0"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1" fillId="0" borderId="11" xfId="0" applyNumberFormat="1" applyFont="1" applyBorder="1" applyAlignment="1">
      <alignment horizontal="center"/>
    </xf>
    <xf numFmtId="0" fontId="2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1"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1" fillId="0" borderId="3" xfId="0" applyFont="1" applyBorder="1" applyAlignment="1">
      <alignment horizontal="left"/>
    </xf>
    <xf numFmtId="0" fontId="21" fillId="0" borderId="4" xfId="0" applyFont="1" applyBorder="1" applyAlignment="1">
      <alignment horizontal="left"/>
    </xf>
    <xf numFmtId="0" fontId="21" fillId="0" borderId="5" xfId="0" applyFont="1" applyBorder="1" applyAlignment="1">
      <alignment horizontal="left"/>
    </xf>
    <xf numFmtId="175" fontId="21" fillId="43" borderId="3" xfId="0" applyNumberFormat="1" applyFont="1" applyFill="1" applyBorder="1" applyAlignment="1" applyProtection="1">
      <alignment horizontal="center" vertical="center"/>
      <protection locked="0"/>
    </xf>
    <xf numFmtId="175" fontId="21" fillId="43" borderId="4" xfId="0" applyNumberFormat="1" applyFont="1" applyFill="1" applyBorder="1" applyAlignment="1" applyProtection="1">
      <alignment horizontal="center" vertical="center"/>
      <protection locked="0"/>
    </xf>
    <xf numFmtId="175"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8" fillId="0" borderId="3" xfId="0" applyFont="1" applyBorder="1" applyAlignment="1">
      <alignment horizontal="center"/>
    </xf>
    <xf numFmtId="0" fontId="28" fillId="0" borderId="4" xfId="0" applyFont="1" applyBorder="1" applyAlignment="1">
      <alignment horizontal="center"/>
    </xf>
    <xf numFmtId="0" fontId="21"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9" fillId="5" borderId="3" xfId="0" applyFont="1" applyFill="1" applyBorder="1" applyAlignment="1" applyProtection="1">
      <alignment horizontal="center"/>
      <protection locked="0"/>
    </xf>
    <xf numFmtId="0" fontId="29" fillId="5" borderId="4" xfId="0" applyFont="1" applyFill="1" applyBorder="1" applyAlignment="1" applyProtection="1">
      <alignment horizontal="center"/>
      <protection locked="0"/>
    </xf>
    <xf numFmtId="0" fontId="29" fillId="5" borderId="5" xfId="0" applyFon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0" fontId="28" fillId="0" borderId="11" xfId="0" applyFont="1" applyBorder="1" applyAlignment="1">
      <alignment horizontal="center" vertical="center" wrapText="1"/>
    </xf>
    <xf numFmtId="168" fontId="21" fillId="43" borderId="3" xfId="0" applyNumberFormat="1" applyFont="1" applyFill="1" applyBorder="1" applyAlignment="1" applyProtection="1">
      <alignment horizontal="center" vertical="center"/>
      <protection locked="0"/>
    </xf>
    <xf numFmtId="168" fontId="21" fillId="43" borderId="4" xfId="0" applyNumberFormat="1" applyFont="1" applyFill="1" applyBorder="1" applyAlignment="1" applyProtection="1">
      <alignment horizontal="center" vertical="center"/>
      <protection locked="0"/>
    </xf>
    <xf numFmtId="168" fontId="21" fillId="43" borderId="5" xfId="0" applyNumberFormat="1" applyFont="1" applyFill="1" applyBorder="1" applyAlignment="1" applyProtection="1">
      <alignment horizontal="center" vertical="center"/>
      <protection locked="0"/>
    </xf>
    <xf numFmtId="175" fontId="21" fillId="43" borderId="3" xfId="0" applyNumberFormat="1" applyFont="1" applyFill="1" applyBorder="1" applyAlignment="1" applyProtection="1">
      <alignment horizontal="center"/>
      <protection locked="0"/>
    </xf>
    <xf numFmtId="175" fontId="21" fillId="43" borderId="4" xfId="0" applyNumberFormat="1" applyFont="1" applyFill="1" applyBorder="1" applyAlignment="1" applyProtection="1">
      <alignment horizontal="center"/>
      <protection locked="0"/>
    </xf>
    <xf numFmtId="175" fontId="21" fillId="43" borderId="5" xfId="0" applyNumberFormat="1" applyFont="1" applyFill="1" applyBorder="1" applyAlignment="1" applyProtection="1">
      <alignment horizontal="center"/>
      <protection locked="0"/>
    </xf>
    <xf numFmtId="0" fontId="0" fillId="0" borderId="6" xfId="0" applyBorder="1" applyAlignment="1">
      <alignment horizontal="left"/>
    </xf>
    <xf numFmtId="0" fontId="21"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4" fontId="0" fillId="5" borderId="4" xfId="0" applyNumberFormat="1" applyFill="1" applyBorder="1" applyAlignment="1" applyProtection="1">
      <alignment horizontal="center"/>
      <protection locked="0"/>
    </xf>
    <xf numFmtId="0" fontId="21" fillId="5" borderId="11" xfId="0" applyFont="1" applyFill="1" applyBorder="1" applyAlignment="1" applyProtection="1">
      <alignment vertical="center" wrapText="1"/>
      <protection locked="0"/>
    </xf>
    <xf numFmtId="0" fontId="21"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28" fillId="0" borderId="5" xfId="0" applyFont="1" applyBorder="1" applyAlignment="1">
      <alignment horizontal="center"/>
    </xf>
    <xf numFmtId="0" fontId="21" fillId="0" borderId="3" xfId="271" applyFont="1" applyBorder="1" applyAlignment="1">
      <alignment horizontal="left"/>
    </xf>
    <xf numFmtId="0" fontId="21" fillId="0" borderId="4" xfId="271" applyFont="1" applyBorder="1" applyAlignment="1">
      <alignment horizontal="left"/>
    </xf>
    <xf numFmtId="0" fontId="21" fillId="0" borderId="5" xfId="271" applyFont="1" applyBorder="1" applyAlignment="1">
      <alignment horizontal="left"/>
    </xf>
    <xf numFmtId="0" fontId="0" fillId="0" borderId="3" xfId="0" applyBorder="1" applyAlignment="1">
      <alignment horizontal="left"/>
    </xf>
    <xf numFmtId="0" fontId="21" fillId="5" borderId="4" xfId="0" applyFont="1" applyFill="1" applyBorder="1" applyAlignment="1" applyProtection="1">
      <alignment wrapText="1"/>
      <protection locked="0"/>
    </xf>
    <xf numFmtId="168" fontId="21"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5" borderId="6" xfId="0" applyFont="1" applyFill="1" applyBorder="1" applyAlignment="1" applyProtection="1">
      <alignment horizontal="left"/>
      <protection locked="0"/>
    </xf>
    <xf numFmtId="3" fontId="21" fillId="5" borderId="11" xfId="0" applyNumberFormat="1" applyFont="1" applyFill="1" applyBorder="1" applyAlignment="1" applyProtection="1">
      <alignment horizontal="center"/>
      <protection locked="0"/>
    </xf>
    <xf numFmtId="0" fontId="29"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0" fillId="0" borderId="6" xfId="0" applyBorder="1" applyAlignment="1" applyProtection="1">
      <alignment horizontal="center"/>
      <protection locked="0"/>
    </xf>
    <xf numFmtId="9" fontId="29" fillId="0" borderId="3" xfId="4494" applyFont="1" applyBorder="1" applyAlignment="1" applyProtection="1">
      <alignment horizontal="center"/>
    </xf>
    <xf numFmtId="9" fontId="29" fillId="0" borderId="5" xfId="4494" applyFont="1" applyBorder="1" applyAlignment="1" applyProtection="1">
      <alignment horizontal="center"/>
    </xf>
    <xf numFmtId="49" fontId="0" fillId="5" borderId="6" xfId="0" applyNumberForma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1" fillId="43" borderId="4" xfId="0" applyFont="1" applyFill="1" applyBorder="1" applyAlignment="1" applyProtection="1">
      <alignment horizontal="left" wrapText="1"/>
      <protection locked="0"/>
    </xf>
    <xf numFmtId="168" fontId="0" fillId="43" borderId="6" xfId="0" applyNumberFormat="1" applyFill="1" applyBorder="1" applyAlignment="1" applyProtection="1">
      <alignment horizontal="right"/>
      <protection locked="0"/>
    </xf>
    <xf numFmtId="0" fontId="21" fillId="5" borderId="6" xfId="244" applyFont="1" applyFill="1" applyBorder="1" applyAlignment="1" applyProtection="1">
      <alignment horizontal="left"/>
      <protection locked="0"/>
    </xf>
    <xf numFmtId="0" fontId="0" fillId="5" borderId="6" xfId="0" applyFill="1" applyBorder="1" applyProtection="1">
      <protection locked="0"/>
    </xf>
    <xf numFmtId="0" fontId="21" fillId="0" borderId="4" xfId="0" applyFont="1" applyBorder="1" applyAlignment="1" applyProtection="1">
      <alignment horizontal="left"/>
      <protection locked="0"/>
    </xf>
    <xf numFmtId="0" fontId="21" fillId="43" borderId="6" xfId="0" applyFont="1" applyFill="1" applyBorder="1" applyAlignment="1" applyProtection="1">
      <alignment vertical="center"/>
      <protection locked="0"/>
    </xf>
    <xf numFmtId="0" fontId="27" fillId="3" borderId="0" xfId="0" applyFont="1" applyFill="1" applyAlignment="1">
      <alignment horizontal="center" vertical="center"/>
    </xf>
    <xf numFmtId="0" fontId="21" fillId="0" borderId="0" xfId="0" applyFont="1" applyAlignment="1">
      <alignment wrapText="1"/>
    </xf>
    <xf numFmtId="0" fontId="21" fillId="0" borderId="6" xfId="0" applyFont="1" applyBorder="1" applyAlignment="1">
      <alignment horizontal="left"/>
    </xf>
    <xf numFmtId="0" fontId="0" fillId="0" borderId="0" xfId="0" applyAlignment="1">
      <alignment wrapText="1"/>
    </xf>
    <xf numFmtId="0" fontId="29" fillId="43" borderId="6" xfId="0" applyFont="1" applyFill="1" applyBorder="1" applyAlignment="1" applyProtection="1">
      <alignment horizontal="left"/>
      <protection locked="0"/>
    </xf>
    <xf numFmtId="0" fontId="146" fillId="0" borderId="0" xfId="0" applyFont="1" applyAlignment="1" applyProtection="1">
      <alignment horizontal="left" vertical="top" wrapText="1"/>
      <protection locked="0"/>
    </xf>
    <xf numFmtId="0" fontId="21" fillId="0" borderId="6" xfId="0" applyFont="1" applyBorder="1" applyAlignment="1" applyProtection="1">
      <alignment horizontal="center"/>
      <protection locked="0"/>
    </xf>
    <xf numFmtId="0" fontId="21" fillId="0" borderId="6" xfId="0" applyFont="1" applyBorder="1" applyAlignment="1" applyProtection="1">
      <alignment horizontal="left"/>
      <protection locked="0"/>
    </xf>
    <xf numFmtId="0" fontId="22" fillId="0" borderId="0" xfId="244" applyFill="1" applyAlignment="1" applyProtection="1">
      <alignment horizontal="left"/>
      <protection locked="0"/>
    </xf>
    <xf numFmtId="168" fontId="21"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21"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30" fillId="5" borderId="6" xfId="271" applyNumberFormat="1" applyFill="1" applyBorder="1" applyAlignment="1" applyProtection="1">
      <alignment horizontal="left"/>
      <protection locked="0"/>
    </xf>
    <xf numFmtId="0" fontId="21" fillId="0" borderId="0" xfId="0" applyFont="1" applyAlignment="1" applyProtection="1">
      <alignment horizontal="left"/>
      <protection locked="0"/>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21" fillId="5" borderId="0" xfId="244"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66" fontId="30"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21" fillId="5" borderId="4" xfId="0" applyFont="1" applyFill="1" applyBorder="1" applyAlignment="1" applyProtection="1">
      <alignment horizontal="right"/>
      <protection locked="0"/>
    </xf>
    <xf numFmtId="10" fontId="21" fillId="5" borderId="4" xfId="0" applyNumberFormat="1" applyFont="1" applyFill="1" applyBorder="1" applyAlignment="1" applyProtection="1">
      <alignment horizontal="right"/>
      <protection locked="0"/>
    </xf>
    <xf numFmtId="0" fontId="2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1" fillId="5" borderId="4"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 fontId="21" fillId="5" borderId="6" xfId="0" applyNumberFormat="1" applyFont="1" applyFill="1" applyBorder="1" applyAlignment="1" applyProtection="1">
      <alignment horizontal="righ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11" xfId="0" applyFont="1" applyFill="1" applyBorder="1" applyAlignment="1" applyProtection="1">
      <alignment horizontal="left" wrapText="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0" fontId="2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9" xfId="0" applyBorder="1" applyAlignment="1">
      <alignment horizontal="left"/>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168" fontId="149" fillId="0" borderId="0" xfId="0" applyNumberFormat="1" applyFont="1" applyAlignment="1">
      <alignment horizontal="center" vertical="center" wrapText="1"/>
    </xf>
    <xf numFmtId="0" fontId="28" fillId="5" borderId="11" xfId="0" applyFont="1" applyFill="1" applyBorder="1" applyAlignment="1" applyProtection="1">
      <alignment horizontal="center"/>
      <protection locked="0"/>
    </xf>
    <xf numFmtId="165" fontId="28" fillId="0" borderId="3" xfId="271" applyNumberFormat="1" applyFont="1" applyBorder="1" applyAlignment="1">
      <alignment horizontal="center"/>
    </xf>
    <xf numFmtId="165" fontId="28" fillId="0" borderId="4" xfId="271" applyNumberFormat="1" applyFont="1" applyBorder="1" applyAlignment="1">
      <alignment horizontal="center"/>
    </xf>
    <xf numFmtId="165" fontId="28" fillId="0" borderId="5" xfId="271" applyNumberFormat="1" applyFont="1" applyBorder="1" applyAlignment="1">
      <alignment horizontal="center"/>
    </xf>
    <xf numFmtId="0" fontId="0" fillId="5" borderId="3" xfId="0" quotePrefix="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1" fillId="0" borderId="3" xfId="0" applyFont="1" applyBorder="1"/>
    <xf numFmtId="0" fontId="21" fillId="0" borderId="4" xfId="0" applyFont="1" applyBorder="1"/>
    <xf numFmtId="0" fontId="21"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8" fillId="0" borderId="2" xfId="0" applyFont="1" applyBorder="1" applyAlignment="1">
      <alignment horizontal="right"/>
    </xf>
    <xf numFmtId="0" fontId="28" fillId="0" borderId="7" xfId="0" applyFont="1" applyBorder="1" applyAlignment="1">
      <alignment horizontal="right"/>
    </xf>
    <xf numFmtId="9" fontId="21" fillId="0" borderId="0" xfId="543" applyNumberFormat="1" applyAlignment="1">
      <alignment horizontal="center" vertical="center"/>
    </xf>
    <xf numFmtId="0" fontId="28" fillId="0" borderId="1" xfId="0" applyFont="1" applyBorder="1" applyAlignment="1">
      <alignment horizontal="center"/>
    </xf>
    <xf numFmtId="0" fontId="28" fillId="0" borderId="2" xfId="0" applyFont="1" applyBorder="1" applyAlignment="1">
      <alignment horizontal="center"/>
    </xf>
    <xf numFmtId="0" fontId="28" fillId="0" borderId="7"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2" fontId="21" fillId="0" borderId="0" xfId="543" applyNumberFormat="1" applyAlignment="1">
      <alignment horizontal="center"/>
    </xf>
    <xf numFmtId="0" fontId="21" fillId="0" borderId="0" xfId="543" applyAlignment="1">
      <alignment horizontal="center"/>
    </xf>
    <xf numFmtId="171" fontId="21" fillId="0" borderId="0" xfId="543" applyNumberFormat="1" applyAlignment="1">
      <alignment horizontal="center"/>
    </xf>
    <xf numFmtId="171" fontId="21" fillId="0" borderId="0" xfId="543" applyNumberFormat="1" applyAlignment="1">
      <alignment horizontal="right"/>
    </xf>
    <xf numFmtId="168" fontId="0" fillId="5" borderId="11" xfId="0" applyNumberFormat="1" applyFill="1" applyBorder="1" applyProtection="1">
      <protection locked="0"/>
    </xf>
    <xf numFmtId="168" fontId="0" fillId="0" borderId="11" xfId="0" applyNumberFormat="1" applyBorder="1"/>
    <xf numFmtId="0" fontId="28" fillId="0" borderId="0" xfId="0" applyFont="1" applyAlignment="1">
      <alignment horizontal="center" vertical="center"/>
    </xf>
    <xf numFmtId="0" fontId="28" fillId="0" borderId="11" xfId="0" applyFont="1" applyBorder="1" applyAlignment="1">
      <alignment horizontal="center"/>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21" fillId="5" borderId="10" xfId="0" applyNumberFormat="1" applyFont="1" applyFill="1" applyBorder="1" applyAlignment="1" applyProtection="1">
      <alignment horizontal="right"/>
      <protection locked="0"/>
    </xf>
    <xf numFmtId="168" fontId="21" fillId="5" borderId="13"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0" fontId="21" fillId="5" borderId="3" xfId="0" applyFont="1" applyFill="1" applyBorder="1" applyAlignment="1" applyProtection="1">
      <alignment horizontal="left" vertical="center" wrapText="1"/>
      <protection locked="0"/>
    </xf>
    <xf numFmtId="0" fontId="21" fillId="5" borderId="4" xfId="0" applyFont="1" applyFill="1" applyBorder="1" applyAlignment="1" applyProtection="1">
      <alignment horizontal="left" vertical="center" wrapText="1"/>
      <protection locked="0"/>
    </xf>
    <xf numFmtId="0" fontId="21" fillId="5" borderId="5"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72" fontId="28" fillId="0" borderId="11" xfId="0" applyNumberFormat="1" applyFont="1" applyBorder="1" applyAlignment="1">
      <alignment horizontal="center" vertical="center" wrapText="1"/>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0" xfId="0" applyFont="1" applyAlignment="1">
      <alignment horizontal="center" vertical="center" wrapText="1"/>
    </xf>
    <xf numFmtId="0" fontId="37" fillId="0" borderId="12" xfId="0" applyFont="1" applyBorder="1" applyAlignment="1">
      <alignment horizontal="center" vertical="center" wrapText="1"/>
    </xf>
    <xf numFmtId="0" fontId="37" fillId="0" borderId="9"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10" xfId="0" applyFont="1" applyBorder="1" applyAlignment="1">
      <alignment horizontal="center" vertical="center" wrapText="1"/>
    </xf>
    <xf numFmtId="0" fontId="28" fillId="0" borderId="9" xfId="0" applyFont="1" applyBorder="1" applyAlignment="1">
      <alignment horizontal="right"/>
    </xf>
    <xf numFmtId="0" fontId="28" fillId="0" borderId="10" xfId="0" applyFont="1" applyBorder="1" applyAlignment="1">
      <alignment horizontal="right"/>
    </xf>
    <xf numFmtId="10" fontId="0" fillId="5" borderId="4" xfId="0" applyNumberFormat="1" applyFill="1" applyBorder="1" applyAlignment="1" applyProtection="1">
      <alignment horizontal="center"/>
      <protection locked="0"/>
    </xf>
    <xf numFmtId="0" fontId="21" fillId="0" borderId="3" xfId="543" applyBorder="1" applyAlignment="1">
      <alignment horizontal="center"/>
    </xf>
    <xf numFmtId="0" fontId="21" fillId="0" borderId="4" xfId="543" applyBorder="1" applyAlignment="1">
      <alignment horizontal="center"/>
    </xf>
    <xf numFmtId="0" fontId="21" fillId="0" borderId="5" xfId="543" applyBorder="1" applyAlignment="1">
      <alignment horizontal="center"/>
    </xf>
    <xf numFmtId="0" fontId="29" fillId="5" borderId="3" xfId="543" applyFont="1" applyFill="1" applyBorder="1" applyAlignment="1">
      <alignment horizontal="center"/>
    </xf>
    <xf numFmtId="0" fontId="29" fillId="5" borderId="4" xfId="543" applyFont="1" applyFill="1" applyBorder="1" applyAlignment="1">
      <alignment horizontal="center"/>
    </xf>
    <xf numFmtId="0" fontId="29" fillId="5" borderId="5" xfId="543" applyFont="1" applyFill="1" applyBorder="1" applyAlignment="1">
      <alignment horizontal="center"/>
    </xf>
    <xf numFmtId="49" fontId="21" fillId="5" borderId="3" xfId="543" applyNumberFormat="1" applyFill="1" applyBorder="1" applyAlignment="1">
      <alignment horizontal="center"/>
    </xf>
    <xf numFmtId="49" fontId="21" fillId="5" borderId="5" xfId="543" applyNumberFormat="1" applyFill="1" applyBorder="1" applyAlignment="1">
      <alignment horizontal="center"/>
    </xf>
    <xf numFmtId="168" fontId="0" fillId="0" borderId="11" xfId="0" applyNumberFormat="1" applyBorder="1" applyAlignment="1">
      <alignment horizontal="center"/>
    </xf>
    <xf numFmtId="0" fontId="0" fillId="0" borderId="3" xfId="0" applyBorder="1"/>
    <xf numFmtId="0" fontId="0" fillId="0" borderId="4" xfId="0" applyBorder="1"/>
    <xf numFmtId="0" fontId="0" fillId="0" borderId="5" xfId="0" applyBorder="1"/>
    <xf numFmtId="168" fontId="21" fillId="5" borderId="3" xfId="0" applyNumberFormat="1" applyFont="1" applyFill="1" applyBorder="1" applyAlignment="1" applyProtection="1">
      <alignment horizontal="right"/>
      <protection locked="0"/>
    </xf>
    <xf numFmtId="168" fontId="21"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8" fillId="5" borderId="3" xfId="0" applyFont="1" applyFill="1" applyBorder="1" applyAlignment="1" applyProtection="1">
      <alignment horizontal="right"/>
      <protection locked="0"/>
    </xf>
    <xf numFmtId="0" fontId="28" fillId="5" borderId="4" xfId="0" applyFont="1" applyFill="1" applyBorder="1" applyAlignment="1" applyProtection="1">
      <alignment horizontal="right"/>
      <protection locked="0"/>
    </xf>
    <xf numFmtId="0" fontId="28" fillId="5" borderId="5" xfId="0" applyFont="1" applyFill="1" applyBorder="1" applyAlignment="1" applyProtection="1">
      <alignment horizontal="right"/>
      <protection locked="0"/>
    </xf>
    <xf numFmtId="0" fontId="28" fillId="0" borderId="2" xfId="0" applyFont="1" applyBorder="1" applyAlignment="1">
      <alignment horizontal="center" wrapText="1"/>
    </xf>
    <xf numFmtId="0" fontId="28" fillId="0" borderId="7" xfId="0" applyFont="1" applyBorder="1" applyAlignment="1">
      <alignment horizontal="center" wrapText="1"/>
    </xf>
    <xf numFmtId="0" fontId="28" fillId="0" borderId="6" xfId="0" applyFont="1" applyBorder="1" applyAlignment="1">
      <alignment horizontal="center" wrapText="1"/>
    </xf>
    <xf numFmtId="0" fontId="28" fillId="0" borderId="10" xfId="0" applyFont="1" applyBorder="1" applyAlignment="1">
      <alignment horizontal="center" wrapText="1"/>
    </xf>
    <xf numFmtId="168" fontId="21" fillId="10" borderId="3" xfId="543" applyNumberFormat="1" applyFill="1" applyBorder="1" applyAlignment="1">
      <alignment horizontal="center"/>
    </xf>
    <xf numFmtId="168" fontId="21" fillId="10" borderId="4" xfId="543" applyNumberFormat="1" applyFill="1" applyBorder="1" applyAlignment="1">
      <alignment horizontal="center"/>
    </xf>
    <xf numFmtId="168" fontId="21" fillId="10" borderId="5" xfId="543" applyNumberFormat="1" applyFill="1" applyBorder="1" applyAlignment="1">
      <alignment horizontal="center"/>
    </xf>
    <xf numFmtId="9" fontId="2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21" fillId="5" borderId="3" xfId="0" applyNumberFormat="1" applyFont="1" applyFill="1" applyBorder="1" applyAlignment="1" applyProtection="1">
      <alignment horizontal="left"/>
      <protection locked="0"/>
    </xf>
    <xf numFmtId="168" fontId="21" fillId="5" borderId="4" xfId="0" applyNumberFormat="1" applyFont="1" applyFill="1" applyBorder="1" applyAlignment="1" applyProtection="1">
      <alignment horizontal="left"/>
      <protection locked="0"/>
    </xf>
    <xf numFmtId="168" fontId="21" fillId="5" borderId="5" xfId="0" applyNumberFormat="1" applyFont="1" applyFill="1" applyBorder="1" applyAlignment="1" applyProtection="1">
      <alignment horizontal="left"/>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0"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5" borderId="5" xfId="0" applyFont="1" applyFill="1" applyBorder="1" applyAlignment="1" applyProtection="1">
      <alignment horizontal="left"/>
      <protection locked="0"/>
    </xf>
    <xf numFmtId="0" fontId="28" fillId="0" borderId="8" xfId="543" applyFont="1" applyBorder="1" applyAlignment="1">
      <alignment horizontal="left" vertical="center" wrapText="1"/>
    </xf>
    <xf numFmtId="0" fontId="28" fillId="0" borderId="0" xfId="543" applyFont="1" applyAlignment="1">
      <alignment horizontal="left" vertical="center" wrapText="1"/>
    </xf>
    <xf numFmtId="0" fontId="28"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8" fillId="0" borderId="8" xfId="0" applyFont="1" applyBorder="1" applyAlignment="1">
      <alignment horizontal="center" wrapText="1"/>
    </xf>
    <xf numFmtId="0" fontId="28" fillId="0" borderId="0" xfId="0" applyFont="1" applyAlignment="1">
      <alignment horizontal="center" wrapText="1"/>
    </xf>
    <xf numFmtId="0" fontId="28" fillId="0" borderId="12" xfId="0" applyFont="1" applyBorder="1" applyAlignment="1">
      <alignment horizontal="center" wrapText="1"/>
    </xf>
    <xf numFmtId="0" fontId="28" fillId="0" borderId="9" xfId="0" applyFont="1" applyBorder="1" applyAlignment="1">
      <alignment horizontal="center" wrapText="1"/>
    </xf>
    <xf numFmtId="1" fontId="21" fillId="0" borderId="3" xfId="543" applyNumberFormat="1" applyBorder="1" applyAlignment="1">
      <alignment horizontal="center"/>
    </xf>
    <xf numFmtId="1" fontId="21" fillId="0" borderId="4" xfId="543" applyNumberFormat="1" applyBorder="1" applyAlignment="1">
      <alignment horizontal="center"/>
    </xf>
    <xf numFmtId="1" fontId="21" fillId="0" borderId="5" xfId="543" applyNumberFormat="1" applyBorder="1" applyAlignment="1">
      <alignment horizontal="center"/>
    </xf>
    <xf numFmtId="168" fontId="21" fillId="0" borderId="11" xfId="543" applyNumberForma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0" fontId="21" fillId="43" borderId="11" xfId="0" applyFont="1" applyFill="1" applyBorder="1" applyAlignment="1" applyProtection="1">
      <alignment horizontal="center"/>
      <protection locked="0"/>
    </xf>
    <xf numFmtId="168" fontId="21" fillId="0" borderId="1" xfId="543" applyNumberFormat="1" applyBorder="1" applyAlignment="1">
      <alignment horizontal="center" vertical="center"/>
    </xf>
    <xf numFmtId="168" fontId="21" fillId="0" borderId="2" xfId="543" applyNumberFormat="1" applyBorder="1" applyAlignment="1">
      <alignment horizontal="center" vertical="center"/>
    </xf>
    <xf numFmtId="168" fontId="21" fillId="0" borderId="7" xfId="543" applyNumberFormat="1" applyBorder="1" applyAlignment="1">
      <alignment horizontal="center" vertical="center"/>
    </xf>
    <xf numFmtId="168" fontId="21" fillId="0" borderId="8" xfId="543" applyNumberFormat="1" applyBorder="1" applyAlignment="1">
      <alignment horizontal="center" vertical="center"/>
    </xf>
    <xf numFmtId="168" fontId="21" fillId="0" borderId="0" xfId="543" applyNumberFormat="1" applyAlignment="1">
      <alignment horizontal="center" vertical="center"/>
    </xf>
    <xf numFmtId="168" fontId="21" fillId="0" borderId="12" xfId="543" applyNumberFormat="1" applyBorder="1" applyAlignment="1">
      <alignment horizontal="center" vertical="center"/>
    </xf>
    <xf numFmtId="0" fontId="21" fillId="0" borderId="8" xfId="543" applyBorder="1" applyAlignment="1">
      <alignment horizontal="left" vertical="top" wrapText="1"/>
    </xf>
    <xf numFmtId="0" fontId="21" fillId="0" borderId="0" xfId="543" applyAlignment="1">
      <alignment horizontal="left" vertical="top" wrapText="1"/>
    </xf>
    <xf numFmtId="0" fontId="21" fillId="0" borderId="12" xfId="543" applyBorder="1" applyAlignment="1">
      <alignment horizontal="left" vertical="top" wrapText="1"/>
    </xf>
    <xf numFmtId="0" fontId="21" fillId="0" borderId="9" xfId="543" applyBorder="1" applyAlignment="1">
      <alignment horizontal="left" vertical="top" wrapText="1"/>
    </xf>
    <xf numFmtId="0" fontId="21" fillId="0" borderId="6" xfId="543" applyBorder="1" applyAlignment="1">
      <alignment horizontal="left" vertical="top" wrapText="1"/>
    </xf>
    <xf numFmtId="0" fontId="21" fillId="0" borderId="10" xfId="543" applyBorder="1" applyAlignment="1">
      <alignment horizontal="left" vertical="top" wrapText="1"/>
    </xf>
    <xf numFmtId="168" fontId="21" fillId="0" borderId="9" xfId="543" applyNumberFormat="1" applyBorder="1" applyAlignment="1">
      <alignment horizontal="center" vertical="center"/>
    </xf>
    <xf numFmtId="168" fontId="21" fillId="0" borderId="6" xfId="543" applyNumberFormat="1" applyBorder="1" applyAlignment="1">
      <alignment horizontal="center" vertical="center"/>
    </xf>
    <xf numFmtId="168" fontId="21" fillId="0" borderId="10" xfId="543" applyNumberFormat="1" applyBorder="1" applyAlignment="1">
      <alignment horizontal="center" vertical="center"/>
    </xf>
    <xf numFmtId="0" fontId="21" fillId="2" borderId="3" xfId="543" applyFill="1" applyBorder="1" applyAlignment="1">
      <alignment horizontal="center"/>
    </xf>
    <xf numFmtId="0" fontId="21" fillId="2" borderId="4" xfId="543" applyFill="1" applyBorder="1" applyAlignment="1">
      <alignment horizontal="center"/>
    </xf>
    <xf numFmtId="0" fontId="21" fillId="2" borderId="5" xfId="543" applyFill="1" applyBorder="1" applyAlignment="1">
      <alignment horizontal="center"/>
    </xf>
    <xf numFmtId="0" fontId="28" fillId="0" borderId="1" xfId="543" applyFont="1" applyBorder="1" applyAlignment="1">
      <alignment horizontal="right"/>
    </xf>
    <xf numFmtId="0" fontId="28" fillId="0" borderId="2" xfId="543" applyFont="1" applyBorder="1" applyAlignment="1">
      <alignment horizontal="right"/>
    </xf>
    <xf numFmtId="0" fontId="28" fillId="0" borderId="7" xfId="543" applyFont="1" applyBorder="1" applyAlignment="1">
      <alignment horizontal="right"/>
    </xf>
    <xf numFmtId="0" fontId="28" fillId="0" borderId="1" xfId="543" applyFont="1" applyBorder="1" applyAlignment="1">
      <alignment horizontal="left" vertical="center" wrapText="1"/>
    </xf>
    <xf numFmtId="0" fontId="28" fillId="0" borderId="2" xfId="543" applyFont="1" applyBorder="1" applyAlignment="1">
      <alignment horizontal="left" vertical="center" wrapText="1"/>
    </xf>
    <xf numFmtId="0" fontId="28" fillId="0" borderId="7" xfId="543" applyFont="1" applyBorder="1" applyAlignment="1">
      <alignment horizontal="left" vertical="center" wrapText="1"/>
    </xf>
    <xf numFmtId="0" fontId="28" fillId="0" borderId="3" xfId="543" applyFont="1" applyBorder="1" applyAlignment="1">
      <alignment horizontal="right"/>
    </xf>
    <xf numFmtId="0" fontId="28" fillId="0" borderId="4" xfId="543" applyFont="1" applyBorder="1" applyAlignment="1">
      <alignment horizontal="right"/>
    </xf>
    <xf numFmtId="0" fontId="28" fillId="0" borderId="5" xfId="543" applyFont="1" applyBorder="1" applyAlignment="1">
      <alignment horizontal="right"/>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1" fillId="0" borderId="8" xfId="0" applyFont="1" applyBorder="1" applyAlignment="1">
      <alignment horizontal="left" wrapText="1"/>
    </xf>
    <xf numFmtId="0" fontId="21" fillId="0" borderId="12" xfId="0" applyFont="1" applyBorder="1" applyAlignment="1">
      <alignment horizontal="left" wrapText="1"/>
    </xf>
    <xf numFmtId="0" fontId="21" fillId="0" borderId="9" xfId="0" applyFont="1" applyBorder="1" applyAlignment="1">
      <alignment horizontal="left" wrapText="1"/>
    </xf>
    <xf numFmtId="0" fontId="21" fillId="0" borderId="10" xfId="0" applyFont="1" applyBorder="1" applyAlignment="1">
      <alignment horizontal="left" wrapText="1"/>
    </xf>
    <xf numFmtId="0" fontId="29" fillId="0" borderId="3" xfId="543" applyFont="1" applyBorder="1" applyAlignment="1">
      <alignment horizontal="center"/>
    </xf>
    <xf numFmtId="0" fontId="29" fillId="0" borderId="5" xfId="543" applyFont="1" applyBorder="1" applyAlignment="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28" fillId="0" borderId="1" xfId="0" applyFont="1" applyBorder="1" applyAlignment="1">
      <alignment horizontal="center" wrapText="1"/>
    </xf>
    <xf numFmtId="168" fontId="2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8" fillId="10" borderId="3" xfId="543" applyFont="1" applyFill="1" applyBorder="1" applyAlignment="1">
      <alignment horizontal="center"/>
    </xf>
    <xf numFmtId="0" fontId="28" fillId="10" borderId="4" xfId="543" applyFont="1" applyFill="1" applyBorder="1" applyAlignment="1">
      <alignment horizontal="center"/>
    </xf>
    <xf numFmtId="0" fontId="28" fillId="10" borderId="5" xfId="543" applyFont="1" applyFill="1" applyBorder="1" applyAlignment="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8" fillId="0" borderId="1" xfId="543" applyFont="1" applyBorder="1" applyAlignment="1">
      <alignment horizontal="left" vertical="top" wrapText="1"/>
    </xf>
    <xf numFmtId="0" fontId="28" fillId="0" borderId="2" xfId="543" applyFont="1" applyBorder="1" applyAlignment="1">
      <alignment horizontal="left" vertical="top" wrapText="1"/>
    </xf>
    <xf numFmtId="0" fontId="28" fillId="0" borderId="7" xfId="543" applyFont="1" applyBorder="1" applyAlignment="1">
      <alignment horizontal="left" vertical="top" wrapText="1"/>
    </xf>
    <xf numFmtId="0" fontId="28" fillId="0" borderId="8" xfId="543" applyFont="1" applyBorder="1" applyAlignment="1">
      <alignment horizontal="left" vertical="top" wrapText="1"/>
    </xf>
    <xf numFmtId="0" fontId="28" fillId="0" borderId="0" xfId="543" applyFont="1" applyAlignment="1">
      <alignment horizontal="left" vertical="top" wrapText="1"/>
    </xf>
    <xf numFmtId="0" fontId="28" fillId="0" borderId="12" xfId="543" applyFont="1" applyBorder="1" applyAlignment="1">
      <alignment horizontal="left" vertical="top" wrapText="1"/>
    </xf>
    <xf numFmtId="0" fontId="145" fillId="0" borderId="8" xfId="543" applyFont="1" applyBorder="1" applyAlignment="1">
      <alignment horizontal="center" vertical="center" wrapText="1"/>
    </xf>
    <xf numFmtId="0" fontId="145" fillId="0" borderId="0" xfId="543" applyFont="1" applyAlignment="1">
      <alignment horizontal="center" vertical="center" wrapText="1"/>
    </xf>
    <xf numFmtId="0" fontId="145" fillId="0" borderId="12" xfId="543" applyFont="1" applyBorder="1" applyAlignment="1">
      <alignment horizontal="center" vertical="center" wrapText="1"/>
    </xf>
    <xf numFmtId="0" fontId="21" fillId="0" borderId="8" xfId="543" applyBorder="1" applyAlignment="1">
      <alignment horizontal="left" vertical="center" wrapText="1"/>
    </xf>
    <xf numFmtId="0" fontId="21" fillId="0" borderId="0" xfId="543" applyAlignment="1">
      <alignment horizontal="left" vertical="center" wrapText="1"/>
    </xf>
    <xf numFmtId="0" fontId="21" fillId="0" borderId="12" xfId="543" applyBorder="1" applyAlignment="1">
      <alignment horizontal="left" vertical="center" wrapText="1"/>
    </xf>
    <xf numFmtId="0" fontId="28" fillId="0" borderId="4" xfId="543" applyFont="1" applyBorder="1" applyAlignment="1">
      <alignment horizontal="right" vertical="top" wrapText="1"/>
    </xf>
    <xf numFmtId="0" fontId="28" fillId="0" borderId="5" xfId="543" applyFont="1" applyBorder="1" applyAlignment="1">
      <alignment horizontal="right" vertical="top" wrapText="1"/>
    </xf>
    <xf numFmtId="1" fontId="29" fillId="0" borderId="3" xfId="543" applyNumberFormat="1" applyFont="1" applyBorder="1" applyAlignment="1">
      <alignment horizontal="center"/>
    </xf>
    <xf numFmtId="1" fontId="29" fillId="0" borderId="5" xfId="543" applyNumberFormat="1" applyFont="1" applyBorder="1" applyAlignment="1">
      <alignment horizontal="center"/>
    </xf>
    <xf numFmtId="182" fontId="29" fillId="43" borderId="11" xfId="8721" applyNumberFormat="1" applyFont="1" applyFill="1" applyBorder="1" applyAlignment="1" applyProtection="1">
      <alignment horizontal="center" vertical="center" wrapText="1"/>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42" fillId="0" borderId="8" xfId="543" applyFont="1" applyBorder="1" applyAlignment="1">
      <alignment horizontal="center" vertical="center" wrapText="1"/>
    </xf>
    <xf numFmtId="0" fontId="42" fillId="0" borderId="0" xfId="543" applyFont="1" applyAlignment="1">
      <alignment horizontal="center" vertical="center" wrapText="1"/>
    </xf>
    <xf numFmtId="0" fontId="42" fillId="0" borderId="12" xfId="543" applyFont="1" applyBorder="1" applyAlignment="1">
      <alignment horizontal="center" vertical="center" wrapText="1"/>
    </xf>
    <xf numFmtId="168" fontId="28" fillId="0" borderId="3" xfId="543" applyNumberFormat="1" applyFont="1" applyBorder="1" applyAlignment="1">
      <alignment horizontal="center" vertical="center"/>
    </xf>
    <xf numFmtId="168" fontId="28" fillId="0" borderId="4" xfId="543" applyNumberFormat="1" applyFont="1" applyBorder="1" applyAlignment="1">
      <alignment horizontal="center" vertical="center"/>
    </xf>
    <xf numFmtId="168" fontId="28" fillId="0" borderId="5" xfId="543" applyNumberFormat="1" applyFont="1" applyBorder="1" applyAlignment="1">
      <alignment horizontal="center" vertical="center"/>
    </xf>
    <xf numFmtId="0" fontId="21" fillId="5" borderId="3" xfId="543" applyFill="1" applyBorder="1" applyAlignment="1" applyProtection="1">
      <alignment horizontal="left" vertical="top" wrapText="1"/>
      <protection locked="0"/>
    </xf>
    <xf numFmtId="0" fontId="21" fillId="5" borderId="4" xfId="543" applyFill="1" applyBorder="1" applyAlignment="1" applyProtection="1">
      <alignment horizontal="left" vertical="top" wrapText="1"/>
      <protection locked="0"/>
    </xf>
    <xf numFmtId="0" fontId="21" fillId="5" borderId="5" xfId="543" applyFill="1" applyBorder="1" applyAlignment="1" applyProtection="1">
      <alignment horizontal="left" vertical="top" wrapText="1"/>
      <protection locked="0"/>
    </xf>
    <xf numFmtId="0" fontId="21" fillId="0" borderId="9" xfId="543" applyBorder="1" applyAlignment="1">
      <alignment horizontal="left" vertical="center" wrapText="1"/>
    </xf>
    <xf numFmtId="0" fontId="21" fillId="0" borderId="6" xfId="543" applyBorder="1" applyAlignment="1">
      <alignment horizontal="left" vertical="center" wrapText="1"/>
    </xf>
    <xf numFmtId="0" fontId="21" fillId="0" borderId="10" xfId="543" applyBorder="1" applyAlignment="1">
      <alignment horizontal="left" vertical="center" wrapText="1"/>
    </xf>
    <xf numFmtId="180" fontId="0" fillId="0" borderId="6" xfId="0" applyNumberFormat="1" applyBorder="1" applyAlignment="1">
      <alignment horizontal="center"/>
    </xf>
    <xf numFmtId="14" fontId="21" fillId="5" borderId="4" xfId="0" applyNumberFormat="1" applyFont="1" applyFill="1" applyBorder="1" applyAlignment="1" applyProtection="1">
      <alignment horizontal="right"/>
      <protection locked="0"/>
    </xf>
    <xf numFmtId="0" fontId="28" fillId="0" borderId="9" xfId="0" applyFont="1" applyBorder="1" applyAlignment="1">
      <alignment horizontal="center"/>
    </xf>
    <xf numFmtId="0" fontId="47" fillId="0" borderId="0" xfId="0" applyFont="1" applyAlignment="1">
      <alignment horizontal="center"/>
    </xf>
    <xf numFmtId="0" fontId="28" fillId="0" borderId="0" xfId="0" applyFont="1" applyAlignment="1">
      <alignment horizontal="center"/>
    </xf>
    <xf numFmtId="0" fontId="21" fillId="0" borderId="0" xfId="0" applyFont="1" applyAlignment="1">
      <alignment horizontal="center"/>
    </xf>
    <xf numFmtId="0" fontId="36" fillId="0" borderId="0" xfId="0" applyFont="1" applyAlignment="1">
      <alignment horizontal="center"/>
    </xf>
    <xf numFmtId="0" fontId="21" fillId="0" borderId="0" xfId="0" applyFont="1" applyAlignment="1">
      <alignment horizontal="center" vertical="top"/>
    </xf>
    <xf numFmtId="0" fontId="28" fillId="0" borderId="11" xfId="0" applyFont="1" applyBorder="1" applyAlignment="1">
      <alignment horizontal="center" vertical="center"/>
    </xf>
    <xf numFmtId="0" fontId="29" fillId="5" borderId="3" xfId="543" applyFont="1" applyFill="1" applyBorder="1" applyAlignment="1" applyProtection="1">
      <alignment horizontal="left" vertical="top" wrapText="1"/>
      <protection locked="0"/>
    </xf>
    <xf numFmtId="0" fontId="29" fillId="5" borderId="4" xfId="543" applyFont="1" applyFill="1" applyBorder="1" applyAlignment="1" applyProtection="1">
      <alignment horizontal="left" vertical="top" wrapText="1"/>
      <protection locked="0"/>
    </xf>
    <xf numFmtId="0" fontId="29" fillId="5" borderId="5" xfId="543" applyFont="1" applyFill="1" applyBorder="1" applyAlignment="1" applyProtection="1">
      <alignment horizontal="left" vertical="top" wrapText="1"/>
      <protection locked="0"/>
    </xf>
    <xf numFmtId="0" fontId="29" fillId="0" borderId="0" xfId="0" applyFont="1" applyAlignment="1">
      <alignment horizontal="center"/>
    </xf>
    <xf numFmtId="0" fontId="152" fillId="0" borderId="8" xfId="543" applyFont="1" applyBorder="1" applyAlignment="1">
      <alignment horizontal="center" wrapText="1"/>
    </xf>
    <xf numFmtId="0" fontId="152" fillId="0" borderId="0" xfId="543" applyFont="1" applyAlignment="1">
      <alignment horizontal="center" wrapText="1"/>
    </xf>
    <xf numFmtId="0" fontId="152" fillId="0" borderId="12" xfId="543" applyFont="1" applyBorder="1" applyAlignment="1">
      <alignment horizontal="center" wrapText="1"/>
    </xf>
    <xf numFmtId="0" fontId="152" fillId="0" borderId="9" xfId="543" applyFont="1" applyBorder="1" applyAlignment="1">
      <alignment horizontal="center" wrapText="1"/>
    </xf>
    <xf numFmtId="0" fontId="152" fillId="0" borderId="6" xfId="543" applyFont="1" applyBorder="1" applyAlignment="1">
      <alignment horizontal="center" wrapText="1"/>
    </xf>
    <xf numFmtId="0" fontId="152" fillId="0" borderId="10" xfId="543" applyFont="1" applyBorder="1" applyAlignment="1">
      <alignment horizontal="center" wrapText="1"/>
    </xf>
    <xf numFmtId="0" fontId="152" fillId="0" borderId="8" xfId="543" applyFont="1" applyBorder="1" applyAlignment="1">
      <alignment horizontal="center" vertical="top" wrapText="1"/>
    </xf>
    <xf numFmtId="0" fontId="152" fillId="0" borderId="0" xfId="543" applyFont="1" applyAlignment="1">
      <alignment horizontal="center" vertical="top" wrapText="1"/>
    </xf>
    <xf numFmtId="0" fontId="152" fillId="0" borderId="12" xfId="543" applyFont="1" applyBorder="1" applyAlignment="1">
      <alignment horizontal="center" vertical="top" wrapText="1"/>
    </xf>
    <xf numFmtId="0" fontId="152" fillId="0" borderId="9" xfId="543" applyFont="1" applyBorder="1" applyAlignment="1">
      <alignment horizontal="center" vertical="top" wrapText="1"/>
    </xf>
    <xf numFmtId="0" fontId="152" fillId="0" borderId="6" xfId="543" applyFont="1" applyBorder="1" applyAlignment="1">
      <alignment horizontal="center" vertical="top" wrapText="1"/>
    </xf>
    <xf numFmtId="0" fontId="152" fillId="0" borderId="10" xfId="543" applyFont="1" applyBorder="1" applyAlignment="1">
      <alignment horizontal="center" vertical="top" wrapText="1"/>
    </xf>
    <xf numFmtId="0" fontId="149" fillId="0" borderId="0" xfId="0" applyFont="1" applyAlignment="1">
      <alignment horizontal="center" vertical="center" wrapText="1"/>
    </xf>
    <xf numFmtId="0" fontId="0" fillId="5" borderId="4" xfId="0" applyFill="1" applyBorder="1" applyAlignment="1" applyProtection="1">
      <alignment horizontal="left" wrapText="1"/>
      <protection locked="0"/>
    </xf>
    <xf numFmtId="0" fontId="21" fillId="0" borderId="0" xfId="543" applyAlignment="1">
      <alignment wrapText="1"/>
    </xf>
    <xf numFmtId="0" fontId="51" fillId="0" borderId="0" xfId="569" applyFont="1" applyAlignment="1">
      <alignment vertical="top" wrapText="1"/>
    </xf>
    <xf numFmtId="0" fontId="21" fillId="0" borderId="0" xfId="569" applyAlignment="1">
      <alignment horizontal="right" vertical="top" wrapText="1"/>
    </xf>
    <xf numFmtId="0" fontId="27" fillId="3" borderId="3" xfId="0" applyFont="1" applyFill="1" applyBorder="1" applyAlignment="1">
      <alignment horizontal="left" vertical="top"/>
    </xf>
    <xf numFmtId="0" fontId="27" fillId="3" borderId="4" xfId="0" applyFont="1" applyFill="1" applyBorder="1" applyAlignment="1">
      <alignment horizontal="left" vertical="top"/>
    </xf>
    <xf numFmtId="0" fontId="27" fillId="3" borderId="5" xfId="0" applyFont="1" applyFill="1" applyBorder="1" applyAlignment="1">
      <alignment horizontal="left" vertical="top"/>
    </xf>
    <xf numFmtId="0" fontId="160" fillId="47" borderId="65" xfId="8736" applyFont="1" applyFill="1" applyBorder="1" applyAlignment="1">
      <alignment horizontal="center"/>
    </xf>
    <xf numFmtId="0" fontId="160" fillId="47" borderId="29" xfId="8736" applyFont="1" applyFill="1" applyBorder="1" applyAlignment="1">
      <alignment horizontal="center"/>
    </xf>
    <xf numFmtId="0" fontId="160" fillId="47" borderId="31" xfId="8736" applyFont="1" applyFill="1" applyBorder="1" applyAlignment="1">
      <alignment horizontal="center"/>
    </xf>
    <xf numFmtId="0" fontId="5" fillId="47" borderId="66" xfId="8736" applyFill="1" applyBorder="1" applyAlignment="1">
      <alignment horizontal="center"/>
    </xf>
    <xf numFmtId="0" fontId="5" fillId="47" borderId="0" xfId="8736" applyFill="1" applyAlignment="1">
      <alignment horizontal="center"/>
    </xf>
    <xf numFmtId="0" fontId="5" fillId="47" borderId="41" xfId="8736" applyFill="1" applyBorder="1" applyAlignment="1">
      <alignment horizontal="center"/>
    </xf>
    <xf numFmtId="0" fontId="159" fillId="47" borderId="66" xfId="8736" applyFont="1" applyFill="1" applyBorder="1" applyAlignment="1">
      <alignment horizontal="center"/>
    </xf>
    <xf numFmtId="0" fontId="159" fillId="47" borderId="0" xfId="8736" applyFont="1" applyFill="1" applyAlignment="1">
      <alignment horizontal="center"/>
    </xf>
    <xf numFmtId="0" fontId="159" fillId="47" borderId="41" xfId="8736" applyFont="1" applyFill="1" applyBorder="1" applyAlignment="1">
      <alignment horizontal="center"/>
    </xf>
    <xf numFmtId="0" fontId="96" fillId="47" borderId="66" xfId="8736" applyFont="1" applyFill="1" applyBorder="1" applyAlignment="1">
      <alignment horizontal="center"/>
    </xf>
    <xf numFmtId="0" fontId="96" fillId="47" borderId="0" xfId="8736" applyFont="1" applyFill="1" applyAlignment="1">
      <alignment horizontal="center"/>
    </xf>
    <xf numFmtId="0" fontId="96" fillId="47" borderId="41" xfId="8736" applyFont="1" applyFill="1" applyBorder="1" applyAlignment="1">
      <alignment horizontal="center"/>
    </xf>
    <xf numFmtId="0" fontId="96" fillId="47" borderId="0" xfId="8736" applyFont="1" applyFill="1" applyAlignment="1">
      <alignment horizontal="left"/>
    </xf>
    <xf numFmtId="0" fontId="161" fillId="50" borderId="3" xfId="698" applyNumberFormat="1" applyFont="1" applyFill="1" applyBorder="1" applyAlignment="1" applyProtection="1">
      <alignment horizontal="center"/>
      <protection locked="0"/>
    </xf>
    <xf numFmtId="0" fontId="161" fillId="50" borderId="4" xfId="698" applyNumberFormat="1" applyFont="1" applyFill="1" applyBorder="1" applyAlignment="1" applyProtection="1">
      <alignment horizontal="center"/>
      <protection locked="0"/>
    </xf>
    <xf numFmtId="0" fontId="161" fillId="50" borderId="81" xfId="698" applyNumberFormat="1" applyFont="1" applyFill="1" applyBorder="1" applyAlignment="1" applyProtection="1">
      <alignment horizontal="center"/>
      <protection locked="0"/>
    </xf>
    <xf numFmtId="43" fontId="159" fillId="49" borderId="72" xfId="698" applyFont="1" applyFill="1" applyBorder="1" applyAlignment="1" applyProtection="1">
      <alignment horizontal="right"/>
      <protection hidden="1"/>
    </xf>
    <xf numFmtId="43" fontId="159" fillId="49" borderId="11" xfId="698" applyFont="1" applyFill="1" applyBorder="1" applyAlignment="1" applyProtection="1">
      <alignment horizontal="right"/>
      <protection hidden="1"/>
    </xf>
    <xf numFmtId="44" fontId="159" fillId="0" borderId="11" xfId="700" applyFont="1" applyBorder="1" applyAlignment="1" applyProtection="1">
      <alignment horizontal="center"/>
      <protection hidden="1"/>
    </xf>
    <xf numFmtId="168" fontId="159" fillId="0" borderId="11" xfId="700" applyNumberFormat="1" applyFont="1" applyBorder="1" applyAlignment="1" applyProtection="1">
      <alignment horizontal="center"/>
      <protection hidden="1"/>
    </xf>
    <xf numFmtId="9" fontId="159" fillId="0" borderId="11" xfId="1022" applyFont="1" applyBorder="1" applyAlignment="1" applyProtection="1">
      <alignment horizontal="center"/>
      <protection hidden="1"/>
    </xf>
    <xf numFmtId="43" fontId="159" fillId="49" borderId="3" xfId="698" applyFont="1" applyFill="1" applyBorder="1" applyAlignment="1" applyProtection="1">
      <alignment horizontal="center"/>
      <protection hidden="1"/>
    </xf>
    <xf numFmtId="43" fontId="159" fillId="49" borderId="4" xfId="698" applyFont="1" applyFill="1" applyBorder="1" applyAlignment="1" applyProtection="1">
      <alignment horizontal="center"/>
      <protection hidden="1"/>
    </xf>
    <xf numFmtId="43" fontId="159" fillId="49" borderId="81" xfId="698" applyFont="1" applyFill="1" applyBorder="1" applyAlignment="1" applyProtection="1">
      <alignment horizontal="center"/>
      <protection hidden="1"/>
    </xf>
    <xf numFmtId="0" fontId="162" fillId="49" borderId="72" xfId="698" applyNumberFormat="1" applyFont="1" applyFill="1" applyBorder="1" applyAlignment="1" applyProtection="1">
      <alignment horizontal="center"/>
      <protection hidden="1"/>
    </xf>
    <xf numFmtId="0" fontId="162" fillId="49" borderId="11" xfId="698" applyNumberFormat="1" applyFont="1" applyFill="1" applyBorder="1" applyAlignment="1" applyProtection="1">
      <alignment horizontal="center"/>
      <protection hidden="1"/>
    </xf>
    <xf numFmtId="0" fontId="162" fillId="48" borderId="11" xfId="569" applyFont="1" applyFill="1" applyBorder="1" applyAlignment="1" applyProtection="1">
      <alignment horizontal="center"/>
      <protection locked="0"/>
    </xf>
    <xf numFmtId="14" fontId="161" fillId="48" borderId="11" xfId="700" applyNumberFormat="1" applyFont="1" applyFill="1" applyBorder="1" applyAlignment="1" applyProtection="1">
      <alignment horizontal="center"/>
      <protection locked="0"/>
    </xf>
    <xf numFmtId="168" fontId="162" fillId="48" borderId="11" xfId="700" applyNumberFormat="1" applyFont="1" applyFill="1" applyBorder="1" applyAlignment="1" applyProtection="1">
      <alignment horizontal="center"/>
      <protection locked="0"/>
    </xf>
    <xf numFmtId="9" fontId="162" fillId="48" borderId="11" xfId="1022" applyFont="1" applyFill="1" applyBorder="1" applyAlignment="1" applyProtection="1">
      <alignment horizontal="center"/>
      <protection locked="0"/>
    </xf>
    <xf numFmtId="0" fontId="96" fillId="44" borderId="0" xfId="8736" applyFont="1" applyFill="1" applyAlignment="1">
      <alignment horizontal="left"/>
    </xf>
    <xf numFmtId="0" fontId="1" fillId="48" borderId="80" xfId="8736" applyFont="1" applyFill="1" applyBorder="1" applyAlignment="1" applyProtection="1">
      <alignment horizontal="left"/>
      <protection locked="0"/>
    </xf>
    <xf numFmtId="0" fontId="5" fillId="48" borderId="79" xfId="8736" applyFill="1" applyBorder="1" applyAlignment="1" applyProtection="1">
      <alignment horizontal="left"/>
      <protection locked="0"/>
    </xf>
    <xf numFmtId="0" fontId="5" fillId="48" borderId="78" xfId="8736" applyFill="1" applyBorder="1" applyAlignment="1" applyProtection="1">
      <alignment horizontal="left"/>
      <protection locked="0"/>
    </xf>
    <xf numFmtId="0" fontId="158" fillId="44" borderId="0" xfId="8736" applyFont="1" applyFill="1" applyAlignment="1">
      <alignment horizontal="left" vertical="top"/>
    </xf>
    <xf numFmtId="0" fontId="96" fillId="44" borderId="0" xfId="8730" applyFont="1" applyFill="1" applyBorder="1" applyAlignment="1">
      <alignment horizontal="left" vertical="top"/>
    </xf>
    <xf numFmtId="14" fontId="5" fillId="48" borderId="80" xfId="8736" applyNumberFormat="1" applyFill="1" applyBorder="1" applyAlignment="1" applyProtection="1">
      <alignment horizontal="center"/>
      <protection locked="0"/>
    </xf>
    <xf numFmtId="14" fontId="5" fillId="48" borderId="79" xfId="8736" applyNumberFormat="1" applyFill="1" applyBorder="1" applyAlignment="1" applyProtection="1">
      <alignment horizontal="center"/>
      <protection locked="0"/>
    </xf>
    <xf numFmtId="14" fontId="5" fillId="48" borderId="78" xfId="8736" applyNumberFormat="1" applyFill="1" applyBorder="1" applyAlignment="1" applyProtection="1">
      <alignment horizontal="center"/>
      <protection locked="0"/>
    </xf>
    <xf numFmtId="0" fontId="159" fillId="47" borderId="0" xfId="8736" applyFont="1" applyFill="1" applyAlignment="1">
      <alignment horizontal="left" vertical="top" wrapText="1"/>
    </xf>
    <xf numFmtId="0" fontId="96" fillId="47" borderId="42" xfId="8736" applyFont="1" applyFill="1" applyBorder="1" applyAlignment="1">
      <alignment horizontal="center"/>
    </xf>
    <xf numFmtId="0" fontId="5" fillId="48" borderId="80" xfId="8736" applyFill="1" applyBorder="1" applyAlignment="1" applyProtection="1">
      <alignment horizontal="center"/>
      <protection locked="0"/>
    </xf>
    <xf numFmtId="0" fontId="5" fillId="48" borderId="79" xfId="8736" applyFill="1" applyBorder="1" applyAlignment="1" applyProtection="1">
      <alignment horizontal="center"/>
      <protection locked="0"/>
    </xf>
    <xf numFmtId="0" fontId="5" fillId="48" borderId="78" xfId="8736" applyFill="1" applyBorder="1" applyAlignment="1" applyProtection="1">
      <alignment horizontal="center"/>
      <protection locked="0"/>
    </xf>
    <xf numFmtId="44" fontId="161" fillId="48" borderId="11" xfId="700" applyFont="1" applyFill="1" applyBorder="1" applyAlignment="1" applyProtection="1">
      <alignment horizontal="center"/>
      <protection locked="0"/>
    </xf>
    <xf numFmtId="0" fontId="164" fillId="45" borderId="11" xfId="8736" applyFont="1" applyFill="1" applyBorder="1" applyAlignment="1">
      <alignment horizontal="left" wrapText="1"/>
    </xf>
    <xf numFmtId="43" fontId="159" fillId="45" borderId="80" xfId="698" applyFont="1" applyFill="1" applyBorder="1" applyAlignment="1" applyProtection="1">
      <alignment horizontal="center"/>
      <protection hidden="1"/>
    </xf>
    <xf numFmtId="43" fontId="159" fillId="45" borderId="79" xfId="698" applyFont="1" applyFill="1" applyBorder="1" applyAlignment="1" applyProtection="1">
      <alignment horizontal="center"/>
      <protection hidden="1"/>
    </xf>
    <xf numFmtId="43" fontId="159" fillId="45" borderId="78" xfId="698" applyFont="1" applyFill="1" applyBorder="1" applyAlignment="1" applyProtection="1">
      <alignment horizontal="center"/>
      <protection hidden="1"/>
    </xf>
    <xf numFmtId="43" fontId="163" fillId="49" borderId="66" xfId="698" applyFont="1" applyFill="1" applyBorder="1" applyAlignment="1" applyProtection="1">
      <alignment horizontal="center" wrapText="1"/>
      <protection hidden="1"/>
    </xf>
    <xf numFmtId="43" fontId="163" fillId="49" borderId="0" xfId="698" applyFont="1" applyFill="1" applyBorder="1" applyAlignment="1" applyProtection="1">
      <alignment horizontal="center" wrapText="1"/>
      <protection hidden="1"/>
    </xf>
    <xf numFmtId="43" fontId="163" fillId="49" borderId="12" xfId="698" applyFont="1" applyFill="1" applyBorder="1" applyAlignment="1" applyProtection="1">
      <alignment horizontal="center" wrapText="1"/>
      <protection hidden="1"/>
    </xf>
    <xf numFmtId="43" fontId="163" fillId="49" borderId="83" xfId="698" applyFont="1" applyFill="1" applyBorder="1" applyAlignment="1" applyProtection="1">
      <alignment horizontal="center" wrapText="1"/>
      <protection hidden="1"/>
    </xf>
    <xf numFmtId="43" fontId="163" fillId="49" borderId="6" xfId="698" applyFont="1" applyFill="1" applyBorder="1" applyAlignment="1" applyProtection="1">
      <alignment horizontal="center" wrapText="1"/>
      <protection hidden="1"/>
    </xf>
    <xf numFmtId="43" fontId="163" fillId="49" borderId="10" xfId="698" applyFont="1" applyFill="1" applyBorder="1" applyAlignment="1" applyProtection="1">
      <alignment horizontal="center" wrapText="1"/>
      <protection hidden="1"/>
    </xf>
    <xf numFmtId="43" fontId="163" fillId="49" borderId="8" xfId="698" applyFont="1" applyFill="1" applyBorder="1" applyAlignment="1" applyProtection="1">
      <alignment horizontal="center" wrapText="1"/>
      <protection hidden="1"/>
    </xf>
    <xf numFmtId="43" fontId="163" fillId="49" borderId="9" xfId="698" applyFont="1" applyFill="1" applyBorder="1" applyAlignment="1" applyProtection="1">
      <alignment horizontal="center" wrapText="1"/>
      <protection hidden="1"/>
    </xf>
    <xf numFmtId="14" fontId="163" fillId="0" borderId="8" xfId="700" applyNumberFormat="1" applyFont="1" applyFill="1" applyBorder="1" applyAlignment="1" applyProtection="1">
      <alignment horizontal="center" wrapText="1"/>
      <protection hidden="1"/>
    </xf>
    <xf numFmtId="14" fontId="163" fillId="0" borderId="0" xfId="700" applyNumberFormat="1" applyFont="1" applyFill="1" applyBorder="1" applyAlignment="1" applyProtection="1">
      <alignment horizontal="center" wrapText="1"/>
      <protection hidden="1"/>
    </xf>
    <xf numFmtId="14" fontId="163" fillId="0" borderId="12" xfId="700" applyNumberFormat="1" applyFont="1" applyFill="1" applyBorder="1" applyAlignment="1" applyProtection="1">
      <alignment horizontal="center" wrapText="1"/>
      <protection hidden="1"/>
    </xf>
    <xf numFmtId="14" fontId="163" fillId="0" borderId="9" xfId="700" applyNumberFormat="1" applyFont="1" applyFill="1" applyBorder="1" applyAlignment="1" applyProtection="1">
      <alignment horizontal="center" wrapText="1"/>
      <protection hidden="1"/>
    </xf>
    <xf numFmtId="14" fontId="163" fillId="0" borderId="6" xfId="700" applyNumberFormat="1" applyFont="1" applyFill="1" applyBorder="1" applyAlignment="1" applyProtection="1">
      <alignment horizontal="center" wrapText="1"/>
      <protection hidden="1"/>
    </xf>
    <xf numFmtId="14" fontId="163" fillId="0" borderId="10" xfId="700" applyNumberFormat="1" applyFont="1" applyFill="1" applyBorder="1" applyAlignment="1" applyProtection="1">
      <alignment horizontal="center" wrapText="1"/>
      <protection hidden="1"/>
    </xf>
    <xf numFmtId="44" fontId="163" fillId="0" borderId="8" xfId="700" applyFont="1" applyBorder="1" applyAlignment="1" applyProtection="1">
      <alignment horizontal="center" wrapText="1"/>
      <protection hidden="1"/>
    </xf>
    <xf numFmtId="44" fontId="163" fillId="0" borderId="0" xfId="700" applyFont="1" applyBorder="1" applyAlignment="1" applyProtection="1">
      <alignment horizontal="center" wrapText="1"/>
      <protection hidden="1"/>
    </xf>
    <xf numFmtId="44" fontId="163" fillId="0" borderId="12" xfId="700" applyFont="1" applyBorder="1" applyAlignment="1" applyProtection="1">
      <alignment horizontal="center" wrapText="1"/>
      <protection hidden="1"/>
    </xf>
    <xf numFmtId="44" fontId="163" fillId="0" borderId="9" xfId="700" applyFont="1" applyBorder="1" applyAlignment="1" applyProtection="1">
      <alignment horizontal="center" wrapText="1"/>
      <protection hidden="1"/>
    </xf>
    <xf numFmtId="44" fontId="163" fillId="0" borderId="6" xfId="700" applyFont="1" applyBorder="1" applyAlignment="1" applyProtection="1">
      <alignment horizontal="center" wrapText="1"/>
      <protection hidden="1"/>
    </xf>
    <xf numFmtId="44" fontId="163" fillId="0" borderId="10" xfId="700" applyFont="1" applyBorder="1" applyAlignment="1" applyProtection="1">
      <alignment horizontal="center" wrapText="1"/>
      <protection hidden="1"/>
    </xf>
    <xf numFmtId="43" fontId="163" fillId="49" borderId="41" xfId="698" applyFont="1" applyFill="1" applyBorder="1" applyAlignment="1" applyProtection="1">
      <alignment horizontal="center" wrapText="1"/>
      <protection hidden="1"/>
    </xf>
    <xf numFmtId="43" fontId="163" fillId="49" borderId="82" xfId="698" applyFont="1" applyFill="1" applyBorder="1" applyAlignment="1" applyProtection="1">
      <alignment horizontal="center" wrapText="1"/>
      <protection hidden="1"/>
    </xf>
    <xf numFmtId="0" fontId="165"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5" fillId="48" borderId="11" xfId="1022" applyNumberFormat="1" applyFont="1" applyFill="1" applyBorder="1" applyAlignment="1" applyProtection="1">
      <alignment horizontal="center"/>
      <protection locked="0"/>
    </xf>
    <xf numFmtId="182" fontId="5" fillId="0" borderId="13" xfId="8736" applyNumberFormat="1" applyBorder="1" applyAlignment="1">
      <alignment horizontal="center"/>
    </xf>
    <xf numFmtId="0" fontId="5" fillId="0" borderId="13" xfId="8736" applyBorder="1" applyAlignment="1">
      <alignment horizontal="center"/>
    </xf>
    <xf numFmtId="0" fontId="158" fillId="45" borderId="80" xfId="569" applyFont="1" applyFill="1" applyBorder="1" applyAlignment="1" applyProtection="1">
      <alignment horizontal="center" wrapText="1"/>
      <protection hidden="1"/>
    </xf>
    <xf numFmtId="0" fontId="158" fillId="45" borderId="79" xfId="569" applyFont="1" applyFill="1" applyBorder="1" applyAlignment="1" applyProtection="1">
      <alignment horizontal="center" wrapText="1"/>
      <protection hidden="1"/>
    </xf>
    <xf numFmtId="0" fontId="158" fillId="45" borderId="78" xfId="569" applyFont="1" applyFill="1" applyBorder="1" applyAlignment="1" applyProtection="1">
      <alignment horizontal="center" wrapText="1"/>
      <protection hidden="1"/>
    </xf>
    <xf numFmtId="0" fontId="158" fillId="45" borderId="13" xfId="569" applyFont="1" applyFill="1" applyBorder="1" applyAlignment="1" applyProtection="1">
      <alignment horizontal="left" wrapText="1"/>
      <protection hidden="1"/>
    </xf>
    <xf numFmtId="0" fontId="158" fillId="45" borderId="13" xfId="569" applyFont="1" applyFill="1" applyBorder="1" applyAlignment="1" applyProtection="1">
      <alignment horizontal="center" wrapText="1"/>
      <protection hidden="1"/>
    </xf>
    <xf numFmtId="0" fontId="167" fillId="45" borderId="67" xfId="8736" applyFont="1" applyFill="1" applyBorder="1" applyAlignment="1">
      <alignment horizontal="right"/>
    </xf>
    <xf numFmtId="0" fontId="167" fillId="45" borderId="68" xfId="8736" applyFont="1" applyFill="1" applyBorder="1" applyAlignment="1">
      <alignment horizontal="right"/>
    </xf>
    <xf numFmtId="168" fontId="162" fillId="44" borderId="68" xfId="700" applyNumberFormat="1" applyFont="1" applyFill="1" applyBorder="1" applyAlignment="1">
      <alignment horizontal="left"/>
    </xf>
    <xf numFmtId="168" fontId="162" fillId="44" borderId="71" xfId="700" applyNumberFormat="1" applyFont="1" applyFill="1" applyBorder="1" applyAlignment="1">
      <alignment horizontal="left"/>
    </xf>
    <xf numFmtId="0" fontId="164" fillId="48" borderId="66" xfId="8736" applyFont="1" applyFill="1" applyBorder="1" applyAlignment="1">
      <alignment horizontal="left" wrapText="1"/>
    </xf>
    <xf numFmtId="0" fontId="164" fillId="48" borderId="0" xfId="8736" applyFont="1" applyFill="1" applyAlignment="1">
      <alignment horizontal="left" wrapText="1"/>
    </xf>
    <xf numFmtId="0" fontId="164" fillId="48" borderId="41" xfId="8736" applyFont="1" applyFill="1" applyBorder="1" applyAlignment="1">
      <alignment horizontal="left" wrapText="1"/>
    </xf>
    <xf numFmtId="0" fontId="164" fillId="48" borderId="73" xfId="8736" applyFont="1" applyFill="1" applyBorder="1" applyAlignment="1">
      <alignment horizontal="left" wrapText="1"/>
    </xf>
    <xf numFmtId="0" fontId="164" fillId="48" borderId="42" xfId="8736" applyFont="1" applyFill="1" applyBorder="1" applyAlignment="1">
      <alignment horizontal="left" wrapText="1"/>
    </xf>
    <xf numFmtId="0" fontId="164" fillId="48" borderId="44" xfId="8736" applyFont="1" applyFill="1" applyBorder="1" applyAlignment="1">
      <alignment horizontal="left" wrapText="1"/>
    </xf>
    <xf numFmtId="0" fontId="166" fillId="45" borderId="69" xfId="8736" applyFont="1" applyFill="1" applyBorder="1" applyAlignment="1">
      <alignment horizontal="right"/>
    </xf>
    <xf numFmtId="0" fontId="166" fillId="45" borderId="70" xfId="8736" applyFont="1" applyFill="1" applyBorder="1" applyAlignment="1">
      <alignment horizontal="right"/>
    </xf>
    <xf numFmtId="0" fontId="158" fillId="44" borderId="70" xfId="700" applyNumberFormat="1" applyFont="1" applyFill="1" applyBorder="1" applyAlignment="1">
      <alignment horizontal="left"/>
    </xf>
    <xf numFmtId="168" fontId="158" fillId="44" borderId="70" xfId="700" applyNumberFormat="1" applyFont="1" applyFill="1" applyBorder="1" applyAlignment="1">
      <alignment horizontal="left"/>
    </xf>
    <xf numFmtId="168" fontId="158" fillId="44" borderId="77" xfId="700" applyNumberFormat="1" applyFont="1" applyFill="1" applyBorder="1" applyAlignment="1">
      <alignment horizontal="left"/>
    </xf>
    <xf numFmtId="0" fontId="159" fillId="47" borderId="0" xfId="8736" applyFont="1" applyFill="1" applyAlignment="1">
      <alignment horizontal="right"/>
    </xf>
    <xf numFmtId="168" fontId="163" fillId="47" borderId="0" xfId="700" applyNumberFormat="1" applyFont="1" applyFill="1" applyBorder="1" applyAlignment="1" applyProtection="1">
      <alignment horizontal="left"/>
      <protection locked="0"/>
    </xf>
    <xf numFmtId="0" fontId="165" fillId="48" borderId="87" xfId="8736" applyFont="1" applyFill="1" applyBorder="1" applyAlignment="1" applyProtection="1">
      <alignment horizontal="center"/>
      <protection locked="0"/>
    </xf>
    <xf numFmtId="0" fontId="165" fillId="48" borderId="86" xfId="8736" applyFont="1" applyFill="1" applyBorder="1" applyAlignment="1" applyProtection="1">
      <alignment horizontal="center"/>
      <protection locked="0"/>
    </xf>
    <xf numFmtId="0" fontId="167" fillId="48" borderId="70" xfId="8736" applyFont="1" applyFill="1" applyBorder="1" applyAlignment="1" applyProtection="1">
      <alignment horizontal="left"/>
      <protection locked="0"/>
    </xf>
    <xf numFmtId="0" fontId="167" fillId="48" borderId="77" xfId="8736" applyFont="1" applyFill="1" applyBorder="1" applyAlignment="1" applyProtection="1">
      <alignment horizontal="left"/>
      <protection locked="0"/>
    </xf>
    <xf numFmtId="168" fontId="165" fillId="48" borderId="86" xfId="700" applyNumberFormat="1" applyFont="1" applyFill="1" applyBorder="1" applyAlignment="1" applyProtection="1">
      <alignment horizontal="left"/>
      <protection locked="0"/>
    </xf>
    <xf numFmtId="168" fontId="165" fillId="48" borderId="85" xfId="700" applyNumberFormat="1" applyFont="1" applyFill="1" applyBorder="1" applyAlignment="1" applyProtection="1">
      <alignment horizontal="left"/>
      <protection locked="0"/>
    </xf>
    <xf numFmtId="0" fontId="165" fillId="48" borderId="87" xfId="8736" applyFont="1" applyFill="1" applyBorder="1" applyAlignment="1" applyProtection="1">
      <alignment horizontal="left"/>
      <protection locked="0"/>
    </xf>
    <xf numFmtId="0" fontId="165" fillId="48" borderId="86" xfId="8736" applyFont="1" applyFill="1" applyBorder="1" applyAlignment="1" applyProtection="1">
      <alignment horizontal="left"/>
      <protection locked="0"/>
    </xf>
    <xf numFmtId="0" fontId="165" fillId="48" borderId="85" xfId="8736" applyFont="1" applyFill="1" applyBorder="1" applyAlignment="1" applyProtection="1">
      <alignment horizontal="left"/>
      <protection locked="0"/>
    </xf>
    <xf numFmtId="0" fontId="96" fillId="48" borderId="80" xfId="8736" applyFont="1" applyFill="1" applyBorder="1" applyAlignment="1">
      <alignment horizontal="left"/>
    </xf>
    <xf numFmtId="0" fontId="96"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5" fillId="48" borderId="72" xfId="8736" applyFont="1" applyFill="1" applyBorder="1" applyAlignment="1" applyProtection="1">
      <alignment horizontal="center"/>
      <protection locked="0"/>
    </xf>
    <xf numFmtId="0" fontId="165" fillId="48" borderId="11" xfId="8736" applyFont="1" applyFill="1" applyBorder="1" applyAlignment="1" applyProtection="1">
      <alignment horizontal="center"/>
      <protection locked="0"/>
    </xf>
    <xf numFmtId="0" fontId="167" fillId="48" borderId="11" xfId="8736" applyFont="1" applyFill="1" applyBorder="1" applyAlignment="1" applyProtection="1">
      <alignment horizontal="left"/>
      <protection locked="0"/>
    </xf>
    <xf numFmtId="168" fontId="165" fillId="48" borderId="11" xfId="700" applyNumberFormat="1" applyFont="1" applyFill="1" applyBorder="1" applyAlignment="1" applyProtection="1">
      <alignment horizontal="left"/>
      <protection locked="0"/>
    </xf>
    <xf numFmtId="0" fontId="165" fillId="48" borderId="11" xfId="8736" applyFont="1" applyFill="1" applyBorder="1" applyAlignment="1" applyProtection="1">
      <alignment horizontal="left"/>
      <protection locked="0"/>
    </xf>
    <xf numFmtId="0" fontId="165" fillId="48" borderId="76" xfId="8736" applyFont="1" applyFill="1" applyBorder="1" applyAlignment="1" applyProtection="1">
      <alignment horizontal="left"/>
      <protection locked="0"/>
    </xf>
    <xf numFmtId="0" fontId="5" fillId="48" borderId="1" xfId="8736" applyFill="1" applyBorder="1" applyAlignment="1">
      <alignment horizontal="center"/>
    </xf>
    <xf numFmtId="0" fontId="5" fillId="48" borderId="2" xfId="8736" applyFill="1" applyBorder="1" applyAlignment="1">
      <alignment horizontal="center"/>
    </xf>
    <xf numFmtId="0" fontId="5" fillId="48" borderId="112" xfId="8736" applyFill="1" applyBorder="1" applyAlignment="1">
      <alignment horizontal="center"/>
    </xf>
    <xf numFmtId="0" fontId="167" fillId="48" borderId="72" xfId="8736" applyFont="1" applyFill="1" applyBorder="1" applyAlignment="1" applyProtection="1">
      <alignment horizontal="center"/>
      <protection locked="0"/>
    </xf>
    <xf numFmtId="0" fontId="167" fillId="48" borderId="11" xfId="8736" applyFont="1" applyFill="1" applyBorder="1" applyAlignment="1" applyProtection="1">
      <alignment horizontal="center"/>
      <protection locked="0"/>
    </xf>
    <xf numFmtId="43" fontId="162" fillId="50" borderId="72" xfId="698" applyFont="1" applyFill="1" applyBorder="1" applyAlignment="1" applyProtection="1">
      <alignment horizontal="left" wrapText="1"/>
      <protection hidden="1"/>
    </xf>
    <xf numFmtId="43" fontId="162"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9" fillId="50" borderId="111" xfId="698" applyFont="1" applyFill="1" applyBorder="1" applyAlignment="1" applyProtection="1">
      <alignment horizontal="center"/>
      <protection hidden="1"/>
    </xf>
    <xf numFmtId="43" fontId="159" fillId="50" borderId="84" xfId="698" applyFont="1" applyFill="1" applyBorder="1" applyAlignment="1" applyProtection="1">
      <alignment horizontal="center"/>
      <protection hidden="1"/>
    </xf>
    <xf numFmtId="43" fontId="159" fillId="50" borderId="102" xfId="698" applyFont="1" applyFill="1" applyBorder="1" applyAlignment="1" applyProtection="1">
      <alignment horizontal="center"/>
      <protection hidden="1"/>
    </xf>
    <xf numFmtId="0" fontId="165" fillId="45" borderId="72" xfId="8736" applyFont="1" applyFill="1" applyBorder="1" applyAlignment="1">
      <alignment horizontal="right"/>
    </xf>
    <xf numFmtId="0" fontId="165" fillId="45" borderId="11" xfId="8736" applyFont="1" applyFill="1" applyBorder="1" applyAlignment="1">
      <alignment horizontal="right"/>
    </xf>
    <xf numFmtId="43" fontId="162" fillId="50" borderId="98" xfId="698" applyFont="1" applyFill="1" applyBorder="1" applyAlignment="1" applyProtection="1">
      <alignment horizontal="left"/>
      <protection hidden="1"/>
    </xf>
    <xf numFmtId="43" fontId="162"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5" fillId="48" borderId="9" xfId="8736" applyFont="1" applyFill="1" applyBorder="1" applyAlignment="1">
      <alignment horizontal="center"/>
    </xf>
    <xf numFmtId="0" fontId="165" fillId="48" borderId="6" xfId="8736" applyFont="1" applyFill="1" applyBorder="1" applyAlignment="1">
      <alignment horizontal="center"/>
    </xf>
    <xf numFmtId="0" fontId="165" fillId="48" borderId="82" xfId="8736" applyFont="1" applyFill="1" applyBorder="1" applyAlignment="1">
      <alignment horizontal="center"/>
    </xf>
    <xf numFmtId="0" fontId="5" fillId="48" borderId="3" xfId="8736" applyFill="1" applyBorder="1" applyAlignment="1">
      <alignment horizontal="center"/>
    </xf>
    <xf numFmtId="0" fontId="5" fillId="48" borderId="4" xfId="8736" applyFill="1" applyBorder="1" applyAlignment="1">
      <alignment horizontal="center"/>
    </xf>
    <xf numFmtId="0" fontId="5" fillId="48" borderId="81" xfId="8736" applyFill="1" applyBorder="1" applyAlignment="1">
      <alignment horizontal="center"/>
    </xf>
    <xf numFmtId="168" fontId="167" fillId="44" borderId="11" xfId="700" applyNumberFormat="1" applyFont="1" applyFill="1" applyBorder="1" applyAlignment="1">
      <alignment horizontal="left"/>
    </xf>
    <xf numFmtId="0" fontId="96" fillId="45" borderId="65" xfId="8736" applyFont="1" applyFill="1" applyBorder="1" applyAlignment="1">
      <alignment horizontal="left" wrapText="1"/>
    </xf>
    <xf numFmtId="0" fontId="96" fillId="45" borderId="29" xfId="8736" applyFont="1" applyFill="1" applyBorder="1" applyAlignment="1">
      <alignment horizontal="left" wrapText="1"/>
    </xf>
    <xf numFmtId="0" fontId="96" fillId="45" borderId="31" xfId="8736" applyFont="1" applyFill="1" applyBorder="1" applyAlignment="1">
      <alignment horizontal="left" wrapText="1"/>
    </xf>
    <xf numFmtId="0" fontId="96" fillId="45" borderId="73" xfId="8736" applyFont="1" applyFill="1" applyBorder="1" applyAlignment="1">
      <alignment horizontal="left" wrapText="1"/>
    </xf>
    <xf numFmtId="0" fontId="96" fillId="45" borderId="42" xfId="8736" applyFont="1" applyFill="1" applyBorder="1" applyAlignment="1">
      <alignment horizontal="left" wrapText="1"/>
    </xf>
    <xf numFmtId="0" fontId="96" fillId="45" borderId="44" xfId="8736" applyFont="1" applyFill="1" applyBorder="1" applyAlignment="1">
      <alignment horizontal="left" wrapText="1"/>
    </xf>
    <xf numFmtId="43" fontId="162" fillId="50" borderId="72" xfId="698" applyFont="1" applyFill="1" applyBorder="1" applyAlignment="1" applyProtection="1">
      <alignment horizontal="left"/>
      <protection hidden="1"/>
    </xf>
    <xf numFmtId="43" fontId="162"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6" fillId="45" borderId="67" xfId="8736" applyFont="1" applyFill="1" applyBorder="1" applyAlignment="1">
      <alignment horizontal="center"/>
    </xf>
    <xf numFmtId="0" fontId="96" fillId="45" borderId="68" xfId="8736" applyFont="1" applyFill="1" applyBorder="1" applyAlignment="1">
      <alignment horizontal="center"/>
    </xf>
    <xf numFmtId="0" fontId="159" fillId="45" borderId="68" xfId="8736" applyFont="1" applyFill="1" applyBorder="1" applyAlignment="1">
      <alignment horizontal="center"/>
    </xf>
    <xf numFmtId="0" fontId="159" fillId="45" borderId="71" xfId="8736" applyFont="1" applyFill="1" applyBorder="1" applyAlignment="1">
      <alignment horizontal="center"/>
    </xf>
    <xf numFmtId="0" fontId="166" fillId="51" borderId="11" xfId="8736" applyFont="1" applyFill="1" applyBorder="1" applyAlignment="1">
      <alignment horizontal="center"/>
    </xf>
    <xf numFmtId="0" fontId="166" fillId="51" borderId="76" xfId="8736" applyFont="1" applyFill="1" applyBorder="1" applyAlignment="1">
      <alignment horizontal="center"/>
    </xf>
    <xf numFmtId="0" fontId="167" fillId="45" borderId="72" xfId="8736" applyFont="1" applyFill="1" applyBorder="1" applyAlignment="1">
      <alignment horizontal="right"/>
    </xf>
    <xf numFmtId="0" fontId="167" fillId="45" borderId="11" xfId="8736" applyFont="1" applyFill="1" applyBorder="1" applyAlignment="1">
      <alignment horizontal="right"/>
    </xf>
    <xf numFmtId="168" fontId="167" fillId="48" borderId="11" xfId="700" applyNumberFormat="1" applyFont="1" applyFill="1" applyBorder="1" applyAlignment="1" applyProtection="1">
      <alignment horizontal="left"/>
      <protection locked="0"/>
    </xf>
    <xf numFmtId="168" fontId="165" fillId="44" borderId="11" xfId="700" applyNumberFormat="1" applyFont="1" applyFill="1" applyBorder="1" applyAlignment="1" applyProtection="1">
      <alignment horizontal="left"/>
      <protection locked="0"/>
    </xf>
    <xf numFmtId="0" fontId="96" fillId="45" borderId="71" xfId="8736" applyFont="1" applyFill="1" applyBorder="1" applyAlignment="1">
      <alignment horizontal="center"/>
    </xf>
    <xf numFmtId="0" fontId="159" fillId="45" borderId="67" xfId="8736" applyFont="1" applyFill="1" applyBorder="1" applyAlignment="1">
      <alignment horizontal="left"/>
    </xf>
    <xf numFmtId="0" fontId="159" fillId="45" borderId="68" xfId="8736" applyFont="1" applyFill="1" applyBorder="1" applyAlignment="1">
      <alignment horizontal="left"/>
    </xf>
    <xf numFmtId="0" fontId="159" fillId="45" borderId="71" xfId="8736" applyFont="1" applyFill="1" applyBorder="1" applyAlignment="1">
      <alignment horizontal="left"/>
    </xf>
    <xf numFmtId="0" fontId="96" fillId="45" borderId="72" xfId="8736" applyFont="1" applyFill="1" applyBorder="1" applyAlignment="1">
      <alignment horizontal="center"/>
    </xf>
    <xf numFmtId="0" fontId="96" fillId="45" borderId="11" xfId="8736" applyFont="1" applyFill="1" applyBorder="1" applyAlignment="1">
      <alignment horizontal="center"/>
    </xf>
    <xf numFmtId="0" fontId="96" fillId="45" borderId="76" xfId="8736" applyFont="1" applyFill="1" applyBorder="1" applyAlignment="1">
      <alignment horizontal="center"/>
    </xf>
    <xf numFmtId="0" fontId="165" fillId="48" borderId="72" xfId="8736" applyFont="1" applyFill="1" applyBorder="1" applyAlignment="1" applyProtection="1">
      <alignment horizontal="left" vertical="top" wrapText="1"/>
      <protection locked="0"/>
    </xf>
    <xf numFmtId="0" fontId="165" fillId="48" borderId="11" xfId="8736" applyFont="1" applyFill="1" applyBorder="1" applyAlignment="1" applyProtection="1">
      <alignment horizontal="left" vertical="top"/>
      <protection locked="0"/>
    </xf>
    <xf numFmtId="0" fontId="165" fillId="48" borderId="76" xfId="8736" applyFont="1" applyFill="1" applyBorder="1" applyAlignment="1" applyProtection="1">
      <alignment horizontal="left" vertical="top"/>
      <protection locked="0"/>
    </xf>
    <xf numFmtId="0" fontId="165" fillId="48" borderId="72" xfId="8736" applyFont="1" applyFill="1" applyBorder="1" applyAlignment="1" applyProtection="1">
      <alignment horizontal="left" vertical="top"/>
      <protection locked="0"/>
    </xf>
    <xf numFmtId="0" fontId="165" fillId="48" borderId="69" xfId="8736" applyFont="1" applyFill="1" applyBorder="1" applyAlignment="1" applyProtection="1">
      <alignment horizontal="left" vertical="top"/>
      <protection locked="0"/>
    </xf>
    <xf numFmtId="0" fontId="165" fillId="48" borderId="70" xfId="8736" applyFont="1" applyFill="1" applyBorder="1" applyAlignment="1" applyProtection="1">
      <alignment horizontal="left" vertical="top"/>
      <protection locked="0"/>
    </xf>
    <xf numFmtId="0" fontId="165" fillId="48" borderId="77" xfId="8736" applyFont="1" applyFill="1" applyBorder="1" applyAlignment="1" applyProtection="1">
      <alignment horizontal="left" vertical="top"/>
      <protection locked="0"/>
    </xf>
    <xf numFmtId="14" fontId="165" fillId="48" borderId="11" xfId="8736" applyNumberFormat="1" applyFont="1" applyFill="1" applyBorder="1" applyAlignment="1" applyProtection="1">
      <alignment horizontal="center"/>
      <protection locked="0"/>
    </xf>
    <xf numFmtId="14" fontId="165" fillId="48" borderId="76" xfId="8736" applyNumberFormat="1" applyFont="1" applyFill="1" applyBorder="1" applyAlignment="1" applyProtection="1">
      <alignment horizontal="center"/>
      <protection locked="0"/>
    </xf>
    <xf numFmtId="0" fontId="165" fillId="48" borderId="69" xfId="8736" applyFont="1" applyFill="1" applyBorder="1" applyAlignment="1" applyProtection="1">
      <alignment horizontal="center"/>
      <protection locked="0"/>
    </xf>
    <xf numFmtId="0" fontId="165" fillId="48" borderId="70" xfId="8736" applyFont="1" applyFill="1" applyBorder="1" applyAlignment="1" applyProtection="1">
      <alignment horizontal="center"/>
      <protection locked="0"/>
    </xf>
    <xf numFmtId="14" fontId="165" fillId="48" borderId="70" xfId="8736" applyNumberFormat="1" applyFont="1" applyFill="1" applyBorder="1" applyAlignment="1" applyProtection="1">
      <alignment horizontal="center"/>
      <protection locked="0"/>
    </xf>
    <xf numFmtId="14" fontId="165" fillId="48" borderId="77" xfId="8736" applyNumberFormat="1" applyFont="1" applyFill="1" applyBorder="1" applyAlignment="1" applyProtection="1">
      <alignment horizontal="center"/>
      <protection locked="0"/>
    </xf>
    <xf numFmtId="0" fontId="164" fillId="45" borderId="72" xfId="8736" applyFont="1" applyFill="1" applyBorder="1" applyAlignment="1">
      <alignment horizontal="center"/>
    </xf>
    <xf numFmtId="0" fontId="164" fillId="45" borderId="11" xfId="8736" applyFont="1" applyFill="1" applyBorder="1" applyAlignment="1">
      <alignment horizontal="center"/>
    </xf>
    <xf numFmtId="0" fontId="168" fillId="48" borderId="11" xfId="8736" applyFont="1" applyFill="1" applyBorder="1" applyAlignment="1" applyProtection="1">
      <alignment horizontal="left"/>
      <protection locked="0"/>
    </xf>
    <xf numFmtId="14" fontId="167" fillId="48" borderId="11" xfId="8736" applyNumberFormat="1" applyFont="1" applyFill="1" applyBorder="1" applyAlignment="1" applyProtection="1">
      <alignment horizontal="center"/>
      <protection locked="0"/>
    </xf>
    <xf numFmtId="168" fontId="167" fillId="48" borderId="11" xfId="8737" applyNumberFormat="1" applyFont="1" applyFill="1" applyBorder="1" applyAlignment="1" applyProtection="1">
      <alignment horizontal="center"/>
      <protection locked="0"/>
    </xf>
    <xf numFmtId="168" fontId="167" fillId="48" borderId="76" xfId="8737" applyNumberFormat="1" applyFont="1" applyFill="1" applyBorder="1" applyAlignment="1" applyProtection="1">
      <alignment horizontal="center"/>
      <protection locked="0"/>
    </xf>
    <xf numFmtId="0" fontId="164" fillId="45" borderId="69" xfId="8736" applyFont="1" applyFill="1" applyBorder="1" applyAlignment="1">
      <alignment horizontal="center"/>
    </xf>
    <xf numFmtId="0" fontId="164" fillId="45" borderId="70" xfId="8736" applyFont="1" applyFill="1" applyBorder="1" applyAlignment="1">
      <alignment horizontal="center"/>
    </xf>
    <xf numFmtId="0" fontId="168" fillId="48" borderId="70" xfId="8736" applyFont="1" applyFill="1" applyBorder="1" applyAlignment="1" applyProtection="1">
      <alignment horizontal="left"/>
      <protection locked="0"/>
    </xf>
    <xf numFmtId="0" fontId="167" fillId="48" borderId="70" xfId="8736" applyFont="1" applyFill="1" applyBorder="1" applyAlignment="1" applyProtection="1">
      <alignment horizontal="center"/>
      <protection locked="0"/>
    </xf>
    <xf numFmtId="14" fontId="167" fillId="48" borderId="70" xfId="8736" applyNumberFormat="1" applyFont="1" applyFill="1" applyBorder="1" applyAlignment="1" applyProtection="1">
      <alignment horizontal="center"/>
      <protection locked="0"/>
    </xf>
    <xf numFmtId="168" fontId="167" fillId="48" borderId="70" xfId="8737" applyNumberFormat="1" applyFont="1" applyFill="1" applyBorder="1" applyAlignment="1" applyProtection="1">
      <alignment horizontal="center"/>
      <protection locked="0"/>
    </xf>
    <xf numFmtId="168" fontId="167" fillId="48" borderId="77" xfId="8737" applyNumberFormat="1" applyFont="1" applyFill="1" applyBorder="1" applyAlignment="1" applyProtection="1">
      <alignment horizontal="center"/>
      <protection locked="0"/>
    </xf>
    <xf numFmtId="0" fontId="169" fillId="45" borderId="69" xfId="8736" applyFont="1" applyFill="1" applyBorder="1" applyAlignment="1">
      <alignment horizontal="left"/>
    </xf>
    <xf numFmtId="0" fontId="169" fillId="45" borderId="70" xfId="8736" applyFont="1" applyFill="1" applyBorder="1" applyAlignment="1">
      <alignment horizontal="left"/>
    </xf>
    <xf numFmtId="0" fontId="5" fillId="48" borderId="70" xfId="8736" applyFill="1" applyBorder="1" applyAlignment="1" applyProtection="1">
      <alignment horizontal="center"/>
      <protection locked="0"/>
    </xf>
    <xf numFmtId="0" fontId="5" fillId="48" borderId="77" xfId="8736" applyFill="1" applyBorder="1" applyAlignment="1" applyProtection="1">
      <alignment horizontal="center"/>
      <protection locked="0"/>
    </xf>
    <xf numFmtId="0" fontId="159" fillId="45" borderId="67" xfId="8736" applyFont="1" applyFill="1" applyBorder="1" applyAlignment="1">
      <alignment horizontal="center"/>
    </xf>
    <xf numFmtId="0" fontId="158" fillId="45" borderId="11" xfId="8736" applyFont="1" applyFill="1" applyBorder="1" applyAlignment="1">
      <alignment horizontal="center"/>
    </xf>
    <xf numFmtId="0" fontId="169" fillId="45" borderId="72" xfId="8736" applyFont="1" applyFill="1" applyBorder="1" applyAlignment="1">
      <alignment horizontal="left"/>
    </xf>
    <xf numFmtId="0" fontId="169" fillId="45" borderId="11" xfId="8736" applyFont="1" applyFill="1" applyBorder="1" applyAlignment="1">
      <alignment horizontal="left"/>
    </xf>
    <xf numFmtId="0" fontId="5" fillId="48" borderId="11" xfId="8736" applyFill="1" applyBorder="1" applyAlignment="1" applyProtection="1">
      <alignment horizontal="center"/>
      <protection locked="0"/>
    </xf>
    <xf numFmtId="0" fontId="5" fillId="48" borderId="76" xfId="8736" applyFill="1" applyBorder="1" applyAlignment="1" applyProtection="1">
      <alignment horizontal="center"/>
      <protection locked="0"/>
    </xf>
    <xf numFmtId="0" fontId="158" fillId="45" borderId="11" xfId="8736" applyFont="1" applyFill="1" applyBorder="1" applyAlignment="1">
      <alignment horizontal="center" wrapText="1"/>
    </xf>
    <xf numFmtId="0" fontId="158" fillId="45" borderId="76" xfId="8736" applyFont="1" applyFill="1" applyBorder="1" applyAlignment="1">
      <alignment horizontal="center" wrapText="1"/>
    </xf>
    <xf numFmtId="0" fontId="158" fillId="48" borderId="90" xfId="8736" applyFont="1" applyFill="1" applyBorder="1" applyAlignment="1">
      <alignment horizontal="left"/>
    </xf>
    <xf numFmtId="0" fontId="158" fillId="48" borderId="4" xfId="8736" applyFont="1" applyFill="1" applyBorder="1" applyAlignment="1">
      <alignment horizontal="left"/>
    </xf>
    <xf numFmtId="0" fontId="158" fillId="48" borderId="5" xfId="8736"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8" fillId="45" borderId="72" xfId="8736" applyFont="1" applyFill="1" applyBorder="1" applyAlignment="1">
      <alignment horizontal="left"/>
    </xf>
    <xf numFmtId="0" fontId="158" fillId="45" borderId="11" xfId="8736" applyFont="1" applyFill="1" applyBorder="1" applyAlignment="1">
      <alignment horizontal="left"/>
    </xf>
    <xf numFmtId="0" fontId="170" fillId="48" borderId="11" xfId="8736" applyFont="1" applyFill="1" applyBorder="1" applyAlignment="1" applyProtection="1">
      <alignment horizontal="left"/>
      <protection locked="0"/>
    </xf>
    <xf numFmtId="0" fontId="170" fillId="48" borderId="76" xfId="8736" applyFont="1" applyFill="1" applyBorder="1" applyAlignment="1" applyProtection="1">
      <alignment horizontal="left"/>
      <protection locked="0"/>
    </xf>
    <xf numFmtId="0" fontId="167" fillId="48" borderId="72" xfId="8736" applyFont="1" applyFill="1" applyBorder="1" applyAlignment="1" applyProtection="1">
      <alignment horizontal="left" vertical="top" wrapText="1"/>
      <protection locked="0"/>
    </xf>
    <xf numFmtId="0" fontId="167" fillId="48" borderId="11" xfId="8736" applyFont="1" applyFill="1" applyBorder="1" applyAlignment="1" applyProtection="1">
      <alignment horizontal="left" vertical="top"/>
      <protection locked="0"/>
    </xf>
    <xf numFmtId="0" fontId="167" fillId="48" borderId="76" xfId="8736" applyFont="1" applyFill="1" applyBorder="1" applyAlignment="1" applyProtection="1">
      <alignment horizontal="left" vertical="top"/>
      <protection locked="0"/>
    </xf>
    <xf numFmtId="0" fontId="167" fillId="48" borderId="72" xfId="8736" applyFont="1" applyFill="1" applyBorder="1" applyAlignment="1" applyProtection="1">
      <alignment horizontal="left" vertical="top"/>
      <protection locked="0"/>
    </xf>
    <xf numFmtId="0" fontId="167" fillId="48" borderId="69" xfId="8736" applyFont="1" applyFill="1" applyBorder="1" applyAlignment="1" applyProtection="1">
      <alignment horizontal="left" vertical="top"/>
      <protection locked="0"/>
    </xf>
    <xf numFmtId="0" fontId="167" fillId="48" borderId="70" xfId="8736" applyFont="1" applyFill="1" applyBorder="1" applyAlignment="1" applyProtection="1">
      <alignment horizontal="left" vertical="top"/>
      <protection locked="0"/>
    </xf>
    <xf numFmtId="0" fontId="167" fillId="48" borderId="77" xfId="8736" applyFont="1" applyFill="1" applyBorder="1" applyAlignment="1" applyProtection="1">
      <alignment horizontal="left" vertical="top"/>
      <protection locked="0"/>
    </xf>
    <xf numFmtId="0" fontId="158" fillId="45" borderId="67" xfId="8736" applyFont="1" applyFill="1" applyBorder="1" applyAlignment="1">
      <alignment horizontal="left"/>
    </xf>
    <xf numFmtId="0" fontId="158" fillId="45" borderId="68" xfId="8736" applyFont="1" applyFill="1" applyBorder="1" applyAlignment="1">
      <alignment horizontal="left"/>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81" xfId="8736" applyFont="1" applyFill="1" applyBorder="1" applyAlignment="1" applyProtection="1">
      <alignment horizontal="center"/>
      <protection locked="0"/>
    </xf>
    <xf numFmtId="0" fontId="166" fillId="45" borderId="11" xfId="8736" applyFont="1" applyFill="1" applyBorder="1" applyAlignment="1">
      <alignment horizontal="center"/>
    </xf>
    <xf numFmtId="0" fontId="172" fillId="45" borderId="11" xfId="8736" applyFont="1" applyFill="1" applyBorder="1" applyAlignment="1">
      <alignment horizontal="left"/>
    </xf>
    <xf numFmtId="0" fontId="172" fillId="45" borderId="76" xfId="8736" applyFont="1" applyFill="1" applyBorder="1" applyAlignment="1">
      <alignment horizontal="left"/>
    </xf>
    <xf numFmtId="0" fontId="159" fillId="45" borderId="93" xfId="8736" applyFont="1" applyFill="1" applyBorder="1" applyAlignment="1">
      <alignment horizontal="center"/>
    </xf>
    <xf numFmtId="0" fontId="159" fillId="45" borderId="92" xfId="8736" applyFont="1" applyFill="1" applyBorder="1" applyAlignment="1">
      <alignment horizontal="center"/>
    </xf>
    <xf numFmtId="0" fontId="159" fillId="45" borderId="91" xfId="8736" applyFont="1" applyFill="1" applyBorder="1" applyAlignment="1">
      <alignment horizontal="center"/>
    </xf>
    <xf numFmtId="0" fontId="166" fillId="45" borderId="72" xfId="8736" applyFont="1" applyFill="1" applyBorder="1" applyAlignment="1">
      <alignment horizontal="center"/>
    </xf>
    <xf numFmtId="0" fontId="96" fillId="45" borderId="67" xfId="8736" applyFont="1" applyFill="1" applyBorder="1" applyAlignment="1" applyProtection="1">
      <alignment horizontal="left" vertical="center" wrapText="1"/>
      <protection locked="0"/>
    </xf>
    <xf numFmtId="0" fontId="96" fillId="45" borderId="68" xfId="8736" applyFont="1" applyFill="1" applyBorder="1" applyAlignment="1" applyProtection="1">
      <alignment horizontal="left" vertical="center" wrapText="1"/>
      <protection locked="0"/>
    </xf>
    <xf numFmtId="0" fontId="96" fillId="45" borderId="72" xfId="8736" applyFont="1" applyFill="1" applyBorder="1" applyAlignment="1" applyProtection="1">
      <alignment horizontal="left" vertical="center" wrapText="1"/>
      <protection locked="0"/>
    </xf>
    <xf numFmtId="0" fontId="96" fillId="45" borderId="11" xfId="8736" applyFont="1" applyFill="1" applyBorder="1" applyAlignment="1" applyProtection="1">
      <alignment horizontal="left" vertical="center" wrapText="1"/>
      <protection locked="0"/>
    </xf>
    <xf numFmtId="0" fontId="162" fillId="48" borderId="68" xfId="8736" applyFont="1" applyFill="1" applyBorder="1" applyAlignment="1" applyProtection="1">
      <alignment horizontal="left" vertical="center" wrapText="1"/>
      <protection locked="0"/>
    </xf>
    <xf numFmtId="0" fontId="162" fillId="48" borderId="71" xfId="8736" applyFont="1" applyFill="1" applyBorder="1" applyAlignment="1" applyProtection="1">
      <alignment horizontal="left" vertical="center" wrapText="1"/>
      <protection locked="0"/>
    </xf>
    <xf numFmtId="0" fontId="162" fillId="48" borderId="11" xfId="8736" applyFont="1" applyFill="1" applyBorder="1" applyAlignment="1" applyProtection="1">
      <alignment horizontal="left" vertical="center" wrapText="1"/>
      <protection locked="0"/>
    </xf>
    <xf numFmtId="0" fontId="162" fillId="48" borderId="76" xfId="8736" applyFont="1" applyFill="1" applyBorder="1" applyAlignment="1" applyProtection="1">
      <alignment horizontal="left" vertical="center" wrapText="1"/>
      <protection locked="0"/>
    </xf>
    <xf numFmtId="0" fontId="165" fillId="48" borderId="11" xfId="8736" applyFont="1" applyFill="1" applyBorder="1" applyAlignment="1" applyProtection="1">
      <alignment horizontal="left" vertical="top" wrapText="1"/>
      <protection locked="0"/>
    </xf>
    <xf numFmtId="0" fontId="165" fillId="48" borderId="69" xfId="8736" applyFont="1" applyFill="1" applyBorder="1" applyAlignment="1" applyProtection="1">
      <alignment horizontal="left" vertical="top" wrapText="1"/>
      <protection locked="0"/>
    </xf>
    <xf numFmtId="0" fontId="165" fillId="48" borderId="70"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center" vertical="center" wrapText="1"/>
      <protection locked="0"/>
    </xf>
    <xf numFmtId="0" fontId="162" fillId="48" borderId="76" xfId="8736" applyFont="1" applyFill="1" applyBorder="1" applyAlignment="1" applyProtection="1">
      <alignment horizontal="center" vertical="center" wrapText="1"/>
      <protection locked="0"/>
    </xf>
    <xf numFmtId="0" fontId="162" fillId="48" borderId="70" xfId="8736" applyFont="1" applyFill="1" applyBorder="1" applyAlignment="1" applyProtection="1">
      <alignment horizontal="center" vertical="center" wrapText="1"/>
      <protection locked="0"/>
    </xf>
    <xf numFmtId="0" fontId="162" fillId="48" borderId="77" xfId="8736" applyFont="1" applyFill="1" applyBorder="1" applyAlignment="1" applyProtection="1">
      <alignment horizontal="center" vertical="center" wrapText="1"/>
      <protection locked="0"/>
    </xf>
    <xf numFmtId="0" fontId="5" fillId="51" borderId="70" xfId="8736" applyFill="1" applyBorder="1" applyAlignment="1" applyProtection="1">
      <alignment horizontal="center"/>
      <protection locked="0"/>
    </xf>
    <xf numFmtId="0" fontId="5" fillId="51" borderId="77" xfId="8736" applyFill="1" applyBorder="1" applyAlignment="1" applyProtection="1">
      <alignment horizontal="center"/>
      <protection locked="0"/>
    </xf>
    <xf numFmtId="0" fontId="96" fillId="45" borderId="67" xfId="8736" applyFont="1" applyFill="1" applyBorder="1" applyAlignment="1">
      <alignment horizontal="left" wrapText="1"/>
    </xf>
    <xf numFmtId="0" fontId="96" fillId="45" borderId="68" xfId="8736" applyFont="1" applyFill="1" applyBorder="1" applyAlignment="1">
      <alignment horizontal="left" wrapText="1"/>
    </xf>
    <xf numFmtId="0" fontId="96" fillId="45" borderId="71" xfId="8736" applyFont="1" applyFill="1" applyBorder="1" applyAlignment="1">
      <alignment horizontal="left" wrapText="1"/>
    </xf>
    <xf numFmtId="0" fontId="96" fillId="45" borderId="72" xfId="8736" applyFont="1" applyFill="1" applyBorder="1" applyAlignment="1">
      <alignment horizontal="left" wrapText="1"/>
    </xf>
    <xf numFmtId="0" fontId="96" fillId="45" borderId="11" xfId="8736" applyFont="1" applyFill="1" applyBorder="1" applyAlignment="1">
      <alignment horizontal="left" wrapText="1"/>
    </xf>
    <xf numFmtId="0" fontId="96" fillId="45" borderId="76" xfId="8736" applyFont="1" applyFill="1" applyBorder="1" applyAlignment="1">
      <alignment horizontal="left" wrapText="1"/>
    </xf>
    <xf numFmtId="0" fontId="96" fillId="45" borderId="65" xfId="8736" applyFont="1" applyFill="1" applyBorder="1" applyAlignment="1">
      <alignment horizontal="center"/>
    </xf>
    <xf numFmtId="0" fontId="96" fillId="45" borderId="29" xfId="8736" applyFont="1" applyFill="1" applyBorder="1" applyAlignment="1">
      <alignment horizontal="center"/>
    </xf>
    <xf numFmtId="0" fontId="96" fillId="45" borderId="31" xfId="8736" applyFont="1" applyFill="1" applyBorder="1" applyAlignment="1">
      <alignment horizontal="center"/>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66" fillId="45" borderId="11" xfId="8736" applyFont="1" applyFill="1" applyBorder="1" applyAlignment="1">
      <alignment horizontal="center" wrapText="1"/>
    </xf>
    <xf numFmtId="0" fontId="158" fillId="45" borderId="76" xfId="8736" applyFont="1" applyFill="1" applyBorder="1" applyAlignment="1">
      <alignment horizontal="center"/>
    </xf>
    <xf numFmtId="0" fontId="1" fillId="48" borderId="9" xfId="8736" applyFont="1" applyFill="1" applyBorder="1" applyAlignment="1" applyProtection="1">
      <alignment horizontal="center"/>
      <protection locked="0"/>
    </xf>
    <xf numFmtId="0" fontId="5" fillId="48" borderId="6" xfId="8736" applyFill="1" applyBorder="1" applyAlignment="1" applyProtection="1">
      <alignment horizontal="center"/>
      <protection locked="0"/>
    </xf>
    <xf numFmtId="0" fontId="5" fillId="48" borderId="82" xfId="8736" applyFill="1" applyBorder="1" applyAlignment="1" applyProtection="1">
      <alignment horizontal="center"/>
      <protection locked="0"/>
    </xf>
    <xf numFmtId="0" fontId="96" fillId="45" borderId="67" xfId="8736" applyFont="1" applyFill="1" applyBorder="1" applyAlignment="1">
      <alignment horizontal="center" wrapText="1"/>
    </xf>
    <xf numFmtId="0" fontId="96" fillId="45" borderId="68" xfId="8736" applyFont="1" applyFill="1" applyBorder="1" applyAlignment="1">
      <alignment horizontal="center" wrapText="1"/>
    </xf>
    <xf numFmtId="0" fontId="96" fillId="45" borderId="71" xfId="8736" applyFont="1" applyFill="1" applyBorder="1" applyAlignment="1">
      <alignment horizontal="center" wrapText="1"/>
    </xf>
    <xf numFmtId="0" fontId="162" fillId="48" borderId="68" xfId="8736" applyFont="1" applyFill="1" applyBorder="1" applyAlignment="1" applyProtection="1">
      <alignment horizontal="left" wrapText="1"/>
      <protection locked="0"/>
    </xf>
    <xf numFmtId="0" fontId="162" fillId="48" borderId="71" xfId="8736" applyFont="1" applyFill="1" applyBorder="1" applyAlignment="1" applyProtection="1">
      <alignment horizontal="left" wrapText="1"/>
      <protection locked="0"/>
    </xf>
    <xf numFmtId="0" fontId="162" fillId="48" borderId="11" xfId="8736" applyFont="1" applyFill="1" applyBorder="1" applyAlignment="1" applyProtection="1">
      <alignment horizontal="left" wrapText="1"/>
      <protection locked="0"/>
    </xf>
    <xf numFmtId="0" fontId="162" fillId="48" borderId="76" xfId="8736" applyFont="1" applyFill="1" applyBorder="1" applyAlignment="1" applyProtection="1">
      <alignment horizontal="left" wrapText="1"/>
      <protection locked="0"/>
    </xf>
    <xf numFmtId="0" fontId="167" fillId="48" borderId="72" xfId="8736" applyFont="1" applyFill="1" applyBorder="1" applyAlignment="1" applyProtection="1">
      <alignment horizontal="right"/>
      <protection locked="0"/>
    </xf>
    <xf numFmtId="0" fontId="167" fillId="48" borderId="11" xfId="8736" applyFont="1" applyFill="1" applyBorder="1" applyAlignment="1" applyProtection="1">
      <alignment horizontal="right"/>
      <protection locked="0"/>
    </xf>
    <xf numFmtId="168" fontId="167" fillId="48" borderId="76" xfId="700" applyNumberFormat="1" applyFont="1" applyFill="1" applyBorder="1" applyAlignment="1" applyProtection="1">
      <alignment horizontal="left"/>
      <protection locked="0"/>
    </xf>
    <xf numFmtId="0" fontId="159" fillId="45" borderId="98" xfId="8736" applyFont="1" applyFill="1" applyBorder="1" applyAlignment="1">
      <alignment horizontal="center"/>
    </xf>
    <xf numFmtId="0" fontId="159" fillId="45" borderId="13" xfId="8736" applyFont="1" applyFill="1" applyBorder="1" applyAlignment="1">
      <alignment horizontal="center"/>
    </xf>
    <xf numFmtId="0" fontId="165" fillId="48" borderId="72" xfId="8736" applyFont="1" applyFill="1" applyBorder="1" applyAlignment="1" applyProtection="1">
      <alignment horizontal="right"/>
      <protection locked="0"/>
    </xf>
    <xf numFmtId="0" fontId="165" fillId="48" borderId="11" xfId="8736" applyFont="1" applyFill="1" applyBorder="1" applyAlignment="1" applyProtection="1">
      <alignment horizontal="right"/>
      <protection locked="0"/>
    </xf>
    <xf numFmtId="0" fontId="159" fillId="45" borderId="89" xfId="8736" applyFont="1" applyFill="1" applyBorder="1" applyAlignment="1">
      <alignment horizontal="right"/>
    </xf>
    <xf numFmtId="0" fontId="159" fillId="45" borderId="43" xfId="8736" applyFont="1" applyFill="1" applyBorder="1" applyAlignment="1">
      <alignment horizontal="right"/>
    </xf>
    <xf numFmtId="168" fontId="159" fillId="45" borderId="43" xfId="8736" applyNumberFormat="1" applyFont="1" applyFill="1" applyBorder="1" applyAlignment="1">
      <alignment horizontal="left"/>
    </xf>
    <xf numFmtId="168" fontId="159" fillId="45" borderId="88" xfId="8736" applyNumberFormat="1" applyFont="1" applyFill="1" applyBorder="1" applyAlignment="1">
      <alignment horizontal="left"/>
    </xf>
    <xf numFmtId="0" fontId="165" fillId="48" borderId="68" xfId="8736" applyFont="1" applyFill="1" applyBorder="1" applyAlignment="1" applyProtection="1">
      <alignment horizontal="left"/>
      <protection locked="0"/>
    </xf>
    <xf numFmtId="0" fontId="165" fillId="48" borderId="71" xfId="8736" applyFont="1" applyFill="1" applyBorder="1" applyAlignment="1" applyProtection="1">
      <alignment horizontal="left"/>
      <protection locked="0"/>
    </xf>
    <xf numFmtId="0" fontId="159" fillId="45" borderId="69" xfId="8736" applyFont="1" applyFill="1" applyBorder="1" applyAlignment="1">
      <alignment horizontal="center"/>
    </xf>
    <xf numFmtId="0" fontId="159"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5" fillId="48" borderId="77" xfId="8736" applyFont="1" applyFill="1" applyBorder="1" applyAlignment="1" applyProtection="1">
      <alignment horizontal="left"/>
      <protection locked="0"/>
    </xf>
    <xf numFmtId="0" fontId="162" fillId="48" borderId="74" xfId="8736" applyFont="1" applyFill="1" applyBorder="1" applyAlignment="1" applyProtection="1">
      <alignment horizontal="left"/>
      <protection locked="0"/>
    </xf>
    <xf numFmtId="0" fontId="159" fillId="45" borderId="72" xfId="8736" applyFont="1" applyFill="1" applyBorder="1" applyAlignment="1">
      <alignment horizontal="center"/>
    </xf>
    <xf numFmtId="0" fontId="159" fillId="45" borderId="11" xfId="8736" applyFont="1" applyFill="1" applyBorder="1" applyAlignment="1">
      <alignment horizontal="center"/>
    </xf>
    <xf numFmtId="0" fontId="159" fillId="45" borderId="3" xfId="8736" applyFont="1" applyFill="1" applyBorder="1" applyAlignment="1">
      <alignment horizontal="center"/>
    </xf>
    <xf numFmtId="0" fontId="159" fillId="45" borderId="4" xfId="8736" applyFont="1" applyFill="1" applyBorder="1" applyAlignment="1">
      <alignment horizontal="center"/>
    </xf>
    <xf numFmtId="0" fontId="159" fillId="45" borderId="81" xfId="8736" applyFont="1" applyFill="1" applyBorder="1" applyAlignment="1">
      <alignment horizontal="center"/>
    </xf>
    <xf numFmtId="0" fontId="96" fillId="45" borderId="69" xfId="8736" applyFont="1" applyFill="1" applyBorder="1" applyAlignment="1">
      <alignment horizontal="center"/>
    </xf>
    <xf numFmtId="0" fontId="96" fillId="45" borderId="70" xfId="8736" applyFont="1" applyFill="1" applyBorder="1" applyAlignment="1">
      <alignment horizontal="center"/>
    </xf>
    <xf numFmtId="0" fontId="165" fillId="44" borderId="72" xfId="8736" applyFont="1" applyFill="1" applyBorder="1" applyAlignment="1" applyProtection="1">
      <alignment horizontal="right"/>
      <protection locked="0"/>
    </xf>
    <xf numFmtId="0" fontId="165" fillId="44" borderId="11" xfId="8736" applyFont="1" applyFill="1" applyBorder="1" applyAlignment="1" applyProtection="1">
      <alignment horizontal="right"/>
      <protection locked="0"/>
    </xf>
    <xf numFmtId="0" fontId="165" fillId="44" borderId="76" xfId="8736" applyFont="1" applyFill="1" applyBorder="1" applyAlignment="1" applyProtection="1">
      <alignment horizontal="right"/>
      <protection locked="0"/>
    </xf>
    <xf numFmtId="0" fontId="165" fillId="48" borderId="5" xfId="8736" applyFont="1" applyFill="1" applyBorder="1" applyAlignment="1" applyProtection="1">
      <alignment horizontal="left"/>
      <protection locked="0"/>
    </xf>
    <xf numFmtId="0" fontId="165" fillId="44" borderId="69" xfId="8736" applyFont="1" applyFill="1" applyBorder="1" applyAlignment="1" applyProtection="1">
      <alignment horizontal="right"/>
      <protection locked="0"/>
    </xf>
    <xf numFmtId="0" fontId="165" fillId="44" borderId="70" xfId="8736" applyFont="1" applyFill="1" applyBorder="1" applyAlignment="1" applyProtection="1">
      <alignment horizontal="right"/>
      <protection locked="0"/>
    </xf>
    <xf numFmtId="0" fontId="165" fillId="44" borderId="77" xfId="8736" applyFont="1" applyFill="1" applyBorder="1" applyAlignment="1" applyProtection="1">
      <alignment horizontal="right"/>
      <protection locked="0"/>
    </xf>
    <xf numFmtId="0" fontId="165" fillId="48" borderId="95" xfId="8736" applyFont="1" applyFill="1" applyBorder="1" applyAlignment="1" applyProtection="1">
      <alignment horizontal="left"/>
      <protection locked="0"/>
    </xf>
    <xf numFmtId="0" fontId="159" fillId="45" borderId="65" xfId="8736" applyFont="1" applyFill="1" applyBorder="1" applyAlignment="1">
      <alignment horizontal="center"/>
    </xf>
    <xf numFmtId="0" fontId="159" fillId="45" borderId="29" xfId="8736" applyFont="1" applyFill="1" applyBorder="1" applyAlignment="1">
      <alignment horizontal="center"/>
    </xf>
    <xf numFmtId="0" fontId="159" fillId="45" borderId="31" xfId="8736" applyFont="1" applyFill="1" applyBorder="1" applyAlignment="1">
      <alignment horizontal="center"/>
    </xf>
    <xf numFmtId="168" fontId="165" fillId="48" borderId="11" xfId="8737" applyNumberFormat="1" applyFont="1" applyFill="1" applyBorder="1" applyAlignment="1" applyProtection="1">
      <alignment horizontal="center"/>
      <protection locked="0"/>
    </xf>
    <xf numFmtId="1" fontId="165" fillId="48" borderId="11" xfId="8736" applyNumberFormat="1" applyFont="1" applyFill="1" applyBorder="1" applyAlignment="1" applyProtection="1">
      <alignment horizontal="center"/>
      <protection locked="0"/>
    </xf>
    <xf numFmtId="0" fontId="165" fillId="48" borderId="11" xfId="700" applyNumberFormat="1" applyFont="1" applyFill="1" applyBorder="1" applyAlignment="1" applyProtection="1">
      <alignment horizontal="left"/>
      <protection locked="0"/>
    </xf>
    <xf numFmtId="0" fontId="165" fillId="48" borderId="76" xfId="700" applyNumberFormat="1" applyFont="1" applyFill="1" applyBorder="1" applyAlignment="1" applyProtection="1">
      <alignment horizontal="left"/>
      <protection locked="0"/>
    </xf>
    <xf numFmtId="168" fontId="166" fillId="45" borderId="70" xfId="8737" applyNumberFormat="1" applyFont="1" applyFill="1" applyBorder="1" applyAlignment="1">
      <alignment horizontal="center"/>
    </xf>
    <xf numFmtId="1" fontId="166" fillId="45" borderId="70" xfId="8737" applyNumberFormat="1" applyFont="1" applyFill="1" applyBorder="1" applyAlignment="1">
      <alignment horizontal="center"/>
    </xf>
    <xf numFmtId="0" fontId="166" fillId="45" borderId="70" xfId="8737" applyNumberFormat="1" applyFont="1" applyFill="1" applyBorder="1" applyAlignment="1">
      <alignment horizontal="center"/>
    </xf>
    <xf numFmtId="0" fontId="166" fillId="45" borderId="77" xfId="8737" applyNumberFormat="1" applyFont="1" applyFill="1" applyBorder="1" applyAlignment="1">
      <alignment horizontal="center"/>
    </xf>
    <xf numFmtId="0" fontId="158" fillId="45" borderId="11" xfId="8736" applyFont="1" applyFill="1" applyBorder="1" applyAlignment="1">
      <alignment horizontal="center" vertical="center" wrapText="1"/>
    </xf>
    <xf numFmtId="0" fontId="158" fillId="45" borderId="76" xfId="8736" applyFont="1" applyFill="1" applyBorder="1" applyAlignment="1">
      <alignment horizontal="center" vertical="center" wrapText="1"/>
    </xf>
    <xf numFmtId="1" fontId="170" fillId="48" borderId="70" xfId="8736" applyNumberFormat="1" applyFont="1" applyFill="1" applyBorder="1" applyAlignment="1" applyProtection="1">
      <alignment horizontal="center"/>
      <protection locked="0"/>
    </xf>
    <xf numFmtId="1" fontId="170" fillId="48" borderId="94" xfId="8736" applyNumberFormat="1" applyFont="1" applyFill="1" applyBorder="1" applyAlignment="1" applyProtection="1">
      <alignment horizontal="center"/>
      <protection locked="0"/>
    </xf>
    <xf numFmtId="1" fontId="170" fillId="48" borderId="86" xfId="8736" applyNumberFormat="1" applyFont="1" applyFill="1" applyBorder="1" applyAlignment="1" applyProtection="1">
      <alignment horizontal="center"/>
      <protection locked="0"/>
    </xf>
    <xf numFmtId="1" fontId="170" fillId="48" borderId="95" xfId="8736" applyNumberFormat="1" applyFont="1" applyFill="1" applyBorder="1" applyAlignment="1" applyProtection="1">
      <alignment horizontal="center"/>
      <protection locked="0"/>
    </xf>
    <xf numFmtId="1" fontId="170" fillId="48" borderId="3" xfId="8736" applyNumberFormat="1" applyFont="1" applyFill="1" applyBorder="1" applyAlignment="1" applyProtection="1">
      <alignment horizontal="center"/>
      <protection locked="0"/>
    </xf>
    <xf numFmtId="1" fontId="170" fillId="48" borderId="4" xfId="8736" applyNumberFormat="1" applyFont="1" applyFill="1" applyBorder="1" applyAlignment="1" applyProtection="1">
      <alignment horizontal="center"/>
      <protection locked="0"/>
    </xf>
    <xf numFmtId="1" fontId="170" fillId="48" borderId="5" xfId="8736" applyNumberFormat="1" applyFont="1" applyFill="1" applyBorder="1" applyAlignment="1" applyProtection="1">
      <alignment horizontal="center"/>
      <protection locked="0"/>
    </xf>
    <xf numFmtId="1" fontId="158" fillId="44" borderId="3" xfId="8736" applyNumberFormat="1" applyFont="1" applyFill="1" applyBorder="1" applyAlignment="1">
      <alignment horizontal="center"/>
    </xf>
    <xf numFmtId="1" fontId="158" fillId="44" borderId="4" xfId="8736" applyNumberFormat="1" applyFont="1" applyFill="1" applyBorder="1" applyAlignment="1">
      <alignment horizontal="center"/>
    </xf>
    <xf numFmtId="1" fontId="158" fillId="44" borderId="5" xfId="8736" applyNumberFormat="1" applyFont="1" applyFill="1" applyBorder="1" applyAlignment="1">
      <alignment horizontal="center"/>
    </xf>
    <xf numFmtId="9" fontId="158" fillId="44" borderId="3" xfId="8738" applyFont="1" applyFill="1" applyBorder="1" applyAlignment="1">
      <alignment horizontal="center"/>
    </xf>
    <xf numFmtId="9" fontId="158" fillId="44" borderId="4" xfId="8738" applyFont="1" applyFill="1" applyBorder="1" applyAlignment="1">
      <alignment horizontal="center"/>
    </xf>
    <xf numFmtId="9" fontId="158" fillId="44" borderId="81" xfId="8738" applyFont="1" applyFill="1" applyBorder="1" applyAlignment="1">
      <alignment horizontal="center"/>
    </xf>
    <xf numFmtId="0" fontId="165" fillId="48" borderId="69" xfId="8736" applyFont="1" applyFill="1" applyBorder="1" applyAlignment="1" applyProtection="1">
      <alignment horizontal="right"/>
      <protection locked="0"/>
    </xf>
    <xf numFmtId="0" fontId="165" fillId="48" borderId="70" xfId="8736" applyFont="1" applyFill="1" applyBorder="1" applyAlignment="1" applyProtection="1">
      <alignment horizontal="right"/>
      <protection locked="0"/>
    </xf>
    <xf numFmtId="0" fontId="170" fillId="48" borderId="70" xfId="8736" applyFont="1" applyFill="1" applyBorder="1" applyAlignment="1" applyProtection="1">
      <alignment horizontal="center"/>
      <protection locked="0"/>
    </xf>
    <xf numFmtId="9" fontId="158" fillId="44" borderId="94" xfId="8738" applyFont="1" applyFill="1" applyBorder="1" applyAlignment="1">
      <alignment horizontal="center"/>
    </xf>
    <xf numFmtId="9" fontId="158" fillId="44" borderId="86" xfId="8738" applyFont="1" applyFill="1" applyBorder="1" applyAlignment="1">
      <alignment horizontal="center"/>
    </xf>
    <xf numFmtId="9" fontId="158" fillId="44" borderId="85" xfId="8738" applyFont="1" applyFill="1" applyBorder="1" applyAlignment="1">
      <alignment horizontal="center"/>
    </xf>
    <xf numFmtId="0" fontId="170" fillId="48" borderId="11" xfId="8736" applyFont="1" applyFill="1" applyBorder="1" applyAlignment="1" applyProtection="1">
      <alignment horizontal="center"/>
      <protection locked="0"/>
    </xf>
    <xf numFmtId="1" fontId="170" fillId="48" borderId="11" xfId="8736" applyNumberFormat="1" applyFont="1" applyFill="1" applyBorder="1" applyAlignment="1" applyProtection="1">
      <alignment horizontal="center"/>
      <protection locked="0"/>
    </xf>
    <xf numFmtId="0" fontId="166" fillId="44" borderId="101" xfId="8736" applyFont="1" applyFill="1" applyBorder="1" applyAlignment="1">
      <alignment horizontal="center"/>
    </xf>
    <xf numFmtId="0" fontId="166" fillId="44" borderId="42" xfId="8736" applyFont="1" applyFill="1" applyBorder="1" applyAlignment="1">
      <alignment horizontal="center"/>
    </xf>
    <xf numFmtId="0" fontId="166" fillId="44" borderId="96" xfId="8736" applyFont="1" applyFill="1" applyBorder="1" applyAlignment="1">
      <alignment horizontal="center"/>
    </xf>
    <xf numFmtId="9" fontId="166" fillId="44" borderId="101" xfId="1022" applyFont="1" applyFill="1" applyBorder="1" applyAlignment="1">
      <alignment horizontal="center"/>
    </xf>
    <xf numFmtId="9" fontId="166" fillId="44" borderId="42" xfId="1022" applyFont="1" applyFill="1" applyBorder="1" applyAlignment="1">
      <alignment horizontal="center"/>
    </xf>
    <xf numFmtId="9" fontId="166" fillId="44" borderId="44" xfId="1022" applyFont="1" applyFill="1" applyBorder="1" applyAlignment="1">
      <alignment horizontal="center"/>
    </xf>
    <xf numFmtId="0" fontId="159" fillId="45" borderId="80" xfId="8736" applyFont="1" applyFill="1" applyBorder="1" applyAlignment="1">
      <alignment horizontal="center"/>
    </xf>
    <xf numFmtId="0" fontId="159" fillId="45" borderId="79" xfId="8736" applyFont="1" applyFill="1" applyBorder="1" applyAlignment="1">
      <alignment horizontal="center"/>
    </xf>
    <xf numFmtId="0" fontId="159" fillId="45" borderId="78" xfId="8736" applyFont="1" applyFill="1" applyBorder="1" applyAlignment="1">
      <alignment horizontal="center"/>
    </xf>
    <xf numFmtId="0" fontId="158" fillId="45" borderId="98" xfId="8736" applyFont="1" applyFill="1" applyBorder="1" applyAlignment="1">
      <alignment horizontal="center" vertical="center" wrapText="1"/>
    </xf>
    <xf numFmtId="0" fontId="158" fillId="45" borderId="13" xfId="8736" applyFont="1" applyFill="1" applyBorder="1" applyAlignment="1">
      <alignment horizontal="center" vertical="center"/>
    </xf>
    <xf numFmtId="0" fontId="158" fillId="45" borderId="72" xfId="8736" applyFont="1" applyFill="1" applyBorder="1" applyAlignment="1">
      <alignment horizontal="center" vertical="center"/>
    </xf>
    <xf numFmtId="0" fontId="158" fillId="45" borderId="11" xfId="8736" applyFont="1" applyFill="1" applyBorder="1" applyAlignment="1">
      <alignment horizontal="center" vertical="center"/>
    </xf>
    <xf numFmtId="0" fontId="166" fillId="45" borderId="13"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11" xfId="8736" applyFont="1" applyFill="1" applyBorder="1" applyAlignment="1">
      <alignment horizontal="center" vertical="center"/>
    </xf>
    <xf numFmtId="0" fontId="166" fillId="45" borderId="9" xfId="8736" applyFont="1" applyFill="1" applyBorder="1" applyAlignment="1">
      <alignment horizontal="center" vertical="center"/>
    </xf>
    <xf numFmtId="0" fontId="166" fillId="45" borderId="3" xfId="8736" applyFont="1" applyFill="1" applyBorder="1" applyAlignment="1">
      <alignment horizontal="center" vertical="center"/>
    </xf>
    <xf numFmtId="0" fontId="158" fillId="45" borderId="80" xfId="8736" applyFont="1" applyFill="1" applyBorder="1" applyAlignment="1">
      <alignment horizontal="center"/>
    </xf>
    <xf numFmtId="0" fontId="158" fillId="45" borderId="79" xfId="8736" applyFont="1" applyFill="1" applyBorder="1" applyAlignment="1">
      <alignment horizontal="center"/>
    </xf>
    <xf numFmtId="0" fontId="158" fillId="45" borderId="78" xfId="8736" applyFont="1" applyFill="1" applyBorder="1" applyAlignment="1">
      <alignment horizontal="center"/>
    </xf>
    <xf numFmtId="0" fontId="158" fillId="45" borderId="65" xfId="8736" applyFont="1" applyFill="1" applyBorder="1" applyAlignment="1">
      <alignment horizontal="center" vertical="center" wrapText="1"/>
    </xf>
    <xf numFmtId="0" fontId="158" fillId="45" borderId="29" xfId="8736" applyFont="1" applyFill="1" applyBorder="1" applyAlignment="1">
      <alignment horizontal="center" vertical="center" wrapText="1"/>
    </xf>
    <xf numFmtId="0" fontId="158" fillId="45" borderId="31" xfId="8736" applyFont="1" applyFill="1" applyBorder="1" applyAlignment="1">
      <alignment horizontal="center" vertical="center" wrapText="1"/>
    </xf>
    <xf numFmtId="0" fontId="158" fillId="45" borderId="73" xfId="8736" applyFont="1" applyFill="1" applyBorder="1" applyAlignment="1">
      <alignment horizontal="center" vertical="center" wrapText="1"/>
    </xf>
    <xf numFmtId="0" fontId="158" fillId="45" borderId="42" xfId="8736" applyFont="1" applyFill="1" applyBorder="1" applyAlignment="1">
      <alignment horizontal="center" vertical="center" wrapText="1"/>
    </xf>
    <xf numFmtId="0" fontId="158" fillId="45" borderId="44" xfId="8736" applyFont="1" applyFill="1" applyBorder="1" applyAlignment="1">
      <alignment horizontal="center" vertical="center" wrapText="1"/>
    </xf>
    <xf numFmtId="9" fontId="166" fillId="48" borderId="13" xfId="8736" applyNumberFormat="1" applyFont="1" applyFill="1" applyBorder="1" applyAlignment="1" applyProtection="1">
      <alignment horizontal="center"/>
      <protection locked="0"/>
    </xf>
    <xf numFmtId="0" fontId="166" fillId="44" borderId="73" xfId="8736" applyFont="1" applyFill="1" applyBorder="1" applyAlignment="1">
      <alignment horizontal="center"/>
    </xf>
    <xf numFmtId="0" fontId="158" fillId="44" borderId="9" xfId="8736" applyFont="1" applyFill="1" applyBorder="1" applyAlignment="1">
      <alignment horizontal="center"/>
    </xf>
    <xf numFmtId="0" fontId="158" fillId="44" borderId="6" xfId="8736" applyFont="1" applyFill="1" applyBorder="1" applyAlignment="1">
      <alignment horizontal="center"/>
    </xf>
    <xf numFmtId="0" fontId="158" fillId="44" borderId="82" xfId="8736" applyFont="1" applyFill="1" applyBorder="1" applyAlignment="1">
      <alignment horizontal="center"/>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9" fontId="158" fillId="48" borderId="9" xfId="8736" applyNumberFormat="1" applyFont="1" applyFill="1" applyBorder="1" applyAlignment="1" applyProtection="1">
      <alignment horizontal="center"/>
      <protection locked="0"/>
    </xf>
    <xf numFmtId="9" fontId="158" fillId="48" borderId="6" xfId="8736" applyNumberFormat="1" applyFont="1" applyFill="1" applyBorder="1" applyAlignment="1" applyProtection="1">
      <alignment horizontal="center"/>
      <protection locked="0"/>
    </xf>
    <xf numFmtId="9" fontId="158" fillId="48" borderId="10" xfId="8736" applyNumberFormat="1" applyFont="1" applyFill="1" applyBorder="1" applyAlignment="1" applyProtection="1">
      <alignment horizontal="center"/>
      <protection locked="0"/>
    </xf>
    <xf numFmtId="0" fontId="158" fillId="44" borderId="10" xfId="8736" applyFont="1" applyFill="1" applyBorder="1" applyAlignment="1">
      <alignment horizontal="center"/>
    </xf>
    <xf numFmtId="0" fontId="165" fillId="48" borderId="3" xfId="8736" applyFont="1" applyFill="1" applyBorder="1" applyAlignment="1" applyProtection="1">
      <alignment horizontal="center"/>
      <protection locked="0"/>
    </xf>
    <xf numFmtId="0" fontId="165" fillId="48" borderId="4" xfId="8736" applyFont="1" applyFill="1" applyBorder="1" applyAlignment="1" applyProtection="1">
      <alignment horizontal="center"/>
      <protection locked="0"/>
    </xf>
    <xf numFmtId="0" fontId="165" fillId="48" borderId="5" xfId="8736" applyFont="1" applyFill="1" applyBorder="1" applyAlignment="1" applyProtection="1">
      <alignment horizontal="center"/>
      <protection locked="0"/>
    </xf>
    <xf numFmtId="10" fontId="166" fillId="44" borderId="3" xfId="8736" applyNumberFormat="1" applyFont="1" applyFill="1" applyBorder="1" applyAlignment="1">
      <alignment horizontal="center"/>
    </xf>
    <xf numFmtId="10" fontId="166" fillId="44" borderId="4" xfId="8736" applyNumberFormat="1" applyFont="1" applyFill="1" applyBorder="1" applyAlignment="1">
      <alignment horizontal="center"/>
    </xf>
    <xf numFmtId="10" fontId="166" fillId="44" borderId="81" xfId="8736" applyNumberFormat="1" applyFont="1" applyFill="1" applyBorder="1" applyAlignment="1">
      <alignment horizontal="center"/>
    </xf>
    <xf numFmtId="0" fontId="166" fillId="44" borderId="87" xfId="8736" applyFont="1" applyFill="1" applyBorder="1" applyAlignment="1">
      <alignment horizontal="center"/>
    </xf>
    <xf numFmtId="0" fontId="166" fillId="44" borderId="86" xfId="8736" applyFont="1" applyFill="1" applyBorder="1" applyAlignment="1">
      <alignment horizontal="center"/>
    </xf>
    <xf numFmtId="0" fontId="166" fillId="44" borderId="95" xfId="8736" applyFont="1" applyFill="1" applyBorder="1" applyAlignment="1">
      <alignment horizontal="center"/>
    </xf>
    <xf numFmtId="0" fontId="165" fillId="44" borderId="94" xfId="8736" applyFont="1" applyFill="1" applyBorder="1" applyAlignment="1">
      <alignment horizontal="center"/>
    </xf>
    <xf numFmtId="0" fontId="165" fillId="44" borderId="86" xfId="8736" applyFont="1" applyFill="1" applyBorder="1" applyAlignment="1">
      <alignment horizontal="center"/>
    </xf>
    <xf numFmtId="0" fontId="165" fillId="44" borderId="95" xfId="8736" applyFont="1" applyFill="1" applyBorder="1" applyAlignment="1">
      <alignment horizontal="center"/>
    </xf>
    <xf numFmtId="10" fontId="166" fillId="44" borderId="94" xfId="8736" applyNumberFormat="1" applyFont="1" applyFill="1" applyBorder="1" applyAlignment="1">
      <alignment horizontal="center"/>
    </xf>
    <xf numFmtId="10" fontId="166" fillId="44" borderId="86" xfId="8736" applyNumberFormat="1" applyFont="1" applyFill="1" applyBorder="1" applyAlignment="1">
      <alignment horizontal="center"/>
    </xf>
    <xf numFmtId="10" fontId="166" fillId="44" borderId="85" xfId="8736" applyNumberFormat="1" applyFont="1" applyFill="1" applyBorder="1" applyAlignment="1">
      <alignment horizontal="center"/>
    </xf>
    <xf numFmtId="9" fontId="165" fillId="48" borderId="90" xfId="8736" applyNumberFormat="1" applyFont="1" applyFill="1" applyBorder="1" applyAlignment="1" applyProtection="1">
      <alignment horizontal="center"/>
      <protection locked="0"/>
    </xf>
    <xf numFmtId="9" fontId="165" fillId="48" borderId="4" xfId="8736" applyNumberFormat="1" applyFont="1" applyFill="1" applyBorder="1" applyAlignment="1" applyProtection="1">
      <alignment horizontal="center"/>
      <protection locked="0"/>
    </xf>
    <xf numFmtId="9" fontId="165" fillId="48" borderId="5" xfId="8736" applyNumberFormat="1" applyFont="1" applyFill="1" applyBorder="1" applyAlignment="1" applyProtection="1">
      <alignment horizontal="center"/>
      <protection locked="0"/>
    </xf>
    <xf numFmtId="0" fontId="165" fillId="44" borderId="3" xfId="8736" applyFont="1" applyFill="1" applyBorder="1" applyAlignment="1">
      <alignment horizontal="center"/>
    </xf>
    <xf numFmtId="0" fontId="165" fillId="44" borderId="4" xfId="8736" applyFont="1" applyFill="1" applyBorder="1" applyAlignment="1">
      <alignment horizontal="center"/>
    </xf>
    <xf numFmtId="0" fontId="165" fillId="44" borderId="5" xfId="8736" applyFont="1" applyFill="1" applyBorder="1" applyAlignment="1">
      <alignment horizontal="center"/>
    </xf>
    <xf numFmtId="0" fontId="96" fillId="45" borderId="80" xfId="8736" applyFont="1" applyFill="1" applyBorder="1" applyAlignment="1">
      <alignment horizontal="right"/>
    </xf>
    <xf numFmtId="0" fontId="96" fillId="45" borderId="79" xfId="8736" applyFont="1" applyFill="1" applyBorder="1" applyAlignment="1">
      <alignment horizontal="right"/>
    </xf>
    <xf numFmtId="0" fontId="96" fillId="45" borderId="103" xfId="8736" applyFont="1" applyFill="1" applyBorder="1" applyAlignment="1">
      <alignment horizontal="right"/>
    </xf>
    <xf numFmtId="0" fontId="5" fillId="44" borderId="84" xfId="8736" applyFill="1" applyBorder="1" applyAlignment="1">
      <alignment horizontal="center"/>
    </xf>
    <xf numFmtId="0" fontId="5" fillId="44" borderId="102" xfId="8736" applyFill="1" applyBorder="1" applyAlignment="1">
      <alignment horizontal="center"/>
    </xf>
    <xf numFmtId="0" fontId="166" fillId="45" borderId="11" xfId="8736" applyFont="1" applyFill="1" applyBorder="1" applyAlignment="1">
      <alignment horizontal="right"/>
    </xf>
    <xf numFmtId="14" fontId="162" fillId="48" borderId="11" xfId="8736" applyNumberFormat="1" applyFont="1" applyFill="1" applyBorder="1" applyAlignment="1" applyProtection="1">
      <alignment horizontal="center" vertical="center"/>
      <protection locked="0"/>
    </xf>
    <xf numFmtId="0" fontId="162" fillId="48" borderId="11" xfId="8736" applyFont="1" applyFill="1" applyBorder="1" applyAlignment="1" applyProtection="1">
      <alignment horizontal="center" vertical="center"/>
      <protection locked="0"/>
    </xf>
    <xf numFmtId="0" fontId="166" fillId="45" borderId="97" xfId="8736" applyFont="1" applyFill="1" applyBorder="1" applyAlignment="1">
      <alignment horizontal="center"/>
    </xf>
    <xf numFmtId="0" fontId="166" fillId="45" borderId="2" xfId="8736" applyFont="1" applyFill="1" applyBorder="1" applyAlignment="1">
      <alignment horizontal="center"/>
    </xf>
    <xf numFmtId="0" fontId="166" fillId="45" borderId="7"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66" fillId="45" borderId="81" xfId="8736" applyFont="1" applyFill="1" applyBorder="1" applyAlignment="1">
      <alignment horizontal="center"/>
    </xf>
    <xf numFmtId="0" fontId="96" fillId="45" borderId="80" xfId="8736" applyFont="1" applyFill="1" applyBorder="1" applyAlignment="1">
      <alignment horizontal="center"/>
    </xf>
    <xf numFmtId="0" fontId="96" fillId="45" borderId="79" xfId="8736" applyFont="1" applyFill="1" applyBorder="1" applyAlignment="1">
      <alignment horizontal="center"/>
    </xf>
    <xf numFmtId="0" fontId="96" fillId="45" borderId="78" xfId="8736" applyFont="1" applyFill="1" applyBorder="1" applyAlignment="1">
      <alignment horizontal="center"/>
    </xf>
    <xf numFmtId="0" fontId="162" fillId="48" borderId="80" xfId="8736" applyFont="1" applyFill="1" applyBorder="1" applyAlignment="1" applyProtection="1">
      <alignment horizontal="center"/>
      <protection locked="0"/>
    </xf>
    <xf numFmtId="0" fontId="162" fillId="48" borderId="79" xfId="8736" applyFont="1" applyFill="1" applyBorder="1" applyAlignment="1" applyProtection="1">
      <alignment horizontal="center"/>
      <protection locked="0"/>
    </xf>
    <xf numFmtId="0" fontId="162" fillId="48" borderId="78" xfId="8736" applyFont="1" applyFill="1" applyBorder="1" applyAlignment="1" applyProtection="1">
      <alignment horizontal="center"/>
      <protection locked="0"/>
    </xf>
    <xf numFmtId="1" fontId="5" fillId="44" borderId="11" xfId="8736" applyNumberFormat="1" applyFill="1" applyBorder="1" applyAlignment="1">
      <alignment horizontal="center"/>
    </xf>
    <xf numFmtId="0" fontId="5" fillId="44" borderId="11" xfId="8736" applyFill="1" applyBorder="1" applyAlignment="1">
      <alignment horizontal="center"/>
    </xf>
    <xf numFmtId="0" fontId="163" fillId="45" borderId="11" xfId="8736" applyFont="1" applyFill="1" applyBorder="1" applyAlignment="1">
      <alignment horizontal="right" wrapText="1"/>
    </xf>
    <xf numFmtId="168" fontId="167" fillId="44" borderId="11" xfId="8737" applyNumberFormat="1" applyFont="1" applyFill="1" applyBorder="1" applyAlignment="1" applyProtection="1">
      <alignment horizontal="left"/>
    </xf>
    <xf numFmtId="0" fontId="169" fillId="45" borderId="11" xfId="8736" applyFont="1" applyFill="1" applyBorder="1" applyAlignment="1">
      <alignment horizontal="right"/>
    </xf>
    <xf numFmtId="14" fontId="162" fillId="48" borderId="11" xfId="8736" applyNumberFormat="1"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3" fillId="45" borderId="11" xfId="8736" applyFont="1" applyFill="1" applyBorder="1" applyAlignment="1">
      <alignment horizontal="right"/>
    </xf>
    <xf numFmtId="1" fontId="162" fillId="48" borderId="11" xfId="8736" applyNumberFormat="1" applyFont="1" applyFill="1" applyBorder="1" applyAlignment="1" applyProtection="1">
      <alignment horizontal="center"/>
      <protection locked="0"/>
    </xf>
    <xf numFmtId="0" fontId="5" fillId="44" borderId="80" xfId="8736" applyFill="1" applyBorder="1" applyAlignment="1">
      <alignment horizontal="center"/>
    </xf>
    <xf numFmtId="0" fontId="5" fillId="44" borderId="79" xfId="8736" applyFill="1" applyBorder="1" applyAlignment="1">
      <alignment horizontal="center"/>
    </xf>
    <xf numFmtId="0" fontId="5" fillId="44" borderId="78" xfId="8736" applyFill="1" applyBorder="1" applyAlignment="1">
      <alignment horizontal="center"/>
    </xf>
    <xf numFmtId="0" fontId="5" fillId="45" borderId="3" xfId="8736" applyFill="1" applyBorder="1" applyAlignment="1">
      <alignment horizontal="center"/>
    </xf>
    <xf numFmtId="0" fontId="5" fillId="45" borderId="4" xfId="8736" applyFill="1" applyBorder="1" applyAlignment="1">
      <alignment horizontal="center"/>
    </xf>
    <xf numFmtId="0" fontId="5" fillId="45" borderId="5" xfId="8736" applyFill="1" applyBorder="1" applyAlignment="1">
      <alignment horizontal="center"/>
    </xf>
    <xf numFmtId="0" fontId="162" fillId="44" borderId="80" xfId="8736" applyFont="1" applyFill="1" applyBorder="1" applyAlignment="1">
      <alignment horizontal="left"/>
    </xf>
    <xf numFmtId="0" fontId="162" fillId="44" borderId="79" xfId="8736" applyFont="1" applyFill="1" applyBorder="1" applyAlignment="1">
      <alignment horizontal="left"/>
    </xf>
    <xf numFmtId="0" fontId="162" fillId="44" borderId="78" xfId="8736" applyFont="1" applyFill="1" applyBorder="1" applyAlignment="1">
      <alignment horizontal="left"/>
    </xf>
    <xf numFmtId="0" fontId="174" fillId="51" borderId="65" xfId="8736" applyFont="1" applyFill="1" applyBorder="1" applyAlignment="1">
      <alignment horizontal="center"/>
    </xf>
    <xf numFmtId="0" fontId="174" fillId="51" borderId="29" xfId="8736" applyFont="1" applyFill="1" applyBorder="1" applyAlignment="1">
      <alignment horizontal="center"/>
    </xf>
    <xf numFmtId="0" fontId="174" fillId="51" borderId="31" xfId="8736" applyFont="1" applyFill="1" applyBorder="1" applyAlignment="1">
      <alignment horizontal="center"/>
    </xf>
    <xf numFmtId="0" fontId="159" fillId="48" borderId="66" xfId="8736" applyFont="1" applyFill="1" applyBorder="1" applyAlignment="1">
      <alignment horizontal="center"/>
    </xf>
    <xf numFmtId="0" fontId="159" fillId="48" borderId="0" xfId="8736" applyFont="1" applyFill="1" applyAlignment="1">
      <alignment horizontal="center"/>
    </xf>
    <xf numFmtId="0" fontId="159" fillId="48" borderId="41" xfId="8736" applyFont="1" applyFill="1" applyBorder="1" applyAlignment="1">
      <alignment horizontal="center"/>
    </xf>
    <xf numFmtId="0" fontId="159" fillId="45" borderId="5" xfId="8736" applyFont="1" applyFill="1" applyBorder="1" applyAlignment="1">
      <alignment horizontal="center"/>
    </xf>
    <xf numFmtId="168" fontId="21" fillId="2" borderId="3" xfId="569" applyNumberFormat="1" applyFill="1" applyBorder="1" applyAlignment="1">
      <alignment horizontal="center"/>
    </xf>
    <xf numFmtId="168" fontId="21" fillId="2" borderId="4" xfId="569" applyNumberFormat="1" applyFill="1" applyBorder="1" applyAlignment="1">
      <alignment horizontal="center"/>
    </xf>
    <xf numFmtId="168" fontId="21" fillId="2" borderId="5" xfId="569" applyNumberFormat="1" applyFill="1" applyBorder="1" applyAlignment="1">
      <alignment horizontal="center"/>
    </xf>
    <xf numFmtId="168" fontId="21" fillId="5" borderId="5" xfId="569" applyNumberFormat="1" applyFill="1" applyBorder="1" applyAlignment="1" applyProtection="1">
      <alignment horizontal="center"/>
      <protection locked="0"/>
    </xf>
    <xf numFmtId="168" fontId="21" fillId="5" borderId="11" xfId="569" applyNumberFormat="1" applyFill="1" applyBorder="1" applyAlignment="1" applyProtection="1">
      <alignment horizontal="center"/>
      <protection locked="0"/>
    </xf>
    <xf numFmtId="168" fontId="21" fillId="0" borderId="5" xfId="569" applyNumberFormat="1" applyBorder="1" applyAlignment="1">
      <alignment horizontal="center"/>
    </xf>
    <xf numFmtId="168" fontId="21" fillId="0" borderId="11" xfId="569" applyNumberFormat="1" applyBorder="1" applyAlignment="1">
      <alignment horizontal="center"/>
    </xf>
    <xf numFmtId="168" fontId="21" fillId="0" borderId="3" xfId="569" applyNumberFormat="1" applyBorder="1" applyAlignment="1">
      <alignment horizontal="center"/>
    </xf>
    <xf numFmtId="168" fontId="21" fillId="0" borderId="4" xfId="569" applyNumberFormat="1" applyBorder="1" applyAlignment="1">
      <alignment horizontal="center"/>
    </xf>
    <xf numFmtId="179" fontId="28" fillId="0" borderId="0" xfId="569" applyNumberFormat="1" applyFont="1" applyAlignment="1">
      <alignment horizontal="center" wrapText="1"/>
    </xf>
    <xf numFmtId="0" fontId="28" fillId="0" borderId="16" xfId="271" applyFont="1" applyBorder="1" applyAlignment="1">
      <alignment horizontal="center"/>
    </xf>
    <xf numFmtId="164" fontId="28" fillId="0" borderId="0" xfId="569" applyNumberFormat="1" applyFont="1" applyAlignment="1">
      <alignment horizontal="center" wrapText="1"/>
    </xf>
    <xf numFmtId="0" fontId="28" fillId="0" borderId="3" xfId="569" applyFont="1" applyBorder="1" applyAlignment="1">
      <alignment horizontal="right"/>
    </xf>
    <xf numFmtId="0" fontId="28" fillId="0" borderId="4" xfId="569" applyFont="1" applyBorder="1" applyAlignment="1">
      <alignment horizontal="right"/>
    </xf>
    <xf numFmtId="0" fontId="28" fillId="0" borderId="5" xfId="569" applyFont="1" applyBorder="1" applyAlignment="1">
      <alignment horizontal="right"/>
    </xf>
    <xf numFmtId="0" fontId="50" fillId="0" borderId="0" xfId="569" applyFont="1" applyAlignment="1">
      <alignment horizontal="left"/>
    </xf>
    <xf numFmtId="0" fontId="21" fillId="0" borderId="3" xfId="569" applyBorder="1" applyAlignment="1">
      <alignment horizontal="right"/>
    </xf>
    <xf numFmtId="0" fontId="21" fillId="0" borderId="4" xfId="569" applyBorder="1" applyAlignment="1">
      <alignment horizontal="right"/>
    </xf>
    <xf numFmtId="0" fontId="21" fillId="0" borderId="5" xfId="569" applyBorder="1" applyAlignment="1">
      <alignment horizontal="right"/>
    </xf>
    <xf numFmtId="0" fontId="29" fillId="0" borderId="3" xfId="569" applyFont="1" applyBorder="1" applyAlignment="1">
      <alignment horizontal="right"/>
    </xf>
    <xf numFmtId="0" fontId="29" fillId="0" borderId="4" xfId="569" applyFont="1" applyBorder="1" applyAlignment="1">
      <alignment horizontal="right"/>
    </xf>
    <xf numFmtId="0" fontId="29" fillId="0" borderId="5" xfId="569" applyFont="1" applyBorder="1" applyAlignment="1">
      <alignment horizontal="right"/>
    </xf>
    <xf numFmtId="168" fontId="21" fillId="0" borderId="3" xfId="569" applyNumberFormat="1" applyBorder="1" applyAlignment="1">
      <alignment horizontal="right"/>
    </xf>
    <xf numFmtId="168" fontId="21" fillId="0" borderId="4" xfId="569" applyNumberFormat="1" applyBorder="1" applyAlignment="1">
      <alignment horizontal="right"/>
    </xf>
    <xf numFmtId="168" fontId="21" fillId="0" borderId="5" xfId="569" applyNumberFormat="1" applyBorder="1" applyAlignment="1">
      <alignment horizontal="right"/>
    </xf>
    <xf numFmtId="9" fontId="21" fillId="0" borderId="5" xfId="569" applyNumberFormat="1" applyBorder="1" applyAlignment="1">
      <alignment horizontal="center"/>
    </xf>
    <xf numFmtId="9" fontId="21" fillId="0" borderId="11" xfId="569" applyNumberFormat="1" applyBorder="1" applyAlignment="1">
      <alignment horizontal="center"/>
    </xf>
    <xf numFmtId="0" fontId="28" fillId="0" borderId="3" xfId="569" applyFont="1" applyBorder="1" applyAlignment="1">
      <alignment horizontal="left"/>
    </xf>
    <xf numFmtId="0" fontId="28" fillId="0" borderId="5" xfId="569" applyFont="1" applyBorder="1" applyAlignment="1">
      <alignment horizontal="left"/>
    </xf>
    <xf numFmtId="0" fontId="29" fillId="0" borderId="4" xfId="569" applyFont="1" applyBorder="1" applyAlignment="1">
      <alignment horizontal="left"/>
    </xf>
    <xf numFmtId="0" fontId="29" fillId="0" borderId="5" xfId="569" applyFont="1" applyBorder="1" applyAlignment="1">
      <alignment horizontal="left"/>
    </xf>
    <xf numFmtId="0" fontId="27" fillId="3" borderId="2" xfId="569" applyFont="1" applyFill="1" applyBorder="1" applyAlignment="1">
      <alignment horizontal="center" vertical="center"/>
    </xf>
    <xf numFmtId="0" fontId="27" fillId="3" borderId="16" xfId="569" applyFont="1" applyFill="1" applyBorder="1" applyAlignment="1">
      <alignment horizontal="center" vertical="center"/>
    </xf>
    <xf numFmtId="0" fontId="28" fillId="0" borderId="11" xfId="569" applyFont="1" applyBorder="1" applyAlignment="1">
      <alignment horizontal="center" wrapText="1"/>
    </xf>
    <xf numFmtId="168" fontId="21" fillId="0" borderId="7" xfId="569" applyNumberFormat="1" applyBorder="1" applyAlignment="1">
      <alignment horizontal="center"/>
    </xf>
    <xf numFmtId="168" fontId="21" fillId="0" borderId="15" xfId="569" applyNumberFormat="1" applyBorder="1" applyAlignment="1">
      <alignment horizontal="center"/>
    </xf>
    <xf numFmtId="168" fontId="21" fillId="5" borderId="10" xfId="569" applyNumberFormat="1" applyFill="1" applyBorder="1" applyAlignment="1" applyProtection="1">
      <alignment horizontal="center"/>
      <protection locked="0"/>
    </xf>
    <xf numFmtId="168" fontId="21" fillId="5" borderId="13" xfId="569" applyNumberFormat="1" applyFill="1" applyBorder="1" applyAlignment="1" applyProtection="1">
      <alignment horizontal="center"/>
      <protection locked="0"/>
    </xf>
    <xf numFmtId="5" fontId="21" fillId="0" borderId="5" xfId="569" applyNumberFormat="1" applyBorder="1" applyAlignment="1">
      <alignment horizontal="center"/>
    </xf>
    <xf numFmtId="5" fontId="21" fillId="0" borderId="11" xfId="569" applyNumberFormat="1" applyBorder="1" applyAlignment="1">
      <alignment horizontal="center"/>
    </xf>
    <xf numFmtId="5" fontId="21" fillId="0" borderId="3" xfId="569" applyNumberFormat="1" applyBorder="1" applyAlignment="1">
      <alignment horizontal="center"/>
    </xf>
    <xf numFmtId="5" fontId="21" fillId="0" borderId="4" xfId="569" applyNumberFormat="1" applyBorder="1" applyAlignment="1">
      <alignment horizontal="center"/>
    </xf>
    <xf numFmtId="9" fontId="21" fillId="0" borderId="9" xfId="569" applyNumberFormat="1" applyBorder="1" applyAlignment="1">
      <alignment horizontal="center" vertical="center"/>
    </xf>
    <xf numFmtId="9" fontId="21" fillId="0" borderId="6" xfId="569" applyNumberFormat="1" applyBorder="1" applyAlignment="1">
      <alignment horizontal="center" vertical="center"/>
    </xf>
    <xf numFmtId="9" fontId="21" fillId="0" borderId="10" xfId="569" applyNumberFormat="1" applyBorder="1" applyAlignment="1">
      <alignment horizontal="center" vertical="center"/>
    </xf>
    <xf numFmtId="168" fontId="21" fillId="0" borderId="11" xfId="569" applyNumberFormat="1" applyBorder="1" applyAlignment="1">
      <alignment horizontal="right"/>
    </xf>
    <xf numFmtId="0" fontId="28" fillId="0" borderId="6" xfId="569" applyFont="1" applyBorder="1" applyAlignment="1">
      <alignment horizontal="center"/>
    </xf>
    <xf numFmtId="0" fontId="21" fillId="0" borderId="4" xfId="569" applyBorder="1" applyAlignment="1">
      <alignment horizontal="center"/>
    </xf>
    <xf numFmtId="0" fontId="21" fillId="0" borderId="5" xfId="569" applyBorder="1" applyAlignment="1">
      <alignment horizontal="center"/>
    </xf>
    <xf numFmtId="176" fontId="21" fillId="5" borderId="3" xfId="569" applyNumberFormat="1" applyFill="1" applyBorder="1" applyAlignment="1" applyProtection="1">
      <alignment horizontal="right"/>
      <protection locked="0"/>
    </xf>
    <xf numFmtId="176" fontId="21" fillId="5" borderId="4" xfId="569" applyNumberFormat="1" applyFill="1" applyBorder="1" applyAlignment="1" applyProtection="1">
      <alignment horizontal="right"/>
      <protection locked="0"/>
    </xf>
    <xf numFmtId="176" fontId="21" fillId="5" borderId="5" xfId="569" applyNumberFormat="1" applyFill="1" applyBorder="1" applyAlignment="1" applyProtection="1">
      <alignment horizontal="right"/>
      <protection locked="0"/>
    </xf>
    <xf numFmtId="0" fontId="101" fillId="0" borderId="0" xfId="569" applyFont="1" applyAlignment="1">
      <alignment horizontal="left" wrapText="1"/>
    </xf>
    <xf numFmtId="0" fontId="28" fillId="0" borderId="11" xfId="569" applyFont="1" applyBorder="1" applyAlignment="1">
      <alignment horizontal="center"/>
    </xf>
    <xf numFmtId="165" fontId="21" fillId="0" borderId="11" xfId="569" applyNumberFormat="1" applyBorder="1" applyAlignment="1" applyProtection="1">
      <alignment horizontal="center"/>
      <protection locked="0"/>
    </xf>
    <xf numFmtId="168" fontId="21" fillId="0" borderId="11" xfId="569" applyNumberFormat="1" applyBorder="1"/>
    <xf numFmtId="168" fontId="21" fillId="0" borderId="3" xfId="569" applyNumberFormat="1" applyBorder="1"/>
    <xf numFmtId="168" fontId="21" fillId="0" borderId="4" xfId="569" applyNumberFormat="1" applyBorder="1"/>
    <xf numFmtId="168" fontId="21" fillId="0" borderId="5" xfId="569" applyNumberFormat="1" applyBorder="1"/>
    <xf numFmtId="168" fontId="21" fillId="0" borderId="11" xfId="569" applyNumberFormat="1" applyBorder="1" applyAlignment="1">
      <alignment wrapText="1"/>
    </xf>
    <xf numFmtId="9" fontId="21" fillId="0" borderId="15" xfId="569" applyNumberFormat="1" applyBorder="1" applyAlignment="1">
      <alignment horizontal="center"/>
    </xf>
    <xf numFmtId="0" fontId="21" fillId="0" borderId="11" xfId="569" applyBorder="1" applyAlignment="1">
      <alignment horizontal="center"/>
    </xf>
    <xf numFmtId="0" fontId="101" fillId="0" borderId="0" xfId="0" applyFont="1" applyAlignment="1">
      <alignment horizontal="left" vertical="top" wrapText="1"/>
    </xf>
    <xf numFmtId="0" fontId="21" fillId="0" borderId="0" xfId="4495" applyFont="1" applyAlignment="1">
      <alignment horizontal="left" vertical="top" wrapText="1"/>
    </xf>
    <xf numFmtId="0" fontId="28" fillId="0" borderId="0" xfId="4495" applyFont="1" applyAlignment="1">
      <alignment horizontal="center" vertical="top"/>
    </xf>
    <xf numFmtId="0" fontId="21" fillId="5" borderId="6" xfId="4495" applyFont="1" applyFill="1" applyBorder="1" applyAlignment="1" applyProtection="1">
      <alignment horizontal="center" vertical="center" wrapText="1" shrinkToFit="1"/>
      <protection locked="0"/>
    </xf>
    <xf numFmtId="0" fontId="21" fillId="0" borderId="3" xfId="4495" applyFont="1" applyBorder="1" applyAlignment="1">
      <alignment horizontal="center"/>
    </xf>
    <xf numFmtId="0" fontId="21" fillId="0" borderId="5" xfId="4495" applyFont="1" applyBorder="1" applyAlignment="1">
      <alignment horizontal="center"/>
    </xf>
    <xf numFmtId="0" fontId="28" fillId="0" borderId="0" xfId="4495" applyFont="1" applyAlignment="1">
      <alignment horizontal="left" wrapText="1"/>
    </xf>
    <xf numFmtId="0" fontId="21" fillId="0" borderId="0" xfId="4495" applyFont="1" applyAlignment="1">
      <alignment wrapText="1"/>
    </xf>
    <xf numFmtId="0" fontId="21" fillId="0" borderId="0" xfId="4495" applyFont="1" applyAlignment="1">
      <alignment horizontal="left"/>
    </xf>
    <xf numFmtId="0" fontId="21" fillId="5" borderId="6" xfId="4495" applyFont="1" applyFill="1" applyBorder="1" applyAlignment="1" applyProtection="1">
      <alignment horizontal="center"/>
      <protection locked="0"/>
    </xf>
    <xf numFmtId="164" fontId="21" fillId="0" borderId="50" xfId="4495" applyNumberFormat="1" applyFont="1" applyBorder="1" applyAlignment="1">
      <alignment horizontal="left" vertical="top" wrapText="1"/>
    </xf>
    <xf numFmtId="164" fontId="21" fillId="0" borderId="51" xfId="4495" applyNumberFormat="1" applyFont="1" applyBorder="1" applyAlignment="1">
      <alignment horizontal="left" vertical="top" wrapText="1"/>
    </xf>
    <xf numFmtId="164" fontId="21" fillId="0" borderId="52" xfId="4495" applyNumberFormat="1" applyFont="1" applyBorder="1" applyAlignment="1">
      <alignment horizontal="left" vertical="top" wrapText="1"/>
    </xf>
    <xf numFmtId="164" fontId="21" fillId="0" borderId="53" xfId="4495" applyNumberFormat="1" applyFont="1" applyBorder="1" applyAlignment="1">
      <alignment horizontal="left" vertical="top" wrapText="1"/>
    </xf>
    <xf numFmtId="164" fontId="21" fillId="0" borderId="0" xfId="4495" applyNumberFormat="1" applyFont="1" applyAlignment="1">
      <alignment horizontal="left" vertical="top" wrapText="1"/>
    </xf>
    <xf numFmtId="164" fontId="21" fillId="0" borderId="54" xfId="4495" applyNumberFormat="1" applyFont="1" applyBorder="1" applyAlignment="1">
      <alignment horizontal="left" vertical="top" wrapText="1"/>
    </xf>
    <xf numFmtId="164" fontId="21" fillId="0" borderId="57" xfId="4495" applyNumberFormat="1" applyFont="1" applyBorder="1" applyAlignment="1">
      <alignment horizontal="left" vertical="top" wrapText="1"/>
    </xf>
    <xf numFmtId="164" fontId="21" fillId="0" borderId="58" xfId="4495" applyNumberFormat="1" applyFont="1" applyBorder="1" applyAlignment="1">
      <alignment horizontal="left" vertical="top" wrapText="1"/>
    </xf>
    <xf numFmtId="164" fontId="21" fillId="0" borderId="59" xfId="4495" applyNumberFormat="1" applyFont="1" applyBorder="1" applyAlignment="1">
      <alignment horizontal="left" vertical="top" wrapText="1"/>
    </xf>
    <xf numFmtId="168" fontId="21" fillId="0" borderId="0" xfId="1192" applyNumberFormat="1" applyAlignment="1">
      <alignment horizontal="right"/>
    </xf>
    <xf numFmtId="168" fontId="21" fillId="0" borderId="6" xfId="1192" applyNumberFormat="1" applyBorder="1" applyAlignment="1">
      <alignment horizontal="right"/>
    </xf>
    <xf numFmtId="168" fontId="21" fillId="43" borderId="6" xfId="543" applyNumberFormat="1" applyFill="1" applyBorder="1" applyAlignment="1" applyProtection="1">
      <alignment horizontal="center"/>
      <protection locked="0"/>
    </xf>
    <xf numFmtId="168" fontId="21" fillId="0" borderId="4" xfId="1192" applyNumberFormat="1" applyBorder="1" applyAlignment="1">
      <alignment horizontal="right"/>
    </xf>
    <xf numFmtId="0" fontId="114" fillId="5" borderId="6" xfId="4495" applyFill="1" applyBorder="1" applyAlignment="1" applyProtection="1">
      <alignment horizontal="center"/>
      <protection locked="0"/>
    </xf>
    <xf numFmtId="0" fontId="112" fillId="0" borderId="4" xfId="1192" applyFont="1" applyBorder="1" applyAlignment="1">
      <alignment horizontal="left"/>
    </xf>
    <xf numFmtId="0" fontId="135" fillId="0" borderId="6" xfId="1192" applyFont="1" applyBorder="1" applyAlignment="1">
      <alignment horizontal="center"/>
    </xf>
    <xf numFmtId="0" fontId="114" fillId="5" borderId="50" xfId="4495" applyFill="1" applyBorder="1" applyAlignment="1">
      <alignment horizontal="center"/>
    </xf>
    <xf numFmtId="0" fontId="114" fillId="5" borderId="51" xfId="4495" applyFill="1" applyBorder="1" applyAlignment="1">
      <alignment horizontal="center"/>
    </xf>
    <xf numFmtId="0" fontId="114" fillId="0" borderId="0" xfId="4495" applyAlignment="1">
      <alignment horizontal="center"/>
    </xf>
    <xf numFmtId="0" fontId="114" fillId="5" borderId="62" xfId="4495" applyFill="1" applyBorder="1" applyAlignment="1">
      <alignment horizontal="center"/>
    </xf>
    <xf numFmtId="0" fontId="114" fillId="5" borderId="63" xfId="4495" applyFill="1" applyBorder="1" applyAlignment="1">
      <alignment horizontal="center"/>
    </xf>
    <xf numFmtId="4" fontId="29" fillId="0" borderId="3" xfId="4495" applyNumberFormat="1" applyFont="1" applyBorder="1" applyAlignment="1">
      <alignment horizontal="center"/>
    </xf>
    <xf numFmtId="4" fontId="29" fillId="0" borderId="4" xfId="4495" applyNumberFormat="1" applyFont="1" applyBorder="1" applyAlignment="1">
      <alignment horizontal="center"/>
    </xf>
    <xf numFmtId="4" fontId="29" fillId="0" borderId="5" xfId="4495" applyNumberFormat="1" applyFont="1" applyBorder="1" applyAlignment="1">
      <alignment horizontal="center"/>
    </xf>
    <xf numFmtId="165" fontId="116" fillId="0" borderId="3" xfId="4496" applyNumberFormat="1" applyFont="1" applyBorder="1" applyAlignment="1">
      <alignment horizontal="center" vertical="top" wrapText="1"/>
    </xf>
    <xf numFmtId="165" fontId="116" fillId="0" borderId="4" xfId="4496" applyNumberFormat="1" applyFont="1" applyBorder="1" applyAlignment="1">
      <alignment horizontal="center" vertical="top" wrapText="1"/>
    </xf>
    <xf numFmtId="165" fontId="116" fillId="0" borderId="5" xfId="4496" applyNumberFormat="1" applyFont="1" applyBorder="1" applyAlignment="1">
      <alignment horizontal="center" vertical="top" wrapText="1"/>
    </xf>
    <xf numFmtId="3" fontId="21" fillId="43" borderId="6" xfId="1192" applyNumberFormat="1" applyFill="1" applyBorder="1" applyAlignment="1" applyProtection="1">
      <alignment horizontal="right"/>
      <protection locked="0"/>
    </xf>
    <xf numFmtId="0" fontId="135" fillId="0" borderId="0" xfId="1192" applyFont="1" applyAlignment="1">
      <alignment horizontal="center"/>
    </xf>
    <xf numFmtId="168" fontId="21" fillId="5" borderId="4" xfId="1192" applyNumberFormat="1" applyFill="1" applyBorder="1" applyAlignment="1" applyProtection="1">
      <alignment horizontal="center"/>
      <protection locked="0"/>
    </xf>
    <xf numFmtId="4" fontId="29" fillId="0" borderId="6" xfId="4495" applyNumberFormat="1" applyFont="1" applyBorder="1" applyAlignment="1">
      <alignment horizontal="center"/>
    </xf>
    <xf numFmtId="1" fontId="21" fillId="5" borderId="2" xfId="1192" applyNumberFormat="1" applyFill="1" applyBorder="1" applyAlignment="1" applyProtection="1">
      <alignment horizontal="center"/>
      <protection locked="0"/>
    </xf>
    <xf numFmtId="4" fontId="29" fillId="0" borderId="0" xfId="4495" applyNumberFormat="1" applyFont="1" applyAlignment="1">
      <alignment horizontal="center"/>
    </xf>
    <xf numFmtId="0" fontId="21" fillId="0" borderId="53" xfId="4495" applyFont="1" applyBorder="1" applyAlignment="1">
      <alignment horizontal="left" vertical="top" wrapText="1"/>
    </xf>
    <xf numFmtId="0" fontId="21" fillId="0" borderId="54" xfId="4495" applyFont="1" applyBorder="1" applyAlignment="1">
      <alignment horizontal="left" vertical="top" wrapText="1"/>
    </xf>
    <xf numFmtId="0" fontId="21" fillId="0" borderId="57" xfId="4495" applyFont="1" applyBorder="1" applyAlignment="1">
      <alignment horizontal="left" vertical="top" wrapText="1"/>
    </xf>
    <xf numFmtId="0" fontId="21" fillId="0" borderId="58" xfId="4495" applyFont="1" applyBorder="1" applyAlignment="1">
      <alignment horizontal="left" vertical="top" wrapText="1"/>
    </xf>
    <xf numFmtId="168" fontId="21" fillId="0" borderId="6" xfId="4496" applyNumberFormat="1" applyFont="1" applyBorder="1" applyAlignment="1">
      <alignment horizontal="center"/>
    </xf>
    <xf numFmtId="168" fontId="21" fillId="0" borderId="4" xfId="4496" applyNumberFormat="1" applyFont="1" applyBorder="1" applyAlignment="1">
      <alignment horizontal="center"/>
    </xf>
    <xf numFmtId="9" fontId="21" fillId="0" borderId="4" xfId="4496" applyNumberFormat="1" applyFont="1" applyBorder="1" applyAlignment="1">
      <alignment horizontal="center"/>
    </xf>
    <xf numFmtId="0" fontId="21" fillId="0" borderId="4" xfId="4495" applyFont="1" applyBorder="1" applyAlignment="1">
      <alignment horizontal="center"/>
    </xf>
    <xf numFmtId="0" fontId="29" fillId="0" borderId="51" xfId="4495" applyFont="1" applyBorder="1" applyAlignment="1">
      <alignment horizontal="left" vertical="top" wrapText="1"/>
    </xf>
    <xf numFmtId="0" fontId="29" fillId="0" borderId="0" xfId="4495" applyFont="1" applyAlignment="1">
      <alignment horizontal="left" vertical="top" wrapText="1"/>
    </xf>
    <xf numFmtId="0" fontId="29" fillId="0" borderId="58" xfId="4495" applyFont="1" applyBorder="1" applyAlignment="1">
      <alignment horizontal="left" vertical="top" wrapText="1"/>
    </xf>
    <xf numFmtId="168" fontId="21" fillId="43" borderId="6" xfId="1192" applyNumberFormat="1" applyFill="1" applyBorder="1" applyAlignment="1" applyProtection="1">
      <alignment horizontal="right"/>
      <protection locked="0"/>
    </xf>
    <xf numFmtId="0" fontId="29"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9" fillId="5" borderId="58" xfId="4495" applyNumberFormat="1" applyFont="1" applyFill="1" applyBorder="1" applyAlignment="1">
      <alignment horizontal="left"/>
    </xf>
    <xf numFmtId="9" fontId="29" fillId="5" borderId="6" xfId="4495" applyNumberFormat="1" applyFont="1" applyFill="1" applyBorder="1" applyAlignment="1">
      <alignment horizontal="left"/>
    </xf>
    <xf numFmtId="0" fontId="29" fillId="5" borderId="6" xfId="4495" applyFont="1" applyFill="1" applyBorder="1" applyAlignment="1">
      <alignment horizontal="left"/>
    </xf>
    <xf numFmtId="0" fontId="28" fillId="0" borderId="0" xfId="4495" applyFont="1" applyAlignment="1">
      <alignment horizontal="right"/>
    </xf>
    <xf numFmtId="0" fontId="50" fillId="0" borderId="51" xfId="4495" applyFont="1" applyBorder="1" applyAlignment="1">
      <alignment horizontal="left" wrapText="1"/>
    </xf>
    <xf numFmtId="0" fontId="50" fillId="0" borderId="0" xfId="4495" applyFont="1" applyAlignment="1">
      <alignment horizontal="left" wrapText="1"/>
    </xf>
    <xf numFmtId="0" fontId="21" fillId="0" borderId="50" xfId="4495" applyFont="1" applyBorder="1" applyAlignment="1">
      <alignment horizontal="left" vertical="center" wrapText="1"/>
    </xf>
    <xf numFmtId="0" fontId="21" fillId="0" borderId="51" xfId="4495" applyFont="1" applyBorder="1" applyAlignment="1">
      <alignment horizontal="left" vertical="center" wrapText="1"/>
    </xf>
    <xf numFmtId="0" fontId="21" fillId="0" borderId="52" xfId="4495" applyFont="1" applyBorder="1" applyAlignment="1">
      <alignment horizontal="left" vertical="center" wrapText="1"/>
    </xf>
    <xf numFmtId="0" fontId="21" fillId="0" borderId="53" xfId="4495" applyFont="1" applyBorder="1" applyAlignment="1">
      <alignment horizontal="left" vertical="center" wrapText="1"/>
    </xf>
    <xf numFmtId="0" fontId="21" fillId="0" borderId="0" xfId="4495" applyFont="1" applyAlignment="1">
      <alignment horizontal="left" vertical="center" wrapText="1"/>
    </xf>
    <xf numFmtId="0" fontId="21" fillId="0" borderId="54" xfId="4495" applyFont="1" applyBorder="1" applyAlignment="1">
      <alignment horizontal="left" vertical="center" wrapText="1"/>
    </xf>
    <xf numFmtId="10" fontId="29" fillId="0" borderId="2" xfId="4495" applyNumberFormat="1" applyFont="1" applyBorder="1" applyAlignment="1">
      <alignment horizontal="center"/>
    </xf>
    <xf numFmtId="0" fontId="29" fillId="0" borderId="0" xfId="4495" applyFont="1" applyAlignment="1">
      <alignment horizontal="center"/>
    </xf>
    <xf numFmtId="0" fontId="123" fillId="0" borderId="0" xfId="4495" applyFont="1" applyAlignment="1">
      <alignment horizontal="left" vertical="top" wrapText="1"/>
    </xf>
    <xf numFmtId="0" fontId="37" fillId="42" borderId="2" xfId="4495" applyFont="1" applyFill="1" applyBorder="1" applyAlignment="1">
      <alignment horizontal="center"/>
    </xf>
    <xf numFmtId="0" fontId="37" fillId="42" borderId="6" xfId="4495" applyFont="1" applyFill="1" applyBorder="1" applyAlignment="1">
      <alignment horizontal="center"/>
    </xf>
    <xf numFmtId="0" fontId="28" fillId="0" borderId="11" xfId="4495" applyFont="1" applyBorder="1" applyAlignment="1">
      <alignment horizontal="center"/>
    </xf>
    <xf numFmtId="0" fontId="114" fillId="5" borderId="55" xfId="4495" applyFill="1" applyBorder="1" applyAlignment="1" applyProtection="1">
      <alignment horizontal="center"/>
      <protection locked="0"/>
    </xf>
    <xf numFmtId="0" fontId="28" fillId="0" borderId="0" xfId="4495" applyFont="1" applyAlignment="1">
      <alignment horizontal="center"/>
    </xf>
    <xf numFmtId="0" fontId="28" fillId="0" borderId="54" xfId="4495" applyFont="1" applyBorder="1" applyAlignment="1">
      <alignment horizontal="center"/>
    </xf>
    <xf numFmtId="0" fontId="28" fillId="0" borderId="51" xfId="4495" applyFont="1" applyBorder="1" applyAlignment="1">
      <alignment horizontal="center" vertical="top"/>
    </xf>
    <xf numFmtId="0" fontId="28" fillId="0" borderId="52" xfId="4495" applyFont="1" applyBorder="1" applyAlignment="1">
      <alignment horizontal="center" vertical="top"/>
    </xf>
    <xf numFmtId="0" fontId="21" fillId="0" borderId="6" xfId="1192" applyBorder="1" applyAlignment="1">
      <alignment horizontal="right"/>
    </xf>
    <xf numFmtId="9" fontId="21" fillId="5" borderId="4" xfId="1192" applyNumberFormat="1" applyFill="1" applyBorder="1" applyAlignment="1" applyProtection="1">
      <alignment horizontal="left"/>
      <protection locked="0"/>
    </xf>
    <xf numFmtId="0" fontId="28" fillId="0" borderId="54" xfId="4495" applyFont="1" applyBorder="1" applyAlignment="1">
      <alignment horizontal="center" vertical="top"/>
    </xf>
    <xf numFmtId="0" fontId="114" fillId="0" borderId="53" xfId="4495" applyBorder="1" applyAlignment="1">
      <alignment horizontal="center"/>
    </xf>
    <xf numFmtId="0" fontId="29" fillId="5" borderId="0" xfId="4495" applyFont="1" applyFill="1" applyAlignment="1">
      <alignment horizontal="left" vertical="top"/>
    </xf>
    <xf numFmtId="0" fontId="114" fillId="5" borderId="53" xfId="4495" applyFill="1" applyBorder="1" applyAlignment="1">
      <alignment horizontal="center"/>
    </xf>
    <xf numFmtId="0" fontId="114" fillId="5" borderId="0" xfId="4495" applyFill="1" applyAlignment="1">
      <alignment horizontal="center"/>
    </xf>
    <xf numFmtId="0" fontId="114" fillId="5" borderId="55" xfId="4495" applyFill="1" applyBorder="1" applyAlignment="1">
      <alignment horizontal="center"/>
    </xf>
    <xf numFmtId="0" fontId="114" fillId="5" borderId="6" xfId="4495" applyFill="1" applyBorder="1" applyAlignment="1">
      <alignment horizontal="center"/>
    </xf>
    <xf numFmtId="0" fontId="29" fillId="5" borderId="0" xfId="4495" applyFont="1" applyFill="1" applyAlignment="1">
      <alignment horizontal="left" vertical="top" wrapText="1"/>
    </xf>
    <xf numFmtId="0" fontId="29" fillId="5" borderId="58" xfId="4495" applyFont="1" applyFill="1" applyBorder="1" applyAlignment="1">
      <alignment horizontal="left" vertical="top" wrapText="1"/>
    </xf>
    <xf numFmtId="0" fontId="28" fillId="0" borderId="4" xfId="4495" applyFont="1" applyBorder="1" applyAlignment="1">
      <alignment horizontal="left"/>
    </xf>
    <xf numFmtId="0" fontId="28" fillId="0" borderId="5" xfId="4495" applyFont="1" applyBorder="1" applyAlignment="1">
      <alignment horizontal="left"/>
    </xf>
    <xf numFmtId="1" fontId="28" fillId="0" borderId="11" xfId="4495" applyNumberFormat="1" applyFont="1" applyBorder="1" applyAlignment="1">
      <alignment horizontal="center"/>
    </xf>
    <xf numFmtId="0" fontId="28" fillId="0" borderId="3" xfId="4495" applyFont="1" applyBorder="1" applyAlignment="1">
      <alignment horizontal="center" wrapText="1"/>
    </xf>
    <xf numFmtId="0" fontId="28" fillId="0" borderId="4" xfId="4495" applyFont="1" applyBorder="1" applyAlignment="1">
      <alignment horizontal="center" wrapText="1"/>
    </xf>
    <xf numFmtId="0" fontId="28" fillId="0" borderId="5" xfId="4495" applyFont="1" applyBorder="1" applyAlignment="1">
      <alignment horizontal="center" wrapText="1"/>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11" xfId="4495" applyFont="1" applyBorder="1" applyAlignment="1">
      <alignment horizontal="center"/>
    </xf>
    <xf numFmtId="1" fontId="21" fillId="46" borderId="11" xfId="4495" applyNumberFormat="1" applyFont="1" applyFill="1" applyBorder="1" applyAlignment="1">
      <alignment horizontal="center"/>
    </xf>
    <xf numFmtId="0" fontId="28" fillId="0" borderId="3" xfId="4495" applyFont="1" applyBorder="1" applyAlignment="1">
      <alignment horizontal="center"/>
    </xf>
    <xf numFmtId="0" fontId="28" fillId="0" borderId="4" xfId="4495" applyFont="1" applyBorder="1" applyAlignment="1">
      <alignment horizontal="center"/>
    </xf>
    <xf numFmtId="0" fontId="28" fillId="0" borderId="5" xfId="4495" applyFont="1" applyBorder="1" applyAlignment="1">
      <alignment horizontal="center"/>
    </xf>
    <xf numFmtId="0" fontId="21" fillId="5" borderId="11" xfId="4495" applyFont="1" applyFill="1" applyBorder="1" applyAlignment="1" applyProtection="1">
      <alignment horizontal="center"/>
      <protection locked="0"/>
    </xf>
    <xf numFmtId="164" fontId="59" fillId="0" borderId="1" xfId="4495" applyNumberFormat="1" applyFont="1" applyBorder="1" applyAlignment="1">
      <alignment horizontal="right" vertical="center"/>
    </xf>
    <xf numFmtId="164" fontId="59" fillId="0" borderId="2" xfId="4495" applyNumberFormat="1" applyFont="1" applyBorder="1" applyAlignment="1">
      <alignment horizontal="right" vertical="center"/>
    </xf>
    <xf numFmtId="164" fontId="59" fillId="0" borderId="7" xfId="4495" applyNumberFormat="1" applyFont="1" applyBorder="1" applyAlignment="1">
      <alignment horizontal="right" vertical="center"/>
    </xf>
    <xf numFmtId="164" fontId="59" fillId="0" borderId="9" xfId="4495" applyNumberFormat="1" applyFont="1" applyBorder="1" applyAlignment="1">
      <alignment horizontal="right" vertical="center"/>
    </xf>
    <xf numFmtId="164" fontId="59" fillId="0" borderId="6" xfId="4495" applyNumberFormat="1" applyFont="1" applyBorder="1" applyAlignment="1">
      <alignment horizontal="right" vertical="center"/>
    </xf>
    <xf numFmtId="164" fontId="59" fillId="0" borderId="10" xfId="4495" applyNumberFormat="1" applyFont="1" applyBorder="1" applyAlignment="1">
      <alignment horizontal="right" vertical="center"/>
    </xf>
    <xf numFmtId="180" fontId="59" fillId="0" borderId="1" xfId="4495" applyNumberFormat="1" applyFont="1" applyBorder="1" applyAlignment="1">
      <alignment horizontal="center" vertical="center"/>
    </xf>
    <xf numFmtId="180" fontId="59" fillId="0" borderId="2" xfId="4495" applyNumberFormat="1" applyFont="1" applyBorder="1" applyAlignment="1">
      <alignment horizontal="center" vertical="center"/>
    </xf>
    <xf numFmtId="180" fontId="59" fillId="0" borderId="7" xfId="4495" applyNumberFormat="1" applyFont="1" applyBorder="1" applyAlignment="1">
      <alignment horizontal="center" vertical="center"/>
    </xf>
    <xf numFmtId="180" fontId="59" fillId="0" borderId="9" xfId="4495" applyNumberFormat="1" applyFont="1" applyBorder="1" applyAlignment="1">
      <alignment horizontal="center" vertical="center"/>
    </xf>
    <xf numFmtId="180" fontId="59" fillId="0" borderId="6" xfId="4495" applyNumberFormat="1" applyFont="1" applyBorder="1" applyAlignment="1">
      <alignment horizontal="center" vertical="center"/>
    </xf>
    <xf numFmtId="180" fontId="59" fillId="0" borderId="10" xfId="4495" applyNumberFormat="1" applyFont="1" applyBorder="1" applyAlignment="1">
      <alignment horizontal="center" vertical="center"/>
    </xf>
    <xf numFmtId="1" fontId="28" fillId="0" borderId="4" xfId="4495" applyNumberFormat="1" applyFont="1" applyBorder="1" applyAlignment="1">
      <alignment horizontal="center" wrapText="1"/>
    </xf>
    <xf numFmtId="0" fontId="21" fillId="0" borderId="50" xfId="4496" applyFont="1" applyBorder="1" applyAlignment="1">
      <alignment horizontal="left" wrapText="1"/>
    </xf>
    <xf numFmtId="0" fontId="21" fillId="0" borderId="51" xfId="4496" applyFont="1" applyBorder="1" applyAlignment="1">
      <alignment horizontal="left" wrapText="1"/>
    </xf>
    <xf numFmtId="0" fontId="21" fillId="0" borderId="52" xfId="4496" applyFont="1" applyBorder="1" applyAlignment="1">
      <alignment horizontal="left" wrapText="1"/>
    </xf>
    <xf numFmtId="0" fontId="21" fillId="0" borderId="53" xfId="4496" applyFont="1" applyBorder="1" applyAlignment="1">
      <alignment horizontal="left" wrapText="1"/>
    </xf>
    <xf numFmtId="0" fontId="21" fillId="0" borderId="0" xfId="4496" applyFont="1" applyAlignment="1">
      <alignment horizontal="left" wrapText="1"/>
    </xf>
    <xf numFmtId="0" fontId="21" fillId="0" borderId="54" xfId="4496" applyFont="1" applyBorder="1" applyAlignment="1">
      <alignment horizontal="left" wrapText="1"/>
    </xf>
    <xf numFmtId="0" fontId="21" fillId="0" borderId="57" xfId="4496" applyFont="1" applyBorder="1" applyAlignment="1">
      <alignment horizontal="left" wrapText="1"/>
    </xf>
    <xf numFmtId="0" fontId="21" fillId="0" borderId="58" xfId="4496" applyFont="1" applyBorder="1" applyAlignment="1">
      <alignment horizontal="left" wrapText="1"/>
    </xf>
    <xf numFmtId="0" fontId="21" fillId="0" borderId="59" xfId="4496" applyFont="1" applyBorder="1" applyAlignment="1">
      <alignment horizontal="left" wrapText="1"/>
    </xf>
    <xf numFmtId="1" fontId="21" fillId="0" borderId="4" xfId="4496" applyNumberFormat="1" applyFont="1" applyBorder="1" applyAlignment="1">
      <alignment horizontal="center"/>
    </xf>
    <xf numFmtId="1" fontId="21" fillId="0" borderId="5" xfId="4496" applyNumberFormat="1" applyFont="1" applyBorder="1" applyAlignment="1">
      <alignment horizontal="center"/>
    </xf>
    <xf numFmtId="49" fontId="27" fillId="3" borderId="2" xfId="4495" applyNumberFormat="1" applyFont="1" applyFill="1" applyBorder="1" applyAlignment="1">
      <alignment horizontal="center" vertical="center" wrapText="1"/>
    </xf>
    <xf numFmtId="49" fontId="27" fillId="3" borderId="2" xfId="4495" applyNumberFormat="1" applyFont="1" applyFill="1" applyBorder="1" applyAlignment="1">
      <alignment horizontal="center" vertical="center"/>
    </xf>
    <xf numFmtId="49" fontId="27" fillId="3" borderId="0" xfId="4495" applyNumberFormat="1" applyFont="1" applyFill="1" applyAlignment="1">
      <alignment horizontal="center" vertical="center"/>
    </xf>
    <xf numFmtId="0" fontId="28" fillId="0" borderId="1" xfId="4495" applyFont="1" applyBorder="1" applyAlignment="1">
      <alignment horizontal="center" wrapText="1"/>
    </xf>
    <xf numFmtId="0" fontId="28" fillId="0" borderId="2" xfId="4495" applyFont="1" applyBorder="1" applyAlignment="1">
      <alignment horizontal="center" wrapText="1"/>
    </xf>
    <xf numFmtId="0" fontId="28" fillId="0" borderId="7" xfId="4495" applyFont="1" applyBorder="1" applyAlignment="1">
      <alignment horizontal="center" wrapText="1"/>
    </xf>
    <xf numFmtId="0" fontId="28" fillId="0" borderId="9" xfId="4495" applyFont="1" applyBorder="1" applyAlignment="1">
      <alignment horizontal="center" wrapText="1"/>
    </xf>
    <xf numFmtId="0" fontId="28" fillId="0" borderId="6" xfId="4495" applyFont="1" applyBorder="1" applyAlignment="1">
      <alignment horizontal="center" wrapText="1"/>
    </xf>
    <xf numFmtId="0" fontId="28" fillId="0" borderId="10" xfId="4495" applyFont="1" applyBorder="1" applyAlignment="1">
      <alignment horizontal="center" wrapText="1"/>
    </xf>
    <xf numFmtId="0" fontId="21" fillId="45" borderId="11" xfId="4495" applyFont="1" applyFill="1" applyBorder="1" applyAlignment="1">
      <alignment horizontal="center"/>
    </xf>
    <xf numFmtId="0" fontId="123" fillId="0" borderId="0" xfId="4495" applyFont="1" applyAlignment="1">
      <alignment horizontal="left" vertical="center" wrapText="1"/>
    </xf>
    <xf numFmtId="0" fontId="28" fillId="0" borderId="0" xfId="4495" applyFont="1" applyAlignment="1">
      <alignment horizontal="left" vertical="top" wrapText="1"/>
    </xf>
    <xf numFmtId="0" fontId="21" fillId="0" borderId="0" xfId="4495" applyFont="1" applyAlignment="1">
      <alignment horizontal="left" vertical="top" wrapText="1" shrinkToFit="1"/>
    </xf>
    <xf numFmtId="44" fontId="21" fillId="0" borderId="0" xfId="707" applyFont="1" applyFill="1" applyBorder="1" applyAlignment="1" applyProtection="1">
      <alignment horizontal="left" vertical="top" wrapText="1"/>
    </xf>
    <xf numFmtId="0" fontId="21" fillId="0" borderId="0" xfId="4495" applyFont="1" applyAlignment="1">
      <alignment horizontal="left" vertical="center" wrapText="1" shrinkToFit="1"/>
    </xf>
    <xf numFmtId="0" fontId="21" fillId="5" borderId="6" xfId="4495" applyFont="1" applyFill="1" applyBorder="1" applyAlignment="1" applyProtection="1">
      <alignment horizontal="left" wrapText="1" shrinkToFit="1"/>
      <protection locked="0"/>
    </xf>
    <xf numFmtId="0" fontId="21" fillId="43" borderId="6" xfId="1192" applyFill="1" applyBorder="1" applyAlignment="1" applyProtection="1">
      <alignment horizontal="left" vertical="top"/>
      <protection locked="0"/>
    </xf>
    <xf numFmtId="0" fontId="150" fillId="0" borderId="0" xfId="0" applyFont="1" applyAlignment="1" applyProtection="1">
      <alignment horizontal="left"/>
      <protection locked="0"/>
    </xf>
    <xf numFmtId="168" fontId="149" fillId="0" borderId="0" xfId="0" applyNumberFormat="1" applyFont="1" applyAlignment="1">
      <alignment horizontal="center" vertical="top" wrapText="1"/>
    </xf>
    <xf numFmtId="168" fontId="149" fillId="0" borderId="12" xfId="0" applyNumberFormat="1" applyFont="1" applyBorder="1" applyAlignment="1">
      <alignment horizontal="center" vertical="top" wrapText="1"/>
    </xf>
    <xf numFmtId="0" fontId="21" fillId="43" borderId="53" xfId="4495" applyFont="1" applyFill="1" applyBorder="1" applyAlignment="1" applyProtection="1">
      <alignment vertical="top" wrapText="1"/>
      <protection locked="0"/>
    </xf>
    <xf numFmtId="0" fontId="21" fillId="43" borderId="0" xfId="4495" applyFont="1" applyFill="1" applyAlignment="1" applyProtection="1">
      <alignment vertical="top" wrapText="1"/>
      <protection locked="0"/>
    </xf>
    <xf numFmtId="0" fontId="21" fillId="43" borderId="54" xfId="4495" applyFont="1" applyFill="1" applyBorder="1" applyAlignment="1" applyProtection="1">
      <alignment vertical="top" wrapText="1"/>
      <protection locked="0"/>
    </xf>
    <xf numFmtId="0" fontId="21" fillId="43" borderId="55" xfId="4495" applyFont="1" applyFill="1" applyBorder="1" applyAlignment="1" applyProtection="1">
      <alignment vertical="top" wrapText="1"/>
      <protection locked="0"/>
    </xf>
    <xf numFmtId="0" fontId="21" fillId="43" borderId="6" xfId="4495" applyFont="1" applyFill="1" applyBorder="1" applyAlignment="1" applyProtection="1">
      <alignment vertical="top" wrapText="1"/>
      <protection locked="0"/>
    </xf>
    <xf numFmtId="0" fontId="21" fillId="43" borderId="56" xfId="4495" applyFont="1" applyFill="1" applyBorder="1" applyAlignment="1" applyProtection="1">
      <alignment vertical="top" wrapText="1"/>
      <protection locked="0"/>
    </xf>
    <xf numFmtId="0" fontId="21" fillId="43" borderId="0" xfId="4495" applyFont="1" applyFill="1" applyAlignment="1" applyProtection="1">
      <alignment horizontal="left" vertical="center" wrapText="1"/>
      <protection locked="0"/>
    </xf>
    <xf numFmtId="0" fontId="21" fillId="43" borderId="54" xfId="4495" applyFont="1" applyFill="1" applyBorder="1" applyAlignment="1" applyProtection="1">
      <alignment horizontal="left" vertical="center" wrapText="1"/>
      <protection locked="0"/>
    </xf>
    <xf numFmtId="0" fontId="21" fillId="43" borderId="6" xfId="4495" applyFont="1" applyFill="1" applyBorder="1" applyAlignment="1" applyProtection="1">
      <alignment horizontal="left" vertical="center" wrapText="1"/>
      <protection locked="0"/>
    </xf>
    <xf numFmtId="0" fontId="21" fillId="43" borderId="56" xfId="4495" applyFont="1" applyFill="1" applyBorder="1" applyAlignment="1" applyProtection="1">
      <alignment horizontal="left" vertical="center" wrapText="1"/>
      <protection locked="0"/>
    </xf>
    <xf numFmtId="0" fontId="114" fillId="5" borderId="62" xfId="4495" applyFill="1" applyBorder="1" applyAlignment="1" applyProtection="1">
      <alignment horizontal="center"/>
      <protection locked="0"/>
    </xf>
    <xf numFmtId="0" fontId="114" fillId="5" borderId="63" xfId="4495" applyFill="1" applyBorder="1" applyAlignment="1" applyProtection="1">
      <alignment horizontal="center"/>
      <protection locked="0"/>
    </xf>
    <xf numFmtId="0" fontId="116" fillId="0" borderId="50" xfId="4496" applyFont="1" applyBorder="1" applyAlignment="1">
      <alignment horizontal="left" wrapText="1"/>
    </xf>
    <xf numFmtId="0" fontId="116" fillId="0" borderId="51" xfId="4496" applyFont="1" applyBorder="1" applyAlignment="1">
      <alignment horizontal="left" wrapText="1"/>
    </xf>
    <xf numFmtId="0" fontId="116" fillId="0" borderId="52" xfId="4496" applyFont="1" applyBorder="1" applyAlignment="1">
      <alignment horizontal="left" wrapText="1"/>
    </xf>
    <xf numFmtId="0" fontId="116" fillId="0" borderId="57" xfId="4496" applyFont="1" applyBorder="1" applyAlignment="1">
      <alignment horizontal="left" wrapText="1"/>
    </xf>
    <xf numFmtId="0" fontId="116" fillId="0" borderId="58" xfId="4496" applyFont="1" applyBorder="1" applyAlignment="1">
      <alignment horizontal="left" wrapText="1"/>
    </xf>
    <xf numFmtId="0" fontId="116" fillId="0" borderId="59" xfId="4496" applyFont="1" applyBorder="1" applyAlignment="1">
      <alignment horizontal="left" wrapText="1"/>
    </xf>
    <xf numFmtId="0" fontId="21" fillId="5" borderId="6" xfId="1192" applyFill="1" applyBorder="1" applyAlignment="1" applyProtection="1">
      <alignment horizontal="left"/>
      <protection locked="0"/>
    </xf>
    <xf numFmtId="165" fontId="21" fillId="0" borderId="0" xfId="1192" applyNumberFormat="1" applyAlignment="1">
      <alignment horizontal="right"/>
    </xf>
    <xf numFmtId="0" fontId="21" fillId="0" borderId="59" xfId="4495" applyFont="1" applyBorder="1" applyAlignment="1">
      <alignment horizontal="left" vertical="top" wrapText="1"/>
    </xf>
    <xf numFmtId="0" fontId="21" fillId="0" borderId="4" xfId="4496" applyFont="1" applyBorder="1" applyAlignment="1">
      <alignment horizontal="center"/>
    </xf>
    <xf numFmtId="0" fontId="21" fillId="0" borderId="5" xfId="4496" applyFont="1" applyBorder="1" applyAlignment="1">
      <alignment horizontal="center"/>
    </xf>
    <xf numFmtId="0" fontId="21" fillId="0" borderId="50" xfId="4495" applyFont="1" applyBorder="1" applyAlignment="1">
      <alignment horizontal="left" vertical="top" wrapText="1"/>
    </xf>
    <xf numFmtId="0" fontId="21" fillId="0" borderId="51" xfId="4495" applyFont="1" applyBorder="1" applyAlignment="1">
      <alignment horizontal="left" vertical="top" wrapText="1"/>
    </xf>
    <xf numFmtId="0" fontId="21" fillId="0" borderId="52" xfId="4495" applyFont="1" applyBorder="1" applyAlignment="1">
      <alignment horizontal="left" vertical="top" wrapText="1"/>
    </xf>
    <xf numFmtId="0" fontId="28" fillId="0" borderId="0" xfId="4495" applyFont="1"/>
    <xf numFmtId="0" fontId="21" fillId="0" borderId="6" xfId="1192" applyBorder="1" applyAlignment="1">
      <alignment horizontal="left"/>
    </xf>
    <xf numFmtId="2" fontId="21" fillId="0" borderId="0" xfId="1192" applyNumberFormat="1" applyAlignment="1">
      <alignment horizontal="right"/>
    </xf>
    <xf numFmtId="0" fontId="28" fillId="0" borderId="0" xfId="4495" applyFont="1" applyAlignment="1">
      <alignment horizontal="left" vertical="top"/>
    </xf>
    <xf numFmtId="0" fontId="114" fillId="0" borderId="0" xfId="4495" applyAlignment="1" applyProtection="1">
      <alignment horizontal="center"/>
      <protection locked="0"/>
    </xf>
    <xf numFmtId="9" fontId="21" fillId="0" borderId="4" xfId="543" applyNumberFormat="1" applyBorder="1" applyAlignment="1">
      <alignment horizontal="center"/>
    </xf>
    <xf numFmtId="168" fontId="21" fillId="0" borderId="6" xfId="4495" applyNumberFormat="1" applyFont="1" applyBorder="1" applyAlignment="1">
      <alignment horizontal="right"/>
    </xf>
    <xf numFmtId="168" fontId="112" fillId="0" borderId="6" xfId="4495" applyNumberFormat="1" applyFont="1" applyBorder="1" applyAlignment="1">
      <alignment horizontal="right"/>
    </xf>
    <xf numFmtId="168" fontId="21" fillId="43" borderId="6" xfId="4495" applyNumberFormat="1" applyFont="1" applyFill="1" applyBorder="1" applyAlignment="1" applyProtection="1">
      <alignment horizontal="right"/>
      <protection locked="0"/>
    </xf>
    <xf numFmtId="6" fontId="21" fillId="0" borderId="3" xfId="1192" applyNumberFormat="1" applyBorder="1" applyAlignment="1">
      <alignment horizontal="right"/>
    </xf>
    <xf numFmtId="6" fontId="21" fillId="0" borderId="4" xfId="1192" applyNumberFormat="1" applyBorder="1" applyAlignment="1">
      <alignment horizontal="right"/>
    </xf>
    <xf numFmtId="6" fontId="21" fillId="0" borderId="5" xfId="1192" applyNumberFormat="1" applyBorder="1" applyAlignment="1">
      <alignment horizontal="right"/>
    </xf>
    <xf numFmtId="168" fontId="21" fillId="0" borderId="4" xfId="4495" applyNumberFormat="1" applyFont="1" applyBorder="1" applyAlignment="1">
      <alignment horizontal="right"/>
    </xf>
    <xf numFmtId="165" fontId="21" fillId="43" borderId="3" xfId="4495" applyNumberFormat="1" applyFont="1" applyFill="1" applyBorder="1" applyAlignment="1" applyProtection="1">
      <alignment horizontal="center"/>
      <protection locked="0"/>
    </xf>
    <xf numFmtId="165" fontId="21" fillId="43" borderId="4" xfId="4495" applyNumberFormat="1" applyFont="1" applyFill="1" applyBorder="1" applyAlignment="1" applyProtection="1">
      <alignment horizontal="center"/>
      <protection locked="0"/>
    </xf>
    <xf numFmtId="165" fontId="21" fillId="43" borderId="5" xfId="4495" applyNumberFormat="1" applyFont="1" applyFill="1" applyBorder="1" applyAlignment="1" applyProtection="1">
      <alignment horizontal="center"/>
      <protection locked="0"/>
    </xf>
    <xf numFmtId="165" fontId="21" fillId="0" borderId="6" xfId="1192" applyNumberFormat="1" applyBorder="1" applyAlignment="1">
      <alignment horizontal="right"/>
    </xf>
    <xf numFmtId="168" fontId="21" fillId="0" borderId="2" xfId="1192" applyNumberFormat="1" applyBorder="1" applyAlignment="1">
      <alignment horizontal="right"/>
    </xf>
    <xf numFmtId="1" fontId="21" fillId="0" borderId="3" xfId="4495" applyNumberFormat="1" applyFont="1" applyBorder="1" applyAlignment="1">
      <alignment horizontal="center"/>
    </xf>
    <xf numFmtId="1" fontId="21" fillId="0" borderId="4" xfId="4495" applyNumberFormat="1" applyFont="1" applyBorder="1" applyAlignment="1">
      <alignment horizontal="center"/>
    </xf>
    <xf numFmtId="1" fontId="21" fillId="0" borderId="5" xfId="4495" applyNumberFormat="1" applyFont="1" applyBorder="1" applyAlignment="1">
      <alignment horizontal="center"/>
    </xf>
    <xf numFmtId="0" fontId="29" fillId="5" borderId="6" xfId="4495" applyFont="1" applyFill="1" applyBorder="1" applyAlignment="1" applyProtection="1">
      <alignment horizontal="left"/>
      <protection locked="0"/>
    </xf>
    <xf numFmtId="0" fontId="21"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21" fillId="44" borderId="6" xfId="4495" applyFont="1" applyFill="1" applyBorder="1" applyAlignment="1">
      <alignment horizontal="left"/>
    </xf>
    <xf numFmtId="0" fontId="21" fillId="0" borderId="0" xfId="1192" applyAlignment="1">
      <alignment horizontal="right"/>
    </xf>
    <xf numFmtId="0" fontId="116" fillId="5" borderId="6" xfId="4496" applyFont="1" applyFill="1" applyBorder="1" applyAlignment="1" applyProtection="1">
      <alignment horizontal="center"/>
      <protection locked="0"/>
    </xf>
    <xf numFmtId="0" fontId="116" fillId="0" borderId="50" xfId="4496" applyFont="1" applyBorder="1" applyAlignment="1">
      <alignment horizontal="left" vertical="top" wrapText="1"/>
    </xf>
    <xf numFmtId="0" fontId="116" fillId="0" borderId="51" xfId="4496" applyFont="1" applyBorder="1" applyAlignment="1">
      <alignment horizontal="left" vertical="top" wrapText="1"/>
    </xf>
    <xf numFmtId="0" fontId="116" fillId="0" borderId="52" xfId="4496" applyFont="1" applyBorder="1" applyAlignment="1">
      <alignment horizontal="left" vertical="top" wrapText="1"/>
    </xf>
    <xf numFmtId="0" fontId="116" fillId="0" borderId="53" xfId="4496" applyFont="1" applyBorder="1" applyAlignment="1">
      <alignment horizontal="left" vertical="top" wrapText="1"/>
    </xf>
    <xf numFmtId="0" fontId="116" fillId="0" borderId="0" xfId="4496" applyFont="1" applyAlignment="1">
      <alignment horizontal="left" vertical="top" wrapText="1"/>
    </xf>
    <xf numFmtId="0" fontId="116" fillId="0" borderId="54" xfId="4496" applyFont="1" applyBorder="1" applyAlignment="1">
      <alignment horizontal="left" vertical="top" wrapText="1"/>
    </xf>
    <xf numFmtId="9" fontId="21" fillId="0" borderId="6" xfId="1192" applyNumberFormat="1" applyBorder="1" applyAlignment="1">
      <alignment horizontal="center"/>
    </xf>
    <xf numFmtId="9" fontId="21" fillId="0" borderId="6" xfId="1192" quotePrefix="1" applyNumberFormat="1" applyBorder="1" applyAlignment="1">
      <alignment horizontal="center"/>
    </xf>
    <xf numFmtId="9" fontId="21" fillId="0" borderId="0" xfId="1192" quotePrefix="1" applyNumberFormat="1" applyAlignment="1">
      <alignment horizontal="center"/>
    </xf>
    <xf numFmtId="1" fontId="21" fillId="5" borderId="4" xfId="1192" applyNumberFormat="1" applyFill="1" applyBorder="1" applyAlignment="1" applyProtection="1">
      <alignment horizontal="center"/>
      <protection locked="0"/>
    </xf>
    <xf numFmtId="1" fontId="116" fillId="0" borderId="55" xfId="4496" applyNumberFormat="1" applyFont="1" applyBorder="1" applyAlignment="1">
      <alignment horizontal="center" vertical="top" wrapText="1"/>
    </xf>
    <xf numFmtId="1" fontId="116" fillId="0" borderId="6" xfId="4496" applyNumberFormat="1" applyFont="1" applyBorder="1" applyAlignment="1">
      <alignment horizontal="center" vertical="top" wrapText="1"/>
    </xf>
    <xf numFmtId="165" fontId="116" fillId="0" borderId="55" xfId="4496" applyNumberFormat="1" applyFont="1" applyBorder="1" applyAlignment="1">
      <alignment horizontal="center" vertical="top" wrapText="1"/>
    </xf>
    <xf numFmtId="165" fontId="116" fillId="0" borderId="6" xfId="4496" applyNumberFormat="1" applyFont="1" applyBorder="1" applyAlignment="1">
      <alignment horizontal="center" vertical="top" wrapText="1"/>
    </xf>
    <xf numFmtId="168" fontId="116" fillId="43" borderId="55" xfId="4496" applyNumberFormat="1" applyFont="1" applyFill="1" applyBorder="1" applyAlignment="1" applyProtection="1">
      <alignment horizontal="center" vertical="top" wrapText="1"/>
      <protection locked="0"/>
    </xf>
    <xf numFmtId="168" fontId="116" fillId="43" borderId="6" xfId="4496" applyNumberFormat="1" applyFont="1" applyFill="1" applyBorder="1" applyAlignment="1" applyProtection="1">
      <alignment horizontal="center" vertical="top" wrapText="1"/>
      <protection locked="0"/>
    </xf>
    <xf numFmtId="0" fontId="21" fillId="0" borderId="57" xfId="4495" applyFont="1" applyBorder="1" applyAlignment="1">
      <alignment horizontal="left" vertical="center" wrapText="1"/>
    </xf>
    <xf numFmtId="0" fontId="21" fillId="0" borderId="58" xfId="4495" applyFont="1" applyBorder="1" applyAlignment="1">
      <alignment horizontal="left" vertical="center" wrapText="1"/>
    </xf>
    <xf numFmtId="0" fontId="21" fillId="0" borderId="59" xfId="4495" applyFont="1" applyBorder="1" applyAlignment="1">
      <alignment horizontal="left" vertical="center" wrapText="1"/>
    </xf>
    <xf numFmtId="10" fontId="116" fillId="0" borderId="3" xfId="4496" applyNumberFormat="1" applyFont="1" applyBorder="1" applyAlignment="1">
      <alignment horizontal="center" vertical="top" wrapText="1"/>
    </xf>
    <xf numFmtId="10" fontId="116" fillId="0" borderId="4" xfId="4496" applyNumberFormat="1" applyFont="1" applyBorder="1" applyAlignment="1">
      <alignment horizontal="center" vertical="top" wrapText="1"/>
    </xf>
    <xf numFmtId="10" fontId="116" fillId="0" borderId="5" xfId="4496" applyNumberFormat="1" applyFont="1" applyBorder="1" applyAlignment="1">
      <alignment horizontal="center" vertical="top" wrapText="1"/>
    </xf>
    <xf numFmtId="168" fontId="116" fillId="0" borderId="6" xfId="4496" applyNumberFormat="1" applyFont="1" applyBorder="1" applyAlignment="1">
      <alignment horizontal="center" vertical="top"/>
    </xf>
    <xf numFmtId="0" fontId="116" fillId="0" borderId="55" xfId="4496" applyFont="1" applyBorder="1" applyAlignment="1">
      <alignment horizontal="center" vertical="top" wrapText="1"/>
    </xf>
    <xf numFmtId="0" fontId="116" fillId="0" borderId="6" xfId="4496" applyFont="1" applyBorder="1" applyAlignment="1">
      <alignment horizontal="center" vertical="top" wrapText="1"/>
    </xf>
    <xf numFmtId="0" fontId="21" fillId="0" borderId="47" xfId="4495" applyFont="1" applyBorder="1" applyAlignment="1">
      <alignment horizontal="left" vertical="center" wrapText="1"/>
    </xf>
    <xf numFmtId="0" fontId="21" fillId="0" borderId="48" xfId="4495" applyFont="1" applyBorder="1" applyAlignment="1">
      <alignment horizontal="left" vertical="center" wrapText="1"/>
    </xf>
    <xf numFmtId="0" fontId="21" fillId="0" borderId="49" xfId="4495" applyFont="1" applyBorder="1" applyAlignment="1">
      <alignment horizontal="left" vertical="center" wrapText="1"/>
    </xf>
    <xf numFmtId="0" fontId="27" fillId="3" borderId="2" xfId="4495" applyFont="1" applyFill="1" applyBorder="1" applyAlignment="1">
      <alignment horizontal="center" vertical="center"/>
    </xf>
    <xf numFmtId="0" fontId="27" fillId="3" borderId="16" xfId="4495" applyFont="1" applyFill="1" applyBorder="1" applyAlignment="1">
      <alignment horizontal="center" vertical="center"/>
    </xf>
    <xf numFmtId="0" fontId="28" fillId="0" borderId="48" xfId="4495" applyFont="1" applyBorder="1" applyAlignment="1">
      <alignment horizontal="left" vertical="top"/>
    </xf>
    <xf numFmtId="0" fontId="28" fillId="0" borderId="49" xfId="4495" applyFont="1" applyBorder="1" applyAlignment="1">
      <alignment horizontal="left" vertical="top"/>
    </xf>
    <xf numFmtId="0" fontId="21" fillId="0" borderId="50" xfId="4495" applyFont="1" applyBorder="1" applyAlignment="1">
      <alignment vertical="center" wrapText="1"/>
    </xf>
    <xf numFmtId="0" fontId="21" fillId="0" borderId="51" xfId="4495" applyFont="1" applyBorder="1" applyAlignment="1">
      <alignment vertical="center" wrapText="1"/>
    </xf>
    <xf numFmtId="0" fontId="21" fillId="0" borderId="52" xfId="4495" applyFont="1" applyBorder="1" applyAlignment="1">
      <alignment vertical="center" wrapText="1"/>
    </xf>
    <xf numFmtId="0" fontId="21" fillId="0" borderId="53" xfId="4495" applyFont="1" applyBorder="1" applyAlignment="1">
      <alignment vertical="center" wrapText="1"/>
    </xf>
    <xf numFmtId="0" fontId="21" fillId="0" borderId="0" xfId="4495" applyFont="1" applyAlignment="1">
      <alignment vertical="center" wrapText="1"/>
    </xf>
    <xf numFmtId="0" fontId="21" fillId="0" borderId="54" xfId="4495" applyFont="1" applyBorder="1" applyAlignment="1">
      <alignment vertical="center" wrapText="1"/>
    </xf>
    <xf numFmtId="0" fontId="21" fillId="0" borderId="57" xfId="4495" applyFont="1" applyBorder="1" applyAlignment="1">
      <alignment vertical="center" wrapText="1"/>
    </xf>
    <xf numFmtId="0" fontId="21" fillId="0" borderId="58" xfId="4495" applyFont="1" applyBorder="1" applyAlignment="1">
      <alignment vertical="center" wrapText="1"/>
    </xf>
    <xf numFmtId="0" fontId="21" fillId="0" borderId="59" xfId="4495" applyFont="1" applyBorder="1" applyAlignment="1">
      <alignment vertical="center" wrapText="1"/>
    </xf>
    <xf numFmtId="0" fontId="116" fillId="0" borderId="57" xfId="4496" applyFont="1" applyBorder="1" applyAlignment="1">
      <alignment horizontal="left" vertical="top" wrapText="1"/>
    </xf>
    <xf numFmtId="0" fontId="116" fillId="0" borderId="58" xfId="4496" applyFont="1" applyBorder="1" applyAlignment="1">
      <alignment horizontal="left" vertical="top" wrapText="1"/>
    </xf>
    <xf numFmtId="0" fontId="116" fillId="0" borderId="59" xfId="4496" applyFont="1" applyBorder="1" applyAlignment="1">
      <alignment horizontal="left" vertical="top" wrapText="1"/>
    </xf>
    <xf numFmtId="165" fontId="116" fillId="0" borderId="60" xfId="4496" applyNumberFormat="1" applyFont="1" applyBorder="1" applyAlignment="1">
      <alignment horizontal="center" vertical="top" wrapText="1"/>
    </xf>
    <xf numFmtId="0" fontId="116" fillId="5" borderId="60" xfId="4496" applyFont="1" applyFill="1" applyBorder="1" applyAlignment="1" applyProtection="1">
      <alignment horizontal="center"/>
      <protection locked="0"/>
    </xf>
    <xf numFmtId="0" fontId="116" fillId="5" borderId="4" xfId="4496" applyFont="1" applyFill="1" applyBorder="1" applyAlignment="1" applyProtection="1">
      <alignment horizontal="center"/>
      <protection locked="0"/>
    </xf>
    <xf numFmtId="0" fontId="116" fillId="5" borderId="55" xfId="4496" applyFont="1" applyFill="1" applyBorder="1" applyAlignment="1" applyProtection="1">
      <alignment horizontal="center"/>
      <protection locked="0"/>
    </xf>
    <xf numFmtId="168" fontId="116" fillId="0" borderId="55" xfId="4496" applyNumberFormat="1" applyFont="1" applyBorder="1" applyAlignment="1">
      <alignment horizontal="center" vertical="top"/>
    </xf>
    <xf numFmtId="0" fontId="92" fillId="0" borderId="3" xfId="4496" applyFont="1" applyBorder="1" applyAlignment="1">
      <alignment horizontal="left" indent="2"/>
    </xf>
    <xf numFmtId="0" fontId="92" fillId="0" borderId="4" xfId="4496" applyFont="1" applyBorder="1" applyAlignment="1">
      <alignment horizontal="left" indent="2"/>
    </xf>
    <xf numFmtId="0" fontId="92" fillId="0" borderId="5" xfId="4496" applyFont="1" applyBorder="1" applyAlignment="1">
      <alignment horizontal="left" indent="2"/>
    </xf>
    <xf numFmtId="9" fontId="130" fillId="45" borderId="3" xfId="4499" applyFont="1" applyFill="1" applyBorder="1" applyAlignment="1" applyProtection="1">
      <alignment horizontal="center" vertical="center"/>
    </xf>
    <xf numFmtId="9" fontId="130" fillId="45" borderId="4" xfId="4499" applyFont="1" applyFill="1" applyBorder="1" applyAlignment="1" applyProtection="1">
      <alignment horizontal="center" vertical="center"/>
    </xf>
    <xf numFmtId="9" fontId="130" fillId="45" borderId="5" xfId="4499" applyFont="1" applyFill="1" applyBorder="1" applyAlignment="1" applyProtection="1">
      <alignment horizontal="center" vertical="center"/>
    </xf>
    <xf numFmtId="0" fontId="92" fillId="0" borderId="0" xfId="4496" applyFont="1" applyAlignment="1">
      <alignment wrapText="1"/>
    </xf>
    <xf numFmtId="49" fontId="92" fillId="45" borderId="15" xfId="4496" applyNumberFormat="1" applyFont="1" applyFill="1" applyBorder="1" applyAlignment="1">
      <alignment horizontal="center" vertical="center" wrapText="1"/>
    </xf>
    <xf numFmtId="49" fontId="92" fillId="45" borderId="13" xfId="4496" applyNumberFormat="1" applyFont="1" applyFill="1" applyBorder="1" applyAlignment="1">
      <alignment horizontal="center" vertical="center" wrapText="1"/>
    </xf>
    <xf numFmtId="0" fontId="130" fillId="0" borderId="75" xfId="4496" applyFont="1" applyBorder="1" applyAlignment="1">
      <alignment horizontal="center" vertical="top" wrapText="1"/>
    </xf>
    <xf numFmtId="0" fontId="130" fillId="0" borderId="74" xfId="4496" applyFont="1" applyBorder="1" applyAlignment="1">
      <alignment horizontal="center" vertical="top" wrapText="1"/>
    </xf>
    <xf numFmtId="0" fontId="92" fillId="0" borderId="0" xfId="4496" applyFont="1" applyAlignment="1">
      <alignment horizontal="left" wrapText="1"/>
    </xf>
    <xf numFmtId="0" fontId="92" fillId="0" borderId="0" xfId="4496" applyFont="1" applyAlignment="1">
      <alignment horizontal="center" vertical="center" wrapText="1"/>
    </xf>
    <xf numFmtId="0" fontId="92" fillId="43" borderId="0" xfId="4496" applyFont="1" applyFill="1" applyAlignment="1" applyProtection="1">
      <alignment horizontal="left" vertical="top" wrapText="1"/>
      <protection locked="0"/>
    </xf>
    <xf numFmtId="0" fontId="92" fillId="43" borderId="6" xfId="4496" applyFont="1" applyFill="1" applyBorder="1" applyAlignment="1" applyProtection="1">
      <alignment horizontal="left" vertical="top" wrapText="1"/>
      <protection locked="0"/>
    </xf>
    <xf numFmtId="0" fontId="92" fillId="0" borderId="0" xfId="4496" applyFont="1" applyAlignment="1">
      <alignment horizontal="left" wrapText="1" indent="1"/>
    </xf>
    <xf numFmtId="168" fontId="92" fillId="0" borderId="11" xfId="4499" applyNumberFormat="1" applyFont="1" applyFill="1" applyBorder="1" applyAlignment="1" applyProtection="1">
      <alignment horizontal="left" vertical="center" indent="1"/>
    </xf>
    <xf numFmtId="0" fontId="130" fillId="0" borderId="68" xfId="4496" applyFont="1" applyBorder="1" applyAlignment="1">
      <alignment horizontal="left" indent="1"/>
    </xf>
    <xf numFmtId="168" fontId="92" fillId="0" borderId="70" xfId="4499" applyNumberFormat="1" applyFont="1" applyFill="1" applyBorder="1" applyAlignment="1" applyProtection="1">
      <alignment horizontal="left" vertical="center" indent="1"/>
    </xf>
    <xf numFmtId="49" fontId="129" fillId="3" borderId="0" xfId="1192" applyNumberFormat="1" applyFont="1" applyFill="1" applyAlignment="1">
      <alignment horizontal="center" vertical="center"/>
    </xf>
    <xf numFmtId="0" fontId="92" fillId="0" borderId="11" xfId="4496" applyFont="1" applyBorder="1" applyAlignment="1">
      <alignment horizontal="left" indent="1"/>
    </xf>
    <xf numFmtId="0" fontId="92" fillId="0" borderId="11" xfId="4496" applyFont="1" applyBorder="1" applyAlignment="1">
      <alignment horizontal="left" indent="2"/>
    </xf>
    <xf numFmtId="0" fontId="130" fillId="45" borderId="3" xfId="4496" applyFont="1" applyFill="1" applyBorder="1" applyAlignment="1">
      <alignment horizontal="center" vertical="center"/>
    </xf>
    <xf numFmtId="0" fontId="130" fillId="45" borderId="4" xfId="4496" applyFont="1" applyFill="1" applyBorder="1" applyAlignment="1">
      <alignment horizontal="center" vertical="center"/>
    </xf>
    <xf numFmtId="0" fontId="130" fillId="45" borderId="5" xfId="4496" applyFont="1" applyFill="1" applyBorder="1" applyAlignment="1">
      <alignment horizontal="center" vertical="center"/>
    </xf>
    <xf numFmtId="168" fontId="92" fillId="0" borderId="13" xfId="4499" applyNumberFormat="1" applyFont="1" applyFill="1" applyBorder="1" applyAlignment="1" applyProtection="1">
      <alignment horizontal="left" vertical="center" indent="1"/>
    </xf>
    <xf numFmtId="0" fontId="92" fillId="0" borderId="3" xfId="4496" applyFont="1" applyBorder="1" applyAlignment="1">
      <alignment horizontal="left" indent="1"/>
    </xf>
    <xf numFmtId="0" fontId="92" fillId="0" borderId="4" xfId="4496" applyFont="1" applyBorder="1" applyAlignment="1">
      <alignment horizontal="left" indent="1"/>
    </xf>
    <xf numFmtId="0" fontId="92" fillId="0" borderId="5" xfId="4496" applyFont="1" applyBorder="1" applyAlignment="1">
      <alignment horizontal="left" indent="1"/>
    </xf>
    <xf numFmtId="0" fontId="92" fillId="0" borderId="3" xfId="4496" applyFont="1" applyBorder="1"/>
    <xf numFmtId="0" fontId="92" fillId="0" borderId="81" xfId="4496" applyFont="1" applyBorder="1"/>
    <xf numFmtId="0" fontId="92" fillId="0" borderId="94" xfId="4496" applyFont="1" applyBorder="1"/>
    <xf numFmtId="0" fontId="92" fillId="0" borderId="85" xfId="4496" applyFont="1" applyBorder="1"/>
    <xf numFmtId="0" fontId="92" fillId="0" borderId="93" xfId="4496" applyFont="1" applyBorder="1" applyAlignment="1">
      <alignment horizontal="right"/>
    </xf>
    <xf numFmtId="0" fontId="92" fillId="0" borderId="74" xfId="4496" applyFont="1" applyBorder="1" applyAlignment="1">
      <alignment horizontal="right"/>
    </xf>
    <xf numFmtId="0" fontId="92" fillId="0" borderId="75" xfId="4496" applyFont="1" applyBorder="1"/>
    <xf numFmtId="0" fontId="92" fillId="0" borderId="91" xfId="4496" applyFont="1" applyBorder="1"/>
    <xf numFmtId="0" fontId="92" fillId="0" borderId="90" xfId="4496" applyFont="1" applyBorder="1" applyAlignment="1">
      <alignment horizontal="right"/>
    </xf>
    <xf numFmtId="0" fontId="92" fillId="0" borderId="5" xfId="4496" applyFont="1" applyBorder="1" applyAlignment="1">
      <alignment horizontal="right"/>
    </xf>
    <xf numFmtId="0" fontId="92" fillId="0" borderId="69" xfId="4496" applyFont="1" applyBorder="1" applyAlignment="1">
      <alignment horizontal="right"/>
    </xf>
    <xf numFmtId="0" fontId="92" fillId="0" borderId="70" xfId="4496" applyFont="1" applyBorder="1" applyAlignment="1">
      <alignment horizontal="right"/>
    </xf>
    <xf numFmtId="0" fontId="26" fillId="0" borderId="6" xfId="271" applyFont="1" applyBorder="1" applyAlignment="1">
      <alignment horizontal="center"/>
    </xf>
    <xf numFmtId="0" fontId="26" fillId="0" borderId="0" xfId="0" applyFont="1" applyAlignment="1" applyProtection="1">
      <alignment wrapText="1"/>
      <protection locked="0"/>
    </xf>
    <xf numFmtId="3" fontId="21" fillId="0" borderId="0" xfId="0" applyNumberFormat="1" applyFont="1" applyAlignment="1">
      <alignment horizontal="left" vertical="top" wrapText="1"/>
    </xf>
    <xf numFmtId="0" fontId="21" fillId="43" borderId="0" xfId="0" applyFont="1" applyFill="1" applyAlignment="1">
      <alignment horizontal="left"/>
    </xf>
  </cellXfs>
  <cellStyles count="37506">
    <cellStyle name="20% - Accent1" xfId="1" builtinId="30" customBuiltin="1"/>
    <cellStyle name="20% - Accent1 10" xfId="4504" xr:uid="{00000000-0005-0000-0000-000001000000}"/>
    <cellStyle name="20% - Accent1 10 2" xfId="13830" xr:uid="{96CABBF4-259C-4AE7-8FA7-A9A09FFA5B89}"/>
    <cellStyle name="20% - Accent1 10 2 2" xfId="32426" xr:uid="{22D53DD2-156F-45DD-9D7F-9133BA0635CD}"/>
    <cellStyle name="20% - Accent1 10 3" xfId="23129" xr:uid="{A6DDB157-5342-4CDC-A87B-8834FB98FA1E}"/>
    <cellStyle name="20% - Accent1 11" xfId="8758" xr:uid="{2F735C8D-70CB-4E84-A95A-4445894745BC}"/>
    <cellStyle name="20% - Accent1 11 2" xfId="18082" xr:uid="{46D2B870-120E-48DA-9591-E9D3CBF1EC94}"/>
    <cellStyle name="20% - Accent1 11 2 2" xfId="36677" xr:uid="{1868B94B-E158-41D7-81AD-43E506E172A6}"/>
    <cellStyle name="20% - Accent1 11 3" xfId="27380" xr:uid="{18FBF9D8-15FF-457B-BFCA-F5E7746E56E6}"/>
    <cellStyle name="20% - Accent1 12" xfId="9613" xr:uid="{779BED4B-EA08-422D-A308-14222A3FE8AC}"/>
    <cellStyle name="20% - Accent1 12 2" xfId="28209" xr:uid="{2DB6CB60-6CDC-48AC-B900-A78D2E18F338}"/>
    <cellStyle name="20% - Accent1 13" xfId="18912" xr:uid="{9FFCA09D-DE9F-4E9D-8375-1272F0FA6A46}"/>
    <cellStyle name="20% - Accent1 2" xfId="2" xr:uid="{00000000-0005-0000-0000-000002000000}"/>
    <cellStyle name="20% - Accent1 2 10" xfId="8797" xr:uid="{7F4BEAE6-CC35-4B07-89BD-8FC5D6B3D35B}"/>
    <cellStyle name="20% - Accent1 2 10 2" xfId="18121" xr:uid="{E73EDA5C-9C41-4B26-B8EB-33E7D2C8EEC4}"/>
    <cellStyle name="20% - Accent1 2 10 2 2" xfId="36716" xr:uid="{9B45CD79-3ED2-4EA9-BBE4-18860AA5E470}"/>
    <cellStyle name="20% - Accent1 2 10 3" xfId="27419" xr:uid="{DC3F86B1-45FA-4A10-B2D7-08AAD2A162D8}"/>
    <cellStyle name="20% - Accent1 2 11" xfId="9614" xr:uid="{A7428F4A-E2C1-44E1-A1C1-49F87ABEA315}"/>
    <cellStyle name="20% - Accent1 2 11 2" xfId="28210" xr:uid="{7B73D771-E421-4FAA-9F63-FCD5C1880A51}"/>
    <cellStyle name="20% - Accent1 2 12" xfId="18913" xr:uid="{92DDF514-4F4C-48C1-B43E-2F7E9EB77F21}"/>
    <cellStyle name="20% - Accent1 2 2" xfId="3" xr:uid="{00000000-0005-0000-0000-000003000000}"/>
    <cellStyle name="20% - Accent1 2 2 10" xfId="9615" xr:uid="{306C1AA3-541D-47D0-874B-4F6CE3B7A6C0}"/>
    <cellStyle name="20% - Accent1 2 2 10 2" xfId="28211" xr:uid="{4C9F9D7F-A030-4536-BA5A-0E1BCDE0D085}"/>
    <cellStyle name="20% - Accent1 2 2 11" xfId="18914" xr:uid="{B9FF0FB9-ECC6-4261-AD80-C9012DE6C127}"/>
    <cellStyle name="20% - Accent1 2 2 2" xfId="4" xr:uid="{00000000-0005-0000-0000-000004000000}"/>
    <cellStyle name="20% - Accent1 2 2 2 10" xfId="18915" xr:uid="{2CD250EE-80FC-4B5B-B326-A487616D9F37}"/>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27947FDA-C926-435D-94C0-D27C2253DA86}"/>
    <cellStyle name="20% - Accent1 2 2 2 2 2 2 2 2" xfId="34988" xr:uid="{56C15D87-5584-4FFE-B9AF-EB4C89D6391F}"/>
    <cellStyle name="20% - Accent1 2 2 2 2 2 2 3" xfId="25691" xr:uid="{52AD8DAE-65EA-4106-ABEF-78BEA4C009C3}"/>
    <cellStyle name="20% - Accent1 2 2 2 2 2 3" xfId="12175" xr:uid="{E7F60B56-915A-442A-839E-35E63A918091}"/>
    <cellStyle name="20% - Accent1 2 2 2 2 2 3 2" xfId="30771" xr:uid="{0A4E3D80-BAB3-4178-BAB9-E076E08E7696}"/>
    <cellStyle name="20% - Accent1 2 2 2 2 2 4" xfId="21474" xr:uid="{1A291601-4158-4697-88E3-5008A0162EFC}"/>
    <cellStyle name="20% - Accent1 2 2 2 2 3" xfId="4921" xr:uid="{00000000-0005-0000-0000-000008000000}"/>
    <cellStyle name="20% - Accent1 2 2 2 2 3 2" xfId="14247" xr:uid="{382AF693-79B0-4545-AE0B-1A616C62597D}"/>
    <cellStyle name="20% - Accent1 2 2 2 2 3 2 2" xfId="32843" xr:uid="{C89179A5-ABAF-4819-BF9C-F5C0781950A3}"/>
    <cellStyle name="20% - Accent1 2 2 2 2 3 3" xfId="23546" xr:uid="{B1B34BD0-C07F-4AB0-9153-7EC4F672C1CC}"/>
    <cellStyle name="20% - Accent1 2 2 2 2 4" xfId="9532" xr:uid="{D5FAB462-C5A9-4306-AA37-C118C84F9393}"/>
    <cellStyle name="20% - Accent1 2 2 2 2 4 2" xfId="18847" xr:uid="{2F474C85-78F7-4B5A-80D1-8A9D7FB7F08F}"/>
    <cellStyle name="20% - Accent1 2 2 2 2 4 2 2" xfId="37441" xr:uid="{4CDE763A-939A-4689-A201-5CA410CBAAF4}"/>
    <cellStyle name="20% - Accent1 2 2 2 2 4 3" xfId="28144" xr:uid="{55D6711F-AD4F-4ABF-B5FA-AA915B533716}"/>
    <cellStyle name="20% - Accent1 2 2 2 2 5" xfId="10030" xr:uid="{06A77474-C883-4B70-98DC-161FFE88B560}"/>
    <cellStyle name="20% - Accent1 2 2 2 2 5 2" xfId="28626" xr:uid="{E0C10266-004F-48AA-BA0C-55FDC03D7464}"/>
    <cellStyle name="20% - Accent1 2 2 2 2 6" xfId="19329" xr:uid="{FBDB0F3A-E2CF-42BC-B9C3-A5CF6724E705}"/>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6DD6CCB5-2304-45DD-A844-503B46E540E7}"/>
    <cellStyle name="20% - Accent1 2 2 2 3 2 2 2 2" xfId="35401" xr:uid="{43E6DAD9-36CA-4FA1-BBF9-32B6578635D8}"/>
    <cellStyle name="20% - Accent1 2 2 2 3 2 2 3" xfId="26104" xr:uid="{7611D567-234F-4DBD-BCF8-78A79DC793B0}"/>
    <cellStyle name="20% - Accent1 2 2 2 3 2 3" xfId="12588" xr:uid="{06E23F0C-0F56-492E-BE80-B0864103A74A}"/>
    <cellStyle name="20% - Accent1 2 2 2 3 2 3 2" xfId="31184" xr:uid="{F1696CE1-27A6-4A83-907C-C940B177E9C7}"/>
    <cellStyle name="20% - Accent1 2 2 2 3 2 4" xfId="21887" xr:uid="{54650FD4-1C16-40C0-99BC-FFF98D77101D}"/>
    <cellStyle name="20% - Accent1 2 2 2 3 3" xfId="5334" xr:uid="{00000000-0005-0000-0000-00000C000000}"/>
    <cellStyle name="20% - Accent1 2 2 2 3 3 2" xfId="14660" xr:uid="{0BCD0B03-5573-43A7-B2C7-5DA55BF79E50}"/>
    <cellStyle name="20% - Accent1 2 2 2 3 3 2 2" xfId="33256" xr:uid="{531CB0C8-BC85-45D0-842D-FE71273B4D04}"/>
    <cellStyle name="20% - Accent1 2 2 2 3 3 3" xfId="23959" xr:uid="{EB93BE08-8EEE-4AD3-AD16-21CC5F9F6849}"/>
    <cellStyle name="20% - Accent1 2 2 2 3 4" xfId="10443" xr:uid="{06454835-58F3-4B88-906D-BA64C1631429}"/>
    <cellStyle name="20% - Accent1 2 2 2 3 4 2" xfId="29039" xr:uid="{50E124D7-3FE2-4277-BA71-D0595A69470C}"/>
    <cellStyle name="20% - Accent1 2 2 2 3 5" xfId="19742" xr:uid="{3BFBC126-39C1-4E89-A7F4-7F7F90F8933D}"/>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D11915E8-9BCF-4FB4-9063-014852D8576B}"/>
    <cellStyle name="20% - Accent1 2 2 2 4 2 2 2 2" xfId="35814" xr:uid="{CA510C59-2FE4-4F98-839E-CA8425D41D9B}"/>
    <cellStyle name="20% - Accent1 2 2 2 4 2 2 3" xfId="26517" xr:uid="{EBA60574-64BB-46A9-B44C-1280BB8A8F96}"/>
    <cellStyle name="20% - Accent1 2 2 2 4 2 3" xfId="13001" xr:uid="{0D483F20-E7E0-44C5-8D33-A0D1C4D6F194}"/>
    <cellStyle name="20% - Accent1 2 2 2 4 2 3 2" xfId="31597" xr:uid="{7DA5EB15-8CAD-4D15-ACDA-B4D324D3F98D}"/>
    <cellStyle name="20% - Accent1 2 2 2 4 2 4" xfId="22300" xr:uid="{24362995-255F-4C40-A256-69A5EE9D65F3}"/>
    <cellStyle name="20% - Accent1 2 2 2 4 3" xfId="5747" xr:uid="{00000000-0005-0000-0000-000010000000}"/>
    <cellStyle name="20% - Accent1 2 2 2 4 3 2" xfId="15073" xr:uid="{9822E7E5-94B3-4B79-ACF8-36F0B027C867}"/>
    <cellStyle name="20% - Accent1 2 2 2 4 3 2 2" xfId="33669" xr:uid="{DFA44D73-9AAA-4890-8229-B127DA44C5FB}"/>
    <cellStyle name="20% - Accent1 2 2 2 4 3 3" xfId="24372" xr:uid="{08446323-8CED-4BC9-A3B0-FBDA0458AF52}"/>
    <cellStyle name="20% - Accent1 2 2 2 4 4" xfId="10856" xr:uid="{239C68DF-3E00-4FBD-8D28-CB109D955572}"/>
    <cellStyle name="20% - Accent1 2 2 2 4 4 2" xfId="29452" xr:uid="{29CD9E5B-9FC1-4AA8-8125-80EC3E3C0523}"/>
    <cellStyle name="20% - Accent1 2 2 2 4 5" xfId="20155" xr:uid="{5B74BBD0-C363-4ACA-B981-AC4FDAF6BA4B}"/>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D6572C9F-E621-4BF7-A931-1B3CBDB056CF}"/>
    <cellStyle name="20% - Accent1 2 2 2 5 2 2 2 2" xfId="36227" xr:uid="{C87A60B8-0B81-4AE4-91C6-7986886B48CC}"/>
    <cellStyle name="20% - Accent1 2 2 2 5 2 2 3" xfId="26930" xr:uid="{2857CCA2-8085-495A-8FCE-9B90BAB7B10E}"/>
    <cellStyle name="20% - Accent1 2 2 2 5 2 3" xfId="13414" xr:uid="{2C18A1EC-DA22-455C-9C39-92B8A5DD965B}"/>
    <cellStyle name="20% - Accent1 2 2 2 5 2 3 2" xfId="32010" xr:uid="{A1729F51-9474-4F9C-B003-AAB2F09964B0}"/>
    <cellStyle name="20% - Accent1 2 2 2 5 2 4" xfId="22713" xr:uid="{353BDD77-B192-4B19-BAD9-F16E91B5FE24}"/>
    <cellStyle name="20% - Accent1 2 2 2 5 3" xfId="6160" xr:uid="{00000000-0005-0000-0000-000014000000}"/>
    <cellStyle name="20% - Accent1 2 2 2 5 3 2" xfId="15486" xr:uid="{67325227-845D-42D7-A182-1E0F6102F3B0}"/>
    <cellStyle name="20% - Accent1 2 2 2 5 3 2 2" xfId="34082" xr:uid="{023607C3-94B7-4D3E-B325-56AB375861F7}"/>
    <cellStyle name="20% - Accent1 2 2 2 5 3 3" xfId="24785" xr:uid="{E448C786-BA8B-473A-BDFB-C8CFBC8E65D9}"/>
    <cellStyle name="20% - Accent1 2 2 2 5 4" xfId="11269" xr:uid="{527D4B85-C09E-49A9-B87C-C37BE4FF006D}"/>
    <cellStyle name="20% - Accent1 2 2 2 5 4 2" xfId="29865" xr:uid="{9DC250A3-FC22-4781-B4B8-A8DE8E46AFE3}"/>
    <cellStyle name="20% - Accent1 2 2 2 5 5" xfId="20568" xr:uid="{88CC9CA5-213E-4FAB-AC1E-F434ADA9902C}"/>
    <cellStyle name="20% - Accent1 2 2 2 6" xfId="2267" xr:uid="{00000000-0005-0000-0000-000015000000}"/>
    <cellStyle name="20% - Accent1 2 2 2 6 2" xfId="6573" xr:uid="{00000000-0005-0000-0000-000016000000}"/>
    <cellStyle name="20% - Accent1 2 2 2 6 2 2" xfId="15899" xr:uid="{C799672C-2DD9-4449-A8FD-849F3279EA19}"/>
    <cellStyle name="20% - Accent1 2 2 2 6 2 2 2" xfId="34495" xr:uid="{47B25C21-696A-40B9-A033-B3F1ECD455D9}"/>
    <cellStyle name="20% - Accent1 2 2 2 6 2 3" xfId="25198" xr:uid="{67E9977D-2ED9-4991-AD59-5DE362632B2E}"/>
    <cellStyle name="20% - Accent1 2 2 2 6 3" xfId="11682" xr:uid="{EF0EFF05-919C-47CE-A48A-7CF0DDFDD1D5}"/>
    <cellStyle name="20% - Accent1 2 2 2 6 3 2" xfId="30278" xr:uid="{1C4A793D-C4EC-4D70-BB9B-BE0B61FD2607}"/>
    <cellStyle name="20% - Accent1 2 2 2 6 4" xfId="20981" xr:uid="{59CFFC99-E734-4268-BD12-ABBEA9BDFE46}"/>
    <cellStyle name="20% - Accent1 2 2 2 7" xfId="4507" xr:uid="{00000000-0005-0000-0000-000017000000}"/>
    <cellStyle name="20% - Accent1 2 2 2 7 2" xfId="13833" xr:uid="{1871DD03-2803-4854-8284-F6D509F3FD7D}"/>
    <cellStyle name="20% - Accent1 2 2 2 7 2 2" xfId="32429" xr:uid="{AC58BAE4-7908-430F-BF33-D2593D0DD8A0}"/>
    <cellStyle name="20% - Accent1 2 2 2 7 3" xfId="23132" xr:uid="{8F291197-D319-46DF-842E-3E4C97815C5D}"/>
    <cellStyle name="20% - Accent1 2 2 2 8" xfId="9107" xr:uid="{4168D01E-823F-4E8F-9A1D-70697AC1F241}"/>
    <cellStyle name="20% - Accent1 2 2 2 8 2" xfId="18431" xr:uid="{5CEB1B6E-7E71-478F-8DDA-0C0F7561648B}"/>
    <cellStyle name="20% - Accent1 2 2 2 8 2 2" xfId="37026" xr:uid="{D0BA503B-6480-44A1-B76F-8F0AA435A445}"/>
    <cellStyle name="20% - Accent1 2 2 2 8 3" xfId="27729" xr:uid="{F3403868-7084-485B-8CCF-DC08755A473D}"/>
    <cellStyle name="20% - Accent1 2 2 2 9" xfId="9616" xr:uid="{DFBBEDCF-1A11-4589-9D48-B1F1AA2A931A}"/>
    <cellStyle name="20% - Accent1 2 2 2 9 2" xfId="28212" xr:uid="{AC2F2BD4-984E-4F88-96BF-E5A9226BB5EA}"/>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C8BB04C3-3F2F-4D2C-B40F-F30762A68B6D}"/>
    <cellStyle name="20% - Accent1 2 2 3 2 2 2 2" xfId="34987" xr:uid="{9FD3F878-90C0-4DF1-8369-710FA43F1329}"/>
    <cellStyle name="20% - Accent1 2 2 3 2 2 3" xfId="25690" xr:uid="{85F626C9-069B-492F-A789-D21430942F58}"/>
    <cellStyle name="20% - Accent1 2 2 3 2 3" xfId="12174" xr:uid="{464D80DC-695B-4FEC-A7E6-161876DFEB69}"/>
    <cellStyle name="20% - Accent1 2 2 3 2 3 2" xfId="30770" xr:uid="{84A19AC2-7DA4-446B-AFCF-B55838A4D516}"/>
    <cellStyle name="20% - Accent1 2 2 3 2 4" xfId="21473" xr:uid="{23B3DD22-A9C8-4217-8D3C-56270FEF4FEA}"/>
    <cellStyle name="20% - Accent1 2 2 3 3" xfId="4920" xr:uid="{00000000-0005-0000-0000-00001B000000}"/>
    <cellStyle name="20% - Accent1 2 2 3 3 2" xfId="14246" xr:uid="{780547E2-FFE2-4349-8E9B-5FB6A260F827}"/>
    <cellStyle name="20% - Accent1 2 2 3 3 2 2" xfId="32842" xr:uid="{341026C4-4833-4A75-8589-DB0ABF2FE9D5}"/>
    <cellStyle name="20% - Accent1 2 2 3 3 3" xfId="23545" xr:uid="{8F7748D7-C766-4431-88E5-88173232B21A}"/>
    <cellStyle name="20% - Accent1 2 2 3 4" xfId="9325" xr:uid="{DE19910B-698B-4F31-B25F-3533B35DDA95}"/>
    <cellStyle name="20% - Accent1 2 2 3 4 2" xfId="18640" xr:uid="{9CE7771E-8F67-488E-9470-9FF0427883A2}"/>
    <cellStyle name="20% - Accent1 2 2 3 4 2 2" xfId="37234" xr:uid="{F0A9850D-C91D-42B1-B0AB-D8AD731435D5}"/>
    <cellStyle name="20% - Accent1 2 2 3 4 3" xfId="27937" xr:uid="{68406D83-6908-48DA-B2E6-C91B4FF33A67}"/>
    <cellStyle name="20% - Accent1 2 2 3 5" xfId="10029" xr:uid="{057361DA-F53D-4B12-BFC4-212EA4D716D6}"/>
    <cellStyle name="20% - Accent1 2 2 3 5 2" xfId="28625" xr:uid="{370DB3AA-005E-46F7-B14B-AA72F73C956B}"/>
    <cellStyle name="20% - Accent1 2 2 3 6" xfId="19328" xr:uid="{E96E6D87-726B-4A99-9C16-8CBEEB2EB4F7}"/>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2BBC4AAC-80A6-4281-95A8-F84A6D175999}"/>
    <cellStyle name="20% - Accent1 2 2 4 2 2 2 2" xfId="35400" xr:uid="{5E16A21F-CFDB-4E0F-BE47-20CF2BF581CF}"/>
    <cellStyle name="20% - Accent1 2 2 4 2 2 3" xfId="26103" xr:uid="{DA6F8AF1-63FB-4BA3-9186-E9316ADB779E}"/>
    <cellStyle name="20% - Accent1 2 2 4 2 3" xfId="12587" xr:uid="{8EDFFA1F-D394-4086-84A4-76188376522D}"/>
    <cellStyle name="20% - Accent1 2 2 4 2 3 2" xfId="31183" xr:uid="{CBB251FE-1590-4BF0-ABA0-67A04575151D}"/>
    <cellStyle name="20% - Accent1 2 2 4 2 4" xfId="21886" xr:uid="{81595F70-EC0C-417B-ABE7-09481B8A0D5D}"/>
    <cellStyle name="20% - Accent1 2 2 4 3" xfId="5333" xr:uid="{00000000-0005-0000-0000-00001F000000}"/>
    <cellStyle name="20% - Accent1 2 2 4 3 2" xfId="14659" xr:uid="{F0589FE9-12CD-4F39-990F-91225A218EDE}"/>
    <cellStyle name="20% - Accent1 2 2 4 3 2 2" xfId="33255" xr:uid="{8A367192-C1A8-4443-BC6F-9571FA48F81D}"/>
    <cellStyle name="20% - Accent1 2 2 4 3 3" xfId="23958" xr:uid="{20101679-3CA7-43C2-A1DD-E1ECA70F6E76}"/>
    <cellStyle name="20% - Accent1 2 2 4 4" xfId="10442" xr:uid="{5BE7CD90-30EC-4BF8-84D0-689E5158B0B4}"/>
    <cellStyle name="20% - Accent1 2 2 4 4 2" xfId="29038" xr:uid="{CA66B52B-808F-4072-8689-BC6A8A2C5800}"/>
    <cellStyle name="20% - Accent1 2 2 4 5" xfId="19741" xr:uid="{CB5BCC60-B7FC-4517-A044-5C21367A518C}"/>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E3BF490F-7B09-48B0-AABE-4033AC391D08}"/>
    <cellStyle name="20% - Accent1 2 2 5 2 2 2 2" xfId="35813" xr:uid="{C6F16A2F-4124-4986-A886-2C02FC458DC5}"/>
    <cellStyle name="20% - Accent1 2 2 5 2 2 3" xfId="26516" xr:uid="{7F8B6345-FE48-48DD-9302-798B252BE48A}"/>
    <cellStyle name="20% - Accent1 2 2 5 2 3" xfId="13000" xr:uid="{B7DF2066-F4B6-40C9-BBBD-A9635A0A6AC1}"/>
    <cellStyle name="20% - Accent1 2 2 5 2 3 2" xfId="31596" xr:uid="{410C7BED-0B19-4F9C-B76B-5C06CC0CD946}"/>
    <cellStyle name="20% - Accent1 2 2 5 2 4" xfId="22299" xr:uid="{E03D2DAA-61FB-4D31-9049-D7C9AA979A5C}"/>
    <cellStyle name="20% - Accent1 2 2 5 3" xfId="5746" xr:uid="{00000000-0005-0000-0000-000023000000}"/>
    <cellStyle name="20% - Accent1 2 2 5 3 2" xfId="15072" xr:uid="{D77A3854-076D-47E2-8F9F-F3D2FD522EBB}"/>
    <cellStyle name="20% - Accent1 2 2 5 3 2 2" xfId="33668" xr:uid="{A1669961-4B77-4D51-A7CE-AF33BEACE818}"/>
    <cellStyle name="20% - Accent1 2 2 5 3 3" xfId="24371" xr:uid="{7D4AA6F0-7F47-4521-AB12-24C6ED43BE8B}"/>
    <cellStyle name="20% - Accent1 2 2 5 4" xfId="10855" xr:uid="{455FF75A-0294-4D4D-95EC-BEA707AEA4E4}"/>
    <cellStyle name="20% - Accent1 2 2 5 4 2" xfId="29451" xr:uid="{85375751-D9AD-47BD-81B3-015F41ABC678}"/>
    <cellStyle name="20% - Accent1 2 2 5 5" xfId="20154" xr:uid="{FDC8F52B-45A5-42B8-B828-CF669A34DA5F}"/>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701EB6A0-BA5A-4158-8810-7018ACDA68B3}"/>
    <cellStyle name="20% - Accent1 2 2 6 2 2 2 2" xfId="36226" xr:uid="{3F28D5F5-5203-4F91-AF50-5498301A48C9}"/>
    <cellStyle name="20% - Accent1 2 2 6 2 2 3" xfId="26929" xr:uid="{265325E9-5EDE-456D-94CA-DD6C8B41CE8D}"/>
    <cellStyle name="20% - Accent1 2 2 6 2 3" xfId="13413" xr:uid="{5FDD5E85-401C-4DAC-98F8-237A65AC070D}"/>
    <cellStyle name="20% - Accent1 2 2 6 2 3 2" xfId="32009" xr:uid="{28B59E39-9D8C-4FEA-A83F-1CE842FEA33C}"/>
    <cellStyle name="20% - Accent1 2 2 6 2 4" xfId="22712" xr:uid="{03507900-5271-4301-82F4-005CB4464638}"/>
    <cellStyle name="20% - Accent1 2 2 6 3" xfId="6159" xr:uid="{00000000-0005-0000-0000-000027000000}"/>
    <cellStyle name="20% - Accent1 2 2 6 3 2" xfId="15485" xr:uid="{275FF8BA-9F8E-4C92-8AE7-12FF274204B5}"/>
    <cellStyle name="20% - Accent1 2 2 6 3 2 2" xfId="34081" xr:uid="{DB2336DC-6FD7-4563-B95A-6AF6046971A5}"/>
    <cellStyle name="20% - Accent1 2 2 6 3 3" xfId="24784" xr:uid="{80C6827B-77CC-40F4-B9EC-40F96F8A898B}"/>
    <cellStyle name="20% - Accent1 2 2 6 4" xfId="11268" xr:uid="{D4273729-8969-47BC-8548-B767A08345CA}"/>
    <cellStyle name="20% - Accent1 2 2 6 4 2" xfId="29864" xr:uid="{B43FE208-85D2-4E8A-BADE-6916ABF12B0A}"/>
    <cellStyle name="20% - Accent1 2 2 6 5" xfId="20567" xr:uid="{00850641-3034-4D5F-A362-C4C7A8AE8139}"/>
    <cellStyle name="20% - Accent1 2 2 7" xfId="2266" xr:uid="{00000000-0005-0000-0000-000028000000}"/>
    <cellStyle name="20% - Accent1 2 2 7 2" xfId="6572" xr:uid="{00000000-0005-0000-0000-000029000000}"/>
    <cellStyle name="20% - Accent1 2 2 7 2 2" xfId="15898" xr:uid="{F210F55C-F9DF-4FB4-8EE1-144960C860DD}"/>
    <cellStyle name="20% - Accent1 2 2 7 2 2 2" xfId="34494" xr:uid="{2DE76344-B7BA-4A11-9AAE-26DDA6FFC30C}"/>
    <cellStyle name="20% - Accent1 2 2 7 2 3" xfId="25197" xr:uid="{BA8CF9E0-61DC-4380-99CB-597894E9D989}"/>
    <cellStyle name="20% - Accent1 2 2 7 3" xfId="11681" xr:uid="{19ACD09F-D716-4C8A-8DE1-CCA914AA3EEF}"/>
    <cellStyle name="20% - Accent1 2 2 7 3 2" xfId="30277" xr:uid="{66B85A37-9F59-4E13-BF13-EAB070058DB8}"/>
    <cellStyle name="20% - Accent1 2 2 7 4" xfId="20980" xr:uid="{1A9E8962-A798-4C96-B498-5B1A9E12812C}"/>
    <cellStyle name="20% - Accent1 2 2 8" xfId="4506" xr:uid="{00000000-0005-0000-0000-00002A000000}"/>
    <cellStyle name="20% - Accent1 2 2 8 2" xfId="13832" xr:uid="{0DDF5B8A-65FE-472C-8560-E65ADF3D9049}"/>
    <cellStyle name="20% - Accent1 2 2 8 2 2" xfId="32428" xr:uid="{05C00B0B-2CD0-46A1-9838-3C6F97B08D8C}"/>
    <cellStyle name="20% - Accent1 2 2 8 3" xfId="23131" xr:uid="{CC46D0DF-46A3-4FC7-B9A0-9AFC57F3FB1C}"/>
    <cellStyle name="20% - Accent1 2 2 9" xfId="8900" xr:uid="{7D7E3EAF-DF6A-403F-8C20-66BB9757790F}"/>
    <cellStyle name="20% - Accent1 2 2 9 2" xfId="18224" xr:uid="{CB573BDF-64B0-4993-A420-6C62991644E4}"/>
    <cellStyle name="20% - Accent1 2 2 9 2 2" xfId="36819" xr:uid="{CCB29EE0-135B-4181-9728-2E6BC35079F6}"/>
    <cellStyle name="20% - Accent1 2 2 9 3" xfId="27522" xr:uid="{89800FEF-4A8C-4B2A-9CA7-449E08CE868B}"/>
    <cellStyle name="20% - Accent1 2 3" xfId="5" xr:uid="{00000000-0005-0000-0000-00002B000000}"/>
    <cellStyle name="20% - Accent1 2 3 10" xfId="18916" xr:uid="{13640199-E339-4FA2-8DDC-A747A385D40B}"/>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BC8DDA72-3EBE-4BF0-9C63-A48E7CE896C3}"/>
    <cellStyle name="20% - Accent1 2 3 2 2 2 2 2" xfId="34989" xr:uid="{49528D4D-9F11-4939-8D5C-04CA18CF8F2F}"/>
    <cellStyle name="20% - Accent1 2 3 2 2 2 3" xfId="25692" xr:uid="{431C8490-F7C6-485C-BF97-56D04D225C4E}"/>
    <cellStyle name="20% - Accent1 2 3 2 2 3" xfId="12176" xr:uid="{24AE3850-89E0-4E95-A797-EDAF10089160}"/>
    <cellStyle name="20% - Accent1 2 3 2 2 3 2" xfId="30772" xr:uid="{C131B2D3-C224-45D6-9E93-B9400183347B}"/>
    <cellStyle name="20% - Accent1 2 3 2 2 4" xfId="21475" xr:uid="{5A105C98-47F6-47F1-BA93-F302772AE068}"/>
    <cellStyle name="20% - Accent1 2 3 2 3" xfId="4922" xr:uid="{00000000-0005-0000-0000-00002F000000}"/>
    <cellStyle name="20% - Accent1 2 3 2 3 2" xfId="14248" xr:uid="{B0E8CA59-04AE-42B8-82DA-1CB31E4AEBEC}"/>
    <cellStyle name="20% - Accent1 2 3 2 3 2 2" xfId="32844" xr:uid="{BB20CC89-AFEB-44C7-BF74-F33A928C61B8}"/>
    <cellStyle name="20% - Accent1 2 3 2 3 3" xfId="23547" xr:uid="{0DE65089-63BE-406E-8562-EC8859503976}"/>
    <cellStyle name="20% - Accent1 2 3 2 4" xfId="9429" xr:uid="{CCD4BD61-3143-497B-A316-8024A8762A6C}"/>
    <cellStyle name="20% - Accent1 2 3 2 4 2" xfId="18744" xr:uid="{581B9C83-25CC-4B6A-A779-9FC8DF89C60D}"/>
    <cellStyle name="20% - Accent1 2 3 2 4 2 2" xfId="37338" xr:uid="{B8346356-B1F0-4766-B60E-5D842913FDCE}"/>
    <cellStyle name="20% - Accent1 2 3 2 4 3" xfId="28041" xr:uid="{D65C6589-8E67-486F-9700-D597D74C5D2F}"/>
    <cellStyle name="20% - Accent1 2 3 2 5" xfId="10031" xr:uid="{F429E593-15A4-46A8-8615-C68394889449}"/>
    <cellStyle name="20% - Accent1 2 3 2 5 2" xfId="28627" xr:uid="{58AC55E0-8D00-4161-A90B-DAD1ED27B21C}"/>
    <cellStyle name="20% - Accent1 2 3 2 6" xfId="19330" xr:uid="{841B03DD-A6B5-430B-BC1F-66B26C41EF24}"/>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A9DCACCE-A0C9-410A-AA14-798637BB1007}"/>
    <cellStyle name="20% - Accent1 2 3 3 2 2 2 2" xfId="35402" xr:uid="{BC1D55BE-D65F-4744-8801-3F4FE84E3909}"/>
    <cellStyle name="20% - Accent1 2 3 3 2 2 3" xfId="26105" xr:uid="{371B2F4D-DC5E-4994-B3AE-DF339ADD524B}"/>
    <cellStyle name="20% - Accent1 2 3 3 2 3" xfId="12589" xr:uid="{5AE88009-3C0F-4BD6-B353-80BBC8FD45DA}"/>
    <cellStyle name="20% - Accent1 2 3 3 2 3 2" xfId="31185" xr:uid="{CD0164F4-5505-423C-BC14-515814E7FDEE}"/>
    <cellStyle name="20% - Accent1 2 3 3 2 4" xfId="21888" xr:uid="{3941D40D-9EF0-4ECB-B5A5-A07E20375544}"/>
    <cellStyle name="20% - Accent1 2 3 3 3" xfId="5335" xr:uid="{00000000-0005-0000-0000-000033000000}"/>
    <cellStyle name="20% - Accent1 2 3 3 3 2" xfId="14661" xr:uid="{BF113BBC-90FE-48E0-AEF8-ED7DE8A1C453}"/>
    <cellStyle name="20% - Accent1 2 3 3 3 2 2" xfId="33257" xr:uid="{00C294E5-126A-4589-8891-BB11515F0D3C}"/>
    <cellStyle name="20% - Accent1 2 3 3 3 3" xfId="23960" xr:uid="{21452E0F-BB7E-4648-9D7D-95288C443017}"/>
    <cellStyle name="20% - Accent1 2 3 3 4" xfId="10444" xr:uid="{B71BCF56-CEF9-4356-82EC-27E50A988C18}"/>
    <cellStyle name="20% - Accent1 2 3 3 4 2" xfId="29040" xr:uid="{A1132D19-C8D5-4EE2-9EF1-7480C6A5BC2D}"/>
    <cellStyle name="20% - Accent1 2 3 3 5" xfId="19743" xr:uid="{7853EF15-B5D9-4A14-830F-21CDE69554A8}"/>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B45EE3F7-9BA6-463E-9FB3-9EBBB41436D4}"/>
    <cellStyle name="20% - Accent1 2 3 4 2 2 2 2" xfId="35815" xr:uid="{1EC41AE5-C2DB-4DA8-8BC9-94E2643D8338}"/>
    <cellStyle name="20% - Accent1 2 3 4 2 2 3" xfId="26518" xr:uid="{BD9A5A52-36DF-43FA-B8F3-5A9802E3CB77}"/>
    <cellStyle name="20% - Accent1 2 3 4 2 3" xfId="13002" xr:uid="{76E28AB6-9B62-4CE2-90AA-9F4D15342C4D}"/>
    <cellStyle name="20% - Accent1 2 3 4 2 3 2" xfId="31598" xr:uid="{6AE99F7A-2463-4FF1-BE4B-290E48CDC096}"/>
    <cellStyle name="20% - Accent1 2 3 4 2 4" xfId="22301" xr:uid="{8982E593-3CF9-48A5-AEA5-582427E0BDEA}"/>
    <cellStyle name="20% - Accent1 2 3 4 3" xfId="5748" xr:uid="{00000000-0005-0000-0000-000037000000}"/>
    <cellStyle name="20% - Accent1 2 3 4 3 2" xfId="15074" xr:uid="{1D9A61BF-ED3A-4FD6-96A5-6F63786BF319}"/>
    <cellStyle name="20% - Accent1 2 3 4 3 2 2" xfId="33670" xr:uid="{AD4F6367-C0D3-494C-A31A-5210D7D470AC}"/>
    <cellStyle name="20% - Accent1 2 3 4 3 3" xfId="24373" xr:uid="{0963B26D-00CE-4DAC-8AC2-46D9753434AA}"/>
    <cellStyle name="20% - Accent1 2 3 4 4" xfId="10857" xr:uid="{ECC17F3C-FEFA-45F1-96E6-DB94C2F40FB4}"/>
    <cellStyle name="20% - Accent1 2 3 4 4 2" xfId="29453" xr:uid="{60FA0D85-0827-4833-9752-AAECA57DF379}"/>
    <cellStyle name="20% - Accent1 2 3 4 5" xfId="20156" xr:uid="{64A8F68A-47C6-4A06-BD6B-5411E32CA01F}"/>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307840AF-8469-47F0-B287-8A12320C7BFA}"/>
    <cellStyle name="20% - Accent1 2 3 5 2 2 2 2" xfId="36228" xr:uid="{FAC02F26-2B04-4928-B3B6-A99CF3342BB0}"/>
    <cellStyle name="20% - Accent1 2 3 5 2 2 3" xfId="26931" xr:uid="{43594F26-CA1E-4D02-B3FE-4FB866C2A835}"/>
    <cellStyle name="20% - Accent1 2 3 5 2 3" xfId="13415" xr:uid="{CE6A97BB-567A-411E-830F-29103C3FED5C}"/>
    <cellStyle name="20% - Accent1 2 3 5 2 3 2" xfId="32011" xr:uid="{871127BD-CB4E-4E26-AEF3-077877C2501C}"/>
    <cellStyle name="20% - Accent1 2 3 5 2 4" xfId="22714" xr:uid="{40B0638C-41C8-4DA7-8143-02F1A5E5FDBE}"/>
    <cellStyle name="20% - Accent1 2 3 5 3" xfId="6161" xr:uid="{00000000-0005-0000-0000-00003B000000}"/>
    <cellStyle name="20% - Accent1 2 3 5 3 2" xfId="15487" xr:uid="{47DF9BBF-223D-43C5-AC4C-BA73CDB9CFF4}"/>
    <cellStyle name="20% - Accent1 2 3 5 3 2 2" xfId="34083" xr:uid="{80F0F337-0505-47BA-9085-0FE47D8F2022}"/>
    <cellStyle name="20% - Accent1 2 3 5 3 3" xfId="24786" xr:uid="{E213B0D8-283D-4316-8A86-ACD4A606EC24}"/>
    <cellStyle name="20% - Accent1 2 3 5 4" xfId="11270" xr:uid="{3D8EA7DD-09E8-415A-AB91-BC9533E1F6E8}"/>
    <cellStyle name="20% - Accent1 2 3 5 4 2" xfId="29866" xr:uid="{3D166183-7AF5-4A05-A90A-CE7DE7A33502}"/>
    <cellStyle name="20% - Accent1 2 3 5 5" xfId="20569" xr:uid="{90BA3D22-1E88-4337-A151-960E3A8E92AC}"/>
    <cellStyle name="20% - Accent1 2 3 6" xfId="2268" xr:uid="{00000000-0005-0000-0000-00003C000000}"/>
    <cellStyle name="20% - Accent1 2 3 6 2" xfId="6574" xr:uid="{00000000-0005-0000-0000-00003D000000}"/>
    <cellStyle name="20% - Accent1 2 3 6 2 2" xfId="15900" xr:uid="{4B14A40A-440E-40D1-AE8C-3AD41A084ACC}"/>
    <cellStyle name="20% - Accent1 2 3 6 2 2 2" xfId="34496" xr:uid="{57D1CDDD-E385-4C47-868F-0A455F1058E4}"/>
    <cellStyle name="20% - Accent1 2 3 6 2 3" xfId="25199" xr:uid="{2A92D7EB-A02A-4375-806F-9FA1829B8107}"/>
    <cellStyle name="20% - Accent1 2 3 6 3" xfId="11683" xr:uid="{2A6696D0-CB5A-4EE5-93E5-B9543BA1AB19}"/>
    <cellStyle name="20% - Accent1 2 3 6 3 2" xfId="30279" xr:uid="{336A2F4F-AC3A-4E7B-AC5E-5B20A34171E6}"/>
    <cellStyle name="20% - Accent1 2 3 6 4" xfId="20982" xr:uid="{C87B7CA3-3656-468C-9BF3-81189B414658}"/>
    <cellStyle name="20% - Accent1 2 3 7" xfId="4508" xr:uid="{00000000-0005-0000-0000-00003E000000}"/>
    <cellStyle name="20% - Accent1 2 3 7 2" xfId="13834" xr:uid="{FD3EDBE8-316B-4805-A5B1-7EC8E5CAE61E}"/>
    <cellStyle name="20% - Accent1 2 3 7 2 2" xfId="32430" xr:uid="{DBADB7A8-A15F-4B3C-A3F9-120EC238731C}"/>
    <cellStyle name="20% - Accent1 2 3 7 3" xfId="23133" xr:uid="{C220DF94-E750-4D79-92FC-82B7A8374B46}"/>
    <cellStyle name="20% - Accent1 2 3 8" xfId="9004" xr:uid="{14A9C135-BB7B-44DD-97E1-B6B10773DEE2}"/>
    <cellStyle name="20% - Accent1 2 3 8 2" xfId="18328" xr:uid="{07E2D47D-C444-47D1-A175-8444AAA80FAD}"/>
    <cellStyle name="20% - Accent1 2 3 8 2 2" xfId="36923" xr:uid="{A9C2FB96-32D6-47C6-A4EB-F68A2DDF52C0}"/>
    <cellStyle name="20% - Accent1 2 3 8 3" xfId="27626" xr:uid="{4FE2A7F7-2577-424A-A9C5-45DB8728CE6A}"/>
    <cellStyle name="20% - Accent1 2 3 9" xfId="9617" xr:uid="{43476757-9F64-4EB6-8D65-7F583DC68FC4}"/>
    <cellStyle name="20% - Accent1 2 3 9 2" xfId="28213" xr:uid="{50FB1CBF-8BD7-49C5-A9BE-4121E22F130E}"/>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2ED7B72F-51FA-4C35-AFD7-3257B42CCE77}"/>
    <cellStyle name="20% - Accent1 2 4 2 2 2 2" xfId="34986" xr:uid="{96DDF41A-65EE-4162-A7C0-965EAB98105A}"/>
    <cellStyle name="20% - Accent1 2 4 2 2 3" xfId="25689" xr:uid="{38EF9BCA-B270-4707-9CD8-EA1A3DC75E78}"/>
    <cellStyle name="20% - Accent1 2 4 2 3" xfId="12173" xr:uid="{E5BF5FA4-3AAF-421B-A365-27BCEB4D093A}"/>
    <cellStyle name="20% - Accent1 2 4 2 3 2" xfId="30769" xr:uid="{2929AFA1-EF73-4CB7-ACF5-0C9EDD1A38D7}"/>
    <cellStyle name="20% - Accent1 2 4 2 4" xfId="21472" xr:uid="{0ADE6622-7FE5-421F-89C7-B305AE55559F}"/>
    <cellStyle name="20% - Accent1 2 4 3" xfId="4919" xr:uid="{00000000-0005-0000-0000-000042000000}"/>
    <cellStyle name="20% - Accent1 2 4 3 2" xfId="14245" xr:uid="{DB2AF821-AE32-4105-B3C8-58B86C8A7F79}"/>
    <cellStyle name="20% - Accent1 2 4 3 2 2" xfId="32841" xr:uid="{174D54DA-A9E4-428F-A8D3-E54C8004D554}"/>
    <cellStyle name="20% - Accent1 2 4 3 3" xfId="23544" xr:uid="{6D0B8CA0-D6A5-45A6-8DB7-D0B2D92A45A5}"/>
    <cellStyle name="20% - Accent1 2 4 4" xfId="9221" xr:uid="{11532E3F-E59C-4FF7-9F45-291A17A69435}"/>
    <cellStyle name="20% - Accent1 2 4 4 2" xfId="18537" xr:uid="{11A8F533-0D18-4C18-8920-EFEED69FE663}"/>
    <cellStyle name="20% - Accent1 2 4 4 2 2" xfId="37131" xr:uid="{C2D483F3-9C4E-4109-8DDF-111FD596CBD6}"/>
    <cellStyle name="20% - Accent1 2 4 4 3" xfId="27834" xr:uid="{17084C2F-7F3E-4AA0-813E-323CCD72A1CE}"/>
    <cellStyle name="20% - Accent1 2 4 5" xfId="10028" xr:uid="{DC6A0FA2-1D50-41FC-A19A-3003D0166CC9}"/>
    <cellStyle name="20% - Accent1 2 4 5 2" xfId="28624" xr:uid="{65DE16A0-72D4-4379-8C62-9D31B05CE292}"/>
    <cellStyle name="20% - Accent1 2 4 6" xfId="19327" xr:uid="{4B666E55-78E6-4149-8903-9C581D748BA0}"/>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B2020482-4AB5-410F-8FA3-CCB2E2304A88}"/>
    <cellStyle name="20% - Accent1 2 5 2 2 2 2" xfId="35399" xr:uid="{64B79E3D-DAF6-418C-8645-6C9072D2C2DF}"/>
    <cellStyle name="20% - Accent1 2 5 2 2 3" xfId="26102" xr:uid="{6CD31109-5EA9-4C94-8031-F1E4548984AA}"/>
    <cellStyle name="20% - Accent1 2 5 2 3" xfId="12586" xr:uid="{77E0D2D9-32DC-42F2-90CB-9A4A5CAE8C43}"/>
    <cellStyle name="20% - Accent1 2 5 2 3 2" xfId="31182" xr:uid="{4CE3ECE9-5DC2-4355-81F7-0A638C1B4D66}"/>
    <cellStyle name="20% - Accent1 2 5 2 4" xfId="21885" xr:uid="{37859714-D4B4-4690-97D8-DE5B038E15F5}"/>
    <cellStyle name="20% - Accent1 2 5 3" xfId="5332" xr:uid="{00000000-0005-0000-0000-000046000000}"/>
    <cellStyle name="20% - Accent1 2 5 3 2" xfId="14658" xr:uid="{8C514572-BCC0-4559-B4A9-C2A89473D50D}"/>
    <cellStyle name="20% - Accent1 2 5 3 2 2" xfId="33254" xr:uid="{3BC6E20C-275F-41B2-9237-37181539B99C}"/>
    <cellStyle name="20% - Accent1 2 5 3 3" xfId="23957" xr:uid="{9C784315-63DD-47CB-88CD-56725F05C24F}"/>
    <cellStyle name="20% - Accent1 2 5 4" xfId="10441" xr:uid="{45D5622C-2136-47E3-88FF-682A89DA956E}"/>
    <cellStyle name="20% - Accent1 2 5 4 2" xfId="29037" xr:uid="{6505DEB6-3CEE-4281-88CC-00416EB3D1E5}"/>
    <cellStyle name="20% - Accent1 2 5 5" xfId="19740" xr:uid="{88D11B80-873B-465B-9E4E-F5B150627A43}"/>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583B6E14-B3D5-45E4-BC8C-1CE12D8627AD}"/>
    <cellStyle name="20% - Accent1 2 6 2 2 2 2" xfId="35812" xr:uid="{C8147F9B-28C2-478A-934A-56CE726F7065}"/>
    <cellStyle name="20% - Accent1 2 6 2 2 3" xfId="26515" xr:uid="{53F37C92-D919-4DC5-B5C6-1C48BA394B0E}"/>
    <cellStyle name="20% - Accent1 2 6 2 3" xfId="12999" xr:uid="{63515C0E-EE13-460F-A50C-3A5C5BD80FB4}"/>
    <cellStyle name="20% - Accent1 2 6 2 3 2" xfId="31595" xr:uid="{083C38FA-AA61-4744-B344-4A53B6A6C705}"/>
    <cellStyle name="20% - Accent1 2 6 2 4" xfId="22298" xr:uid="{9C4627E0-9610-47A7-B77D-864511C3A8B7}"/>
    <cellStyle name="20% - Accent1 2 6 3" xfId="5745" xr:uid="{00000000-0005-0000-0000-00004A000000}"/>
    <cellStyle name="20% - Accent1 2 6 3 2" xfId="15071" xr:uid="{676AE6EF-A509-41D5-86B9-341FC1871ED7}"/>
    <cellStyle name="20% - Accent1 2 6 3 2 2" xfId="33667" xr:uid="{FF81F429-8076-4E89-BC91-826496B56468}"/>
    <cellStyle name="20% - Accent1 2 6 3 3" xfId="24370" xr:uid="{EDFBABD7-8633-4401-BA97-A5CD99E5AC5E}"/>
    <cellStyle name="20% - Accent1 2 6 4" xfId="10854" xr:uid="{C8ADBC6A-C359-4BB0-8C9E-1B730FAD3B30}"/>
    <cellStyle name="20% - Accent1 2 6 4 2" xfId="29450" xr:uid="{03A5E6D9-1D20-4B05-8236-5F0A1B86F924}"/>
    <cellStyle name="20% - Accent1 2 6 5" xfId="20153" xr:uid="{CD7FD79E-7886-4339-98DA-C466F6F6F20C}"/>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4A841EA0-BCAE-4C28-BA77-648DDA4B74BA}"/>
    <cellStyle name="20% - Accent1 2 7 2 2 2 2" xfId="36225" xr:uid="{1A38720C-2033-4AE5-BFE6-B2E6C4B97E0F}"/>
    <cellStyle name="20% - Accent1 2 7 2 2 3" xfId="26928" xr:uid="{C5D4C06C-5D4C-429E-83BD-74ADCC44F105}"/>
    <cellStyle name="20% - Accent1 2 7 2 3" xfId="13412" xr:uid="{A095C8F3-592C-4AD4-AB13-7F9E750AC0BD}"/>
    <cellStyle name="20% - Accent1 2 7 2 3 2" xfId="32008" xr:uid="{379558C4-B68C-4CD5-89AC-D73000F3D19C}"/>
    <cellStyle name="20% - Accent1 2 7 2 4" xfId="22711" xr:uid="{93055489-665A-4519-B3D4-A9C944133D08}"/>
    <cellStyle name="20% - Accent1 2 7 3" xfId="6158" xr:uid="{00000000-0005-0000-0000-00004E000000}"/>
    <cellStyle name="20% - Accent1 2 7 3 2" xfId="15484" xr:uid="{8E2CDE52-02C3-4954-962C-0D3CC7B2B79B}"/>
    <cellStyle name="20% - Accent1 2 7 3 2 2" xfId="34080" xr:uid="{89A1EA08-7C89-44BB-AF41-1650A3C149D7}"/>
    <cellStyle name="20% - Accent1 2 7 3 3" xfId="24783" xr:uid="{C0096336-3979-4B45-94A1-8FE1E206C5E8}"/>
    <cellStyle name="20% - Accent1 2 7 4" xfId="11267" xr:uid="{6BA5A694-80C7-47A8-A903-92B28E40A269}"/>
    <cellStyle name="20% - Accent1 2 7 4 2" xfId="29863" xr:uid="{F2930576-84BC-422E-967E-AA3CEDA9E105}"/>
    <cellStyle name="20% - Accent1 2 7 5" xfId="20566" xr:uid="{35F188FA-F084-483A-A1AF-2FAD83C13DA5}"/>
    <cellStyle name="20% - Accent1 2 8" xfId="2265" xr:uid="{00000000-0005-0000-0000-00004F000000}"/>
    <cellStyle name="20% - Accent1 2 8 2" xfId="6571" xr:uid="{00000000-0005-0000-0000-000050000000}"/>
    <cellStyle name="20% - Accent1 2 8 2 2" xfId="15897" xr:uid="{F9219E06-2F6A-4B03-BB9D-FE299A339186}"/>
    <cellStyle name="20% - Accent1 2 8 2 2 2" xfId="34493" xr:uid="{9B76779D-9B31-41B4-BDC9-58FFCB0DD8D8}"/>
    <cellStyle name="20% - Accent1 2 8 2 3" xfId="25196" xr:uid="{E91CEAA1-3EDE-4B7F-ACB5-C5D91CA2DCE3}"/>
    <cellStyle name="20% - Accent1 2 8 3" xfId="11680" xr:uid="{9EE4C28C-342F-43EA-B960-4B0D46F83287}"/>
    <cellStyle name="20% - Accent1 2 8 3 2" xfId="30276" xr:uid="{4B2973BF-51C4-467E-A8D1-2B20D17B98A9}"/>
    <cellStyle name="20% - Accent1 2 8 4" xfId="20979" xr:uid="{55A48042-1A7A-4FD4-B25E-6DA6CCDBA739}"/>
    <cellStyle name="20% - Accent1 2 9" xfId="4505" xr:uid="{00000000-0005-0000-0000-000051000000}"/>
    <cellStyle name="20% - Accent1 2 9 2" xfId="13831" xr:uid="{4C4DF7EE-845B-4546-A279-4AE39CA202C0}"/>
    <cellStyle name="20% - Accent1 2 9 2 2" xfId="32427" xr:uid="{B809A89A-B22A-4198-89B4-EF554E0C69EF}"/>
    <cellStyle name="20% - Accent1 2 9 3" xfId="23130" xr:uid="{72994149-7B1A-4190-814C-A57B3BD25E6A}"/>
    <cellStyle name="20% - Accent1 3" xfId="6" xr:uid="{00000000-0005-0000-0000-000052000000}"/>
    <cellStyle name="20% - Accent1 3 10" xfId="9618" xr:uid="{9EF646F4-970D-4480-8962-2610ECA54CE7}"/>
    <cellStyle name="20% - Accent1 3 10 2" xfId="28214" xr:uid="{A8996D98-4BDE-4489-8ECD-33E6953EE819}"/>
    <cellStyle name="20% - Accent1 3 11" xfId="18917" xr:uid="{191BBC11-7128-475E-A627-E1489B34700D}"/>
    <cellStyle name="20% - Accent1 3 2" xfId="7" xr:uid="{00000000-0005-0000-0000-000053000000}"/>
    <cellStyle name="20% - Accent1 3 2 10" xfId="18918" xr:uid="{B1FC816E-AD8E-4295-BC6D-369988899531}"/>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D77CFE81-B313-43EB-8907-9C8CA3FC5EFB}"/>
    <cellStyle name="20% - Accent1 3 2 2 2 2 2 2" xfId="34991" xr:uid="{AA9F96DC-AB02-4EFD-AE39-8EE35A58B533}"/>
    <cellStyle name="20% - Accent1 3 2 2 2 2 3" xfId="25694" xr:uid="{FACCDA47-B0B4-408E-A125-3CEB23CBD8E0}"/>
    <cellStyle name="20% - Accent1 3 2 2 2 3" xfId="12178" xr:uid="{4CBBEA7E-1665-4545-B52C-7959CDCEF8AC}"/>
    <cellStyle name="20% - Accent1 3 2 2 2 3 2" xfId="30774" xr:uid="{133AD730-4154-4504-9993-520301EAC4EC}"/>
    <cellStyle name="20% - Accent1 3 2 2 2 4" xfId="21477" xr:uid="{1268AA55-D236-40F5-B2D7-48303EEC0F90}"/>
    <cellStyle name="20% - Accent1 3 2 2 3" xfId="4924" xr:uid="{00000000-0005-0000-0000-000057000000}"/>
    <cellStyle name="20% - Accent1 3 2 2 3 2" xfId="14250" xr:uid="{E69BF5D3-92B0-4656-B69C-67536F68B6F6}"/>
    <cellStyle name="20% - Accent1 3 2 2 3 2 2" xfId="32846" xr:uid="{37CC7176-BE74-4187-82E4-AFA31F5798AD}"/>
    <cellStyle name="20% - Accent1 3 2 2 3 3" xfId="23549" xr:uid="{FBC44292-E674-46B6-8DBC-51E80778A051}"/>
    <cellStyle name="20% - Accent1 3 2 2 4" xfId="9493" xr:uid="{FCEFE71D-2A04-4899-B62A-B225DBF7F0BF}"/>
    <cellStyle name="20% - Accent1 3 2 2 4 2" xfId="18808" xr:uid="{5E68ACC3-B874-47D9-BBCF-9F1A2F5015CC}"/>
    <cellStyle name="20% - Accent1 3 2 2 4 2 2" xfId="37402" xr:uid="{98E0F99B-EA74-4F6E-90E1-92F255FAB313}"/>
    <cellStyle name="20% - Accent1 3 2 2 4 3" xfId="28105" xr:uid="{B558AC0A-7B3E-45F6-8B7A-403C2712860B}"/>
    <cellStyle name="20% - Accent1 3 2 2 5" xfId="10033" xr:uid="{0666D7F9-CB46-4D92-9D4C-C54CF5ACFF57}"/>
    <cellStyle name="20% - Accent1 3 2 2 5 2" xfId="28629" xr:uid="{8470D984-C6F3-43C7-B34B-6EFD0320304F}"/>
    <cellStyle name="20% - Accent1 3 2 2 6" xfId="19332" xr:uid="{CC0FF19A-E572-4081-884D-CFF07E1B1DFB}"/>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E6A27609-A814-4638-BBB9-DF7F3F4A0894}"/>
    <cellStyle name="20% - Accent1 3 2 3 2 2 2 2" xfId="35404" xr:uid="{BFE39B1E-0BE3-4DE7-869F-ED7F94E8D9C7}"/>
    <cellStyle name="20% - Accent1 3 2 3 2 2 3" xfId="26107" xr:uid="{EE147EED-86C5-4965-8266-2ADFD4CB77B2}"/>
    <cellStyle name="20% - Accent1 3 2 3 2 3" xfId="12591" xr:uid="{5D3B91FA-7534-4BA6-AB9B-93A92CB7B689}"/>
    <cellStyle name="20% - Accent1 3 2 3 2 3 2" xfId="31187" xr:uid="{930008F3-BBAE-4ACC-A2B1-A30B8AB89E33}"/>
    <cellStyle name="20% - Accent1 3 2 3 2 4" xfId="21890" xr:uid="{1AE89F27-3270-4D5D-BEAD-76D14F6E0B69}"/>
    <cellStyle name="20% - Accent1 3 2 3 3" xfId="5337" xr:uid="{00000000-0005-0000-0000-00005B000000}"/>
    <cellStyle name="20% - Accent1 3 2 3 3 2" xfId="14663" xr:uid="{1DC666A1-4566-4EEC-BC73-01E987A6D548}"/>
    <cellStyle name="20% - Accent1 3 2 3 3 2 2" xfId="33259" xr:uid="{F704F44C-2AE3-48AD-BBBC-0B7ED9183C8E}"/>
    <cellStyle name="20% - Accent1 3 2 3 3 3" xfId="23962" xr:uid="{A7BD9EF1-74EA-4E41-84ED-A20CBE73686F}"/>
    <cellStyle name="20% - Accent1 3 2 3 4" xfId="10446" xr:uid="{408278C9-4808-43D6-986C-0A47210BFCC3}"/>
    <cellStyle name="20% - Accent1 3 2 3 4 2" xfId="29042" xr:uid="{A26A5C93-AF92-4845-9EAA-B9DC25B7C585}"/>
    <cellStyle name="20% - Accent1 3 2 3 5" xfId="19745" xr:uid="{2FDEA7BA-AF08-4F57-96C3-C002E5FF6A13}"/>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8A1D9C3D-E5CF-4467-9937-110B5110F01D}"/>
    <cellStyle name="20% - Accent1 3 2 4 2 2 2 2" xfId="35817" xr:uid="{A51EB2CD-5807-42C9-BF18-26450900FE14}"/>
    <cellStyle name="20% - Accent1 3 2 4 2 2 3" xfId="26520" xr:uid="{2C8FD01A-6794-4FDF-961E-1A53C6D2F4B5}"/>
    <cellStyle name="20% - Accent1 3 2 4 2 3" xfId="13004" xr:uid="{6BEF105E-397C-4976-A100-03171C3F32C8}"/>
    <cellStyle name="20% - Accent1 3 2 4 2 3 2" xfId="31600" xr:uid="{29EE468D-D559-4A84-904F-640DBE03B9F7}"/>
    <cellStyle name="20% - Accent1 3 2 4 2 4" xfId="22303" xr:uid="{547E9C9A-CEA1-4DA3-A44F-ACA51D164118}"/>
    <cellStyle name="20% - Accent1 3 2 4 3" xfId="5750" xr:uid="{00000000-0005-0000-0000-00005F000000}"/>
    <cellStyle name="20% - Accent1 3 2 4 3 2" xfId="15076" xr:uid="{1C13F872-55CF-4AD1-A412-58DD1AD3CEEA}"/>
    <cellStyle name="20% - Accent1 3 2 4 3 2 2" xfId="33672" xr:uid="{2CAE0004-87A8-495C-AE38-9EC046226DD5}"/>
    <cellStyle name="20% - Accent1 3 2 4 3 3" xfId="24375" xr:uid="{6AF67EB3-5F73-42D6-8534-6D1A88D55C48}"/>
    <cellStyle name="20% - Accent1 3 2 4 4" xfId="10859" xr:uid="{99A598C0-DAEF-4059-8DB0-A51EC18638C4}"/>
    <cellStyle name="20% - Accent1 3 2 4 4 2" xfId="29455" xr:uid="{58346015-5BE2-4000-8076-81E720CAF4D8}"/>
    <cellStyle name="20% - Accent1 3 2 4 5" xfId="20158" xr:uid="{9A0A0272-9514-40A1-881C-379E45FDA866}"/>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F64BECA7-5A8F-4DF7-AC46-ABC66FB11979}"/>
    <cellStyle name="20% - Accent1 3 2 5 2 2 2 2" xfId="36230" xr:uid="{650E9727-060E-4ACB-AEBF-EBACA862B4C5}"/>
    <cellStyle name="20% - Accent1 3 2 5 2 2 3" xfId="26933" xr:uid="{758A4F6F-57C2-4099-963B-97216EB9D716}"/>
    <cellStyle name="20% - Accent1 3 2 5 2 3" xfId="13417" xr:uid="{28A2A260-1681-46EB-9D66-81F4648D9CFB}"/>
    <cellStyle name="20% - Accent1 3 2 5 2 3 2" xfId="32013" xr:uid="{51E1EA4D-164B-4B5B-B414-844208982E2C}"/>
    <cellStyle name="20% - Accent1 3 2 5 2 4" xfId="22716" xr:uid="{D0FEBB35-A943-474C-B89C-F71A2115559B}"/>
    <cellStyle name="20% - Accent1 3 2 5 3" xfId="6163" xr:uid="{00000000-0005-0000-0000-000063000000}"/>
    <cellStyle name="20% - Accent1 3 2 5 3 2" xfId="15489" xr:uid="{8CE81614-044E-45E1-AE56-F39F9A18A328}"/>
    <cellStyle name="20% - Accent1 3 2 5 3 2 2" xfId="34085" xr:uid="{BB224887-76B5-4878-A0A9-4AB35539E48A}"/>
    <cellStyle name="20% - Accent1 3 2 5 3 3" xfId="24788" xr:uid="{02E82310-F0AD-44EC-96AD-DAD02FB81301}"/>
    <cellStyle name="20% - Accent1 3 2 5 4" xfId="11272" xr:uid="{B4E79094-9D02-4142-A8E1-F36FFAA18A12}"/>
    <cellStyle name="20% - Accent1 3 2 5 4 2" xfId="29868" xr:uid="{EFBC8684-6AD6-4796-9C5D-59A716A5DF79}"/>
    <cellStyle name="20% - Accent1 3 2 5 5" xfId="20571" xr:uid="{C22F96B7-025F-4098-9EAF-847196C03516}"/>
    <cellStyle name="20% - Accent1 3 2 6" xfId="2270" xr:uid="{00000000-0005-0000-0000-000064000000}"/>
    <cellStyle name="20% - Accent1 3 2 6 2" xfId="6576" xr:uid="{00000000-0005-0000-0000-000065000000}"/>
    <cellStyle name="20% - Accent1 3 2 6 2 2" xfId="15902" xr:uid="{EAE8330C-87E8-45BA-8C25-19678DB45D14}"/>
    <cellStyle name="20% - Accent1 3 2 6 2 2 2" xfId="34498" xr:uid="{83CD07AB-1421-435D-96D2-96600A4760AF}"/>
    <cellStyle name="20% - Accent1 3 2 6 2 3" xfId="25201" xr:uid="{16AC8AD9-2582-4194-93F3-936A62362E64}"/>
    <cellStyle name="20% - Accent1 3 2 6 3" xfId="11685" xr:uid="{FBB00D17-6F44-4F80-ADCB-46BC6F3CDFEA}"/>
    <cellStyle name="20% - Accent1 3 2 6 3 2" xfId="30281" xr:uid="{2C7B2F4D-159B-46A8-AC99-84F95B271F5F}"/>
    <cellStyle name="20% - Accent1 3 2 6 4" xfId="20984" xr:uid="{5DE5540F-4B0F-42D1-AC76-ACD0AF69E85A}"/>
    <cellStyle name="20% - Accent1 3 2 7" xfId="4510" xr:uid="{00000000-0005-0000-0000-000066000000}"/>
    <cellStyle name="20% - Accent1 3 2 7 2" xfId="13836" xr:uid="{4DB78A0B-3154-4648-99D0-7DF550193B74}"/>
    <cellStyle name="20% - Accent1 3 2 7 2 2" xfId="32432" xr:uid="{A38D3AE0-B7F0-467B-AC48-843F50931F6F}"/>
    <cellStyle name="20% - Accent1 3 2 7 3" xfId="23135" xr:uid="{AFB9303A-9FBE-44E5-8EC2-54D981C84C11}"/>
    <cellStyle name="20% - Accent1 3 2 8" xfId="9068" xr:uid="{354460C9-AD38-4FCD-882B-4DFB81DE5890}"/>
    <cellStyle name="20% - Accent1 3 2 8 2" xfId="18392" xr:uid="{8DED7CC9-E1DC-4FB3-AA19-4B4C8CBCF743}"/>
    <cellStyle name="20% - Accent1 3 2 8 2 2" xfId="36987" xr:uid="{0787197B-DE10-416C-90C9-ACE4FB22DB7A}"/>
    <cellStyle name="20% - Accent1 3 2 8 3" xfId="27690" xr:uid="{9E549F6E-56D9-4B15-9439-FA9968430314}"/>
    <cellStyle name="20% - Accent1 3 2 9" xfId="9619" xr:uid="{A5D22889-0A94-4AE5-AA71-AF3863FAF845}"/>
    <cellStyle name="20% - Accent1 3 2 9 2" xfId="28215" xr:uid="{3CBBB0BF-222A-47FF-A63E-42D967976E2F}"/>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D2362947-53A8-4F9A-8682-020E1E35B99A}"/>
    <cellStyle name="20% - Accent1 3 3 2 2 2 2" xfId="34990" xr:uid="{F613DBF7-F558-4F4C-9A28-1E6D30F1AB59}"/>
    <cellStyle name="20% - Accent1 3 3 2 2 3" xfId="25693" xr:uid="{471738BA-1855-4B08-94B5-7321B6E90110}"/>
    <cellStyle name="20% - Accent1 3 3 2 3" xfId="12177" xr:uid="{505F873C-617E-44A0-86B4-EBBD405E67CD}"/>
    <cellStyle name="20% - Accent1 3 3 2 3 2" xfId="30773" xr:uid="{BCDA658D-FA0C-4D4B-A6BF-613CB0923E0B}"/>
    <cellStyle name="20% - Accent1 3 3 2 4" xfId="21476" xr:uid="{DEB0622D-6C9C-4FE9-A6DC-36CA4A6FF2D7}"/>
    <cellStyle name="20% - Accent1 3 3 3" xfId="4923" xr:uid="{00000000-0005-0000-0000-00006A000000}"/>
    <cellStyle name="20% - Accent1 3 3 3 2" xfId="14249" xr:uid="{75D63298-0AED-464D-B9AA-781363CF0EBC}"/>
    <cellStyle name="20% - Accent1 3 3 3 2 2" xfId="32845" xr:uid="{8809F412-5232-49B8-8736-41D81B4102BF}"/>
    <cellStyle name="20% - Accent1 3 3 3 3" xfId="23548" xr:uid="{3102BE40-3544-4194-9BF3-BE579FE12C48}"/>
    <cellStyle name="20% - Accent1 3 3 4" xfId="9286" xr:uid="{B5220C4B-EBE7-4AD0-9A24-7F16FA378184}"/>
    <cellStyle name="20% - Accent1 3 3 4 2" xfId="18601" xr:uid="{61985C81-601A-477F-8E44-D0F142B2CBAE}"/>
    <cellStyle name="20% - Accent1 3 3 4 2 2" xfId="37195" xr:uid="{DA5E160C-EDD3-4DF1-9E92-BC10A7B7168F}"/>
    <cellStyle name="20% - Accent1 3 3 4 3" xfId="27898" xr:uid="{2E4A3D9B-1EE7-44D7-93FD-B1671812CDA1}"/>
    <cellStyle name="20% - Accent1 3 3 5" xfId="10032" xr:uid="{D5B51185-4BD7-4508-B23C-6AFDFE8A6831}"/>
    <cellStyle name="20% - Accent1 3 3 5 2" xfId="28628" xr:uid="{3ED6A726-5BB8-4F95-8946-C6113F4A5B8C}"/>
    <cellStyle name="20% - Accent1 3 3 6" xfId="19331" xr:uid="{ACF3B2B7-5B73-4BC1-B7DD-F75C820AEB56}"/>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144B2CED-B38A-4292-87F6-61DB0A653384}"/>
    <cellStyle name="20% - Accent1 3 4 2 2 2 2" xfId="35403" xr:uid="{F31C90FF-BD03-48AE-9F4E-671649BF64C6}"/>
    <cellStyle name="20% - Accent1 3 4 2 2 3" xfId="26106" xr:uid="{CF73176C-FCEB-458B-B62D-B20C8DBCE058}"/>
    <cellStyle name="20% - Accent1 3 4 2 3" xfId="12590" xr:uid="{DA0E1C2C-756A-49B9-9075-649C1971CB8B}"/>
    <cellStyle name="20% - Accent1 3 4 2 3 2" xfId="31186" xr:uid="{93FC6485-7F96-4DC4-A860-9E2957083C01}"/>
    <cellStyle name="20% - Accent1 3 4 2 4" xfId="21889" xr:uid="{5A1DC2C7-F1BE-47D6-B70C-0142E6F03F65}"/>
    <cellStyle name="20% - Accent1 3 4 3" xfId="5336" xr:uid="{00000000-0005-0000-0000-00006E000000}"/>
    <cellStyle name="20% - Accent1 3 4 3 2" xfId="14662" xr:uid="{6663C7F2-0B00-4B41-BD0E-173652B20375}"/>
    <cellStyle name="20% - Accent1 3 4 3 2 2" xfId="33258" xr:uid="{9C8BDEE2-E7B3-4BCB-B83A-8C4B974CC5C5}"/>
    <cellStyle name="20% - Accent1 3 4 3 3" xfId="23961" xr:uid="{B2EF10E2-8D40-4AF1-8CF9-620086F9B670}"/>
    <cellStyle name="20% - Accent1 3 4 4" xfId="10445" xr:uid="{EA3F7A1B-92BA-4162-8420-EA031C42F0DB}"/>
    <cellStyle name="20% - Accent1 3 4 4 2" xfId="29041" xr:uid="{ED93E557-6BDC-458E-A946-FE00D4DC37B5}"/>
    <cellStyle name="20% - Accent1 3 4 5" xfId="19744" xr:uid="{A90AC4B6-18B8-4FC0-B4ED-056FD81ACB38}"/>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101AB6FF-21B7-4223-BA27-37D770E669E6}"/>
    <cellStyle name="20% - Accent1 3 5 2 2 2 2" xfId="35816" xr:uid="{BA3D8080-679A-4284-A67D-515BE3C2CFEB}"/>
    <cellStyle name="20% - Accent1 3 5 2 2 3" xfId="26519" xr:uid="{4494B1E9-C7AC-46D5-8920-5D9BB0958856}"/>
    <cellStyle name="20% - Accent1 3 5 2 3" xfId="13003" xr:uid="{576E3268-9554-4F43-B56B-694515420553}"/>
    <cellStyle name="20% - Accent1 3 5 2 3 2" xfId="31599" xr:uid="{EBB75347-26CB-45ED-98D9-6B0EFE8050DE}"/>
    <cellStyle name="20% - Accent1 3 5 2 4" xfId="22302" xr:uid="{A39DAFD9-6A3F-419F-B179-6DB965BFD5EF}"/>
    <cellStyle name="20% - Accent1 3 5 3" xfId="5749" xr:uid="{00000000-0005-0000-0000-000072000000}"/>
    <cellStyle name="20% - Accent1 3 5 3 2" xfId="15075" xr:uid="{25929880-D451-4C03-A501-34009A774748}"/>
    <cellStyle name="20% - Accent1 3 5 3 2 2" xfId="33671" xr:uid="{7914A732-188D-4076-BC1D-353F4F0C4783}"/>
    <cellStyle name="20% - Accent1 3 5 3 3" xfId="24374" xr:uid="{50E31DCF-39ED-4688-B89F-29084EF84B37}"/>
    <cellStyle name="20% - Accent1 3 5 4" xfId="10858" xr:uid="{65F7E536-5BDF-4D47-9665-9D1482A031BA}"/>
    <cellStyle name="20% - Accent1 3 5 4 2" xfId="29454" xr:uid="{B826F4C3-D9CE-412F-BC9B-ADAE2C37DE90}"/>
    <cellStyle name="20% - Accent1 3 5 5" xfId="20157" xr:uid="{47F2F1F0-C351-4B69-A903-2478B35A6722}"/>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E5BECA32-8D03-4C1D-B929-A49CE10BFC21}"/>
    <cellStyle name="20% - Accent1 3 6 2 2 2 2" xfId="36229" xr:uid="{1FA581E0-A54C-4D98-B4EB-38F0FF3CBC11}"/>
    <cellStyle name="20% - Accent1 3 6 2 2 3" xfId="26932" xr:uid="{146A9CFC-9BE6-4E47-8885-A20E164C1C1A}"/>
    <cellStyle name="20% - Accent1 3 6 2 3" xfId="13416" xr:uid="{B0969442-980A-4689-8F50-8946426CB452}"/>
    <cellStyle name="20% - Accent1 3 6 2 3 2" xfId="32012" xr:uid="{60BEDF51-CC6F-4DDC-93B1-43CD6558D643}"/>
    <cellStyle name="20% - Accent1 3 6 2 4" xfId="22715" xr:uid="{39C65E8B-93C0-4BEE-AFA9-57001ED84108}"/>
    <cellStyle name="20% - Accent1 3 6 3" xfId="6162" xr:uid="{00000000-0005-0000-0000-000076000000}"/>
    <cellStyle name="20% - Accent1 3 6 3 2" xfId="15488" xr:uid="{4B9B5E98-3C2D-4C44-8C38-34C991F9028D}"/>
    <cellStyle name="20% - Accent1 3 6 3 2 2" xfId="34084" xr:uid="{6E1B7A5A-223C-4EE5-991F-9909B4BD4D8A}"/>
    <cellStyle name="20% - Accent1 3 6 3 3" xfId="24787" xr:uid="{9B28839A-5BEC-47C6-8202-CC026370E32A}"/>
    <cellStyle name="20% - Accent1 3 6 4" xfId="11271" xr:uid="{12ABE3B8-1424-4A72-8AFD-25AC6F76D49C}"/>
    <cellStyle name="20% - Accent1 3 6 4 2" xfId="29867" xr:uid="{BE6A7CFC-B45F-486E-99FD-B4C82B56FC22}"/>
    <cellStyle name="20% - Accent1 3 6 5" xfId="20570" xr:uid="{7A3F6A23-4D42-47E1-AAF6-78671D80508B}"/>
    <cellStyle name="20% - Accent1 3 7" xfId="2269" xr:uid="{00000000-0005-0000-0000-000077000000}"/>
    <cellStyle name="20% - Accent1 3 7 2" xfId="6575" xr:uid="{00000000-0005-0000-0000-000078000000}"/>
    <cellStyle name="20% - Accent1 3 7 2 2" xfId="15901" xr:uid="{D4942B36-8C69-40F9-B57C-ABAA2F69F583}"/>
    <cellStyle name="20% - Accent1 3 7 2 2 2" xfId="34497" xr:uid="{63B549C2-FCB6-417E-8F9D-D96CF590AAB7}"/>
    <cellStyle name="20% - Accent1 3 7 2 3" xfId="25200" xr:uid="{A5A1DA41-7F35-44D9-8C20-3A3F0B9046BF}"/>
    <cellStyle name="20% - Accent1 3 7 3" xfId="11684" xr:uid="{9BC9E2EA-068D-481B-A0EA-E8E44A7FDA21}"/>
    <cellStyle name="20% - Accent1 3 7 3 2" xfId="30280" xr:uid="{9C093FB7-55A7-47AF-B944-84E6103E6767}"/>
    <cellStyle name="20% - Accent1 3 7 4" xfId="20983" xr:uid="{2AC07CC2-9733-40A0-B35B-DDC2540A6E1B}"/>
    <cellStyle name="20% - Accent1 3 8" xfId="4509" xr:uid="{00000000-0005-0000-0000-000079000000}"/>
    <cellStyle name="20% - Accent1 3 8 2" xfId="13835" xr:uid="{125440D7-06DA-45DD-9B8F-B0BD99CDF41E}"/>
    <cellStyle name="20% - Accent1 3 8 2 2" xfId="32431" xr:uid="{9B17B8D7-208C-45BE-B1A9-7CB7AB4536C5}"/>
    <cellStyle name="20% - Accent1 3 8 3" xfId="23134" xr:uid="{A941E92A-F497-45B8-A6D3-F62BF2D43988}"/>
    <cellStyle name="20% - Accent1 3 9" xfId="8861" xr:uid="{C1B75176-75E3-4E31-86A7-851E7FD67A9E}"/>
    <cellStyle name="20% - Accent1 3 9 2" xfId="18185" xr:uid="{679E458E-CC0D-4523-B300-F881CFDB626E}"/>
    <cellStyle name="20% - Accent1 3 9 2 2" xfId="36780" xr:uid="{F016A98A-5877-4211-B096-9C90AFD92DFE}"/>
    <cellStyle name="20% - Accent1 3 9 3" xfId="27483" xr:uid="{8C5B8A5B-A066-4FBB-9BD3-76147E5C2382}"/>
    <cellStyle name="20% - Accent1 4" xfId="8" xr:uid="{00000000-0005-0000-0000-00007A000000}"/>
    <cellStyle name="20% - Accent1 4 10" xfId="18919" xr:uid="{F50D32AF-F868-47B3-B0F6-793CB4A3CA0A}"/>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6BAC2720-8754-4D59-B4A5-D00315089EC0}"/>
    <cellStyle name="20% - Accent1 4 2 2 2 2 2" xfId="34992" xr:uid="{1ABD7215-E689-407F-9B66-2763CA266356}"/>
    <cellStyle name="20% - Accent1 4 2 2 2 3" xfId="25695" xr:uid="{69BE847C-1AE0-45A2-B15C-000C76C2396F}"/>
    <cellStyle name="20% - Accent1 4 2 2 3" xfId="12179" xr:uid="{BC7FDC03-F008-4CAC-9114-C4BCAAF94200}"/>
    <cellStyle name="20% - Accent1 4 2 2 3 2" xfId="30775" xr:uid="{B20257C4-A099-42A1-85D9-66D400D1EA75}"/>
    <cellStyle name="20% - Accent1 4 2 2 4" xfId="21478" xr:uid="{350F6C83-2A78-4C9E-BA4C-EDBCD1921368}"/>
    <cellStyle name="20% - Accent1 4 2 3" xfId="4925" xr:uid="{00000000-0005-0000-0000-00007E000000}"/>
    <cellStyle name="20% - Accent1 4 2 3 2" xfId="14251" xr:uid="{4174D7C0-2409-4EAF-BA5E-B1E300184FC7}"/>
    <cellStyle name="20% - Accent1 4 2 3 2 2" xfId="32847" xr:uid="{E4456CB6-C314-4845-94B3-FC3B78471632}"/>
    <cellStyle name="20% - Accent1 4 2 3 3" xfId="23550" xr:uid="{B838F886-5F97-4D57-B9C4-969A90A52D38}"/>
    <cellStyle name="20% - Accent1 4 2 4" xfId="9372" xr:uid="{E6B08341-6F7D-4580-9BCF-4BFC252FAE31}"/>
    <cellStyle name="20% - Accent1 4 2 4 2" xfId="18687" xr:uid="{E5E6FF4F-4A0E-4344-9B3B-A47FA9202AC4}"/>
    <cellStyle name="20% - Accent1 4 2 4 2 2" xfId="37281" xr:uid="{4AB933E4-470E-49C3-B582-F34E9F73F44B}"/>
    <cellStyle name="20% - Accent1 4 2 4 3" xfId="27984" xr:uid="{61F27B8D-E650-47AA-AC92-A7A141DA5D4D}"/>
    <cellStyle name="20% - Accent1 4 2 5" xfId="10034" xr:uid="{CAFE6B90-ED9E-4CE6-B352-489A5C842FA0}"/>
    <cellStyle name="20% - Accent1 4 2 5 2" xfId="28630" xr:uid="{0AD86FC5-96D3-42DB-B6FC-FE89B609347B}"/>
    <cellStyle name="20% - Accent1 4 2 6" xfId="19333" xr:uid="{EB778969-E1BA-4479-BF21-F125F22BB3FC}"/>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2161EB31-7680-45AF-A229-1F2368AA542A}"/>
    <cellStyle name="20% - Accent1 4 3 2 2 2 2" xfId="35405" xr:uid="{943EE877-8289-4E4C-BF9E-608A61332D96}"/>
    <cellStyle name="20% - Accent1 4 3 2 2 3" xfId="26108" xr:uid="{005127B8-0A0B-426D-B326-7B3F70D3D3F2}"/>
    <cellStyle name="20% - Accent1 4 3 2 3" xfId="12592" xr:uid="{970FDB2A-84DB-4E86-96C3-A51960235ADC}"/>
    <cellStyle name="20% - Accent1 4 3 2 3 2" xfId="31188" xr:uid="{A387F2E6-CD3F-445B-9CE4-710ED0E3FFBA}"/>
    <cellStyle name="20% - Accent1 4 3 2 4" xfId="21891" xr:uid="{57ACAA0E-EBB7-43CF-9C10-FCF6F8342696}"/>
    <cellStyle name="20% - Accent1 4 3 3" xfId="5338" xr:uid="{00000000-0005-0000-0000-000082000000}"/>
    <cellStyle name="20% - Accent1 4 3 3 2" xfId="14664" xr:uid="{D2CF1D2C-59BD-44C9-A9BD-DA1674BD6A1B}"/>
    <cellStyle name="20% - Accent1 4 3 3 2 2" xfId="33260" xr:uid="{B102594A-3CE6-471D-986D-968C84374731}"/>
    <cellStyle name="20% - Accent1 4 3 3 3" xfId="23963" xr:uid="{3748C876-CE71-4DD9-991C-D2D4D7556630}"/>
    <cellStyle name="20% - Accent1 4 3 4" xfId="10447" xr:uid="{548F5F73-4137-46DF-B6E8-B17383CB3711}"/>
    <cellStyle name="20% - Accent1 4 3 4 2" xfId="29043" xr:uid="{D016108C-B173-498F-97B9-0282383C64AF}"/>
    <cellStyle name="20% - Accent1 4 3 5" xfId="19746" xr:uid="{92A4A9B5-605C-4C11-8328-650D2E7D48C6}"/>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3775A11C-FCE8-4377-B861-3E915C0BA489}"/>
    <cellStyle name="20% - Accent1 4 4 2 2 2 2" xfId="35818" xr:uid="{CDE5C7D3-5A8C-4118-A186-2FB8066BE74D}"/>
    <cellStyle name="20% - Accent1 4 4 2 2 3" xfId="26521" xr:uid="{A8705297-4C07-4C02-8247-11F3905B25FD}"/>
    <cellStyle name="20% - Accent1 4 4 2 3" xfId="13005" xr:uid="{C568E081-4AEF-4921-BF7F-F6EC45108897}"/>
    <cellStyle name="20% - Accent1 4 4 2 3 2" xfId="31601" xr:uid="{5A9938A2-D8F3-4C16-917F-6331C296BD16}"/>
    <cellStyle name="20% - Accent1 4 4 2 4" xfId="22304" xr:uid="{AB1AAA58-DD13-4F6D-BFFE-C2DE4404DFA5}"/>
    <cellStyle name="20% - Accent1 4 4 3" xfId="5751" xr:uid="{00000000-0005-0000-0000-000086000000}"/>
    <cellStyle name="20% - Accent1 4 4 3 2" xfId="15077" xr:uid="{992872F3-795E-40CA-85FD-D43015763B51}"/>
    <cellStyle name="20% - Accent1 4 4 3 2 2" xfId="33673" xr:uid="{295A3ACD-44C9-48FA-838E-11E85B255D56}"/>
    <cellStyle name="20% - Accent1 4 4 3 3" xfId="24376" xr:uid="{8E995AEC-8029-46BE-894C-16EC8EF275BB}"/>
    <cellStyle name="20% - Accent1 4 4 4" xfId="10860" xr:uid="{9D4F07DC-83EA-4007-9AFA-4DD7783BF61E}"/>
    <cellStyle name="20% - Accent1 4 4 4 2" xfId="29456" xr:uid="{37AA0FAF-C67A-435E-B3EC-87E4ABCAA613}"/>
    <cellStyle name="20% - Accent1 4 4 5" xfId="20159" xr:uid="{C42CE370-7129-41BD-B758-7CFF068C6635}"/>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62E567C5-3B60-4D67-84FA-2355253AA257}"/>
    <cellStyle name="20% - Accent1 4 5 2 2 2 2" xfId="36231" xr:uid="{E4FF9759-7D6A-47F4-9B7E-4CD8CBFD4C1B}"/>
    <cellStyle name="20% - Accent1 4 5 2 2 3" xfId="26934" xr:uid="{D22DEE1E-C644-4B62-87F1-83764F3C2639}"/>
    <cellStyle name="20% - Accent1 4 5 2 3" xfId="13418" xr:uid="{63F7D90B-AE32-4E80-B488-F488BC0E8F8E}"/>
    <cellStyle name="20% - Accent1 4 5 2 3 2" xfId="32014" xr:uid="{1A6DE794-1131-4F38-A446-AE40CCF1005C}"/>
    <cellStyle name="20% - Accent1 4 5 2 4" xfId="22717" xr:uid="{6B651D33-AC5B-486B-9188-81EF6E503996}"/>
    <cellStyle name="20% - Accent1 4 5 3" xfId="6164" xr:uid="{00000000-0005-0000-0000-00008A000000}"/>
    <cellStyle name="20% - Accent1 4 5 3 2" xfId="15490" xr:uid="{59D47A9D-09B3-4D58-B386-E1AA9464AA29}"/>
    <cellStyle name="20% - Accent1 4 5 3 2 2" xfId="34086" xr:uid="{7DDC9AFE-9C8F-46DD-823E-3CEF631F3419}"/>
    <cellStyle name="20% - Accent1 4 5 3 3" xfId="24789" xr:uid="{709BF4B9-5DFE-4B0D-87C5-31E6FEB89B51}"/>
    <cellStyle name="20% - Accent1 4 5 4" xfId="11273" xr:uid="{FBA56819-08E4-4213-8AF3-DAD15B323A2B}"/>
    <cellStyle name="20% - Accent1 4 5 4 2" xfId="29869" xr:uid="{CE786BC1-04B0-47F0-9EF8-EEC8A4D9C5D0}"/>
    <cellStyle name="20% - Accent1 4 5 5" xfId="20572" xr:uid="{77268BA3-6F81-4391-8083-C6E88125713D}"/>
    <cellStyle name="20% - Accent1 4 6" xfId="2271" xr:uid="{00000000-0005-0000-0000-00008B000000}"/>
    <cellStyle name="20% - Accent1 4 6 2" xfId="6577" xr:uid="{00000000-0005-0000-0000-00008C000000}"/>
    <cellStyle name="20% - Accent1 4 6 2 2" xfId="15903" xr:uid="{2550F57F-7C4D-4DF0-9825-986718084733}"/>
    <cellStyle name="20% - Accent1 4 6 2 2 2" xfId="34499" xr:uid="{8920318E-01E2-4AD0-8811-925C5073624E}"/>
    <cellStyle name="20% - Accent1 4 6 2 3" xfId="25202" xr:uid="{4FB37A44-5CBB-46E0-8F71-13B0360B0230}"/>
    <cellStyle name="20% - Accent1 4 6 3" xfId="11686" xr:uid="{4203D21F-E87C-4DB9-BE4A-F0D48837E730}"/>
    <cellStyle name="20% - Accent1 4 6 3 2" xfId="30282" xr:uid="{D45FC405-CB3F-4F1F-BB98-8151D9399234}"/>
    <cellStyle name="20% - Accent1 4 6 4" xfId="20985" xr:uid="{F013F053-5509-445E-A886-342A45CB800E}"/>
    <cellStyle name="20% - Accent1 4 7" xfId="4511" xr:uid="{00000000-0005-0000-0000-00008D000000}"/>
    <cellStyle name="20% - Accent1 4 7 2" xfId="13837" xr:uid="{C428BC3F-0D1E-4499-9A1B-D3C47C686956}"/>
    <cellStyle name="20% - Accent1 4 7 2 2" xfId="32433" xr:uid="{D0BAB091-EC70-45A3-89A9-E0A502952873}"/>
    <cellStyle name="20% - Accent1 4 7 3" xfId="23136" xr:uid="{720505E2-D2AB-4F11-B821-466D285B9C38}"/>
    <cellStyle name="20% - Accent1 4 8" xfId="8947" xr:uid="{1FCDBFE2-CC86-42DD-AD9B-D3EAF476002E}"/>
    <cellStyle name="20% - Accent1 4 8 2" xfId="18271" xr:uid="{42D462C5-F904-4339-988F-AC658C05732D}"/>
    <cellStyle name="20% - Accent1 4 8 2 2" xfId="36866" xr:uid="{C0142279-57E9-4D2E-A397-50D4B9D52002}"/>
    <cellStyle name="20% - Accent1 4 8 3" xfId="27569" xr:uid="{BA0BDEC7-5035-48AF-A67C-3152B5952261}"/>
    <cellStyle name="20% - Accent1 4 9" xfId="9620" xr:uid="{A4C43882-04FB-47F3-A57A-23AAB36D3F61}"/>
    <cellStyle name="20% - Accent1 4 9 2" xfId="28216" xr:uid="{B49D5268-59A9-48B2-B77D-770616112C68}"/>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6A2532B1-18E9-4251-A916-AD40AF538D81}"/>
    <cellStyle name="20% - Accent1 5 2 2 2 2" xfId="34985" xr:uid="{3AE83F36-CE35-4EB4-855C-54E93A95567F}"/>
    <cellStyle name="20% - Accent1 5 2 2 3" xfId="25688" xr:uid="{94A26386-5BA0-4D15-9BFE-B7963222D359}"/>
    <cellStyle name="20% - Accent1 5 2 3" xfId="12172" xr:uid="{F6BF74C4-827D-49E9-BD67-89911B90816A}"/>
    <cellStyle name="20% - Accent1 5 2 3 2" xfId="30768" xr:uid="{B5E0F642-6BAE-460D-AFD6-052CDCBDD8D2}"/>
    <cellStyle name="20% - Accent1 5 2 4" xfId="21471" xr:uid="{FE0B035B-C2B9-44D8-A79D-E4B09B39C04B}"/>
    <cellStyle name="20% - Accent1 5 3" xfId="4918" xr:uid="{00000000-0005-0000-0000-000091000000}"/>
    <cellStyle name="20% - Accent1 5 3 2" xfId="14244" xr:uid="{B7BA6719-DBD6-436B-9410-DF4AAE7F45BB}"/>
    <cellStyle name="20% - Accent1 5 3 2 2" xfId="32840" xr:uid="{00C26110-EAA9-4EF4-806C-EFA804548F71}"/>
    <cellStyle name="20% - Accent1 5 3 3" xfId="23543" xr:uid="{00EB7D11-A66F-4EF9-95F1-E5EF689F68C6}"/>
    <cellStyle name="20% - Accent1 5 4" xfId="9180" xr:uid="{D0AEF57E-25E3-47C5-B910-DC1A0019F498}"/>
    <cellStyle name="20% - Accent1 5 4 2" xfId="18498" xr:uid="{8A6BDDA5-8D92-422E-AAAB-07C9B3539A60}"/>
    <cellStyle name="20% - Accent1 5 4 2 2" xfId="37092" xr:uid="{DD7F5D4D-ABC2-4A0C-B64B-1CB8806476CE}"/>
    <cellStyle name="20% - Accent1 5 4 3" xfId="27795" xr:uid="{20E14567-03A3-4256-B127-24167DA50CEC}"/>
    <cellStyle name="20% - Accent1 5 5" xfId="10027" xr:uid="{353894B1-346E-4AB0-8C25-4903021532EC}"/>
    <cellStyle name="20% - Accent1 5 5 2" xfId="28623" xr:uid="{F3AC7B2B-E08B-412E-A553-75BCC92DD9D4}"/>
    <cellStyle name="20% - Accent1 5 6" xfId="19326" xr:uid="{2AE0F8A9-9B88-4DF9-99B0-C06A3B6D89FE}"/>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B5221EA4-63CA-4D74-9F8E-A4A154C7977A}"/>
    <cellStyle name="20% - Accent1 6 2 2 2 2" xfId="35398" xr:uid="{B10BDE36-CCDB-40F5-B636-3F9463300DE5}"/>
    <cellStyle name="20% - Accent1 6 2 2 3" xfId="26101" xr:uid="{EB1766E1-4EA5-4CD2-9CD7-222724CCEE26}"/>
    <cellStyle name="20% - Accent1 6 2 3" xfId="12585" xr:uid="{1F12CE9C-E007-4EF2-AF9A-117B8121B625}"/>
    <cellStyle name="20% - Accent1 6 2 3 2" xfId="31181" xr:uid="{A46B8246-73D1-43AB-BF2B-AEBA4A942F51}"/>
    <cellStyle name="20% - Accent1 6 2 4" xfId="21884" xr:uid="{3D41E5E6-43BD-4850-ACB9-4FD62045BE0B}"/>
    <cellStyle name="20% - Accent1 6 3" xfId="5331" xr:uid="{00000000-0005-0000-0000-000095000000}"/>
    <cellStyle name="20% - Accent1 6 3 2" xfId="14657" xr:uid="{9E98960A-864A-4CF8-8147-84D2EAE99CDF}"/>
    <cellStyle name="20% - Accent1 6 3 2 2" xfId="33253" xr:uid="{2FDEFFC4-D5F6-4A90-9365-39633ACF7628}"/>
    <cellStyle name="20% - Accent1 6 3 3" xfId="23956" xr:uid="{3594B94C-70B4-4C19-B123-5606DA7F4D8B}"/>
    <cellStyle name="20% - Accent1 6 4" xfId="10440" xr:uid="{22DC3AB5-1661-426C-99DF-9B5A808DCB1A}"/>
    <cellStyle name="20% - Accent1 6 4 2" xfId="29036" xr:uid="{DE889547-114F-497D-8FDD-4FA2C41CBCA7}"/>
    <cellStyle name="20% - Accent1 6 5" xfId="19739" xr:uid="{AF8C91DE-825E-4346-B8CB-588BDE4469A3}"/>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CC0D1958-1A44-40C3-A0EE-BEB98548BDF2}"/>
    <cellStyle name="20% - Accent1 7 2 2 2 2" xfId="35811" xr:uid="{8E4231F9-2D36-40FE-9729-17479FBDD6E2}"/>
    <cellStyle name="20% - Accent1 7 2 2 3" xfId="26514" xr:uid="{0373622A-D1B7-45E2-A678-9997D24AF1B7}"/>
    <cellStyle name="20% - Accent1 7 2 3" xfId="12998" xr:uid="{53CC1D75-6B3A-4BFD-8476-A45E7E031463}"/>
    <cellStyle name="20% - Accent1 7 2 3 2" xfId="31594" xr:uid="{A8578023-AADA-4687-ADFB-A33E9A537311}"/>
    <cellStyle name="20% - Accent1 7 2 4" xfId="22297" xr:uid="{BE63A912-8401-4F91-ADD6-B609B5546F7E}"/>
    <cellStyle name="20% - Accent1 7 3" xfId="5744" xr:uid="{00000000-0005-0000-0000-000099000000}"/>
    <cellStyle name="20% - Accent1 7 3 2" xfId="15070" xr:uid="{D7671542-0C4D-48A5-9FD5-A2DF665F4FAF}"/>
    <cellStyle name="20% - Accent1 7 3 2 2" xfId="33666" xr:uid="{9EA09578-F84B-43DA-92AD-A161CD339184}"/>
    <cellStyle name="20% - Accent1 7 3 3" xfId="24369" xr:uid="{F1F5C263-E643-43B7-9379-1E76DEE53036}"/>
    <cellStyle name="20% - Accent1 7 4" xfId="10853" xr:uid="{75DC8495-CBD5-413B-9BB5-49944CF0424E}"/>
    <cellStyle name="20% - Accent1 7 4 2" xfId="29449" xr:uid="{051278E3-F755-4534-9F65-84F70A2AF5AE}"/>
    <cellStyle name="20% - Accent1 7 5" xfId="20152" xr:uid="{CED8C3AE-F514-4CFC-B19D-78B8BC9A5A44}"/>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AE3083A8-9F14-44A9-B099-9BA42CC4846D}"/>
    <cellStyle name="20% - Accent1 8 2 2 2 2" xfId="36224" xr:uid="{65068D27-2D57-4E75-8FD0-C97F3378EA3A}"/>
    <cellStyle name="20% - Accent1 8 2 2 3" xfId="26927" xr:uid="{A0A2441A-4BE4-4E88-9873-3609F1F0BF09}"/>
    <cellStyle name="20% - Accent1 8 2 3" xfId="13411" xr:uid="{03E1BD6B-BD21-4512-9E6D-F7789241612D}"/>
    <cellStyle name="20% - Accent1 8 2 3 2" xfId="32007" xr:uid="{9EB322F6-562D-4DA9-B9C2-CD7C5ADC8B21}"/>
    <cellStyle name="20% - Accent1 8 2 4" xfId="22710" xr:uid="{64CBB24E-3162-439E-A169-351CB6D3B2ED}"/>
    <cellStyle name="20% - Accent1 8 3" xfId="6157" xr:uid="{00000000-0005-0000-0000-00009D000000}"/>
    <cellStyle name="20% - Accent1 8 3 2" xfId="15483" xr:uid="{4F7CC8F1-0802-449F-9455-2571F0F7AA64}"/>
    <cellStyle name="20% - Accent1 8 3 2 2" xfId="34079" xr:uid="{14A4EA94-D0F0-48CD-A2BE-6AA5D0683C66}"/>
    <cellStyle name="20% - Accent1 8 3 3" xfId="24782" xr:uid="{564318EF-7F69-4896-A7DD-526F0D45F0D4}"/>
    <cellStyle name="20% - Accent1 8 4" xfId="11266" xr:uid="{57729606-FF49-499C-9C6E-6248608D1F91}"/>
    <cellStyle name="20% - Accent1 8 4 2" xfId="29862" xr:uid="{602BAB75-3784-4662-9659-A04C2AF676D7}"/>
    <cellStyle name="20% - Accent1 8 5" xfId="20565" xr:uid="{7D8C3214-CCD4-473D-B1AC-0D7CCFDE03AA}"/>
    <cellStyle name="20% - Accent1 9" xfId="2264" xr:uid="{00000000-0005-0000-0000-00009E000000}"/>
    <cellStyle name="20% - Accent1 9 2" xfId="6570" xr:uid="{00000000-0005-0000-0000-00009F000000}"/>
    <cellStyle name="20% - Accent1 9 2 2" xfId="15896" xr:uid="{98EDB3EF-D305-4A2C-AC7C-B77F5CF8C2AB}"/>
    <cellStyle name="20% - Accent1 9 2 2 2" xfId="34492" xr:uid="{01E3FCEB-AF02-40E7-9254-34E3140269BC}"/>
    <cellStyle name="20% - Accent1 9 2 3" xfId="25195" xr:uid="{2F193C0A-C751-4349-B902-DF679FCB90B9}"/>
    <cellStyle name="20% - Accent1 9 3" xfId="11679" xr:uid="{E0AFC388-C461-4F6F-8BA1-83D88423BBC5}"/>
    <cellStyle name="20% - Accent1 9 3 2" xfId="30275" xr:uid="{F52F0B6C-F30C-4DCD-B645-E05AD87D63F2}"/>
    <cellStyle name="20% - Accent1 9 4" xfId="20978" xr:uid="{99073098-EF0C-4557-A2C1-E43DF8D39FA3}"/>
    <cellStyle name="20% - Accent2" xfId="9" builtinId="34" customBuiltin="1"/>
    <cellStyle name="20% - Accent2 10" xfId="4512" xr:uid="{00000000-0005-0000-0000-0000A1000000}"/>
    <cellStyle name="20% - Accent2 10 2" xfId="13838" xr:uid="{AA5207B2-9703-400D-821D-0AF9D92BB9EB}"/>
    <cellStyle name="20% - Accent2 10 2 2" xfId="32434" xr:uid="{71DEE6CD-AE77-4C09-9EAE-E461426EBC9D}"/>
    <cellStyle name="20% - Accent2 10 3" xfId="23137" xr:uid="{BC668AC0-0F8B-4215-8774-32E025B36DB9}"/>
    <cellStyle name="20% - Accent2 11" xfId="8760" xr:uid="{2F9D8AF1-C115-467C-ADFB-3BF13039D076}"/>
    <cellStyle name="20% - Accent2 11 2" xfId="18084" xr:uid="{BD21DF21-9986-4E76-8960-B2205B895E0C}"/>
    <cellStyle name="20% - Accent2 11 2 2" xfId="36679" xr:uid="{77DEE9A3-09EB-4C53-9383-87056C5D3319}"/>
    <cellStyle name="20% - Accent2 11 3" xfId="27382" xr:uid="{F34A1448-50A0-4C85-901C-D0905843AE74}"/>
    <cellStyle name="20% - Accent2 12" xfId="9621" xr:uid="{91DFD850-524B-4E03-A964-6F1FD76050FA}"/>
    <cellStyle name="20% - Accent2 12 2" xfId="28217" xr:uid="{30F9467F-7FE1-4F8D-95BF-19815C8251E4}"/>
    <cellStyle name="20% - Accent2 13" xfId="18920" xr:uid="{CFA68AF9-C418-4F27-9D0F-6B8EC27C81D1}"/>
    <cellStyle name="20% - Accent2 2" xfId="10" xr:uid="{00000000-0005-0000-0000-0000A2000000}"/>
    <cellStyle name="20% - Accent2 2 10" xfId="8793" xr:uid="{AA7C3473-3A75-4F75-9E25-D7658C57F3A0}"/>
    <cellStyle name="20% - Accent2 2 10 2" xfId="18117" xr:uid="{EC4EE94D-AE12-4A56-8FF8-E357BF795AA0}"/>
    <cellStyle name="20% - Accent2 2 10 2 2" xfId="36712" xr:uid="{617B0CD6-868A-4504-9AE2-CECDAD257113}"/>
    <cellStyle name="20% - Accent2 2 10 3" xfId="27415" xr:uid="{E010E40D-BE0A-4BBC-BA3E-3E78DFABD278}"/>
    <cellStyle name="20% - Accent2 2 11" xfId="9622" xr:uid="{213DBD3B-56E5-4B97-9BEB-EFEB34EC26B7}"/>
    <cellStyle name="20% - Accent2 2 11 2" xfId="28218" xr:uid="{8DA92C8C-0072-4E79-974F-57C81A66EA83}"/>
    <cellStyle name="20% - Accent2 2 12" xfId="18921" xr:uid="{06BC73D9-71DD-4D88-9C78-5A6D083634A6}"/>
    <cellStyle name="20% - Accent2 2 2" xfId="11" xr:uid="{00000000-0005-0000-0000-0000A3000000}"/>
    <cellStyle name="20% - Accent2 2 2 10" xfId="9623" xr:uid="{FB7D2A62-304C-4F57-81DF-C900738D9E70}"/>
    <cellStyle name="20% - Accent2 2 2 10 2" xfId="28219" xr:uid="{897031B8-03B0-4832-A39F-BE1DB23372AF}"/>
    <cellStyle name="20% - Accent2 2 2 11" xfId="18922" xr:uid="{73BA59F4-0C2D-40B2-8C2D-A54EFB24D598}"/>
    <cellStyle name="20% - Accent2 2 2 2" xfId="12" xr:uid="{00000000-0005-0000-0000-0000A4000000}"/>
    <cellStyle name="20% - Accent2 2 2 2 10" xfId="18923" xr:uid="{FC57D582-246A-4E61-8063-3CAA581924F3}"/>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D08557E2-8D55-42ED-B4C4-0BB083FA2B0A}"/>
    <cellStyle name="20% - Accent2 2 2 2 2 2 2 2 2" xfId="34996" xr:uid="{70EC25D6-E682-4C0F-8CEE-7199BA203364}"/>
    <cellStyle name="20% - Accent2 2 2 2 2 2 2 3" xfId="25699" xr:uid="{1024AECF-D625-4AE3-AD96-E3E8F8050A64}"/>
    <cellStyle name="20% - Accent2 2 2 2 2 2 3" xfId="12183" xr:uid="{6B56E608-CDD0-4741-8964-B8342B6A5071}"/>
    <cellStyle name="20% - Accent2 2 2 2 2 2 3 2" xfId="30779" xr:uid="{606CF835-8B7F-4107-B931-E12389018CD0}"/>
    <cellStyle name="20% - Accent2 2 2 2 2 2 4" xfId="21482" xr:uid="{D82E0FF3-CC50-4239-B916-659C69E4B6C5}"/>
    <cellStyle name="20% - Accent2 2 2 2 2 3" xfId="4929" xr:uid="{00000000-0005-0000-0000-0000A8000000}"/>
    <cellStyle name="20% - Accent2 2 2 2 2 3 2" xfId="14255" xr:uid="{65A4F178-F0BD-44AD-B896-88125E551BF9}"/>
    <cellStyle name="20% - Accent2 2 2 2 2 3 2 2" xfId="32851" xr:uid="{D3FA4F9D-E689-46EA-BE6A-18D3DEC3FFEA}"/>
    <cellStyle name="20% - Accent2 2 2 2 2 3 3" xfId="23554" xr:uid="{CF9844AF-6594-4210-896F-C4BCCC3BC4D4}"/>
    <cellStyle name="20% - Accent2 2 2 2 2 4" xfId="9528" xr:uid="{C8BEA541-FD8B-4449-95AA-43E1904F35BB}"/>
    <cellStyle name="20% - Accent2 2 2 2 2 4 2" xfId="18843" xr:uid="{398ABAA7-2A1B-4399-8161-9FCFEFDD09AE}"/>
    <cellStyle name="20% - Accent2 2 2 2 2 4 2 2" xfId="37437" xr:uid="{B887F76A-6B60-4BE6-98A0-5E9F85FFFF5A}"/>
    <cellStyle name="20% - Accent2 2 2 2 2 4 3" xfId="28140" xr:uid="{6C800739-0210-4DBA-A010-114E65713D3E}"/>
    <cellStyle name="20% - Accent2 2 2 2 2 5" xfId="10038" xr:uid="{FC601053-B130-44A2-B00B-C143E1BFCF45}"/>
    <cellStyle name="20% - Accent2 2 2 2 2 5 2" xfId="28634" xr:uid="{E4DF80EB-268E-4624-8480-6D450FB4DFB5}"/>
    <cellStyle name="20% - Accent2 2 2 2 2 6" xfId="19337" xr:uid="{458A48DC-8A73-4CE3-A006-38DE81C377D5}"/>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39EACA98-83EF-4EF1-96A6-957ABFDB33A0}"/>
    <cellStyle name="20% - Accent2 2 2 2 3 2 2 2 2" xfId="35409" xr:uid="{0BD83038-61F4-4FD6-A6E9-4E91D907DB01}"/>
    <cellStyle name="20% - Accent2 2 2 2 3 2 2 3" xfId="26112" xr:uid="{D0E01D2F-E5F2-4E11-A975-D8F34E6EAC70}"/>
    <cellStyle name="20% - Accent2 2 2 2 3 2 3" xfId="12596" xr:uid="{4FB18913-3554-42FC-A37E-82E0160B4BCC}"/>
    <cellStyle name="20% - Accent2 2 2 2 3 2 3 2" xfId="31192" xr:uid="{DE0A90E5-8602-456F-B7B8-7D7A0126AA4C}"/>
    <cellStyle name="20% - Accent2 2 2 2 3 2 4" xfId="21895" xr:uid="{9AA054F3-C52F-4D81-A62A-0E73D10AEC83}"/>
    <cellStyle name="20% - Accent2 2 2 2 3 3" xfId="5342" xr:uid="{00000000-0005-0000-0000-0000AC000000}"/>
    <cellStyle name="20% - Accent2 2 2 2 3 3 2" xfId="14668" xr:uid="{3B383BC3-8F97-438E-B839-D48AEE80FF06}"/>
    <cellStyle name="20% - Accent2 2 2 2 3 3 2 2" xfId="33264" xr:uid="{89542DDA-FA4B-4054-ADEF-B45B62C89BED}"/>
    <cellStyle name="20% - Accent2 2 2 2 3 3 3" xfId="23967" xr:uid="{E5C08DAE-51C7-4EC4-A87E-AC1CC9732B7E}"/>
    <cellStyle name="20% - Accent2 2 2 2 3 4" xfId="10451" xr:uid="{651D443D-25C3-458F-AD6C-F94DBA73A7BC}"/>
    <cellStyle name="20% - Accent2 2 2 2 3 4 2" xfId="29047" xr:uid="{F396BEC7-0FDD-417E-AA9E-085083CFF244}"/>
    <cellStyle name="20% - Accent2 2 2 2 3 5" xfId="19750" xr:uid="{F7DAFEF7-9AA0-4C4E-A674-B3E0EAE14AC6}"/>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2ADC58F4-7119-4533-B0EF-03C36976AB30}"/>
    <cellStyle name="20% - Accent2 2 2 2 4 2 2 2 2" xfId="35822" xr:uid="{06F583FD-7F11-403C-9280-EF1F7A8B231F}"/>
    <cellStyle name="20% - Accent2 2 2 2 4 2 2 3" xfId="26525" xr:uid="{27776652-42A5-450B-A051-F4AA4F904D53}"/>
    <cellStyle name="20% - Accent2 2 2 2 4 2 3" xfId="13009" xr:uid="{9072A2DD-2556-4599-8491-DC693FF5B94F}"/>
    <cellStyle name="20% - Accent2 2 2 2 4 2 3 2" xfId="31605" xr:uid="{3573B18E-74BA-403D-BB5A-4D79275AEE0E}"/>
    <cellStyle name="20% - Accent2 2 2 2 4 2 4" xfId="22308" xr:uid="{0A005638-D541-4FA0-9771-CBDF59E8FF14}"/>
    <cellStyle name="20% - Accent2 2 2 2 4 3" xfId="5755" xr:uid="{00000000-0005-0000-0000-0000B0000000}"/>
    <cellStyle name="20% - Accent2 2 2 2 4 3 2" xfId="15081" xr:uid="{83E801A6-7BC5-4296-976C-F9FAAC159F01}"/>
    <cellStyle name="20% - Accent2 2 2 2 4 3 2 2" xfId="33677" xr:uid="{94D9F370-C213-4690-BBF4-33BA9881AB4F}"/>
    <cellStyle name="20% - Accent2 2 2 2 4 3 3" xfId="24380" xr:uid="{F94FC66D-38E2-4B4E-9FA1-26DB0000E4B5}"/>
    <cellStyle name="20% - Accent2 2 2 2 4 4" xfId="10864" xr:uid="{EF1069EA-083D-4292-872C-2F7D1BA97899}"/>
    <cellStyle name="20% - Accent2 2 2 2 4 4 2" xfId="29460" xr:uid="{4581467E-FB23-4E72-A339-348395BF589B}"/>
    <cellStyle name="20% - Accent2 2 2 2 4 5" xfId="20163" xr:uid="{8E8DA18B-171F-429C-AC21-48E68AE6C687}"/>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6D4B4044-BF20-4F69-90F0-1E6776D8EDA3}"/>
    <cellStyle name="20% - Accent2 2 2 2 5 2 2 2 2" xfId="36235" xr:uid="{B61160C7-84C2-4766-BEFC-D25D2C531F26}"/>
    <cellStyle name="20% - Accent2 2 2 2 5 2 2 3" xfId="26938" xr:uid="{07F128E8-6CB9-48B9-9FFF-902220971015}"/>
    <cellStyle name="20% - Accent2 2 2 2 5 2 3" xfId="13422" xr:uid="{1F36AB00-333B-4BF8-BEB2-1A9448429D27}"/>
    <cellStyle name="20% - Accent2 2 2 2 5 2 3 2" xfId="32018" xr:uid="{037C931D-4F51-4C96-92AA-D8B225C79C82}"/>
    <cellStyle name="20% - Accent2 2 2 2 5 2 4" xfId="22721" xr:uid="{F5A28F8E-7A05-44D6-A787-7A711BA99831}"/>
    <cellStyle name="20% - Accent2 2 2 2 5 3" xfId="6168" xr:uid="{00000000-0005-0000-0000-0000B4000000}"/>
    <cellStyle name="20% - Accent2 2 2 2 5 3 2" xfId="15494" xr:uid="{895DC3FF-A7A7-4D01-ADA5-FD7793492D8D}"/>
    <cellStyle name="20% - Accent2 2 2 2 5 3 2 2" xfId="34090" xr:uid="{201A8128-22F6-4279-9EAC-EB27ADDE3282}"/>
    <cellStyle name="20% - Accent2 2 2 2 5 3 3" xfId="24793" xr:uid="{EDFBE61C-9595-40C8-B57D-9FDFE020DC99}"/>
    <cellStyle name="20% - Accent2 2 2 2 5 4" xfId="11277" xr:uid="{0677234E-FAC3-4408-8FAF-833E1D0CFE97}"/>
    <cellStyle name="20% - Accent2 2 2 2 5 4 2" xfId="29873" xr:uid="{89F6C4BC-CAE8-4D20-A154-DFEF8738689D}"/>
    <cellStyle name="20% - Accent2 2 2 2 5 5" xfId="20576" xr:uid="{922247CB-ADD5-466E-975A-1B906EF86F9F}"/>
    <cellStyle name="20% - Accent2 2 2 2 6" xfId="2275" xr:uid="{00000000-0005-0000-0000-0000B5000000}"/>
    <cellStyle name="20% - Accent2 2 2 2 6 2" xfId="6581" xr:uid="{00000000-0005-0000-0000-0000B6000000}"/>
    <cellStyle name="20% - Accent2 2 2 2 6 2 2" xfId="15907" xr:uid="{872FA4C0-DE7C-450B-80EE-BE870C9A7407}"/>
    <cellStyle name="20% - Accent2 2 2 2 6 2 2 2" xfId="34503" xr:uid="{70D105CE-3987-483A-AEC8-F2F08C6C8699}"/>
    <cellStyle name="20% - Accent2 2 2 2 6 2 3" xfId="25206" xr:uid="{B33FB35E-40D6-42E7-AEF7-F7F7BE7ECEDD}"/>
    <cellStyle name="20% - Accent2 2 2 2 6 3" xfId="11690" xr:uid="{4453827E-BF3B-4399-BA37-263D3365A76C}"/>
    <cellStyle name="20% - Accent2 2 2 2 6 3 2" xfId="30286" xr:uid="{9F399410-422C-4A15-AC1B-5E01A44CC8B7}"/>
    <cellStyle name="20% - Accent2 2 2 2 6 4" xfId="20989" xr:uid="{69F7B306-E581-4072-ABB5-CA7C0773CEC1}"/>
    <cellStyle name="20% - Accent2 2 2 2 7" xfId="4515" xr:uid="{00000000-0005-0000-0000-0000B7000000}"/>
    <cellStyle name="20% - Accent2 2 2 2 7 2" xfId="13841" xr:uid="{E5A5D4EB-DDED-4C0D-835E-A22C845E9DD3}"/>
    <cellStyle name="20% - Accent2 2 2 2 7 2 2" xfId="32437" xr:uid="{85A95411-C883-400D-8478-28693C483B3B}"/>
    <cellStyle name="20% - Accent2 2 2 2 7 3" xfId="23140" xr:uid="{B20415B7-9CD9-4B64-8C0A-855E2FD6F3D5}"/>
    <cellStyle name="20% - Accent2 2 2 2 8" xfId="9103" xr:uid="{91DB80A1-3464-4086-B948-71B6A26537C4}"/>
    <cellStyle name="20% - Accent2 2 2 2 8 2" xfId="18427" xr:uid="{4E825929-B034-4802-BF09-2D5E5A83268E}"/>
    <cellStyle name="20% - Accent2 2 2 2 8 2 2" xfId="37022" xr:uid="{5705F6A8-9F7C-4790-AACB-AE46DD0BE3A5}"/>
    <cellStyle name="20% - Accent2 2 2 2 8 3" xfId="27725" xr:uid="{337BDF99-547D-442E-A22A-622F0FF9E6D5}"/>
    <cellStyle name="20% - Accent2 2 2 2 9" xfId="9624" xr:uid="{38F8DF72-0BB6-40D5-89E7-1DF2F6CE7EAD}"/>
    <cellStyle name="20% - Accent2 2 2 2 9 2" xfId="28220" xr:uid="{66570E8E-EE8C-4799-A90A-7A4F729EBE48}"/>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E3699330-0486-4170-A2D3-4A6A9896BFA9}"/>
    <cellStyle name="20% - Accent2 2 2 3 2 2 2 2" xfId="34995" xr:uid="{1AF3B559-0550-4CFC-9DAA-9C62F7105F69}"/>
    <cellStyle name="20% - Accent2 2 2 3 2 2 3" xfId="25698" xr:uid="{82EDD423-B669-4E40-AF0E-3C5E6429D9BD}"/>
    <cellStyle name="20% - Accent2 2 2 3 2 3" xfId="12182" xr:uid="{9421FF8A-1CD8-4DB8-85AB-A562F3298404}"/>
    <cellStyle name="20% - Accent2 2 2 3 2 3 2" xfId="30778" xr:uid="{38C018AA-83D4-4E23-9E4E-F52BFAA54AC6}"/>
    <cellStyle name="20% - Accent2 2 2 3 2 4" xfId="21481" xr:uid="{31F3E750-1180-4C7B-BF86-760EC07EC149}"/>
    <cellStyle name="20% - Accent2 2 2 3 3" xfId="4928" xr:uid="{00000000-0005-0000-0000-0000BB000000}"/>
    <cellStyle name="20% - Accent2 2 2 3 3 2" xfId="14254" xr:uid="{54BFEE00-5104-4D7B-90B2-0C03A0CF10FD}"/>
    <cellStyle name="20% - Accent2 2 2 3 3 2 2" xfId="32850" xr:uid="{6FBDB3EF-9646-488D-BABC-AA5F42811940}"/>
    <cellStyle name="20% - Accent2 2 2 3 3 3" xfId="23553" xr:uid="{8C672E92-9025-4B58-A9EE-F36925A9E720}"/>
    <cellStyle name="20% - Accent2 2 2 3 4" xfId="9321" xr:uid="{32B21C3A-E360-4F19-B469-1116F045A0F3}"/>
    <cellStyle name="20% - Accent2 2 2 3 4 2" xfId="18636" xr:uid="{B9D554E5-CB75-4C6C-8C87-C96BBA9534D8}"/>
    <cellStyle name="20% - Accent2 2 2 3 4 2 2" xfId="37230" xr:uid="{76EE2E5E-963C-4336-88EF-A3826AD81BF2}"/>
    <cellStyle name="20% - Accent2 2 2 3 4 3" xfId="27933" xr:uid="{E17EFF2D-1A5B-492E-BBB9-3E49CD8D96FA}"/>
    <cellStyle name="20% - Accent2 2 2 3 5" xfId="10037" xr:uid="{053F6B85-337F-46C5-81D6-000A1C804908}"/>
    <cellStyle name="20% - Accent2 2 2 3 5 2" xfId="28633" xr:uid="{F21565FE-B1E9-47E5-B5D3-87C6361B0683}"/>
    <cellStyle name="20% - Accent2 2 2 3 6" xfId="19336" xr:uid="{54932477-376D-42E3-A914-52499B2C55F4}"/>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7BB9CF54-7CE1-425E-8393-073EC296E5B8}"/>
    <cellStyle name="20% - Accent2 2 2 4 2 2 2 2" xfId="35408" xr:uid="{8E9D9925-BAE5-4C56-8850-40E615C55023}"/>
    <cellStyle name="20% - Accent2 2 2 4 2 2 3" xfId="26111" xr:uid="{35F890A1-017F-43CC-96FB-B4F5C2A20A8D}"/>
    <cellStyle name="20% - Accent2 2 2 4 2 3" xfId="12595" xr:uid="{AC572F9D-23BE-450D-AF15-00B408208C7B}"/>
    <cellStyle name="20% - Accent2 2 2 4 2 3 2" xfId="31191" xr:uid="{11A6723E-50B9-4D4F-AC0A-0E93413F2588}"/>
    <cellStyle name="20% - Accent2 2 2 4 2 4" xfId="21894" xr:uid="{4A441570-4F6D-4852-98B8-E9F1FC036A32}"/>
    <cellStyle name="20% - Accent2 2 2 4 3" xfId="5341" xr:uid="{00000000-0005-0000-0000-0000BF000000}"/>
    <cellStyle name="20% - Accent2 2 2 4 3 2" xfId="14667" xr:uid="{BC872A5E-3FA9-4EFC-B55F-BA6F8BBC6E8E}"/>
    <cellStyle name="20% - Accent2 2 2 4 3 2 2" xfId="33263" xr:uid="{0B60845F-CC98-43A0-B6E0-EC65CC3EB77A}"/>
    <cellStyle name="20% - Accent2 2 2 4 3 3" xfId="23966" xr:uid="{6390C98A-A610-4559-9D4C-A880EDBB72CD}"/>
    <cellStyle name="20% - Accent2 2 2 4 4" xfId="10450" xr:uid="{72021F10-43D5-4AC8-8608-A6A0CA716E78}"/>
    <cellStyle name="20% - Accent2 2 2 4 4 2" xfId="29046" xr:uid="{39B41544-BDAA-4B50-8FCE-56A962D8617C}"/>
    <cellStyle name="20% - Accent2 2 2 4 5" xfId="19749" xr:uid="{AAB0D43B-B0FD-4E38-AD44-898EBF6193DA}"/>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5C82AB21-04A1-407A-9B00-5B58D7F71E3B}"/>
    <cellStyle name="20% - Accent2 2 2 5 2 2 2 2" xfId="35821" xr:uid="{87A3CE3D-F3FE-4BF8-AEB6-E766D9B9C6B6}"/>
    <cellStyle name="20% - Accent2 2 2 5 2 2 3" xfId="26524" xr:uid="{F3CC55C7-7CEB-4D8B-BF9D-2832C1873F39}"/>
    <cellStyle name="20% - Accent2 2 2 5 2 3" xfId="13008" xr:uid="{29CD64C0-E01A-4E85-A3A6-AAAAF418CA8A}"/>
    <cellStyle name="20% - Accent2 2 2 5 2 3 2" xfId="31604" xr:uid="{C68797B6-D85A-41AB-BF32-CB922B52DD72}"/>
    <cellStyle name="20% - Accent2 2 2 5 2 4" xfId="22307" xr:uid="{55B59C25-2DE5-4A24-AB29-D0F04AD9C89C}"/>
    <cellStyle name="20% - Accent2 2 2 5 3" xfId="5754" xr:uid="{00000000-0005-0000-0000-0000C3000000}"/>
    <cellStyle name="20% - Accent2 2 2 5 3 2" xfId="15080" xr:uid="{CA563F51-02A8-412A-9BF4-244A46CCA50F}"/>
    <cellStyle name="20% - Accent2 2 2 5 3 2 2" xfId="33676" xr:uid="{3535CB36-56DE-4653-A121-1239FCC0EADC}"/>
    <cellStyle name="20% - Accent2 2 2 5 3 3" xfId="24379" xr:uid="{82AD19F3-7A36-4793-A152-CEB33A8A90C4}"/>
    <cellStyle name="20% - Accent2 2 2 5 4" xfId="10863" xr:uid="{3ECC928E-02D5-4FE5-9191-A2CEB2109840}"/>
    <cellStyle name="20% - Accent2 2 2 5 4 2" xfId="29459" xr:uid="{014F1A67-D9DC-4EC0-B65D-2CF03AAE98FD}"/>
    <cellStyle name="20% - Accent2 2 2 5 5" xfId="20162" xr:uid="{BC11AE6D-5C8E-4D63-9511-4F0D31D526FE}"/>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4F60A7C8-AA80-42D0-BA3A-431F6364185C}"/>
    <cellStyle name="20% - Accent2 2 2 6 2 2 2 2" xfId="36234" xr:uid="{985D0DA5-5F7C-4100-B6D0-6A9B359B4F2C}"/>
    <cellStyle name="20% - Accent2 2 2 6 2 2 3" xfId="26937" xr:uid="{B9387A18-D473-4662-8D26-69B400BEE32C}"/>
    <cellStyle name="20% - Accent2 2 2 6 2 3" xfId="13421" xr:uid="{5F246BB0-51A2-446E-8BC9-9CDD32C621B2}"/>
    <cellStyle name="20% - Accent2 2 2 6 2 3 2" xfId="32017" xr:uid="{0E1D26F9-2A34-43D8-8590-7014D94A8CDF}"/>
    <cellStyle name="20% - Accent2 2 2 6 2 4" xfId="22720" xr:uid="{2E672856-EDE3-49B0-8C68-FE3D8104112B}"/>
    <cellStyle name="20% - Accent2 2 2 6 3" xfId="6167" xr:uid="{00000000-0005-0000-0000-0000C7000000}"/>
    <cellStyle name="20% - Accent2 2 2 6 3 2" xfId="15493" xr:uid="{466A2782-6FF6-4A1D-9059-A549DB4C70CC}"/>
    <cellStyle name="20% - Accent2 2 2 6 3 2 2" xfId="34089" xr:uid="{1BD095A9-D2B2-4D36-ADA2-DFE961B7ECC7}"/>
    <cellStyle name="20% - Accent2 2 2 6 3 3" xfId="24792" xr:uid="{4896D98A-57F1-4D48-84F6-2D1E17F3968F}"/>
    <cellStyle name="20% - Accent2 2 2 6 4" xfId="11276" xr:uid="{65CE84ED-FCF0-4D2F-B9B4-080D35B64D06}"/>
    <cellStyle name="20% - Accent2 2 2 6 4 2" xfId="29872" xr:uid="{48A64276-D299-4589-A9B0-4874F6ABF026}"/>
    <cellStyle name="20% - Accent2 2 2 6 5" xfId="20575" xr:uid="{3C6BB4D9-F5EC-48BD-A2D0-6C8A7CAA1DDA}"/>
    <cellStyle name="20% - Accent2 2 2 7" xfId="2274" xr:uid="{00000000-0005-0000-0000-0000C8000000}"/>
    <cellStyle name="20% - Accent2 2 2 7 2" xfId="6580" xr:uid="{00000000-0005-0000-0000-0000C9000000}"/>
    <cellStyle name="20% - Accent2 2 2 7 2 2" xfId="15906" xr:uid="{44A52716-1607-4CD2-9314-E9101B729C9B}"/>
    <cellStyle name="20% - Accent2 2 2 7 2 2 2" xfId="34502" xr:uid="{E9F3DFB3-755C-401D-8104-D95C9D1362CB}"/>
    <cellStyle name="20% - Accent2 2 2 7 2 3" xfId="25205" xr:uid="{AE9C71B2-FD5B-42D1-869B-6D22D04394BD}"/>
    <cellStyle name="20% - Accent2 2 2 7 3" xfId="11689" xr:uid="{01B9E9DB-8CE4-4382-A246-B79E25793398}"/>
    <cellStyle name="20% - Accent2 2 2 7 3 2" xfId="30285" xr:uid="{FEA6F3C8-D587-4D44-A164-C7571A78B10D}"/>
    <cellStyle name="20% - Accent2 2 2 7 4" xfId="20988" xr:uid="{F54B966A-AD4B-46BB-A205-73644F5AA3FE}"/>
    <cellStyle name="20% - Accent2 2 2 8" xfId="4514" xr:uid="{00000000-0005-0000-0000-0000CA000000}"/>
    <cellStyle name="20% - Accent2 2 2 8 2" xfId="13840" xr:uid="{FC9404A6-AC9F-4D5F-A728-546EA0996600}"/>
    <cellStyle name="20% - Accent2 2 2 8 2 2" xfId="32436" xr:uid="{9D9C8450-59C9-4FA1-9967-97159A003BF0}"/>
    <cellStyle name="20% - Accent2 2 2 8 3" xfId="23139" xr:uid="{03B19B50-BE3D-42D4-A489-318CCB60D6A2}"/>
    <cellStyle name="20% - Accent2 2 2 9" xfId="8896" xr:uid="{7CDAA0F1-5BE6-4749-AD4D-5424E0EA26D8}"/>
    <cellStyle name="20% - Accent2 2 2 9 2" xfId="18220" xr:uid="{251F7137-4A2A-4251-A50B-B954E75B8E0F}"/>
    <cellStyle name="20% - Accent2 2 2 9 2 2" xfId="36815" xr:uid="{C1563618-4510-466F-B52B-BB27F6082ACE}"/>
    <cellStyle name="20% - Accent2 2 2 9 3" xfId="27518" xr:uid="{4F7ED7E1-C4EF-48FB-8C81-432F377B89A7}"/>
    <cellStyle name="20% - Accent2 2 3" xfId="13" xr:uid="{00000000-0005-0000-0000-0000CB000000}"/>
    <cellStyle name="20% - Accent2 2 3 10" xfId="18924" xr:uid="{CAB9F622-BA70-40BD-82E5-11231592A213}"/>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292E6F67-5082-4B5A-B4A3-31601B1AA020}"/>
    <cellStyle name="20% - Accent2 2 3 2 2 2 2 2" xfId="34997" xr:uid="{5A4348A1-D6CE-48F7-BA2B-CDBAA5160F1C}"/>
    <cellStyle name="20% - Accent2 2 3 2 2 2 3" xfId="25700" xr:uid="{ECBD703E-1DD7-4934-A3A7-1C143C557A8C}"/>
    <cellStyle name="20% - Accent2 2 3 2 2 3" xfId="12184" xr:uid="{206C591F-8658-43FC-8390-67002967E11A}"/>
    <cellStyle name="20% - Accent2 2 3 2 2 3 2" xfId="30780" xr:uid="{303260FF-76B2-4553-AC11-455ADA8CBD23}"/>
    <cellStyle name="20% - Accent2 2 3 2 2 4" xfId="21483" xr:uid="{85871BF4-0923-4F94-8753-C70DE0E747C9}"/>
    <cellStyle name="20% - Accent2 2 3 2 3" xfId="4930" xr:uid="{00000000-0005-0000-0000-0000CF000000}"/>
    <cellStyle name="20% - Accent2 2 3 2 3 2" xfId="14256" xr:uid="{429185D7-3704-4AFF-8C8F-97F4127250F3}"/>
    <cellStyle name="20% - Accent2 2 3 2 3 2 2" xfId="32852" xr:uid="{E8713AF3-59ED-438F-B552-8E2AC9F6F6C8}"/>
    <cellStyle name="20% - Accent2 2 3 2 3 3" xfId="23555" xr:uid="{0498DE7C-9A8C-4DB4-BEE5-EC9123A1F2BD}"/>
    <cellStyle name="20% - Accent2 2 3 2 4" xfId="9425" xr:uid="{35BECFF4-0F5A-4F6E-AE6E-354891135B4F}"/>
    <cellStyle name="20% - Accent2 2 3 2 4 2" xfId="18740" xr:uid="{7A05C4D0-5441-480F-B925-918EC23DD106}"/>
    <cellStyle name="20% - Accent2 2 3 2 4 2 2" xfId="37334" xr:uid="{6C1E68E6-7199-49B6-B78E-62E836992C7B}"/>
    <cellStyle name="20% - Accent2 2 3 2 4 3" xfId="28037" xr:uid="{CEBD9321-608C-46D9-BC1E-04FCCA06544A}"/>
    <cellStyle name="20% - Accent2 2 3 2 5" xfId="10039" xr:uid="{1FAA9F14-F136-4B83-A9F8-107E6C289E9D}"/>
    <cellStyle name="20% - Accent2 2 3 2 5 2" xfId="28635" xr:uid="{67E91A20-355C-40C1-A77D-D786269BA423}"/>
    <cellStyle name="20% - Accent2 2 3 2 6" xfId="19338" xr:uid="{27F129E9-843B-47C8-A6DF-D8AC88220A8B}"/>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01CC85AB-003E-45D3-94F7-72505ECA4EA9}"/>
    <cellStyle name="20% - Accent2 2 3 3 2 2 2 2" xfId="35410" xr:uid="{B0AA8DB1-F691-4865-BE8A-297C48DB2245}"/>
    <cellStyle name="20% - Accent2 2 3 3 2 2 3" xfId="26113" xr:uid="{9A34060F-6DE8-4373-A87E-6D917B9C0A23}"/>
    <cellStyle name="20% - Accent2 2 3 3 2 3" xfId="12597" xr:uid="{D9FC3826-5E14-41AA-931A-4CC1C50FB280}"/>
    <cellStyle name="20% - Accent2 2 3 3 2 3 2" xfId="31193" xr:uid="{7F95BED3-F17B-4B6D-8E2B-1B73F37B554C}"/>
    <cellStyle name="20% - Accent2 2 3 3 2 4" xfId="21896" xr:uid="{61FB4ED9-3E8B-4C73-9159-4315B78FA61E}"/>
    <cellStyle name="20% - Accent2 2 3 3 3" xfId="5343" xr:uid="{00000000-0005-0000-0000-0000D3000000}"/>
    <cellStyle name="20% - Accent2 2 3 3 3 2" xfId="14669" xr:uid="{FF2069E9-4D6E-433B-A15D-41E36613A5FE}"/>
    <cellStyle name="20% - Accent2 2 3 3 3 2 2" xfId="33265" xr:uid="{B38FFB1E-95C7-4ED7-92AC-CF8CFB162AA1}"/>
    <cellStyle name="20% - Accent2 2 3 3 3 3" xfId="23968" xr:uid="{86ABFF56-6E71-4190-A00C-5DBA56AA5D34}"/>
    <cellStyle name="20% - Accent2 2 3 3 4" xfId="10452" xr:uid="{7673F8D9-75D2-4363-9852-183C12D6750E}"/>
    <cellStyle name="20% - Accent2 2 3 3 4 2" xfId="29048" xr:uid="{60A1A255-D0B4-4E52-B1D5-D1DAEB409419}"/>
    <cellStyle name="20% - Accent2 2 3 3 5" xfId="19751" xr:uid="{1F56F892-1355-4672-8CD1-6A8C5ADE797D}"/>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73A4B764-3761-4B1C-99C2-2BBF92B69C98}"/>
    <cellStyle name="20% - Accent2 2 3 4 2 2 2 2" xfId="35823" xr:uid="{5A1BDAAE-942D-4F2C-8EDE-EC9C71466040}"/>
    <cellStyle name="20% - Accent2 2 3 4 2 2 3" xfId="26526" xr:uid="{773F83BC-CF4F-4D29-93A5-E37D923101AF}"/>
    <cellStyle name="20% - Accent2 2 3 4 2 3" xfId="13010" xr:uid="{B3A9F7E0-3F9A-4AEE-B621-281306FFC02E}"/>
    <cellStyle name="20% - Accent2 2 3 4 2 3 2" xfId="31606" xr:uid="{1049195D-78AF-4971-84AF-B8B0CA198CF7}"/>
    <cellStyle name="20% - Accent2 2 3 4 2 4" xfId="22309" xr:uid="{EBBE3DA8-2573-4FF2-94C8-BE46AF667EE3}"/>
    <cellStyle name="20% - Accent2 2 3 4 3" xfId="5756" xr:uid="{00000000-0005-0000-0000-0000D7000000}"/>
    <cellStyle name="20% - Accent2 2 3 4 3 2" xfId="15082" xr:uid="{FD9685F3-7358-4D18-A071-7F6F6D054905}"/>
    <cellStyle name="20% - Accent2 2 3 4 3 2 2" xfId="33678" xr:uid="{9FD8278F-F4DF-4209-8B3C-ABFCC8A088C7}"/>
    <cellStyle name="20% - Accent2 2 3 4 3 3" xfId="24381" xr:uid="{944FE6A5-DA64-413D-8E68-B2092246A06D}"/>
    <cellStyle name="20% - Accent2 2 3 4 4" xfId="10865" xr:uid="{BEEFC747-F599-49F1-BC07-409BE2905DCE}"/>
    <cellStyle name="20% - Accent2 2 3 4 4 2" xfId="29461" xr:uid="{4AC1CFA0-B461-47E9-9CDA-2B876052F4EF}"/>
    <cellStyle name="20% - Accent2 2 3 4 5" xfId="20164" xr:uid="{8C87CED5-670C-4854-8B24-2ECC30C1F16C}"/>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2DF6219E-60D8-43B9-B976-E846299ADF92}"/>
    <cellStyle name="20% - Accent2 2 3 5 2 2 2 2" xfId="36236" xr:uid="{729A156B-755E-4CDC-8D8F-6B738E352186}"/>
    <cellStyle name="20% - Accent2 2 3 5 2 2 3" xfId="26939" xr:uid="{80EDB619-CC0B-4C7A-8582-FFDEC5E5FD23}"/>
    <cellStyle name="20% - Accent2 2 3 5 2 3" xfId="13423" xr:uid="{9847AEFB-C4E0-4E33-A5A4-013A742D67A9}"/>
    <cellStyle name="20% - Accent2 2 3 5 2 3 2" xfId="32019" xr:uid="{249BAAA8-8E3C-459E-A054-947AE0D7905E}"/>
    <cellStyle name="20% - Accent2 2 3 5 2 4" xfId="22722" xr:uid="{650F0765-A76E-433B-9C5D-4FBEA6114404}"/>
    <cellStyle name="20% - Accent2 2 3 5 3" xfId="6169" xr:uid="{00000000-0005-0000-0000-0000DB000000}"/>
    <cellStyle name="20% - Accent2 2 3 5 3 2" xfId="15495" xr:uid="{A2736445-B281-446E-AC60-844041077CE6}"/>
    <cellStyle name="20% - Accent2 2 3 5 3 2 2" xfId="34091" xr:uid="{03F571F6-ECA3-4474-9110-E0134D96941C}"/>
    <cellStyle name="20% - Accent2 2 3 5 3 3" xfId="24794" xr:uid="{90A5E476-1C63-4ED5-869F-66C4C0A5525C}"/>
    <cellStyle name="20% - Accent2 2 3 5 4" xfId="11278" xr:uid="{AD7261C1-4DBE-42E5-B240-BB939DC26044}"/>
    <cellStyle name="20% - Accent2 2 3 5 4 2" xfId="29874" xr:uid="{4BFF1AD9-7861-4934-B92A-55FB9A349FBC}"/>
    <cellStyle name="20% - Accent2 2 3 5 5" xfId="20577" xr:uid="{F05AA058-021C-4DAB-8A01-17EBAED793EC}"/>
    <cellStyle name="20% - Accent2 2 3 6" xfId="2276" xr:uid="{00000000-0005-0000-0000-0000DC000000}"/>
    <cellStyle name="20% - Accent2 2 3 6 2" xfId="6582" xr:uid="{00000000-0005-0000-0000-0000DD000000}"/>
    <cellStyle name="20% - Accent2 2 3 6 2 2" xfId="15908" xr:uid="{F9948D69-5856-435A-AE9B-D8225F3CD935}"/>
    <cellStyle name="20% - Accent2 2 3 6 2 2 2" xfId="34504" xr:uid="{5F963FBB-1859-4CE1-930F-C5716A9B0919}"/>
    <cellStyle name="20% - Accent2 2 3 6 2 3" xfId="25207" xr:uid="{53F085A4-8992-45B9-8F10-A5E78E6DF4AE}"/>
    <cellStyle name="20% - Accent2 2 3 6 3" xfId="11691" xr:uid="{99235C9B-9BEC-4E15-93D6-20D2E4E231BB}"/>
    <cellStyle name="20% - Accent2 2 3 6 3 2" xfId="30287" xr:uid="{D6D70DF6-90CE-40C3-8572-D331E899236A}"/>
    <cellStyle name="20% - Accent2 2 3 6 4" xfId="20990" xr:uid="{2A9D7F8B-1C61-4AEB-B427-FDA4624E36AB}"/>
    <cellStyle name="20% - Accent2 2 3 7" xfId="4516" xr:uid="{00000000-0005-0000-0000-0000DE000000}"/>
    <cellStyle name="20% - Accent2 2 3 7 2" xfId="13842" xr:uid="{9AB6EA6E-6285-4E81-A2FC-3B55949B26DE}"/>
    <cellStyle name="20% - Accent2 2 3 7 2 2" xfId="32438" xr:uid="{661CC7C1-B309-4E76-96E0-BBDB738804DA}"/>
    <cellStyle name="20% - Accent2 2 3 7 3" xfId="23141" xr:uid="{227F4532-C7B7-40B2-AE0A-A3CC84635C9B}"/>
    <cellStyle name="20% - Accent2 2 3 8" xfId="9000" xr:uid="{133DFC5C-F2FF-49E9-82EE-ABAA9C815393}"/>
    <cellStyle name="20% - Accent2 2 3 8 2" xfId="18324" xr:uid="{08B39725-AB54-4ACB-9B24-051DECCBA452}"/>
    <cellStyle name="20% - Accent2 2 3 8 2 2" xfId="36919" xr:uid="{87BFA27E-E348-4427-A4F2-D5988882ECF4}"/>
    <cellStyle name="20% - Accent2 2 3 8 3" xfId="27622" xr:uid="{2276CC02-0EA3-4AB5-8D5F-D0891E14F49D}"/>
    <cellStyle name="20% - Accent2 2 3 9" xfId="9625" xr:uid="{96CCB62A-7BA0-4CFA-B0BA-FA6AD3CDA40B}"/>
    <cellStyle name="20% - Accent2 2 3 9 2" xfId="28221" xr:uid="{D8B236B0-D1F7-4156-8026-3C74AB089023}"/>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896E8B53-D079-418D-AC39-97FB93843EFB}"/>
    <cellStyle name="20% - Accent2 2 4 2 2 2 2" xfId="34994" xr:uid="{58200693-64DA-4B3B-84D1-52C4430FA1CF}"/>
    <cellStyle name="20% - Accent2 2 4 2 2 3" xfId="25697" xr:uid="{6C64DB7A-28FF-4FD8-8C97-035E4A86BFB4}"/>
    <cellStyle name="20% - Accent2 2 4 2 3" xfId="12181" xr:uid="{ED3FF9BA-659C-4DE3-97D1-A9874B9C08B0}"/>
    <cellStyle name="20% - Accent2 2 4 2 3 2" xfId="30777" xr:uid="{34E0666D-36E1-40E0-9E8B-BD5D793F2277}"/>
    <cellStyle name="20% - Accent2 2 4 2 4" xfId="21480" xr:uid="{C9158E40-4664-42FF-A821-86FF2ADF8282}"/>
    <cellStyle name="20% - Accent2 2 4 3" xfId="4927" xr:uid="{00000000-0005-0000-0000-0000E2000000}"/>
    <cellStyle name="20% - Accent2 2 4 3 2" xfId="14253" xr:uid="{95DFE8D1-3A4F-482A-9253-BC00AE6E6AD8}"/>
    <cellStyle name="20% - Accent2 2 4 3 2 2" xfId="32849" xr:uid="{1A0840BB-7E84-4376-A3C8-8D83311528A1}"/>
    <cellStyle name="20% - Accent2 2 4 3 3" xfId="23552" xr:uid="{06DB4FF4-464A-4D78-ABDE-DA48A64B2E35}"/>
    <cellStyle name="20% - Accent2 2 4 4" xfId="9217" xr:uid="{28DDC3F5-BA57-40F8-8D06-6CFF141CF9A1}"/>
    <cellStyle name="20% - Accent2 2 4 4 2" xfId="18533" xr:uid="{2116D509-C5AB-4771-B9D5-A0F874934D21}"/>
    <cellStyle name="20% - Accent2 2 4 4 2 2" xfId="37127" xr:uid="{A6AAB75D-CF00-4E5A-8612-346EE9BEA255}"/>
    <cellStyle name="20% - Accent2 2 4 4 3" xfId="27830" xr:uid="{BAEB1ADB-3852-4ECB-887F-62EF68B814D6}"/>
    <cellStyle name="20% - Accent2 2 4 5" xfId="10036" xr:uid="{2BA8F88F-5883-48B0-8BF6-37E6D96D5587}"/>
    <cellStyle name="20% - Accent2 2 4 5 2" xfId="28632" xr:uid="{0E446FD4-73D7-4C60-AAE8-74D6F5018169}"/>
    <cellStyle name="20% - Accent2 2 4 6" xfId="19335" xr:uid="{C3BE1617-04EB-4777-9EC1-892ECABA2033}"/>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7B7252F8-8C1F-4819-BF5D-CD9A973B475E}"/>
    <cellStyle name="20% - Accent2 2 5 2 2 2 2" xfId="35407" xr:uid="{7B0969CA-3363-436D-A86A-53205A8F5747}"/>
    <cellStyle name="20% - Accent2 2 5 2 2 3" xfId="26110" xr:uid="{7F66DC40-B9F2-4CB2-A7FC-63D327A6687B}"/>
    <cellStyle name="20% - Accent2 2 5 2 3" xfId="12594" xr:uid="{D3BBBB15-E48E-44C0-B5C3-3F786B41C4E3}"/>
    <cellStyle name="20% - Accent2 2 5 2 3 2" xfId="31190" xr:uid="{8215187E-66EA-4354-BD7E-2DDBCCAD0815}"/>
    <cellStyle name="20% - Accent2 2 5 2 4" xfId="21893" xr:uid="{CA16FFA7-4778-4337-9597-D6216DC402E0}"/>
    <cellStyle name="20% - Accent2 2 5 3" xfId="5340" xr:uid="{00000000-0005-0000-0000-0000E6000000}"/>
    <cellStyle name="20% - Accent2 2 5 3 2" xfId="14666" xr:uid="{52E327DC-A53B-41A7-A0B5-DA680A8A00B0}"/>
    <cellStyle name="20% - Accent2 2 5 3 2 2" xfId="33262" xr:uid="{F7277331-C6FB-4D10-9EFA-1D5D72F3CB9F}"/>
    <cellStyle name="20% - Accent2 2 5 3 3" xfId="23965" xr:uid="{4A698328-16D6-49CD-B136-9C19C1E7B9D7}"/>
    <cellStyle name="20% - Accent2 2 5 4" xfId="10449" xr:uid="{5E2B8558-51FD-47DE-982D-19AA049F97B0}"/>
    <cellStyle name="20% - Accent2 2 5 4 2" xfId="29045" xr:uid="{0A495DD0-1257-4E77-AFF7-C22F220D1CAB}"/>
    <cellStyle name="20% - Accent2 2 5 5" xfId="19748" xr:uid="{382B5ED9-BE97-4B19-9AD9-B55D57EE5EC0}"/>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D672E0A8-B102-4D12-BC0F-BD5250CD4E10}"/>
    <cellStyle name="20% - Accent2 2 6 2 2 2 2" xfId="35820" xr:uid="{445B6389-F542-4D28-A555-7F02AEF2735F}"/>
    <cellStyle name="20% - Accent2 2 6 2 2 3" xfId="26523" xr:uid="{425B4A8A-E700-4E25-9069-802D73DFEF72}"/>
    <cellStyle name="20% - Accent2 2 6 2 3" xfId="13007" xr:uid="{62116E1F-02E3-483D-B427-98A104D279AB}"/>
    <cellStyle name="20% - Accent2 2 6 2 3 2" xfId="31603" xr:uid="{BAC5A349-5D3C-4EF2-9E36-DA247D012E45}"/>
    <cellStyle name="20% - Accent2 2 6 2 4" xfId="22306" xr:uid="{0818D80D-45BF-4331-A95E-57153BB81F84}"/>
    <cellStyle name="20% - Accent2 2 6 3" xfId="5753" xr:uid="{00000000-0005-0000-0000-0000EA000000}"/>
    <cellStyle name="20% - Accent2 2 6 3 2" xfId="15079" xr:uid="{F8BD0A35-1F12-4DE0-B15F-98AA16F4C179}"/>
    <cellStyle name="20% - Accent2 2 6 3 2 2" xfId="33675" xr:uid="{AD9CD68E-618F-41EA-B1E2-31B7ADBB5195}"/>
    <cellStyle name="20% - Accent2 2 6 3 3" xfId="24378" xr:uid="{01ACB4C1-E8AA-4B42-91BC-956F5CD23672}"/>
    <cellStyle name="20% - Accent2 2 6 4" xfId="10862" xr:uid="{05B9EDED-BA09-44E5-A2EE-6B011071BAA6}"/>
    <cellStyle name="20% - Accent2 2 6 4 2" xfId="29458" xr:uid="{CA79C94B-7EDA-412D-AB30-DD57F1497754}"/>
    <cellStyle name="20% - Accent2 2 6 5" xfId="20161" xr:uid="{CC6B42C0-C93A-4A2A-931A-6FAA4E7C2F34}"/>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782DDBC7-43DB-479D-B5C4-A85555D0A1F3}"/>
    <cellStyle name="20% - Accent2 2 7 2 2 2 2" xfId="36233" xr:uid="{CD673596-5B57-4CB2-8F89-4488F12D8F6E}"/>
    <cellStyle name="20% - Accent2 2 7 2 2 3" xfId="26936" xr:uid="{53B75946-8115-4227-90DE-D8BE6A904A37}"/>
    <cellStyle name="20% - Accent2 2 7 2 3" xfId="13420" xr:uid="{DE8B6D59-9727-4D05-9324-8066EEF34ADF}"/>
    <cellStyle name="20% - Accent2 2 7 2 3 2" xfId="32016" xr:uid="{C0292720-59C0-43F9-9072-26D1F6D72995}"/>
    <cellStyle name="20% - Accent2 2 7 2 4" xfId="22719" xr:uid="{0BB5B50C-9AEF-461A-871B-19D72F53AC59}"/>
    <cellStyle name="20% - Accent2 2 7 3" xfId="6166" xr:uid="{00000000-0005-0000-0000-0000EE000000}"/>
    <cellStyle name="20% - Accent2 2 7 3 2" xfId="15492" xr:uid="{CA17E264-9047-4D31-AD0D-2B87B68FF2E7}"/>
    <cellStyle name="20% - Accent2 2 7 3 2 2" xfId="34088" xr:uid="{5C441D88-7D05-41DE-BC84-8EEA453EE357}"/>
    <cellStyle name="20% - Accent2 2 7 3 3" xfId="24791" xr:uid="{F5AB4429-9B86-42CE-8BE7-4B700A74E84E}"/>
    <cellStyle name="20% - Accent2 2 7 4" xfId="11275" xr:uid="{95A3E762-FE04-4938-AF5C-4EA8F3E7BE13}"/>
    <cellStyle name="20% - Accent2 2 7 4 2" xfId="29871" xr:uid="{F997EBA5-F409-4446-9F76-4CFD03DCEB3B}"/>
    <cellStyle name="20% - Accent2 2 7 5" xfId="20574" xr:uid="{25B89AC2-D22B-4B83-85A7-0F21EBD123A7}"/>
    <cellStyle name="20% - Accent2 2 8" xfId="2273" xr:uid="{00000000-0005-0000-0000-0000EF000000}"/>
    <cellStyle name="20% - Accent2 2 8 2" xfId="6579" xr:uid="{00000000-0005-0000-0000-0000F0000000}"/>
    <cellStyle name="20% - Accent2 2 8 2 2" xfId="15905" xr:uid="{AE5D1842-578D-48CC-B066-03E82BD7A1A9}"/>
    <cellStyle name="20% - Accent2 2 8 2 2 2" xfId="34501" xr:uid="{8385545E-AB68-4350-8CFD-3F7E5E2C62EA}"/>
    <cellStyle name="20% - Accent2 2 8 2 3" xfId="25204" xr:uid="{74A79A44-97E3-467C-874C-4AEAD896EDBA}"/>
    <cellStyle name="20% - Accent2 2 8 3" xfId="11688" xr:uid="{3B595B67-8F50-4EC4-8942-B5D9048F29A8}"/>
    <cellStyle name="20% - Accent2 2 8 3 2" xfId="30284" xr:uid="{96BE4804-4845-4C3B-98FD-531C88F9F39F}"/>
    <cellStyle name="20% - Accent2 2 8 4" xfId="20987" xr:uid="{C2BE0090-2F5D-4BA8-9CD3-0461BC30F4D5}"/>
    <cellStyle name="20% - Accent2 2 9" xfId="4513" xr:uid="{00000000-0005-0000-0000-0000F1000000}"/>
    <cellStyle name="20% - Accent2 2 9 2" xfId="13839" xr:uid="{971B7AC0-B0AC-44E4-9B75-585E470994ED}"/>
    <cellStyle name="20% - Accent2 2 9 2 2" xfId="32435" xr:uid="{A025E093-BDD5-4C57-BDFF-BEC69E1B92B0}"/>
    <cellStyle name="20% - Accent2 2 9 3" xfId="23138" xr:uid="{D5DECF41-1E18-4C53-97EF-0018DA8A8D95}"/>
    <cellStyle name="20% - Accent2 3" xfId="14" xr:uid="{00000000-0005-0000-0000-0000F2000000}"/>
    <cellStyle name="20% - Accent2 3 10" xfId="9626" xr:uid="{2508AEAB-A65C-4204-ABD3-6B861D311815}"/>
    <cellStyle name="20% - Accent2 3 10 2" xfId="28222" xr:uid="{1537E784-29CE-47F9-A1AA-0CFF6029289D}"/>
    <cellStyle name="20% - Accent2 3 11" xfId="18925" xr:uid="{0454511B-9DDA-49E1-B9BB-FE2C8D95781A}"/>
    <cellStyle name="20% - Accent2 3 2" xfId="15" xr:uid="{00000000-0005-0000-0000-0000F3000000}"/>
    <cellStyle name="20% - Accent2 3 2 10" xfId="18926" xr:uid="{E46F6F68-6331-4E5B-BFED-C668E8262A8A}"/>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2A586684-81BB-4F04-81BB-DC1EFDBD387B}"/>
    <cellStyle name="20% - Accent2 3 2 2 2 2 2 2" xfId="34999" xr:uid="{BD25AE50-7B14-4C10-86D7-7C797AE3D865}"/>
    <cellStyle name="20% - Accent2 3 2 2 2 2 3" xfId="25702" xr:uid="{0DA64CAE-AACC-435F-A412-11468F88DAB6}"/>
    <cellStyle name="20% - Accent2 3 2 2 2 3" xfId="12186" xr:uid="{466F2912-F470-4B8A-934B-EFE21D453CF7}"/>
    <cellStyle name="20% - Accent2 3 2 2 2 3 2" xfId="30782" xr:uid="{BEB445D7-F285-4012-9B2D-6D510DEEEF00}"/>
    <cellStyle name="20% - Accent2 3 2 2 2 4" xfId="21485" xr:uid="{9418C707-C295-49C6-97BB-FB9AC35B2E5E}"/>
    <cellStyle name="20% - Accent2 3 2 2 3" xfId="4932" xr:uid="{00000000-0005-0000-0000-0000F7000000}"/>
    <cellStyle name="20% - Accent2 3 2 2 3 2" xfId="14258" xr:uid="{44438FC2-D89A-41BA-9479-24595C7AC7BC}"/>
    <cellStyle name="20% - Accent2 3 2 2 3 2 2" xfId="32854" xr:uid="{F49C3102-BFB9-4C07-A669-573CACE3469A}"/>
    <cellStyle name="20% - Accent2 3 2 2 3 3" xfId="23557" xr:uid="{8EA4794F-49A8-483F-99E9-F76ECC63C562}"/>
    <cellStyle name="20% - Accent2 3 2 2 4" xfId="9495" xr:uid="{9F5A6FE7-BBC9-4787-8EC4-2112F4D5A0EA}"/>
    <cellStyle name="20% - Accent2 3 2 2 4 2" xfId="18810" xr:uid="{1D4DF82E-ED01-404E-B622-FA74954CAE46}"/>
    <cellStyle name="20% - Accent2 3 2 2 4 2 2" xfId="37404" xr:uid="{1350676C-1F97-4D19-8490-9E60AB1A3610}"/>
    <cellStyle name="20% - Accent2 3 2 2 4 3" xfId="28107" xr:uid="{F5C5CC1D-35A1-44E7-BBED-A8F40119EE74}"/>
    <cellStyle name="20% - Accent2 3 2 2 5" xfId="10041" xr:uid="{DCF81C1B-D345-435C-8412-D3E3959F5397}"/>
    <cellStyle name="20% - Accent2 3 2 2 5 2" xfId="28637" xr:uid="{0873E244-AAEA-4D9B-BC1E-A7DA09EC6E98}"/>
    <cellStyle name="20% - Accent2 3 2 2 6" xfId="19340" xr:uid="{B48C4DB6-B3E3-4D14-9A4C-8026FE3D128E}"/>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900C45CF-3D7B-495F-A920-3E2C064EA9E1}"/>
    <cellStyle name="20% - Accent2 3 2 3 2 2 2 2" xfId="35412" xr:uid="{E66A1553-2CB0-4D94-A6E7-DC812C2F2E06}"/>
    <cellStyle name="20% - Accent2 3 2 3 2 2 3" xfId="26115" xr:uid="{0C641C62-0BDB-42B2-90C2-984790A7BF9B}"/>
    <cellStyle name="20% - Accent2 3 2 3 2 3" xfId="12599" xr:uid="{4B1FA1A8-DCE7-4573-916C-FC3B72532D59}"/>
    <cellStyle name="20% - Accent2 3 2 3 2 3 2" xfId="31195" xr:uid="{B58E752A-592B-4578-87E9-C0A281216C2C}"/>
    <cellStyle name="20% - Accent2 3 2 3 2 4" xfId="21898" xr:uid="{DEB6172F-FA93-48BB-905B-4D13D338EC4C}"/>
    <cellStyle name="20% - Accent2 3 2 3 3" xfId="5345" xr:uid="{00000000-0005-0000-0000-0000FB000000}"/>
    <cellStyle name="20% - Accent2 3 2 3 3 2" xfId="14671" xr:uid="{454F72E9-4227-431B-B47D-AF2BE3010035}"/>
    <cellStyle name="20% - Accent2 3 2 3 3 2 2" xfId="33267" xr:uid="{33C97C89-7F4F-43A8-8DA1-965A3CAFA36C}"/>
    <cellStyle name="20% - Accent2 3 2 3 3 3" xfId="23970" xr:uid="{FAFE5247-84FB-45A1-BB88-EB30CCB3852C}"/>
    <cellStyle name="20% - Accent2 3 2 3 4" xfId="10454" xr:uid="{F191181D-3929-4F87-ADC1-BBC0FB0810F9}"/>
    <cellStyle name="20% - Accent2 3 2 3 4 2" xfId="29050" xr:uid="{0CAA023E-1721-4CC5-BBF8-89709F7C0BFE}"/>
    <cellStyle name="20% - Accent2 3 2 3 5" xfId="19753" xr:uid="{1DD5AD85-A385-43B3-B3F4-0F45012897A0}"/>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C00B9FE7-E276-4795-9ED2-C5D488145A3F}"/>
    <cellStyle name="20% - Accent2 3 2 4 2 2 2 2" xfId="35825" xr:uid="{7EF9BBDD-A5DC-433B-AA17-40D05472E690}"/>
    <cellStyle name="20% - Accent2 3 2 4 2 2 3" xfId="26528" xr:uid="{F81A65E2-0D31-4301-BA7D-7F120B7B07CB}"/>
    <cellStyle name="20% - Accent2 3 2 4 2 3" xfId="13012" xr:uid="{8E8E9E1F-8CA5-4F58-A521-B2B5D725C682}"/>
    <cellStyle name="20% - Accent2 3 2 4 2 3 2" xfId="31608" xr:uid="{063849B9-9392-4903-9EAA-1DC4B4AE7F91}"/>
    <cellStyle name="20% - Accent2 3 2 4 2 4" xfId="22311" xr:uid="{E835AEE1-911F-472B-9FB6-3E1844F90EA2}"/>
    <cellStyle name="20% - Accent2 3 2 4 3" xfId="5758" xr:uid="{00000000-0005-0000-0000-0000FF000000}"/>
    <cellStyle name="20% - Accent2 3 2 4 3 2" xfId="15084" xr:uid="{5484F427-CD86-450A-B64B-F5BC4A7506E9}"/>
    <cellStyle name="20% - Accent2 3 2 4 3 2 2" xfId="33680" xr:uid="{1FB5EAC6-670C-40FD-A1A1-B7543AFA2E86}"/>
    <cellStyle name="20% - Accent2 3 2 4 3 3" xfId="24383" xr:uid="{EA1A8344-3721-4843-AA8F-BCBB9D59D77E}"/>
    <cellStyle name="20% - Accent2 3 2 4 4" xfId="10867" xr:uid="{1E6AC81C-3A7C-48EF-80FA-065B04677443}"/>
    <cellStyle name="20% - Accent2 3 2 4 4 2" xfId="29463" xr:uid="{6AB97357-EC94-4577-A9BE-1FF722CCD9D1}"/>
    <cellStyle name="20% - Accent2 3 2 4 5" xfId="20166" xr:uid="{67C960FB-0471-41D6-A82D-CE1C05270EA2}"/>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4A159DEC-A1B1-439D-98B8-E54C15853716}"/>
    <cellStyle name="20% - Accent2 3 2 5 2 2 2 2" xfId="36238" xr:uid="{F803268F-D477-4E04-AF34-1B859C5FE0BE}"/>
    <cellStyle name="20% - Accent2 3 2 5 2 2 3" xfId="26941" xr:uid="{FDB54D2A-1C5E-4FBB-95E8-FFAC5D4A0F58}"/>
    <cellStyle name="20% - Accent2 3 2 5 2 3" xfId="13425" xr:uid="{DB70BED6-8800-4068-A216-3E2508A70FE8}"/>
    <cellStyle name="20% - Accent2 3 2 5 2 3 2" xfId="32021" xr:uid="{FD6C3C0B-B0B5-4DDF-A69A-87BD57528DCF}"/>
    <cellStyle name="20% - Accent2 3 2 5 2 4" xfId="22724" xr:uid="{1B71ABCB-0243-45AF-B712-F9462DEF439D}"/>
    <cellStyle name="20% - Accent2 3 2 5 3" xfId="6171" xr:uid="{00000000-0005-0000-0000-000003010000}"/>
    <cellStyle name="20% - Accent2 3 2 5 3 2" xfId="15497" xr:uid="{D359521A-63D4-423D-B698-43675A26695C}"/>
    <cellStyle name="20% - Accent2 3 2 5 3 2 2" xfId="34093" xr:uid="{426894BA-4491-4E43-9271-2F555397039A}"/>
    <cellStyle name="20% - Accent2 3 2 5 3 3" xfId="24796" xr:uid="{05E1390C-0F27-4118-8C82-64581A378540}"/>
    <cellStyle name="20% - Accent2 3 2 5 4" xfId="11280" xr:uid="{859B3591-B32E-4BD4-AAFA-182DB56AEDB9}"/>
    <cellStyle name="20% - Accent2 3 2 5 4 2" xfId="29876" xr:uid="{1E8B265F-DF25-4AE9-A999-814349E82069}"/>
    <cellStyle name="20% - Accent2 3 2 5 5" xfId="20579" xr:uid="{D7242CC3-A421-4951-BB55-9749FE71A1EB}"/>
    <cellStyle name="20% - Accent2 3 2 6" xfId="2278" xr:uid="{00000000-0005-0000-0000-000004010000}"/>
    <cellStyle name="20% - Accent2 3 2 6 2" xfId="6584" xr:uid="{00000000-0005-0000-0000-000005010000}"/>
    <cellStyle name="20% - Accent2 3 2 6 2 2" xfId="15910" xr:uid="{36C6E80D-2AAA-41E1-92C0-9F9966EA57F8}"/>
    <cellStyle name="20% - Accent2 3 2 6 2 2 2" xfId="34506" xr:uid="{EB18ACE5-9CD4-4EDB-B40F-C2B9F7A7C520}"/>
    <cellStyle name="20% - Accent2 3 2 6 2 3" xfId="25209" xr:uid="{81BEA8AA-4170-4E46-B160-1F5F8AD2EE78}"/>
    <cellStyle name="20% - Accent2 3 2 6 3" xfId="11693" xr:uid="{5EAB3DAA-3A59-4448-BD96-837442955A80}"/>
    <cellStyle name="20% - Accent2 3 2 6 3 2" xfId="30289" xr:uid="{7A68CF6F-E7BC-4BEA-B5C9-6C30061A6FE0}"/>
    <cellStyle name="20% - Accent2 3 2 6 4" xfId="20992" xr:uid="{B33E2542-293E-4500-937D-66FDDC26697B}"/>
    <cellStyle name="20% - Accent2 3 2 7" xfId="4518" xr:uid="{00000000-0005-0000-0000-000006010000}"/>
    <cellStyle name="20% - Accent2 3 2 7 2" xfId="13844" xr:uid="{7F532D6A-D4F2-4903-AEEE-033E8668F8DA}"/>
    <cellStyle name="20% - Accent2 3 2 7 2 2" xfId="32440" xr:uid="{20D87E0D-642C-4AD4-BFCA-8D9690AC775C}"/>
    <cellStyle name="20% - Accent2 3 2 7 3" xfId="23143" xr:uid="{B81E550C-46FB-443B-BD77-3B0A126F6F21}"/>
    <cellStyle name="20% - Accent2 3 2 8" xfId="9070" xr:uid="{8A9168BA-490F-4E57-83EA-22187D24153F}"/>
    <cellStyle name="20% - Accent2 3 2 8 2" xfId="18394" xr:uid="{96B7FB22-FF1C-4290-BBDD-BBC729D70743}"/>
    <cellStyle name="20% - Accent2 3 2 8 2 2" xfId="36989" xr:uid="{9CB0AC41-2C8E-4F83-8310-7373B778E811}"/>
    <cellStyle name="20% - Accent2 3 2 8 3" xfId="27692" xr:uid="{04BD7F50-E2DF-4165-9EF2-5ACE5926CB7E}"/>
    <cellStyle name="20% - Accent2 3 2 9" xfId="9627" xr:uid="{602E1C47-6F5C-4D9B-B71D-3792D9082E8D}"/>
    <cellStyle name="20% - Accent2 3 2 9 2" xfId="28223" xr:uid="{8CBCE8E8-6392-440F-A263-9E048564E685}"/>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A16CC429-9324-496B-8C9C-CF851727130B}"/>
    <cellStyle name="20% - Accent2 3 3 2 2 2 2" xfId="34998" xr:uid="{E2E87FAF-E1A2-4DAE-A37B-477665723E0D}"/>
    <cellStyle name="20% - Accent2 3 3 2 2 3" xfId="25701" xr:uid="{8B332A61-4663-484E-851C-E90A09CC76F6}"/>
    <cellStyle name="20% - Accent2 3 3 2 3" xfId="12185" xr:uid="{A9CA3CE1-A78A-4715-B35A-EFC482DC079B}"/>
    <cellStyle name="20% - Accent2 3 3 2 3 2" xfId="30781" xr:uid="{DD587989-9C32-49B2-8935-979EEA59D8B6}"/>
    <cellStyle name="20% - Accent2 3 3 2 4" xfId="21484" xr:uid="{B323BF64-E615-462E-9618-B12D078ECACF}"/>
    <cellStyle name="20% - Accent2 3 3 3" xfId="4931" xr:uid="{00000000-0005-0000-0000-00000A010000}"/>
    <cellStyle name="20% - Accent2 3 3 3 2" xfId="14257" xr:uid="{A771C88E-0F02-41EB-BA2F-F3BE41F5289A}"/>
    <cellStyle name="20% - Accent2 3 3 3 2 2" xfId="32853" xr:uid="{578B42C5-3D1D-4565-9126-D77DB39EC738}"/>
    <cellStyle name="20% - Accent2 3 3 3 3" xfId="23556" xr:uid="{7F7B55BC-2B34-4B6A-9B76-E3CB900E45A2}"/>
    <cellStyle name="20% - Accent2 3 3 4" xfId="9288" xr:uid="{FCD70616-ECAD-4A0B-889F-4698E1AD889E}"/>
    <cellStyle name="20% - Accent2 3 3 4 2" xfId="18603" xr:uid="{01BC1BFE-EE04-4A89-88D4-CC1330F78D71}"/>
    <cellStyle name="20% - Accent2 3 3 4 2 2" xfId="37197" xr:uid="{3F65B509-D1B5-4ADD-932B-112212DD0536}"/>
    <cellStyle name="20% - Accent2 3 3 4 3" xfId="27900" xr:uid="{2FB1AE33-E13C-425A-98B8-896E6413ECD2}"/>
    <cellStyle name="20% - Accent2 3 3 5" xfId="10040" xr:uid="{0D49C039-C4E3-45AC-A2BC-7A52FFE8AB4C}"/>
    <cellStyle name="20% - Accent2 3 3 5 2" xfId="28636" xr:uid="{A22279AC-0930-4371-85AD-C71FE644C91B}"/>
    <cellStyle name="20% - Accent2 3 3 6" xfId="19339" xr:uid="{FE0D46A6-BF75-4443-944C-FEAB93ECD831}"/>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3AD8C2B0-D987-4B2D-AFFB-E298F792D32A}"/>
    <cellStyle name="20% - Accent2 3 4 2 2 2 2" xfId="35411" xr:uid="{4282719B-8A80-4E58-B53C-E67CB783E866}"/>
    <cellStyle name="20% - Accent2 3 4 2 2 3" xfId="26114" xr:uid="{38025F1F-4DAC-4D59-B7A4-683A4C0FBB2E}"/>
    <cellStyle name="20% - Accent2 3 4 2 3" xfId="12598" xr:uid="{602DEB38-E591-4065-B415-6763713B0FC7}"/>
    <cellStyle name="20% - Accent2 3 4 2 3 2" xfId="31194" xr:uid="{D7A5EA42-D574-4820-BA8E-07148E6F1CF5}"/>
    <cellStyle name="20% - Accent2 3 4 2 4" xfId="21897" xr:uid="{BADBAC71-532D-4159-97B0-62073F5EEF31}"/>
    <cellStyle name="20% - Accent2 3 4 3" xfId="5344" xr:uid="{00000000-0005-0000-0000-00000E010000}"/>
    <cellStyle name="20% - Accent2 3 4 3 2" xfId="14670" xr:uid="{124644E4-6E85-41E6-B1DC-51A2E71E698D}"/>
    <cellStyle name="20% - Accent2 3 4 3 2 2" xfId="33266" xr:uid="{0CE8FBCC-2415-4F91-9DBD-8AA3CBEFF34D}"/>
    <cellStyle name="20% - Accent2 3 4 3 3" xfId="23969" xr:uid="{77049177-FB81-47AE-8114-EE737AE35A2C}"/>
    <cellStyle name="20% - Accent2 3 4 4" xfId="10453" xr:uid="{2420DF01-322F-40EE-82CC-F3498BBF1659}"/>
    <cellStyle name="20% - Accent2 3 4 4 2" xfId="29049" xr:uid="{330EA428-4780-46C2-BE11-9CB129FBA876}"/>
    <cellStyle name="20% - Accent2 3 4 5" xfId="19752" xr:uid="{BCD6F889-BBC0-4A77-858F-2F4A8FFC255D}"/>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D2298308-0B8A-44E2-8AB1-683E6CF0A0E9}"/>
    <cellStyle name="20% - Accent2 3 5 2 2 2 2" xfId="35824" xr:uid="{5008CFF2-61E4-40A0-A3B4-C8B1FB4169CD}"/>
    <cellStyle name="20% - Accent2 3 5 2 2 3" xfId="26527" xr:uid="{A1DEE51D-71C2-4C4F-8394-435AB24552F4}"/>
    <cellStyle name="20% - Accent2 3 5 2 3" xfId="13011" xr:uid="{2C7417CC-522E-4342-820E-FD3F02EDFCA8}"/>
    <cellStyle name="20% - Accent2 3 5 2 3 2" xfId="31607" xr:uid="{9349B26B-FEA4-495D-A7B1-F982CDFCDF4D}"/>
    <cellStyle name="20% - Accent2 3 5 2 4" xfId="22310" xr:uid="{8A5298CE-2CC2-4B83-8ACB-C643C2A07F65}"/>
    <cellStyle name="20% - Accent2 3 5 3" xfId="5757" xr:uid="{00000000-0005-0000-0000-000012010000}"/>
    <cellStyle name="20% - Accent2 3 5 3 2" xfId="15083" xr:uid="{B7AA1426-9C75-4C79-B617-6EB778314B60}"/>
    <cellStyle name="20% - Accent2 3 5 3 2 2" xfId="33679" xr:uid="{0E8D4A52-0F18-4455-BFCB-896F2ADB64E7}"/>
    <cellStyle name="20% - Accent2 3 5 3 3" xfId="24382" xr:uid="{9F0869D5-5356-4B01-B9F5-9B93D8935B8B}"/>
    <cellStyle name="20% - Accent2 3 5 4" xfId="10866" xr:uid="{92D2091C-8887-456F-AF4F-84787DC44D9C}"/>
    <cellStyle name="20% - Accent2 3 5 4 2" xfId="29462" xr:uid="{122DB8CE-2E52-4570-87BC-97AC5815E1AB}"/>
    <cellStyle name="20% - Accent2 3 5 5" xfId="20165" xr:uid="{EBA3178E-CC8D-487B-9F7B-D48AE38ABCAD}"/>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D079E32A-EC8C-427A-8DF8-73410E11AA80}"/>
    <cellStyle name="20% - Accent2 3 6 2 2 2 2" xfId="36237" xr:uid="{5103599D-004F-4A3D-A73E-5E6E99A5ECE4}"/>
    <cellStyle name="20% - Accent2 3 6 2 2 3" xfId="26940" xr:uid="{71E0128E-CA79-4440-8253-CA9983F8CE28}"/>
    <cellStyle name="20% - Accent2 3 6 2 3" xfId="13424" xr:uid="{D7259CA0-B4F2-4416-90E1-B38F2DD65BE0}"/>
    <cellStyle name="20% - Accent2 3 6 2 3 2" xfId="32020" xr:uid="{069E1747-C076-43E6-8488-94682C947717}"/>
    <cellStyle name="20% - Accent2 3 6 2 4" xfId="22723" xr:uid="{064143EC-9BB7-463A-8C09-950493F57803}"/>
    <cellStyle name="20% - Accent2 3 6 3" xfId="6170" xr:uid="{00000000-0005-0000-0000-000016010000}"/>
    <cellStyle name="20% - Accent2 3 6 3 2" xfId="15496" xr:uid="{EEB460EF-0CD9-4078-8156-0F919BB9B06F}"/>
    <cellStyle name="20% - Accent2 3 6 3 2 2" xfId="34092" xr:uid="{CE79EF80-A50C-4881-BE93-CB2EE10069E3}"/>
    <cellStyle name="20% - Accent2 3 6 3 3" xfId="24795" xr:uid="{4699A462-E57B-418C-8988-42C496DFC7F7}"/>
    <cellStyle name="20% - Accent2 3 6 4" xfId="11279" xr:uid="{A7F108B8-781C-466B-8295-8F3FF462FC4C}"/>
    <cellStyle name="20% - Accent2 3 6 4 2" xfId="29875" xr:uid="{7B7B10E7-10F4-4CB3-93C2-296EF436B48E}"/>
    <cellStyle name="20% - Accent2 3 6 5" xfId="20578" xr:uid="{FD74A729-DEBA-4DBC-829F-E72B2FF65B7B}"/>
    <cellStyle name="20% - Accent2 3 7" xfId="2277" xr:uid="{00000000-0005-0000-0000-000017010000}"/>
    <cellStyle name="20% - Accent2 3 7 2" xfId="6583" xr:uid="{00000000-0005-0000-0000-000018010000}"/>
    <cellStyle name="20% - Accent2 3 7 2 2" xfId="15909" xr:uid="{33825039-AA86-49DE-8C12-F31575E7A40E}"/>
    <cellStyle name="20% - Accent2 3 7 2 2 2" xfId="34505" xr:uid="{0BF3FF78-2E7C-4E8D-BD46-1724F838E14C}"/>
    <cellStyle name="20% - Accent2 3 7 2 3" xfId="25208" xr:uid="{A8B44AA4-FFE9-45C9-9BD9-DB6E2E508D82}"/>
    <cellStyle name="20% - Accent2 3 7 3" xfId="11692" xr:uid="{4AD3F58F-A94B-46FD-8667-A62FDF53DF09}"/>
    <cellStyle name="20% - Accent2 3 7 3 2" xfId="30288" xr:uid="{C1760262-BA3A-45DF-AFCC-90110DD83752}"/>
    <cellStyle name="20% - Accent2 3 7 4" xfId="20991" xr:uid="{368B8BB6-3CFD-40AF-94C9-26449F1A70DD}"/>
    <cellStyle name="20% - Accent2 3 8" xfId="4517" xr:uid="{00000000-0005-0000-0000-000019010000}"/>
    <cellStyle name="20% - Accent2 3 8 2" xfId="13843" xr:uid="{F065C9B9-6C12-419A-9DD4-551185F9F362}"/>
    <cellStyle name="20% - Accent2 3 8 2 2" xfId="32439" xr:uid="{B7368585-73F8-4EA7-ACE2-C83626E52937}"/>
    <cellStyle name="20% - Accent2 3 8 3" xfId="23142" xr:uid="{E3CECE6F-E20E-4E5C-B49C-2D2D9162869F}"/>
    <cellStyle name="20% - Accent2 3 9" xfId="8863" xr:uid="{C6A258FB-33DC-4171-B9DD-C29513CA80FD}"/>
    <cellStyle name="20% - Accent2 3 9 2" xfId="18187" xr:uid="{FCFCA0CD-2C9D-4838-8F6C-21A465E8D797}"/>
    <cellStyle name="20% - Accent2 3 9 2 2" xfId="36782" xr:uid="{1BDDB777-165A-4814-B475-078C79D67AA9}"/>
    <cellStyle name="20% - Accent2 3 9 3" xfId="27485" xr:uid="{76D0BFBC-B68B-41B5-B36B-91DA0F8744F5}"/>
    <cellStyle name="20% - Accent2 4" xfId="16" xr:uid="{00000000-0005-0000-0000-00001A010000}"/>
    <cellStyle name="20% - Accent2 4 10" xfId="18927" xr:uid="{BD39E3AA-ABBD-44BA-8018-2FB11757B85D}"/>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A616E996-BC2A-48F5-A9A1-CC2C0AC97773}"/>
    <cellStyle name="20% - Accent2 4 2 2 2 2 2" xfId="35000" xr:uid="{FFE0FB65-AE8F-44D3-9D5D-3A4962002687}"/>
    <cellStyle name="20% - Accent2 4 2 2 2 3" xfId="25703" xr:uid="{C2925E36-14B9-410F-8498-43A317A845F9}"/>
    <cellStyle name="20% - Accent2 4 2 2 3" xfId="12187" xr:uid="{9ED4B988-3CE3-4C08-8180-847C62DBA1E5}"/>
    <cellStyle name="20% - Accent2 4 2 2 3 2" xfId="30783" xr:uid="{CCD57140-150F-4D1A-BA45-7BB58304833B}"/>
    <cellStyle name="20% - Accent2 4 2 2 4" xfId="21486" xr:uid="{CB57D009-FB62-4490-B893-749FF4E37169}"/>
    <cellStyle name="20% - Accent2 4 2 3" xfId="4933" xr:uid="{00000000-0005-0000-0000-00001E010000}"/>
    <cellStyle name="20% - Accent2 4 2 3 2" xfId="14259" xr:uid="{F46997E7-AAC0-4F26-A528-B162B4664A78}"/>
    <cellStyle name="20% - Accent2 4 2 3 2 2" xfId="32855" xr:uid="{35C06560-0102-42F1-B473-4E7CEED0662B}"/>
    <cellStyle name="20% - Accent2 4 2 3 3" xfId="23558" xr:uid="{D6D9B532-B35F-4FF5-8A91-ACB7CD0AE587}"/>
    <cellStyle name="20% - Accent2 4 2 4" xfId="9374" xr:uid="{26FD7A0E-8D04-4AF7-B092-2B22A78F0A97}"/>
    <cellStyle name="20% - Accent2 4 2 4 2" xfId="18689" xr:uid="{253765A3-9C89-4C41-B2F1-52B68388CEAD}"/>
    <cellStyle name="20% - Accent2 4 2 4 2 2" xfId="37283" xr:uid="{69AF2964-7AFD-4DB9-944A-D3B89E9EB62C}"/>
    <cellStyle name="20% - Accent2 4 2 4 3" xfId="27986" xr:uid="{8420C2D1-CD8F-4557-951F-7DC839C86CCF}"/>
    <cellStyle name="20% - Accent2 4 2 5" xfId="10042" xr:uid="{B0438356-F0F4-4F29-8312-E0073253EC77}"/>
    <cellStyle name="20% - Accent2 4 2 5 2" xfId="28638" xr:uid="{67990992-0CAE-4B8A-8F84-D2F636DD6527}"/>
    <cellStyle name="20% - Accent2 4 2 6" xfId="19341" xr:uid="{0FC991BD-794C-40D9-8B82-1DEA88FF2A49}"/>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DAADDCD6-0B7A-4D0C-84B2-B5BA0E004551}"/>
    <cellStyle name="20% - Accent2 4 3 2 2 2 2" xfId="35413" xr:uid="{09C7B29D-EDAB-4548-AF49-AE9ED7E2FC2E}"/>
    <cellStyle name="20% - Accent2 4 3 2 2 3" xfId="26116" xr:uid="{8DFBC175-F38E-4829-81B8-0F74CDA1A0BF}"/>
    <cellStyle name="20% - Accent2 4 3 2 3" xfId="12600" xr:uid="{913FA971-B76D-4FE8-A2FA-B1197F993D76}"/>
    <cellStyle name="20% - Accent2 4 3 2 3 2" xfId="31196" xr:uid="{D122C404-CF7F-4547-B71A-8216BEB63BA3}"/>
    <cellStyle name="20% - Accent2 4 3 2 4" xfId="21899" xr:uid="{764FD840-15E6-4B9B-AD6C-139239C55137}"/>
    <cellStyle name="20% - Accent2 4 3 3" xfId="5346" xr:uid="{00000000-0005-0000-0000-000022010000}"/>
    <cellStyle name="20% - Accent2 4 3 3 2" xfId="14672" xr:uid="{4A535DC2-87C0-449A-BC0F-8363C51ED2FC}"/>
    <cellStyle name="20% - Accent2 4 3 3 2 2" xfId="33268" xr:uid="{C1795AB3-D84F-4F6F-B5D6-B1AA45996489}"/>
    <cellStyle name="20% - Accent2 4 3 3 3" xfId="23971" xr:uid="{ED67D867-88CA-4852-9B7B-328CFC3C547A}"/>
    <cellStyle name="20% - Accent2 4 3 4" xfId="10455" xr:uid="{FC475D3C-BA30-47F9-982F-FEE5CECD894B}"/>
    <cellStyle name="20% - Accent2 4 3 4 2" xfId="29051" xr:uid="{3AE6E249-7E86-4C29-89C0-486C997F539B}"/>
    <cellStyle name="20% - Accent2 4 3 5" xfId="19754" xr:uid="{8AE4931A-159A-4BBB-9CC4-3A1C0041136D}"/>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6C46A7E3-C109-4C71-A986-040134EDCA7F}"/>
    <cellStyle name="20% - Accent2 4 4 2 2 2 2" xfId="35826" xr:uid="{FB28AB18-A1FC-47B6-8874-A003472A1B49}"/>
    <cellStyle name="20% - Accent2 4 4 2 2 3" xfId="26529" xr:uid="{16509B5F-5B5F-4AD1-A800-2D57DB7918E6}"/>
    <cellStyle name="20% - Accent2 4 4 2 3" xfId="13013" xr:uid="{89180BF5-E920-457C-93BE-AA427847B156}"/>
    <cellStyle name="20% - Accent2 4 4 2 3 2" xfId="31609" xr:uid="{51065EAA-8567-496F-9834-415307DD41E0}"/>
    <cellStyle name="20% - Accent2 4 4 2 4" xfId="22312" xr:uid="{B9F9B542-A09B-4473-87C1-598A21B6D001}"/>
    <cellStyle name="20% - Accent2 4 4 3" xfId="5759" xr:uid="{00000000-0005-0000-0000-000026010000}"/>
    <cellStyle name="20% - Accent2 4 4 3 2" xfId="15085" xr:uid="{E4D26827-5830-4CEC-B0F4-12B1A5E59FD8}"/>
    <cellStyle name="20% - Accent2 4 4 3 2 2" xfId="33681" xr:uid="{30EE1DAD-E776-4FA5-A784-FEA4F43B7E91}"/>
    <cellStyle name="20% - Accent2 4 4 3 3" xfId="24384" xr:uid="{8D3B9113-EE56-4BAB-928C-A6EA60FEB7CF}"/>
    <cellStyle name="20% - Accent2 4 4 4" xfId="10868" xr:uid="{CEA90100-0983-49EC-A582-EA78FE445F69}"/>
    <cellStyle name="20% - Accent2 4 4 4 2" xfId="29464" xr:uid="{991334E9-54AA-4058-A357-D8B4A842FD8A}"/>
    <cellStyle name="20% - Accent2 4 4 5" xfId="20167" xr:uid="{DAF2CE01-C780-443C-9C88-E23D86341D05}"/>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E6DB2BA1-1833-4355-B0D6-2CDFE6848A9A}"/>
    <cellStyle name="20% - Accent2 4 5 2 2 2 2" xfId="36239" xr:uid="{0F8689AE-A7A7-43B5-BA2F-2F41A3349EAB}"/>
    <cellStyle name="20% - Accent2 4 5 2 2 3" xfId="26942" xr:uid="{EFE360E0-C2DE-448C-8CBF-4E687E824221}"/>
    <cellStyle name="20% - Accent2 4 5 2 3" xfId="13426" xr:uid="{775CC992-C10D-482D-A8D5-1E37E91DE4BF}"/>
    <cellStyle name="20% - Accent2 4 5 2 3 2" xfId="32022" xr:uid="{B1A4A08F-1D1D-49F6-96A9-E561E92E6C44}"/>
    <cellStyle name="20% - Accent2 4 5 2 4" xfId="22725" xr:uid="{631FF9FA-006A-46A2-A955-8157A5EC2475}"/>
    <cellStyle name="20% - Accent2 4 5 3" xfId="6172" xr:uid="{00000000-0005-0000-0000-00002A010000}"/>
    <cellStyle name="20% - Accent2 4 5 3 2" xfId="15498" xr:uid="{73178DB6-4CBE-4900-8825-6C808EFC8927}"/>
    <cellStyle name="20% - Accent2 4 5 3 2 2" xfId="34094" xr:uid="{0CD4559B-20FE-4D10-A15E-A84CDABDDD2C}"/>
    <cellStyle name="20% - Accent2 4 5 3 3" xfId="24797" xr:uid="{4EFB382A-BA9D-4D93-8055-8AFFE2CF1E58}"/>
    <cellStyle name="20% - Accent2 4 5 4" xfId="11281" xr:uid="{348421A5-54C2-4305-BCD8-734F1A378512}"/>
    <cellStyle name="20% - Accent2 4 5 4 2" xfId="29877" xr:uid="{EFF11501-8BF0-4145-AAE5-25CA865EB955}"/>
    <cellStyle name="20% - Accent2 4 5 5" xfId="20580" xr:uid="{DDF8FBAD-410A-43F3-931B-C072F476B506}"/>
    <cellStyle name="20% - Accent2 4 6" xfId="2279" xr:uid="{00000000-0005-0000-0000-00002B010000}"/>
    <cellStyle name="20% - Accent2 4 6 2" xfId="6585" xr:uid="{00000000-0005-0000-0000-00002C010000}"/>
    <cellStyle name="20% - Accent2 4 6 2 2" xfId="15911" xr:uid="{5F378247-5FE9-433B-9359-5C5CB28976DA}"/>
    <cellStyle name="20% - Accent2 4 6 2 2 2" xfId="34507" xr:uid="{98A3E9C6-FEA2-46B8-A0D4-AB9D19E0FC13}"/>
    <cellStyle name="20% - Accent2 4 6 2 3" xfId="25210" xr:uid="{56274609-005D-4DAF-A3FD-8510FACAF3DF}"/>
    <cellStyle name="20% - Accent2 4 6 3" xfId="11694" xr:uid="{7597B428-4AE1-4B49-A43F-D03E15A51EB7}"/>
    <cellStyle name="20% - Accent2 4 6 3 2" xfId="30290" xr:uid="{73A50A49-F2BD-4E08-930E-5E80910240A4}"/>
    <cellStyle name="20% - Accent2 4 6 4" xfId="20993" xr:uid="{00625739-72E7-4929-988A-B57F598A964F}"/>
    <cellStyle name="20% - Accent2 4 7" xfId="4519" xr:uid="{00000000-0005-0000-0000-00002D010000}"/>
    <cellStyle name="20% - Accent2 4 7 2" xfId="13845" xr:uid="{607F4284-89D3-425B-B297-2FF8AEBC0641}"/>
    <cellStyle name="20% - Accent2 4 7 2 2" xfId="32441" xr:uid="{F1C1E423-40A3-4F48-AABB-2776CD607E12}"/>
    <cellStyle name="20% - Accent2 4 7 3" xfId="23144" xr:uid="{F3F170A8-B7D4-4C69-A9EE-3D45367DCA2C}"/>
    <cellStyle name="20% - Accent2 4 8" xfId="8949" xr:uid="{084C22A9-B904-4AFE-A752-AC1DC2CA76B8}"/>
    <cellStyle name="20% - Accent2 4 8 2" xfId="18273" xr:uid="{48210BAB-CB07-41C2-9AAE-699106FBBBAB}"/>
    <cellStyle name="20% - Accent2 4 8 2 2" xfId="36868" xr:uid="{D1AC073C-30C8-4D44-B2FE-070EB03A64FC}"/>
    <cellStyle name="20% - Accent2 4 8 3" xfId="27571" xr:uid="{4ADDE8B5-6790-44F1-B886-9E30A39AFD57}"/>
    <cellStyle name="20% - Accent2 4 9" xfId="9628" xr:uid="{92687614-3F43-4CD8-A9B4-749B435021E1}"/>
    <cellStyle name="20% - Accent2 4 9 2" xfId="28224" xr:uid="{7D1DC1BC-B805-40A1-A7CA-4CC8A740A06D}"/>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83E9D316-1566-4126-9D2E-7FF39D37C5F1}"/>
    <cellStyle name="20% - Accent2 5 2 2 2 2" xfId="34993" xr:uid="{2382510B-E35E-46DE-BA3D-6F9EE0AE16C4}"/>
    <cellStyle name="20% - Accent2 5 2 2 3" xfId="25696" xr:uid="{AE44895B-20C9-4C35-A7B5-2A60F92B9F3E}"/>
    <cellStyle name="20% - Accent2 5 2 3" xfId="12180" xr:uid="{853A1A66-D243-4B2B-A55F-30C32EAB9FE3}"/>
    <cellStyle name="20% - Accent2 5 2 3 2" xfId="30776" xr:uid="{246055B6-CB2C-4A28-9CE9-D109BAD2B4FB}"/>
    <cellStyle name="20% - Accent2 5 2 4" xfId="21479" xr:uid="{9FC5DF98-B827-481B-8AC7-35C46825B9C2}"/>
    <cellStyle name="20% - Accent2 5 3" xfId="4926" xr:uid="{00000000-0005-0000-0000-000031010000}"/>
    <cellStyle name="20% - Accent2 5 3 2" xfId="14252" xr:uid="{BCA5290F-CEE8-49B3-AE02-15B8ACAA06E7}"/>
    <cellStyle name="20% - Accent2 5 3 2 2" xfId="32848" xr:uid="{558D8342-055D-4A49-9B6C-220D1AFD9741}"/>
    <cellStyle name="20% - Accent2 5 3 3" xfId="23551" xr:uid="{3DE439B1-FB93-433A-8F64-712297E76AB2}"/>
    <cellStyle name="20% - Accent2 5 4" xfId="9182" xr:uid="{F822E263-B2A4-41B5-BBF9-FCE1A7A30601}"/>
    <cellStyle name="20% - Accent2 5 4 2" xfId="18500" xr:uid="{A4131182-6B49-4114-9EDA-86DB57F0BE34}"/>
    <cellStyle name="20% - Accent2 5 4 2 2" xfId="37094" xr:uid="{408C6662-E93D-4EEC-942D-287FE582C33E}"/>
    <cellStyle name="20% - Accent2 5 4 3" xfId="27797" xr:uid="{D956E387-6222-438D-98C0-FB422C34FE88}"/>
    <cellStyle name="20% - Accent2 5 5" xfId="10035" xr:uid="{A2C75A7C-25DA-48AE-8D0E-C2B12FE78774}"/>
    <cellStyle name="20% - Accent2 5 5 2" xfId="28631" xr:uid="{EF12E2C1-C955-48D6-966C-F23EB59D16DE}"/>
    <cellStyle name="20% - Accent2 5 6" xfId="19334" xr:uid="{778A6419-889C-4008-9281-B3E7894CDFB6}"/>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BE21F3C1-9134-4C91-B924-19FBCD21CD88}"/>
    <cellStyle name="20% - Accent2 6 2 2 2 2" xfId="35406" xr:uid="{65EAC37C-2444-423C-AF6A-AF9F002FB022}"/>
    <cellStyle name="20% - Accent2 6 2 2 3" xfId="26109" xr:uid="{767C6C4F-34D1-4C1B-9A1C-9592C6DD2FE4}"/>
    <cellStyle name="20% - Accent2 6 2 3" xfId="12593" xr:uid="{76822CBE-02C3-461C-8AD9-EE6BFA6F7B0A}"/>
    <cellStyle name="20% - Accent2 6 2 3 2" xfId="31189" xr:uid="{241CF05F-1A41-45B7-B0ED-8428B25781EC}"/>
    <cellStyle name="20% - Accent2 6 2 4" xfId="21892" xr:uid="{3015930B-F4E5-4B0E-9933-261ED763C2C9}"/>
    <cellStyle name="20% - Accent2 6 3" xfId="5339" xr:uid="{00000000-0005-0000-0000-000035010000}"/>
    <cellStyle name="20% - Accent2 6 3 2" xfId="14665" xr:uid="{C105DDDF-4D60-4369-8AD4-78557043F302}"/>
    <cellStyle name="20% - Accent2 6 3 2 2" xfId="33261" xr:uid="{B2D2B232-6FAE-4587-BF1E-063583DA052B}"/>
    <cellStyle name="20% - Accent2 6 3 3" xfId="23964" xr:uid="{B00CE2A8-965A-4181-90D9-84EBABABE6B4}"/>
    <cellStyle name="20% - Accent2 6 4" xfId="10448" xr:uid="{D292B607-3C42-4E7D-ACA8-4642B3CEA833}"/>
    <cellStyle name="20% - Accent2 6 4 2" xfId="29044" xr:uid="{B2D727C0-E302-4FB7-A6FD-F5DD3D033AB2}"/>
    <cellStyle name="20% - Accent2 6 5" xfId="19747" xr:uid="{5523428E-BCF4-4E2D-B64D-763BA9598EC2}"/>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1BB5F5B9-2EA8-46AE-A256-4999231873BB}"/>
    <cellStyle name="20% - Accent2 7 2 2 2 2" xfId="35819" xr:uid="{2D69E59D-C1C1-4FB9-AFD4-2CBBEE8AF1E2}"/>
    <cellStyle name="20% - Accent2 7 2 2 3" xfId="26522" xr:uid="{1322E8E5-249A-4B56-B390-B4C6669D1803}"/>
    <cellStyle name="20% - Accent2 7 2 3" xfId="13006" xr:uid="{236B4BF3-46A7-4911-9DD6-BCAAEB547B2B}"/>
    <cellStyle name="20% - Accent2 7 2 3 2" xfId="31602" xr:uid="{E6983205-8238-4CD7-93BA-584D89F3D438}"/>
    <cellStyle name="20% - Accent2 7 2 4" xfId="22305" xr:uid="{3098A1EE-F2CE-47A8-94B1-B11F34DB99EC}"/>
    <cellStyle name="20% - Accent2 7 3" xfId="5752" xr:uid="{00000000-0005-0000-0000-000039010000}"/>
    <cellStyle name="20% - Accent2 7 3 2" xfId="15078" xr:uid="{D1C0D5EA-2AD5-40B7-9156-705AA068B5D6}"/>
    <cellStyle name="20% - Accent2 7 3 2 2" xfId="33674" xr:uid="{66258225-E0DC-417D-A809-8F848AE3ABEF}"/>
    <cellStyle name="20% - Accent2 7 3 3" xfId="24377" xr:uid="{C51F97A7-C71D-4D7B-8F40-F18393E66680}"/>
    <cellStyle name="20% - Accent2 7 4" xfId="10861" xr:uid="{362FDF70-1B44-443C-9BFD-0BB253E32782}"/>
    <cellStyle name="20% - Accent2 7 4 2" xfId="29457" xr:uid="{1ECF68D0-ED1A-4C2A-80E7-7628A70A571B}"/>
    <cellStyle name="20% - Accent2 7 5" xfId="20160" xr:uid="{C8117448-6235-4A4D-8DB0-0C6E8B740AD1}"/>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06ABCA64-614A-4E39-B60C-6EE25FA53D62}"/>
    <cellStyle name="20% - Accent2 8 2 2 2 2" xfId="36232" xr:uid="{8A76C2C4-1A9D-48EA-9F8B-4EA06699E7AF}"/>
    <cellStyle name="20% - Accent2 8 2 2 3" xfId="26935" xr:uid="{629B0E7A-F2BA-49D9-8CCF-CE8D7A8128B2}"/>
    <cellStyle name="20% - Accent2 8 2 3" xfId="13419" xr:uid="{0C0AF678-03F5-445F-84E6-1601572604A4}"/>
    <cellStyle name="20% - Accent2 8 2 3 2" xfId="32015" xr:uid="{474D91AC-B626-4BC9-AE47-35D27ECE0F33}"/>
    <cellStyle name="20% - Accent2 8 2 4" xfId="22718" xr:uid="{40C23095-9D6B-4B20-AC7A-1A0DF224E967}"/>
    <cellStyle name="20% - Accent2 8 3" xfId="6165" xr:uid="{00000000-0005-0000-0000-00003D010000}"/>
    <cellStyle name="20% - Accent2 8 3 2" xfId="15491" xr:uid="{85680106-FF06-4001-A7A6-29F7445C2801}"/>
    <cellStyle name="20% - Accent2 8 3 2 2" xfId="34087" xr:uid="{21EC8A38-A9DB-4228-AB68-856FCF4D3681}"/>
    <cellStyle name="20% - Accent2 8 3 3" xfId="24790" xr:uid="{A1A8D7DD-2E09-4784-BF77-04B61DDD3CA8}"/>
    <cellStyle name="20% - Accent2 8 4" xfId="11274" xr:uid="{BA1E0F67-0C02-402C-AFBE-2DF32EEE320C}"/>
    <cellStyle name="20% - Accent2 8 4 2" xfId="29870" xr:uid="{063F3F06-1F2E-469A-B656-7C273688E9BF}"/>
    <cellStyle name="20% - Accent2 8 5" xfId="20573" xr:uid="{59288119-6DC2-4157-88B6-BE8D54C0C6DB}"/>
    <cellStyle name="20% - Accent2 9" xfId="2272" xr:uid="{00000000-0005-0000-0000-00003E010000}"/>
    <cellStyle name="20% - Accent2 9 2" xfId="6578" xr:uid="{00000000-0005-0000-0000-00003F010000}"/>
    <cellStyle name="20% - Accent2 9 2 2" xfId="15904" xr:uid="{2DFD93B1-F03E-439C-BAF1-0205CAC3CC70}"/>
    <cellStyle name="20% - Accent2 9 2 2 2" xfId="34500" xr:uid="{B7B1F9D4-68EA-4608-885B-20C80DB95908}"/>
    <cellStyle name="20% - Accent2 9 2 3" xfId="25203" xr:uid="{0DEEA745-500D-4452-ACD2-45841E2A27DD}"/>
    <cellStyle name="20% - Accent2 9 3" xfId="11687" xr:uid="{06E85898-38F9-4690-9B6A-D791432B347A}"/>
    <cellStyle name="20% - Accent2 9 3 2" xfId="30283" xr:uid="{3709836A-9F1A-4E81-A852-820766F7EACA}"/>
    <cellStyle name="20% - Accent2 9 4" xfId="20986" xr:uid="{44E60E38-380A-426A-A236-A4B35AAFF1EE}"/>
    <cellStyle name="20% - Accent3" xfId="17" builtinId="38" customBuiltin="1"/>
    <cellStyle name="20% - Accent3 10" xfId="4520" xr:uid="{00000000-0005-0000-0000-000041010000}"/>
    <cellStyle name="20% - Accent3 10 2" xfId="13846" xr:uid="{FD3EB77C-43C6-4321-B001-5B147C330B12}"/>
    <cellStyle name="20% - Accent3 10 2 2" xfId="32442" xr:uid="{EAA4550B-5A13-4D98-96BF-E2C403D1547D}"/>
    <cellStyle name="20% - Accent3 10 3" xfId="23145" xr:uid="{150A60F7-F60D-4266-9CEA-68B36FEA613F}"/>
    <cellStyle name="20% - Accent3 11" xfId="8762" xr:uid="{49ACF776-43E7-4BB5-82F5-A8A4FEBC45F8}"/>
    <cellStyle name="20% - Accent3 11 2" xfId="18086" xr:uid="{69F53895-6074-4CB9-A92A-7AACACD9B8DE}"/>
    <cellStyle name="20% - Accent3 11 2 2" xfId="36681" xr:uid="{2395508F-E8DB-476F-BBBC-FD4C7BB10BBA}"/>
    <cellStyle name="20% - Accent3 11 3" xfId="27384" xr:uid="{5137BC9E-C9D5-4848-860C-42AD1A4B9DAC}"/>
    <cellStyle name="20% - Accent3 12" xfId="9629" xr:uid="{B78B291F-102F-4458-8EF9-CAF1B657C7B4}"/>
    <cellStyle name="20% - Accent3 12 2" xfId="28225" xr:uid="{74AEB7D2-205C-4988-ACAB-1685D3BE5322}"/>
    <cellStyle name="20% - Accent3 13" xfId="18928" xr:uid="{A302A84D-4651-4653-8CEE-A21AA2C9750D}"/>
    <cellStyle name="20% - Accent3 2" xfId="18" xr:uid="{00000000-0005-0000-0000-000042010000}"/>
    <cellStyle name="20% - Accent3 2 10" xfId="8792" xr:uid="{65E5762F-047C-4860-B47E-71363924E2A5}"/>
    <cellStyle name="20% - Accent3 2 10 2" xfId="18116" xr:uid="{B37B75D7-D878-47D8-862F-0CE1A03ABBCC}"/>
    <cellStyle name="20% - Accent3 2 10 2 2" xfId="36711" xr:uid="{5ACB4D6A-51CB-4694-9C60-67E28490E747}"/>
    <cellStyle name="20% - Accent3 2 10 3" xfId="27414" xr:uid="{96C80A60-1B32-4D3B-9C78-C170CC23C3D1}"/>
    <cellStyle name="20% - Accent3 2 11" xfId="9630" xr:uid="{7BD02E50-C9E4-48A7-80A2-F1FBA28B8A63}"/>
    <cellStyle name="20% - Accent3 2 11 2" xfId="28226" xr:uid="{4ED8A2A5-BAEF-4238-97B8-C1A0D029F7EA}"/>
    <cellStyle name="20% - Accent3 2 12" xfId="18929" xr:uid="{B926B92B-0F1C-421C-B674-B4F4BA9053E9}"/>
    <cellStyle name="20% - Accent3 2 2" xfId="19" xr:uid="{00000000-0005-0000-0000-000043010000}"/>
    <cellStyle name="20% - Accent3 2 2 10" xfId="9631" xr:uid="{17E9A41C-8573-4079-B793-F79EF6D7C69F}"/>
    <cellStyle name="20% - Accent3 2 2 10 2" xfId="28227" xr:uid="{C7328892-2B87-4838-9501-E09DE999BDC7}"/>
    <cellStyle name="20% - Accent3 2 2 11" xfId="18930" xr:uid="{F39B019D-CC8F-4ABA-898A-B14ADD1FE059}"/>
    <cellStyle name="20% - Accent3 2 2 2" xfId="20" xr:uid="{00000000-0005-0000-0000-000044010000}"/>
    <cellStyle name="20% - Accent3 2 2 2 10" xfId="18931" xr:uid="{D8B79CD0-3192-42D3-B7AA-DC6E487DEC1E}"/>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B0F46207-EB47-45DD-8C85-95C7F1E6A2EF}"/>
    <cellStyle name="20% - Accent3 2 2 2 2 2 2 2 2" xfId="35004" xr:uid="{897FDEA7-E5B9-437D-A273-72C2E8DA9C98}"/>
    <cellStyle name="20% - Accent3 2 2 2 2 2 2 3" xfId="25707" xr:uid="{0381E8EE-2797-4DE0-ADE1-D512E4BF047B}"/>
    <cellStyle name="20% - Accent3 2 2 2 2 2 3" xfId="12191" xr:uid="{B5BDA960-42C4-4801-9A1B-E46CD974DFFB}"/>
    <cellStyle name="20% - Accent3 2 2 2 2 2 3 2" xfId="30787" xr:uid="{048A719B-5BC4-44AE-A501-D97AC0CF5CC1}"/>
    <cellStyle name="20% - Accent3 2 2 2 2 2 4" xfId="21490" xr:uid="{F493BDC3-FFCF-4D17-9D9D-50436969BE2C}"/>
    <cellStyle name="20% - Accent3 2 2 2 2 3" xfId="4937" xr:uid="{00000000-0005-0000-0000-000048010000}"/>
    <cellStyle name="20% - Accent3 2 2 2 2 3 2" xfId="14263" xr:uid="{D892D3DE-F449-4E5F-86C0-86722FA5F74E}"/>
    <cellStyle name="20% - Accent3 2 2 2 2 3 2 2" xfId="32859" xr:uid="{FC30E55D-448F-4E66-B51E-660E4A57951A}"/>
    <cellStyle name="20% - Accent3 2 2 2 2 3 3" xfId="23562" xr:uid="{2C3CBFDA-8AFE-4A56-9AC9-52148483C0CA}"/>
    <cellStyle name="20% - Accent3 2 2 2 2 4" xfId="9527" xr:uid="{B82F9F3C-4714-4F10-BEB2-F90FC0563F53}"/>
    <cellStyle name="20% - Accent3 2 2 2 2 4 2" xfId="18842" xr:uid="{B92DE499-DBF8-4A63-AB66-CF8C683EEA3D}"/>
    <cellStyle name="20% - Accent3 2 2 2 2 4 2 2" xfId="37436" xr:uid="{2B795B89-F91D-411E-A22B-31BB7F9E2FEA}"/>
    <cellStyle name="20% - Accent3 2 2 2 2 4 3" xfId="28139" xr:uid="{86F53640-B0A5-4449-AB04-29BD0314F483}"/>
    <cellStyle name="20% - Accent3 2 2 2 2 5" xfId="10046" xr:uid="{85905FF0-A7AF-4753-8B30-E69A5EF63176}"/>
    <cellStyle name="20% - Accent3 2 2 2 2 5 2" xfId="28642" xr:uid="{96E2F8E2-97A1-45C7-9AB1-54EB14C4A884}"/>
    <cellStyle name="20% - Accent3 2 2 2 2 6" xfId="19345" xr:uid="{BBD528F1-BE51-448A-819D-E558A41308D2}"/>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8072A760-768D-4897-A18B-4483630B52E0}"/>
    <cellStyle name="20% - Accent3 2 2 2 3 2 2 2 2" xfId="35417" xr:uid="{6556197B-9D77-43C5-978B-5E5FF6FEE2AD}"/>
    <cellStyle name="20% - Accent3 2 2 2 3 2 2 3" xfId="26120" xr:uid="{00674EDD-7E0A-486A-B8CC-53F600907317}"/>
    <cellStyle name="20% - Accent3 2 2 2 3 2 3" xfId="12604" xr:uid="{FC26DB6B-6F7B-42B4-A192-2E7B466B1851}"/>
    <cellStyle name="20% - Accent3 2 2 2 3 2 3 2" xfId="31200" xr:uid="{4CD80ECB-D332-4BA5-AFC1-1EEBF933F387}"/>
    <cellStyle name="20% - Accent3 2 2 2 3 2 4" xfId="21903" xr:uid="{8D16DD9D-9BBB-4E74-96ED-AE94D9097FF8}"/>
    <cellStyle name="20% - Accent3 2 2 2 3 3" xfId="5350" xr:uid="{00000000-0005-0000-0000-00004C010000}"/>
    <cellStyle name="20% - Accent3 2 2 2 3 3 2" xfId="14676" xr:uid="{F63B601A-974E-4863-B2E9-C71B4BBE9E62}"/>
    <cellStyle name="20% - Accent3 2 2 2 3 3 2 2" xfId="33272" xr:uid="{9DA7B3D7-1B0C-4410-8B32-6E3303FA3256}"/>
    <cellStyle name="20% - Accent3 2 2 2 3 3 3" xfId="23975" xr:uid="{6D157B71-FC92-402F-8FEB-451D26522692}"/>
    <cellStyle name="20% - Accent3 2 2 2 3 4" xfId="10459" xr:uid="{F3A87EFA-E1EB-47E3-8EFB-C85FC4D8A2A9}"/>
    <cellStyle name="20% - Accent3 2 2 2 3 4 2" xfId="29055" xr:uid="{E1A870FA-AA4C-4BD6-A5F8-7655E46B6C60}"/>
    <cellStyle name="20% - Accent3 2 2 2 3 5" xfId="19758" xr:uid="{330954F3-B0DA-4154-885A-CFBACFD2DB29}"/>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4EA7C028-DCF9-4BC7-822D-AA3C224661AB}"/>
    <cellStyle name="20% - Accent3 2 2 2 4 2 2 2 2" xfId="35830" xr:uid="{E2A99E31-9699-48E3-814C-79224C1A82EA}"/>
    <cellStyle name="20% - Accent3 2 2 2 4 2 2 3" xfId="26533" xr:uid="{8C430A97-E8D6-4558-84BE-7356FBFB5F88}"/>
    <cellStyle name="20% - Accent3 2 2 2 4 2 3" xfId="13017" xr:uid="{06D54EF5-239D-4D7F-A675-E1BCCA1F7AE6}"/>
    <cellStyle name="20% - Accent3 2 2 2 4 2 3 2" xfId="31613" xr:uid="{F672C8C9-43A7-491E-AADF-6475D0F19EB9}"/>
    <cellStyle name="20% - Accent3 2 2 2 4 2 4" xfId="22316" xr:uid="{2FD40FCB-CDCE-44FE-9124-36AD7CE38CE6}"/>
    <cellStyle name="20% - Accent3 2 2 2 4 3" xfId="5763" xr:uid="{00000000-0005-0000-0000-000050010000}"/>
    <cellStyle name="20% - Accent3 2 2 2 4 3 2" xfId="15089" xr:uid="{7049C1BD-F851-47D2-9D42-243C3C40E531}"/>
    <cellStyle name="20% - Accent3 2 2 2 4 3 2 2" xfId="33685" xr:uid="{357CA1C6-3D10-4968-9F57-39314B48884B}"/>
    <cellStyle name="20% - Accent3 2 2 2 4 3 3" xfId="24388" xr:uid="{DA6BF360-0B30-41FB-BE4F-188825FF3CCF}"/>
    <cellStyle name="20% - Accent3 2 2 2 4 4" xfId="10872" xr:uid="{FE81B5AF-230B-4DDB-A2EC-4FF506EF22CF}"/>
    <cellStyle name="20% - Accent3 2 2 2 4 4 2" xfId="29468" xr:uid="{CD10FA24-F6EE-44CC-B3D6-1627115B384A}"/>
    <cellStyle name="20% - Accent3 2 2 2 4 5" xfId="20171" xr:uid="{F5D563B0-1A3E-4393-A9C3-D2B13F97F93D}"/>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A4575885-EB09-4FE6-8845-2E3531F98045}"/>
    <cellStyle name="20% - Accent3 2 2 2 5 2 2 2 2" xfId="36243" xr:uid="{61D237B5-33C8-4B5B-B712-A6ED7AC2AB44}"/>
    <cellStyle name="20% - Accent3 2 2 2 5 2 2 3" xfId="26946" xr:uid="{C4B1BE4D-EA80-4796-A93E-02AADE853017}"/>
    <cellStyle name="20% - Accent3 2 2 2 5 2 3" xfId="13430" xr:uid="{4525B4D0-0F3C-467D-9A91-4AF292D53D93}"/>
    <cellStyle name="20% - Accent3 2 2 2 5 2 3 2" xfId="32026" xr:uid="{5A8A577F-B325-43A0-BB7A-AE5F3BB31871}"/>
    <cellStyle name="20% - Accent3 2 2 2 5 2 4" xfId="22729" xr:uid="{B6826E62-7539-4D78-9991-1555F319F27C}"/>
    <cellStyle name="20% - Accent3 2 2 2 5 3" xfId="6176" xr:uid="{00000000-0005-0000-0000-000054010000}"/>
    <cellStyle name="20% - Accent3 2 2 2 5 3 2" xfId="15502" xr:uid="{A431C4D0-A99B-4F0E-868D-1C5A4169CB47}"/>
    <cellStyle name="20% - Accent3 2 2 2 5 3 2 2" xfId="34098" xr:uid="{1B255905-123D-489D-9B71-695F6485D52A}"/>
    <cellStyle name="20% - Accent3 2 2 2 5 3 3" xfId="24801" xr:uid="{427CFAF4-9A17-424F-910D-33714CDB7FD7}"/>
    <cellStyle name="20% - Accent3 2 2 2 5 4" xfId="11285" xr:uid="{8E6213B1-FC20-44DA-B494-13399CE36B94}"/>
    <cellStyle name="20% - Accent3 2 2 2 5 4 2" xfId="29881" xr:uid="{BFF7EAA4-183B-4800-8044-0CED8FED66E2}"/>
    <cellStyle name="20% - Accent3 2 2 2 5 5" xfId="20584" xr:uid="{4ED10F3F-0272-438A-8C46-4B0E33D52169}"/>
    <cellStyle name="20% - Accent3 2 2 2 6" xfId="2283" xr:uid="{00000000-0005-0000-0000-000055010000}"/>
    <cellStyle name="20% - Accent3 2 2 2 6 2" xfId="6589" xr:uid="{00000000-0005-0000-0000-000056010000}"/>
    <cellStyle name="20% - Accent3 2 2 2 6 2 2" xfId="15915" xr:uid="{9B80F12A-FFF4-4CF6-841C-FA382809DBB0}"/>
    <cellStyle name="20% - Accent3 2 2 2 6 2 2 2" xfId="34511" xr:uid="{CD965F5B-41AC-45CD-BD0F-57039144661B}"/>
    <cellStyle name="20% - Accent3 2 2 2 6 2 3" xfId="25214" xr:uid="{34BEDD06-5990-41DD-9307-DA53C0DAC603}"/>
    <cellStyle name="20% - Accent3 2 2 2 6 3" xfId="11698" xr:uid="{1B62CC64-C122-4B1D-9620-602545B442D0}"/>
    <cellStyle name="20% - Accent3 2 2 2 6 3 2" xfId="30294" xr:uid="{21D08D78-01A6-4335-851F-0C8BDC0E58C3}"/>
    <cellStyle name="20% - Accent3 2 2 2 6 4" xfId="20997" xr:uid="{70345DDF-B9E1-44FD-963E-951294440F2C}"/>
    <cellStyle name="20% - Accent3 2 2 2 7" xfId="4523" xr:uid="{00000000-0005-0000-0000-000057010000}"/>
    <cellStyle name="20% - Accent3 2 2 2 7 2" xfId="13849" xr:uid="{75B72BEA-7EB1-4E1C-BF33-E1122D7C575A}"/>
    <cellStyle name="20% - Accent3 2 2 2 7 2 2" xfId="32445" xr:uid="{76F9BC10-AEF9-417E-813B-1FF3399F3E7E}"/>
    <cellStyle name="20% - Accent3 2 2 2 7 3" xfId="23148" xr:uid="{922D1549-419A-4CF7-83D0-91936F6B18AD}"/>
    <cellStyle name="20% - Accent3 2 2 2 8" xfId="9102" xr:uid="{77698EAD-FDE4-4105-BE80-980B5219F464}"/>
    <cellStyle name="20% - Accent3 2 2 2 8 2" xfId="18426" xr:uid="{558CDF94-DAB4-4B5E-8798-0694DBF61731}"/>
    <cellStyle name="20% - Accent3 2 2 2 8 2 2" xfId="37021" xr:uid="{88189FDA-A7FD-4DFC-B568-E1B325787393}"/>
    <cellStyle name="20% - Accent3 2 2 2 8 3" xfId="27724" xr:uid="{672D817F-3E29-4F06-9978-140C15489511}"/>
    <cellStyle name="20% - Accent3 2 2 2 9" xfId="9632" xr:uid="{3AE16E36-1143-4EE6-9130-4E97631C3815}"/>
    <cellStyle name="20% - Accent3 2 2 2 9 2" xfId="28228" xr:uid="{D3782A8A-3BC5-4DE0-9E78-F5C75F54A07D}"/>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3B9532DC-C844-4437-8E34-EF2C9728D385}"/>
    <cellStyle name="20% - Accent3 2 2 3 2 2 2 2" xfId="35003" xr:uid="{C22DDB59-D3D9-474D-A0ED-5C077E85673A}"/>
    <cellStyle name="20% - Accent3 2 2 3 2 2 3" xfId="25706" xr:uid="{23F1D10D-61B5-4287-9424-E62F4938867B}"/>
    <cellStyle name="20% - Accent3 2 2 3 2 3" xfId="12190" xr:uid="{F8D5D14B-A993-490A-8581-E7E048314D59}"/>
    <cellStyle name="20% - Accent3 2 2 3 2 3 2" xfId="30786" xr:uid="{D9931BD1-3E49-45FA-A8DB-9FCC6D19008B}"/>
    <cellStyle name="20% - Accent3 2 2 3 2 4" xfId="21489" xr:uid="{7289F175-AEC3-4CD5-8EEC-F341D9648032}"/>
    <cellStyle name="20% - Accent3 2 2 3 3" xfId="4936" xr:uid="{00000000-0005-0000-0000-00005B010000}"/>
    <cellStyle name="20% - Accent3 2 2 3 3 2" xfId="14262" xr:uid="{93564962-851B-4A84-8455-B68AA517FA9E}"/>
    <cellStyle name="20% - Accent3 2 2 3 3 2 2" xfId="32858" xr:uid="{FE99D765-572E-4DA7-A326-33932466DA89}"/>
    <cellStyle name="20% - Accent3 2 2 3 3 3" xfId="23561" xr:uid="{99B33197-36DD-4369-855A-80ECA8764828}"/>
    <cellStyle name="20% - Accent3 2 2 3 4" xfId="9320" xr:uid="{BF070B19-D289-4211-B080-DBB621CAE7BA}"/>
    <cellStyle name="20% - Accent3 2 2 3 4 2" xfId="18635" xr:uid="{F07043B2-0E83-4663-B333-5BCB95209096}"/>
    <cellStyle name="20% - Accent3 2 2 3 4 2 2" xfId="37229" xr:uid="{B79544E3-8BA7-44C9-9228-8D4876D00077}"/>
    <cellStyle name="20% - Accent3 2 2 3 4 3" xfId="27932" xr:uid="{CEEEB6AB-C42A-49B1-9C44-C3A6211B2B2E}"/>
    <cellStyle name="20% - Accent3 2 2 3 5" xfId="10045" xr:uid="{27774BE2-9BC7-4B4E-AF75-4D9778D0EC34}"/>
    <cellStyle name="20% - Accent3 2 2 3 5 2" xfId="28641" xr:uid="{E2EFCF23-9AE7-458E-991C-B8EFA4F026BF}"/>
    <cellStyle name="20% - Accent3 2 2 3 6" xfId="19344" xr:uid="{CD86189F-53F0-4E69-8678-06F10A5ED573}"/>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F91C12F6-8943-401B-B927-0F341835625A}"/>
    <cellStyle name="20% - Accent3 2 2 4 2 2 2 2" xfId="35416" xr:uid="{6C7518EE-ECC8-4098-A426-78437D680F9B}"/>
    <cellStyle name="20% - Accent3 2 2 4 2 2 3" xfId="26119" xr:uid="{7BF54B88-ACD8-452F-B26C-8A98F8972C5A}"/>
    <cellStyle name="20% - Accent3 2 2 4 2 3" xfId="12603" xr:uid="{2B090B50-A2AE-4898-9F0F-6746B9F430EE}"/>
    <cellStyle name="20% - Accent3 2 2 4 2 3 2" xfId="31199" xr:uid="{F3884689-1429-40FD-A021-AC59F14095D5}"/>
    <cellStyle name="20% - Accent3 2 2 4 2 4" xfId="21902" xr:uid="{51B954A1-5D96-4B1E-A2A7-359EE890D901}"/>
    <cellStyle name="20% - Accent3 2 2 4 3" xfId="5349" xr:uid="{00000000-0005-0000-0000-00005F010000}"/>
    <cellStyle name="20% - Accent3 2 2 4 3 2" xfId="14675" xr:uid="{4DF1CA6E-FBA8-4EF4-BDE9-E4E4FB18FE5E}"/>
    <cellStyle name="20% - Accent3 2 2 4 3 2 2" xfId="33271" xr:uid="{A12E0BAA-ECA0-4C79-B246-EB000FCC1DC1}"/>
    <cellStyle name="20% - Accent3 2 2 4 3 3" xfId="23974" xr:uid="{826B278D-C059-41FC-8A40-80BED5EC8B82}"/>
    <cellStyle name="20% - Accent3 2 2 4 4" xfId="10458" xr:uid="{2E5FE11F-8635-47BB-B560-14B6C9DA3896}"/>
    <cellStyle name="20% - Accent3 2 2 4 4 2" xfId="29054" xr:uid="{F0CAFFE0-30FE-478E-8491-083EC53303A3}"/>
    <cellStyle name="20% - Accent3 2 2 4 5" xfId="19757" xr:uid="{FA958743-E4D7-48EE-83FC-F183E047A118}"/>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2BF6F9FC-0FB2-4EA9-86AC-E819ED6C303B}"/>
    <cellStyle name="20% - Accent3 2 2 5 2 2 2 2" xfId="35829" xr:uid="{26CF3F77-573D-41FD-81D4-2F5C70BAA4D6}"/>
    <cellStyle name="20% - Accent3 2 2 5 2 2 3" xfId="26532" xr:uid="{72334BA3-0C39-4808-9484-5877DC1F7387}"/>
    <cellStyle name="20% - Accent3 2 2 5 2 3" xfId="13016" xr:uid="{8FF4C19C-64F9-4803-9AFE-04A50354A7E8}"/>
    <cellStyle name="20% - Accent3 2 2 5 2 3 2" xfId="31612" xr:uid="{61FE3D79-E4CD-4570-A89B-CBB3E1F38EDD}"/>
    <cellStyle name="20% - Accent3 2 2 5 2 4" xfId="22315" xr:uid="{E59B35C7-FCFC-4F43-A9DE-829F904B3F5E}"/>
    <cellStyle name="20% - Accent3 2 2 5 3" xfId="5762" xr:uid="{00000000-0005-0000-0000-000063010000}"/>
    <cellStyle name="20% - Accent3 2 2 5 3 2" xfId="15088" xr:uid="{BFF6EAC1-1E57-4C43-B9D4-F1A6B9C1B8DB}"/>
    <cellStyle name="20% - Accent3 2 2 5 3 2 2" xfId="33684" xr:uid="{F8FD22D4-3233-497D-B429-07A15AD03527}"/>
    <cellStyle name="20% - Accent3 2 2 5 3 3" xfId="24387" xr:uid="{9563C6FF-E40A-4F32-9711-D670B47BC545}"/>
    <cellStyle name="20% - Accent3 2 2 5 4" xfId="10871" xr:uid="{D47CA3E5-B5CF-4BA7-B351-CDBA6A6A0354}"/>
    <cellStyle name="20% - Accent3 2 2 5 4 2" xfId="29467" xr:uid="{FE4A7166-934F-4CEB-9E29-15CE4B21D1E6}"/>
    <cellStyle name="20% - Accent3 2 2 5 5" xfId="20170" xr:uid="{D8092B7B-9F37-4E97-80C8-CBBC1353CAB0}"/>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56FB2E14-6CF3-447E-AF35-2826413364EC}"/>
    <cellStyle name="20% - Accent3 2 2 6 2 2 2 2" xfId="36242" xr:uid="{3AE66760-304F-4666-A944-9D705A8B943E}"/>
    <cellStyle name="20% - Accent3 2 2 6 2 2 3" xfId="26945" xr:uid="{539A7419-BB7D-4E13-8E5F-58231AF183DD}"/>
    <cellStyle name="20% - Accent3 2 2 6 2 3" xfId="13429" xr:uid="{AA1004B5-36DC-40DE-A06F-388FFF115C40}"/>
    <cellStyle name="20% - Accent3 2 2 6 2 3 2" xfId="32025" xr:uid="{58C51B23-86D7-49B3-8005-26B50B182AD3}"/>
    <cellStyle name="20% - Accent3 2 2 6 2 4" xfId="22728" xr:uid="{0244EEDD-703A-4BE6-B428-810AFF217970}"/>
    <cellStyle name="20% - Accent3 2 2 6 3" xfId="6175" xr:uid="{00000000-0005-0000-0000-000067010000}"/>
    <cellStyle name="20% - Accent3 2 2 6 3 2" xfId="15501" xr:uid="{F1B6D628-94EA-48AC-9BB2-733F96CFF1BC}"/>
    <cellStyle name="20% - Accent3 2 2 6 3 2 2" xfId="34097" xr:uid="{8AFB591A-BDBA-433F-BC90-13B4CAA5E9BE}"/>
    <cellStyle name="20% - Accent3 2 2 6 3 3" xfId="24800" xr:uid="{C6E74EFF-A7C7-4B04-B9CF-0B22B2E50F13}"/>
    <cellStyle name="20% - Accent3 2 2 6 4" xfId="11284" xr:uid="{16EBF65D-B9BE-47B2-94AC-B087CE838569}"/>
    <cellStyle name="20% - Accent3 2 2 6 4 2" xfId="29880" xr:uid="{5C666636-BEFE-4C59-AB06-C67D7E9FE1ED}"/>
    <cellStyle name="20% - Accent3 2 2 6 5" xfId="20583" xr:uid="{719A7190-A9C7-4352-8F39-3D70522DA617}"/>
    <cellStyle name="20% - Accent3 2 2 7" xfId="2282" xr:uid="{00000000-0005-0000-0000-000068010000}"/>
    <cellStyle name="20% - Accent3 2 2 7 2" xfId="6588" xr:uid="{00000000-0005-0000-0000-000069010000}"/>
    <cellStyle name="20% - Accent3 2 2 7 2 2" xfId="15914" xr:uid="{12E0C4F4-98C0-4F34-BAE5-07665D19F6EF}"/>
    <cellStyle name="20% - Accent3 2 2 7 2 2 2" xfId="34510" xr:uid="{7894816D-72CC-4B71-AC01-120191FC6A85}"/>
    <cellStyle name="20% - Accent3 2 2 7 2 3" xfId="25213" xr:uid="{2E2B6175-22D4-488B-B82B-D632203F24AF}"/>
    <cellStyle name="20% - Accent3 2 2 7 3" xfId="11697" xr:uid="{F89EDB31-E97C-4475-961C-095E9BEC9F21}"/>
    <cellStyle name="20% - Accent3 2 2 7 3 2" xfId="30293" xr:uid="{D42BBE35-0F4F-4AD0-ABE5-0B90BA3FB4DB}"/>
    <cellStyle name="20% - Accent3 2 2 7 4" xfId="20996" xr:uid="{024F6B1E-A211-4982-969D-F6E4D2E5EFFE}"/>
    <cellStyle name="20% - Accent3 2 2 8" xfId="4522" xr:uid="{00000000-0005-0000-0000-00006A010000}"/>
    <cellStyle name="20% - Accent3 2 2 8 2" xfId="13848" xr:uid="{D4365335-3BE1-4BC4-8F03-EF1DF7290A67}"/>
    <cellStyle name="20% - Accent3 2 2 8 2 2" xfId="32444" xr:uid="{E44F48D9-E453-4A07-8D36-47EE7967972C}"/>
    <cellStyle name="20% - Accent3 2 2 8 3" xfId="23147" xr:uid="{6DF2E1DE-5D1E-4FAB-9533-20C267F1ECAE}"/>
    <cellStyle name="20% - Accent3 2 2 9" xfId="8895" xr:uid="{0ADDC6BA-FD9D-420D-8F5A-13E0A04BBC7C}"/>
    <cellStyle name="20% - Accent3 2 2 9 2" xfId="18219" xr:uid="{C32C5FF8-367D-440A-BDED-0D8E419C7286}"/>
    <cellStyle name="20% - Accent3 2 2 9 2 2" xfId="36814" xr:uid="{3B1E305B-5A64-4263-B63D-7C5CD80E0D1A}"/>
    <cellStyle name="20% - Accent3 2 2 9 3" xfId="27517" xr:uid="{FAD9A070-942A-44B6-A37E-3DBB1ECE0F84}"/>
    <cellStyle name="20% - Accent3 2 3" xfId="21" xr:uid="{00000000-0005-0000-0000-00006B010000}"/>
    <cellStyle name="20% - Accent3 2 3 10" xfId="18932" xr:uid="{D2B01DE2-2BF0-436B-B3E7-4FBEB6EB49F7}"/>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335962D3-5325-4E4E-8040-6F92B6158088}"/>
    <cellStyle name="20% - Accent3 2 3 2 2 2 2 2" xfId="35005" xr:uid="{71623C4F-30B3-4603-8A90-E911CED2E248}"/>
    <cellStyle name="20% - Accent3 2 3 2 2 2 3" xfId="25708" xr:uid="{0E125F2E-3F7B-415C-BC5C-C5F6E12046F4}"/>
    <cellStyle name="20% - Accent3 2 3 2 2 3" xfId="12192" xr:uid="{50F7541C-660E-4682-8A36-39B6B2227666}"/>
    <cellStyle name="20% - Accent3 2 3 2 2 3 2" xfId="30788" xr:uid="{321496FE-4387-4121-A737-A310AE9778B2}"/>
    <cellStyle name="20% - Accent3 2 3 2 2 4" xfId="21491" xr:uid="{CA539485-8088-4D47-9DFC-B8C1ACBC5E9A}"/>
    <cellStyle name="20% - Accent3 2 3 2 3" xfId="4938" xr:uid="{00000000-0005-0000-0000-00006F010000}"/>
    <cellStyle name="20% - Accent3 2 3 2 3 2" xfId="14264" xr:uid="{3F35F6D8-05A6-4109-B8FF-AB32A4726319}"/>
    <cellStyle name="20% - Accent3 2 3 2 3 2 2" xfId="32860" xr:uid="{955FDE8E-3111-42EB-BE1C-C9487773E962}"/>
    <cellStyle name="20% - Accent3 2 3 2 3 3" xfId="23563" xr:uid="{5B6BA7BE-5A60-4D4C-961F-47ECC15B7A54}"/>
    <cellStyle name="20% - Accent3 2 3 2 4" xfId="9424" xr:uid="{C3588D98-6F24-4F2C-9F96-F34501405613}"/>
    <cellStyle name="20% - Accent3 2 3 2 4 2" xfId="18739" xr:uid="{90CAA448-46ED-4128-BED0-ED683636F607}"/>
    <cellStyle name="20% - Accent3 2 3 2 4 2 2" xfId="37333" xr:uid="{FA63E6C7-3FD9-4747-8726-9311736BE1FA}"/>
    <cellStyle name="20% - Accent3 2 3 2 4 3" xfId="28036" xr:uid="{C094F289-5658-48E9-A1B6-3E0F9E71F476}"/>
    <cellStyle name="20% - Accent3 2 3 2 5" xfId="10047" xr:uid="{3EE5432D-CE5E-4403-8A9D-48B689C03D66}"/>
    <cellStyle name="20% - Accent3 2 3 2 5 2" xfId="28643" xr:uid="{83DA79DB-3761-497B-BA00-E643782545D2}"/>
    <cellStyle name="20% - Accent3 2 3 2 6" xfId="19346" xr:uid="{DAE7BD82-4D6B-4707-940D-672ED7414E17}"/>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555F6F76-3BDE-43DA-BA3E-44735B91EE5D}"/>
    <cellStyle name="20% - Accent3 2 3 3 2 2 2 2" xfId="35418" xr:uid="{4E78A1D8-E8F9-452D-96FE-BC0F1D2C20DB}"/>
    <cellStyle name="20% - Accent3 2 3 3 2 2 3" xfId="26121" xr:uid="{6686CF4D-AFC6-424A-9967-CFE401C74B45}"/>
    <cellStyle name="20% - Accent3 2 3 3 2 3" xfId="12605" xr:uid="{95510C40-AECD-4584-A2BF-FCA2247B5EF0}"/>
    <cellStyle name="20% - Accent3 2 3 3 2 3 2" xfId="31201" xr:uid="{6763E7A1-7A07-481D-A3B0-C7C6318028D7}"/>
    <cellStyle name="20% - Accent3 2 3 3 2 4" xfId="21904" xr:uid="{D116B726-5125-4600-9F34-D26CF6E07D3F}"/>
    <cellStyle name="20% - Accent3 2 3 3 3" xfId="5351" xr:uid="{00000000-0005-0000-0000-000073010000}"/>
    <cellStyle name="20% - Accent3 2 3 3 3 2" xfId="14677" xr:uid="{6104BA0B-5C06-4EE6-B045-409299C98574}"/>
    <cellStyle name="20% - Accent3 2 3 3 3 2 2" xfId="33273" xr:uid="{450D6999-69FE-4AAB-A67B-C8FAB1F79E27}"/>
    <cellStyle name="20% - Accent3 2 3 3 3 3" xfId="23976" xr:uid="{09093266-D740-4DFA-87A6-3C548C90C8A5}"/>
    <cellStyle name="20% - Accent3 2 3 3 4" xfId="10460" xr:uid="{18C3A8AF-8C7C-43F2-B62A-451C51CD21BF}"/>
    <cellStyle name="20% - Accent3 2 3 3 4 2" xfId="29056" xr:uid="{6E7D9662-3B6C-4323-AD7A-DA78186A220F}"/>
    <cellStyle name="20% - Accent3 2 3 3 5" xfId="19759" xr:uid="{834C67E1-A097-47FE-9EE9-2E30F39A6715}"/>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8ED0034B-83D5-435A-B03A-55FBFCA5B52E}"/>
    <cellStyle name="20% - Accent3 2 3 4 2 2 2 2" xfId="35831" xr:uid="{F95549D0-971A-4597-8491-1D4021D8F2C3}"/>
    <cellStyle name="20% - Accent3 2 3 4 2 2 3" xfId="26534" xr:uid="{6CA6BCD8-CEF6-415F-9663-14D7E7C22D79}"/>
    <cellStyle name="20% - Accent3 2 3 4 2 3" xfId="13018" xr:uid="{E872DAA2-C7D8-4E9F-B051-B433DAD811F6}"/>
    <cellStyle name="20% - Accent3 2 3 4 2 3 2" xfId="31614" xr:uid="{570CE2AC-89BF-4227-A476-EC5F6C3D35DC}"/>
    <cellStyle name="20% - Accent3 2 3 4 2 4" xfId="22317" xr:uid="{DAC2D580-2B97-47B9-AAEE-EBAC4DABDEA1}"/>
    <cellStyle name="20% - Accent3 2 3 4 3" xfId="5764" xr:uid="{00000000-0005-0000-0000-000077010000}"/>
    <cellStyle name="20% - Accent3 2 3 4 3 2" xfId="15090" xr:uid="{21B17DAE-DE11-47CA-9480-4BD3AA99460A}"/>
    <cellStyle name="20% - Accent3 2 3 4 3 2 2" xfId="33686" xr:uid="{C2E26ED2-D293-4D21-BA6C-967E844F16F1}"/>
    <cellStyle name="20% - Accent3 2 3 4 3 3" xfId="24389" xr:uid="{BE55E926-01F7-405D-A777-35724A39E1A4}"/>
    <cellStyle name="20% - Accent3 2 3 4 4" xfId="10873" xr:uid="{BB1C6652-EA8E-4E71-829C-5328CEAFF7EC}"/>
    <cellStyle name="20% - Accent3 2 3 4 4 2" xfId="29469" xr:uid="{02E8974C-AD32-4FC1-B100-0B6C381E2CF3}"/>
    <cellStyle name="20% - Accent3 2 3 4 5" xfId="20172" xr:uid="{BA3F79E7-C9D4-4461-9715-C6B71345AB90}"/>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611D8DFF-D66B-4B57-929A-CB19AB723124}"/>
    <cellStyle name="20% - Accent3 2 3 5 2 2 2 2" xfId="36244" xr:uid="{C47126E7-6837-4111-87F7-1431EA4472FC}"/>
    <cellStyle name="20% - Accent3 2 3 5 2 2 3" xfId="26947" xr:uid="{F332FF96-332B-4E49-B4E0-61A433FCF6CD}"/>
    <cellStyle name="20% - Accent3 2 3 5 2 3" xfId="13431" xr:uid="{AC23F511-0FBB-4269-8255-76BD66E50786}"/>
    <cellStyle name="20% - Accent3 2 3 5 2 3 2" xfId="32027" xr:uid="{6E6F8FD7-8F77-4745-868E-39A097FDB1D3}"/>
    <cellStyle name="20% - Accent3 2 3 5 2 4" xfId="22730" xr:uid="{DD4B8FBF-6B9F-464E-81F8-4965641EDA75}"/>
    <cellStyle name="20% - Accent3 2 3 5 3" xfId="6177" xr:uid="{00000000-0005-0000-0000-00007B010000}"/>
    <cellStyle name="20% - Accent3 2 3 5 3 2" xfId="15503" xr:uid="{3551C66B-7073-405E-9CB2-41ACCEFF920D}"/>
    <cellStyle name="20% - Accent3 2 3 5 3 2 2" xfId="34099" xr:uid="{CAE25AC2-6F12-4A6A-9BDB-178D9A47818F}"/>
    <cellStyle name="20% - Accent3 2 3 5 3 3" xfId="24802" xr:uid="{8E3D9C71-47B9-4C7D-9F6B-D010DB9C136A}"/>
    <cellStyle name="20% - Accent3 2 3 5 4" xfId="11286" xr:uid="{994B7969-E205-4125-8649-9C65B7B299C6}"/>
    <cellStyle name="20% - Accent3 2 3 5 4 2" xfId="29882" xr:uid="{827B3C20-068F-46E6-82A1-A470CBC1FC08}"/>
    <cellStyle name="20% - Accent3 2 3 5 5" xfId="20585" xr:uid="{08DB9C3F-E513-4982-BF62-1702A713D342}"/>
    <cellStyle name="20% - Accent3 2 3 6" xfId="2284" xr:uid="{00000000-0005-0000-0000-00007C010000}"/>
    <cellStyle name="20% - Accent3 2 3 6 2" xfId="6590" xr:uid="{00000000-0005-0000-0000-00007D010000}"/>
    <cellStyle name="20% - Accent3 2 3 6 2 2" xfId="15916" xr:uid="{B02906B6-40C1-49B8-A14A-34997CC31B55}"/>
    <cellStyle name="20% - Accent3 2 3 6 2 2 2" xfId="34512" xr:uid="{0B346683-0660-4B51-B85B-21D32144E2D2}"/>
    <cellStyle name="20% - Accent3 2 3 6 2 3" xfId="25215" xr:uid="{E4C4530D-42DE-4E40-B53E-B657C68D7514}"/>
    <cellStyle name="20% - Accent3 2 3 6 3" xfId="11699" xr:uid="{05D108BD-293E-439D-B801-A1AEFA615314}"/>
    <cellStyle name="20% - Accent3 2 3 6 3 2" xfId="30295" xr:uid="{49EF6E62-1954-4A73-B572-A03CCBE33B28}"/>
    <cellStyle name="20% - Accent3 2 3 6 4" xfId="20998" xr:uid="{FDA1C663-5846-4DC5-9436-F58A13C65453}"/>
    <cellStyle name="20% - Accent3 2 3 7" xfId="4524" xr:uid="{00000000-0005-0000-0000-00007E010000}"/>
    <cellStyle name="20% - Accent3 2 3 7 2" xfId="13850" xr:uid="{A69C389A-32C9-4CAE-A562-E2FAC65FB95F}"/>
    <cellStyle name="20% - Accent3 2 3 7 2 2" xfId="32446" xr:uid="{ADD6419B-39CE-4245-93E9-1F77630E2003}"/>
    <cellStyle name="20% - Accent3 2 3 7 3" xfId="23149" xr:uid="{89E26869-10E6-4725-9657-7ED137E41BD1}"/>
    <cellStyle name="20% - Accent3 2 3 8" xfId="8999" xr:uid="{2B5D0148-B6EA-4DEA-92B1-644886C27051}"/>
    <cellStyle name="20% - Accent3 2 3 8 2" xfId="18323" xr:uid="{8E65BBFE-4BF2-4DA7-B332-4657E4E25D6C}"/>
    <cellStyle name="20% - Accent3 2 3 8 2 2" xfId="36918" xr:uid="{2280BFC7-3483-40C6-9826-82F9E63B93D5}"/>
    <cellStyle name="20% - Accent3 2 3 8 3" xfId="27621" xr:uid="{B400C644-351D-4AD5-B0D7-5FE2D7A937E4}"/>
    <cellStyle name="20% - Accent3 2 3 9" xfId="9633" xr:uid="{E6270605-F831-44CE-A80F-3461A4CB9E8D}"/>
    <cellStyle name="20% - Accent3 2 3 9 2" xfId="28229" xr:uid="{9604D21B-373B-4144-9808-5B90758F5F0C}"/>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FD6B75D4-6900-4452-B696-1B566CDB1F5E}"/>
    <cellStyle name="20% - Accent3 2 4 2 2 2 2" xfId="35002" xr:uid="{FAA06C46-4994-4431-8B3F-024537561061}"/>
    <cellStyle name="20% - Accent3 2 4 2 2 3" xfId="25705" xr:uid="{E2149AF6-2DB9-43EA-A0E8-C07BE322B160}"/>
    <cellStyle name="20% - Accent3 2 4 2 3" xfId="12189" xr:uid="{B66AA1C0-5F3E-44ED-891F-4C1FF772CBEA}"/>
    <cellStyle name="20% - Accent3 2 4 2 3 2" xfId="30785" xr:uid="{59BFB5CB-42DF-4CAC-A919-B838A7CB75C8}"/>
    <cellStyle name="20% - Accent3 2 4 2 4" xfId="21488" xr:uid="{615401C9-AA13-4509-820B-7179E3EE60D2}"/>
    <cellStyle name="20% - Accent3 2 4 3" xfId="4935" xr:uid="{00000000-0005-0000-0000-000082010000}"/>
    <cellStyle name="20% - Accent3 2 4 3 2" xfId="14261" xr:uid="{E82464B8-7BEB-4F3B-A6F8-A6F5B7C8E37E}"/>
    <cellStyle name="20% - Accent3 2 4 3 2 2" xfId="32857" xr:uid="{41930100-0926-45AF-B236-272022D41B6F}"/>
    <cellStyle name="20% - Accent3 2 4 3 3" xfId="23560" xr:uid="{A6A0C013-13AB-46F6-AFE7-6C99C107C459}"/>
    <cellStyle name="20% - Accent3 2 4 4" xfId="9216" xr:uid="{A12C3877-5492-4CD3-AD22-81B3F0AB1EDD}"/>
    <cellStyle name="20% - Accent3 2 4 4 2" xfId="18532" xr:uid="{46D9A809-57AA-4556-9D1A-D74C7C96F755}"/>
    <cellStyle name="20% - Accent3 2 4 4 2 2" xfId="37126" xr:uid="{60A04A89-84F0-4AC5-874B-87CEA4BA8E45}"/>
    <cellStyle name="20% - Accent3 2 4 4 3" xfId="27829" xr:uid="{9D0CB668-CA20-4CA6-B722-4C3DF7569B1E}"/>
    <cellStyle name="20% - Accent3 2 4 5" xfId="10044" xr:uid="{A9E66756-9D92-4EBD-BB86-558DE2186E59}"/>
    <cellStyle name="20% - Accent3 2 4 5 2" xfId="28640" xr:uid="{00FA56ED-F9E5-434D-B2F8-38A7D342D5A7}"/>
    <cellStyle name="20% - Accent3 2 4 6" xfId="19343" xr:uid="{64F4FAAB-5039-49FD-92EE-7E67982C1586}"/>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41B4658F-09C8-44A1-AFAA-14527EF0118A}"/>
    <cellStyle name="20% - Accent3 2 5 2 2 2 2" xfId="35415" xr:uid="{CB3DE316-97B7-494B-8977-28A6EF4AF541}"/>
    <cellStyle name="20% - Accent3 2 5 2 2 3" xfId="26118" xr:uid="{A4CFA4FA-5225-4E66-ACD5-8B0D2F045360}"/>
    <cellStyle name="20% - Accent3 2 5 2 3" xfId="12602" xr:uid="{3C41601F-A1C0-4852-BC31-8DE8509B6CFD}"/>
    <cellStyle name="20% - Accent3 2 5 2 3 2" xfId="31198" xr:uid="{F0EB0900-6178-493D-BB7D-9854FFB787BB}"/>
    <cellStyle name="20% - Accent3 2 5 2 4" xfId="21901" xr:uid="{F010F85F-6146-4DB1-B193-012D2815E679}"/>
    <cellStyle name="20% - Accent3 2 5 3" xfId="5348" xr:uid="{00000000-0005-0000-0000-000086010000}"/>
    <cellStyle name="20% - Accent3 2 5 3 2" xfId="14674" xr:uid="{740F8A92-14E6-4507-A656-00A9195E7DA7}"/>
    <cellStyle name="20% - Accent3 2 5 3 2 2" xfId="33270" xr:uid="{92E7C612-DE01-492A-8BEF-B409BD171D65}"/>
    <cellStyle name="20% - Accent3 2 5 3 3" xfId="23973" xr:uid="{66EC16FC-FB3D-4911-B8ED-0259EA124488}"/>
    <cellStyle name="20% - Accent3 2 5 4" xfId="10457" xr:uid="{C1157743-CEFC-4F93-9789-DF3BB90F7441}"/>
    <cellStyle name="20% - Accent3 2 5 4 2" xfId="29053" xr:uid="{458AAAE8-5012-4BC2-9545-B8EA6F970C44}"/>
    <cellStyle name="20% - Accent3 2 5 5" xfId="19756" xr:uid="{7568F5FF-BF91-4766-A766-171C737EAF5C}"/>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0E139EFA-63CD-4D3A-BD79-F2BE84C4B48F}"/>
    <cellStyle name="20% - Accent3 2 6 2 2 2 2" xfId="35828" xr:uid="{65E791F0-0609-4114-9812-A53F2AA04E37}"/>
    <cellStyle name="20% - Accent3 2 6 2 2 3" xfId="26531" xr:uid="{F7443DB6-0D98-46D6-B75D-BFAF3163C544}"/>
    <cellStyle name="20% - Accent3 2 6 2 3" xfId="13015" xr:uid="{8A8FF71B-9DBE-41D3-9AF6-48786A4D6B26}"/>
    <cellStyle name="20% - Accent3 2 6 2 3 2" xfId="31611" xr:uid="{CD4976E1-C078-4C52-8C28-8AEB3053BF70}"/>
    <cellStyle name="20% - Accent3 2 6 2 4" xfId="22314" xr:uid="{761FD30C-2F55-4868-ABDC-32F6769C4376}"/>
    <cellStyle name="20% - Accent3 2 6 3" xfId="5761" xr:uid="{00000000-0005-0000-0000-00008A010000}"/>
    <cellStyle name="20% - Accent3 2 6 3 2" xfId="15087" xr:uid="{90D0D430-E925-4A57-8EBB-DA6546CCCB71}"/>
    <cellStyle name="20% - Accent3 2 6 3 2 2" xfId="33683" xr:uid="{5A00A546-1041-4A8E-AD17-33BC3399FA6B}"/>
    <cellStyle name="20% - Accent3 2 6 3 3" xfId="24386" xr:uid="{14865BAF-62EB-40DA-B102-332B8A66A5BF}"/>
    <cellStyle name="20% - Accent3 2 6 4" xfId="10870" xr:uid="{65C12F58-EF9B-414D-92EC-CAFAF04F0CF1}"/>
    <cellStyle name="20% - Accent3 2 6 4 2" xfId="29466" xr:uid="{B4F93B18-37EC-4DD2-B4BD-EB67D251C9EE}"/>
    <cellStyle name="20% - Accent3 2 6 5" xfId="20169" xr:uid="{D2195BFE-BDE2-439B-964F-948A8ACF787D}"/>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18EB1177-3A6F-4018-BA7D-4A61958C83AC}"/>
    <cellStyle name="20% - Accent3 2 7 2 2 2 2" xfId="36241" xr:uid="{8A3D81F7-574E-4DAD-AF1F-AF98098C68D2}"/>
    <cellStyle name="20% - Accent3 2 7 2 2 3" xfId="26944" xr:uid="{0C1A72C0-C243-4869-BCB6-6E93CA6C9D03}"/>
    <cellStyle name="20% - Accent3 2 7 2 3" xfId="13428" xr:uid="{A28F0D78-8E48-416A-A066-DE3C83C63D9E}"/>
    <cellStyle name="20% - Accent3 2 7 2 3 2" xfId="32024" xr:uid="{71C87C1D-E3B5-498A-A6CC-C8BB4BE8E2F2}"/>
    <cellStyle name="20% - Accent3 2 7 2 4" xfId="22727" xr:uid="{0F6BC59F-0F66-41A8-A634-BACC3777B9AB}"/>
    <cellStyle name="20% - Accent3 2 7 3" xfId="6174" xr:uid="{00000000-0005-0000-0000-00008E010000}"/>
    <cellStyle name="20% - Accent3 2 7 3 2" xfId="15500" xr:uid="{A7953043-33C7-4C11-8F22-D24B4001923E}"/>
    <cellStyle name="20% - Accent3 2 7 3 2 2" xfId="34096" xr:uid="{AD773BF2-4480-44AE-8F2A-5DFACA5BAB00}"/>
    <cellStyle name="20% - Accent3 2 7 3 3" xfId="24799" xr:uid="{C72A584E-D228-4584-AD37-590DF60D0D5A}"/>
    <cellStyle name="20% - Accent3 2 7 4" xfId="11283" xr:uid="{FB9B096C-C2D9-45D0-BA9D-FE076A5A95C3}"/>
    <cellStyle name="20% - Accent3 2 7 4 2" xfId="29879" xr:uid="{DAE281AB-A9DD-40BD-8812-E408D1674F4D}"/>
    <cellStyle name="20% - Accent3 2 7 5" xfId="20582" xr:uid="{31A8F78E-28C7-4A33-8913-5942F4387D81}"/>
    <cellStyle name="20% - Accent3 2 8" xfId="2281" xr:uid="{00000000-0005-0000-0000-00008F010000}"/>
    <cellStyle name="20% - Accent3 2 8 2" xfId="6587" xr:uid="{00000000-0005-0000-0000-000090010000}"/>
    <cellStyle name="20% - Accent3 2 8 2 2" xfId="15913" xr:uid="{AD97E38E-6F87-493F-8856-B4B2A83896E8}"/>
    <cellStyle name="20% - Accent3 2 8 2 2 2" xfId="34509" xr:uid="{18D549A6-153B-43E8-BA8C-F432F50A9C60}"/>
    <cellStyle name="20% - Accent3 2 8 2 3" xfId="25212" xr:uid="{4A046393-2E67-47E9-B139-DA945EB86131}"/>
    <cellStyle name="20% - Accent3 2 8 3" xfId="11696" xr:uid="{AFD54258-C472-4519-A381-D43EC859824D}"/>
    <cellStyle name="20% - Accent3 2 8 3 2" xfId="30292" xr:uid="{3E4B40EE-B73D-4F37-96D8-0D58D78B7E0C}"/>
    <cellStyle name="20% - Accent3 2 8 4" xfId="20995" xr:uid="{0ECCC58C-9C16-401C-9539-B3E924F044FC}"/>
    <cellStyle name="20% - Accent3 2 9" xfId="4521" xr:uid="{00000000-0005-0000-0000-000091010000}"/>
    <cellStyle name="20% - Accent3 2 9 2" xfId="13847" xr:uid="{35913715-A429-4724-A124-CB1173D53D09}"/>
    <cellStyle name="20% - Accent3 2 9 2 2" xfId="32443" xr:uid="{C5872D78-9A13-4B9D-8707-EDE530FA9CF9}"/>
    <cellStyle name="20% - Accent3 2 9 3" xfId="23146" xr:uid="{519A5458-9C61-4615-B3D8-C2128B3FBF40}"/>
    <cellStyle name="20% - Accent3 3" xfId="22" xr:uid="{00000000-0005-0000-0000-000092010000}"/>
    <cellStyle name="20% - Accent3 3 10" xfId="9634" xr:uid="{BD935693-2C92-4581-8AB7-D9C7DB6956E2}"/>
    <cellStyle name="20% - Accent3 3 10 2" xfId="28230" xr:uid="{41D9D0EE-68D7-43A1-B023-E5E91DED64BD}"/>
    <cellStyle name="20% - Accent3 3 11" xfId="18933" xr:uid="{DF23242B-B466-4819-AF4A-5F26BCCBEF39}"/>
    <cellStyle name="20% - Accent3 3 2" xfId="23" xr:uid="{00000000-0005-0000-0000-000093010000}"/>
    <cellStyle name="20% - Accent3 3 2 10" xfId="18934" xr:uid="{7626B19D-AEF1-4FE3-9BE6-5F1C879EC1EB}"/>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4EE225C5-8A8D-43BC-8EA6-7AF93C915B64}"/>
    <cellStyle name="20% - Accent3 3 2 2 2 2 2 2" xfId="35007" xr:uid="{0D859253-A611-47EF-9A6C-D813E4FFD9F0}"/>
    <cellStyle name="20% - Accent3 3 2 2 2 2 3" xfId="25710" xr:uid="{121FB275-9A6D-4995-9EE3-45D0789CC536}"/>
    <cellStyle name="20% - Accent3 3 2 2 2 3" xfId="12194" xr:uid="{32001596-00F9-4F4C-8DA1-7FDCC19A3C53}"/>
    <cellStyle name="20% - Accent3 3 2 2 2 3 2" xfId="30790" xr:uid="{5AE4C548-5813-4D68-B369-091136357B02}"/>
    <cellStyle name="20% - Accent3 3 2 2 2 4" xfId="21493" xr:uid="{039A9076-34CE-466C-AEBE-8FBB7AE661AA}"/>
    <cellStyle name="20% - Accent3 3 2 2 3" xfId="4940" xr:uid="{00000000-0005-0000-0000-000097010000}"/>
    <cellStyle name="20% - Accent3 3 2 2 3 2" xfId="14266" xr:uid="{5C644B7F-8B8D-400F-AD1A-E1B78DF29004}"/>
    <cellStyle name="20% - Accent3 3 2 2 3 2 2" xfId="32862" xr:uid="{9C7B594B-0189-442E-A757-5AFAD54E3157}"/>
    <cellStyle name="20% - Accent3 3 2 2 3 3" xfId="23565" xr:uid="{A195F711-7274-452B-BD4F-685236F12BBD}"/>
    <cellStyle name="20% - Accent3 3 2 2 4" xfId="9497" xr:uid="{43A0E151-F418-49A1-AF18-121DEB02B6D4}"/>
    <cellStyle name="20% - Accent3 3 2 2 4 2" xfId="18812" xr:uid="{046A0CBC-2BEA-424B-B8E1-206A1B3C1D00}"/>
    <cellStyle name="20% - Accent3 3 2 2 4 2 2" xfId="37406" xr:uid="{38C2A585-48A1-48E1-B1EA-FDFD1D9F8BC9}"/>
    <cellStyle name="20% - Accent3 3 2 2 4 3" xfId="28109" xr:uid="{2C4A4DEB-6F5A-4B2B-90DF-9955E4EFAB0A}"/>
    <cellStyle name="20% - Accent3 3 2 2 5" xfId="10049" xr:uid="{03F0CF05-4E1D-46C8-8E38-3438D9D763CB}"/>
    <cellStyle name="20% - Accent3 3 2 2 5 2" xfId="28645" xr:uid="{F052432D-E38F-4BB1-968E-FF4C2A71633F}"/>
    <cellStyle name="20% - Accent3 3 2 2 6" xfId="19348" xr:uid="{614EFF74-6AA3-429D-81E7-AFD3B6A3A523}"/>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27CC2228-85E1-406F-827E-FD80F9933F9B}"/>
    <cellStyle name="20% - Accent3 3 2 3 2 2 2 2" xfId="35420" xr:uid="{CE16481A-75BB-4D19-921E-A357642625DC}"/>
    <cellStyle name="20% - Accent3 3 2 3 2 2 3" xfId="26123" xr:uid="{DD6185B6-75FE-4419-B135-36DB08252251}"/>
    <cellStyle name="20% - Accent3 3 2 3 2 3" xfId="12607" xr:uid="{B8F4DE3D-62B1-48FD-9AC6-24E024F1AD24}"/>
    <cellStyle name="20% - Accent3 3 2 3 2 3 2" xfId="31203" xr:uid="{23566912-D4DC-491C-84D4-242D23E076DC}"/>
    <cellStyle name="20% - Accent3 3 2 3 2 4" xfId="21906" xr:uid="{8E6C07B3-523C-41BB-A750-F6EC790F55C8}"/>
    <cellStyle name="20% - Accent3 3 2 3 3" xfId="5353" xr:uid="{00000000-0005-0000-0000-00009B010000}"/>
    <cellStyle name="20% - Accent3 3 2 3 3 2" xfId="14679" xr:uid="{CBF12E46-2C57-4532-BA47-1781DD06ABFC}"/>
    <cellStyle name="20% - Accent3 3 2 3 3 2 2" xfId="33275" xr:uid="{EC1ED1F7-8209-43DF-B710-C76AC4CDC93C}"/>
    <cellStyle name="20% - Accent3 3 2 3 3 3" xfId="23978" xr:uid="{0B92DD2E-4A57-4F27-8DA9-ADB5EA46BCC4}"/>
    <cellStyle name="20% - Accent3 3 2 3 4" xfId="10462" xr:uid="{B08F3629-59FA-4EA0-9A93-B8EB41CFEA4C}"/>
    <cellStyle name="20% - Accent3 3 2 3 4 2" xfId="29058" xr:uid="{9284F790-904E-4280-97C5-50F1513E1216}"/>
    <cellStyle name="20% - Accent3 3 2 3 5" xfId="19761" xr:uid="{431223B6-D85F-453C-A4E2-12BB06642A7E}"/>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C8E0D5AF-9BA7-4D2C-83E3-C2823B2EF5BC}"/>
    <cellStyle name="20% - Accent3 3 2 4 2 2 2 2" xfId="35833" xr:uid="{7ACEB38E-2979-44E2-B030-F533B6FDF97E}"/>
    <cellStyle name="20% - Accent3 3 2 4 2 2 3" xfId="26536" xr:uid="{89806D95-F057-4E07-8EAC-821558C6612D}"/>
    <cellStyle name="20% - Accent3 3 2 4 2 3" xfId="13020" xr:uid="{08F7A600-1F1C-426F-98FC-D2A2A59F52F2}"/>
    <cellStyle name="20% - Accent3 3 2 4 2 3 2" xfId="31616" xr:uid="{C581957C-2EA2-4614-8C08-C3BB038118E6}"/>
    <cellStyle name="20% - Accent3 3 2 4 2 4" xfId="22319" xr:uid="{2E06BD2B-9637-49F2-9104-BAACA2599F7C}"/>
    <cellStyle name="20% - Accent3 3 2 4 3" xfId="5766" xr:uid="{00000000-0005-0000-0000-00009F010000}"/>
    <cellStyle name="20% - Accent3 3 2 4 3 2" xfId="15092" xr:uid="{D741B27A-0710-4E35-90E7-1680672CB6F0}"/>
    <cellStyle name="20% - Accent3 3 2 4 3 2 2" xfId="33688" xr:uid="{08357EDE-4186-44C8-9FAF-79B80C127447}"/>
    <cellStyle name="20% - Accent3 3 2 4 3 3" xfId="24391" xr:uid="{473A3A73-6285-4A96-B6CC-ADE295F7059B}"/>
    <cellStyle name="20% - Accent3 3 2 4 4" xfId="10875" xr:uid="{C6E5699C-4AE8-4C4C-AFA1-288CB32441DA}"/>
    <cellStyle name="20% - Accent3 3 2 4 4 2" xfId="29471" xr:uid="{9C1D36F5-DD7B-4D38-81AA-320C64CD269D}"/>
    <cellStyle name="20% - Accent3 3 2 4 5" xfId="20174" xr:uid="{579E7029-5F7B-4670-A870-EB09B76D435A}"/>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4657AC5B-DACD-40A2-80A9-ED2204F7099C}"/>
    <cellStyle name="20% - Accent3 3 2 5 2 2 2 2" xfId="36246" xr:uid="{F9184BE8-3E6C-4B6A-B7FA-57E4C517811E}"/>
    <cellStyle name="20% - Accent3 3 2 5 2 2 3" xfId="26949" xr:uid="{714DDEF4-3A60-4C44-B84F-655895376F8B}"/>
    <cellStyle name="20% - Accent3 3 2 5 2 3" xfId="13433" xr:uid="{4CECDE00-3EDF-4A30-99BE-7144CEFD2CC8}"/>
    <cellStyle name="20% - Accent3 3 2 5 2 3 2" xfId="32029" xr:uid="{3F1C1046-CB7D-4185-ABAB-F7E2DD45243F}"/>
    <cellStyle name="20% - Accent3 3 2 5 2 4" xfId="22732" xr:uid="{19D9E9FC-08E9-4C3B-B72C-2EF834BCEFCF}"/>
    <cellStyle name="20% - Accent3 3 2 5 3" xfId="6179" xr:uid="{00000000-0005-0000-0000-0000A3010000}"/>
    <cellStyle name="20% - Accent3 3 2 5 3 2" xfId="15505" xr:uid="{9918E8A7-8F67-4E88-B21D-E5170D5103FF}"/>
    <cellStyle name="20% - Accent3 3 2 5 3 2 2" xfId="34101" xr:uid="{6D960E7B-E921-44B7-9500-01B58648B857}"/>
    <cellStyle name="20% - Accent3 3 2 5 3 3" xfId="24804" xr:uid="{D8BB0F48-D474-4513-9390-0951979DB6BC}"/>
    <cellStyle name="20% - Accent3 3 2 5 4" xfId="11288" xr:uid="{71D29701-8A6B-4A18-8D26-0B509745D55C}"/>
    <cellStyle name="20% - Accent3 3 2 5 4 2" xfId="29884" xr:uid="{B92AC21F-D356-4705-92F7-78483BA892E2}"/>
    <cellStyle name="20% - Accent3 3 2 5 5" xfId="20587" xr:uid="{E06A7510-1511-45F7-ACF1-230131BAD577}"/>
    <cellStyle name="20% - Accent3 3 2 6" xfId="2286" xr:uid="{00000000-0005-0000-0000-0000A4010000}"/>
    <cellStyle name="20% - Accent3 3 2 6 2" xfId="6592" xr:uid="{00000000-0005-0000-0000-0000A5010000}"/>
    <cellStyle name="20% - Accent3 3 2 6 2 2" xfId="15918" xr:uid="{5F5D7A87-2BC8-4F2D-B399-A88EB07866F5}"/>
    <cellStyle name="20% - Accent3 3 2 6 2 2 2" xfId="34514" xr:uid="{DF1F426E-61C0-4DFA-8102-F7512217DE2F}"/>
    <cellStyle name="20% - Accent3 3 2 6 2 3" xfId="25217" xr:uid="{B7C84D0D-ED20-450E-9F36-FC384F958219}"/>
    <cellStyle name="20% - Accent3 3 2 6 3" xfId="11701" xr:uid="{D60A1E56-7E78-4A7D-978B-490E12185F80}"/>
    <cellStyle name="20% - Accent3 3 2 6 3 2" xfId="30297" xr:uid="{534CBD60-994B-4665-953E-39801581DDBF}"/>
    <cellStyle name="20% - Accent3 3 2 6 4" xfId="21000" xr:uid="{5F41CE1C-38FE-4D54-977A-BBBFB511C606}"/>
    <cellStyle name="20% - Accent3 3 2 7" xfId="4526" xr:uid="{00000000-0005-0000-0000-0000A6010000}"/>
    <cellStyle name="20% - Accent3 3 2 7 2" xfId="13852" xr:uid="{8641E9C1-AED3-4B6D-8424-40387E1267BF}"/>
    <cellStyle name="20% - Accent3 3 2 7 2 2" xfId="32448" xr:uid="{F3234E59-5926-4B6B-91D8-B6C2B45113E7}"/>
    <cellStyle name="20% - Accent3 3 2 7 3" xfId="23151" xr:uid="{E7B345CC-5C19-4DA6-A2A0-BF98871DA4DC}"/>
    <cellStyle name="20% - Accent3 3 2 8" xfId="9072" xr:uid="{422EC144-F6F8-460E-8B93-316BBF9707FB}"/>
    <cellStyle name="20% - Accent3 3 2 8 2" xfId="18396" xr:uid="{89499092-934B-46E4-80E9-D66E802AF41E}"/>
    <cellStyle name="20% - Accent3 3 2 8 2 2" xfId="36991" xr:uid="{48C6675B-7DBC-40E2-B9D1-5B27E1D9E9DA}"/>
    <cellStyle name="20% - Accent3 3 2 8 3" xfId="27694" xr:uid="{F80BCEFB-8E95-4EDE-9383-51AB8542F9C9}"/>
    <cellStyle name="20% - Accent3 3 2 9" xfId="9635" xr:uid="{01B5F52F-02E9-4947-AE9E-1DD2E0685F9F}"/>
    <cellStyle name="20% - Accent3 3 2 9 2" xfId="28231" xr:uid="{D9E4AEF1-1320-4955-BE1B-2D3648B7271B}"/>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B8E0097E-D2DC-419E-AC9B-7593316420DE}"/>
    <cellStyle name="20% - Accent3 3 3 2 2 2 2" xfId="35006" xr:uid="{504A9DBF-1DBF-4A11-BC39-0CE078E91D47}"/>
    <cellStyle name="20% - Accent3 3 3 2 2 3" xfId="25709" xr:uid="{DF5EE121-FE0E-4C50-B2AF-E0CDC75AE0E3}"/>
    <cellStyle name="20% - Accent3 3 3 2 3" xfId="12193" xr:uid="{04E54B9E-B086-4E47-B7CD-4B630B19FD6A}"/>
    <cellStyle name="20% - Accent3 3 3 2 3 2" xfId="30789" xr:uid="{302575F6-3AAA-4FD9-9DB6-B2C4241F1E3E}"/>
    <cellStyle name="20% - Accent3 3 3 2 4" xfId="21492" xr:uid="{524F277B-D431-4B50-AB17-84EB555EE348}"/>
    <cellStyle name="20% - Accent3 3 3 3" xfId="4939" xr:uid="{00000000-0005-0000-0000-0000AA010000}"/>
    <cellStyle name="20% - Accent3 3 3 3 2" xfId="14265" xr:uid="{E1EA1DFB-F808-4737-9616-4867A9F23ABE}"/>
    <cellStyle name="20% - Accent3 3 3 3 2 2" xfId="32861" xr:uid="{6AC568AA-A968-4F45-90FC-47CBFAAD3C17}"/>
    <cellStyle name="20% - Accent3 3 3 3 3" xfId="23564" xr:uid="{67CE7287-B8F3-4A73-81EC-2F5822034C48}"/>
    <cellStyle name="20% - Accent3 3 3 4" xfId="9290" xr:uid="{8511D0A3-BAF4-4D49-BFEA-2ED828678819}"/>
    <cellStyle name="20% - Accent3 3 3 4 2" xfId="18605" xr:uid="{1C60740C-AB32-47DD-AD3F-2AE8B2BBB722}"/>
    <cellStyle name="20% - Accent3 3 3 4 2 2" xfId="37199" xr:uid="{90251B0C-E3F7-4D85-B1F9-CF5FC3E4CE88}"/>
    <cellStyle name="20% - Accent3 3 3 4 3" xfId="27902" xr:uid="{379070EC-9D25-4569-9EB6-0CBDD6AD59BC}"/>
    <cellStyle name="20% - Accent3 3 3 5" xfId="10048" xr:uid="{34829394-780B-44C4-84D5-1E29821330EB}"/>
    <cellStyle name="20% - Accent3 3 3 5 2" xfId="28644" xr:uid="{EFAEA811-DCBA-436E-8309-DCCC572BCFCA}"/>
    <cellStyle name="20% - Accent3 3 3 6" xfId="19347" xr:uid="{56E75097-61E8-4EE7-9E17-6E7029BE188E}"/>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A1338157-B6A9-44A7-9737-6C145D8A23D4}"/>
    <cellStyle name="20% - Accent3 3 4 2 2 2 2" xfId="35419" xr:uid="{F2A118D7-9F4E-4F7E-B49A-FDEBB25B9C26}"/>
    <cellStyle name="20% - Accent3 3 4 2 2 3" xfId="26122" xr:uid="{3239A726-6B4B-4349-83D9-8869D6104703}"/>
    <cellStyle name="20% - Accent3 3 4 2 3" xfId="12606" xr:uid="{FBB3C5D4-8757-4B26-A4C0-292406E270FF}"/>
    <cellStyle name="20% - Accent3 3 4 2 3 2" xfId="31202" xr:uid="{86065425-41D4-40FC-B9F9-13DBC9E020A0}"/>
    <cellStyle name="20% - Accent3 3 4 2 4" xfId="21905" xr:uid="{726B12BE-2A02-4C8F-AF17-E0E639730EA3}"/>
    <cellStyle name="20% - Accent3 3 4 3" xfId="5352" xr:uid="{00000000-0005-0000-0000-0000AE010000}"/>
    <cellStyle name="20% - Accent3 3 4 3 2" xfId="14678" xr:uid="{C59379B7-D47E-47FD-BFA9-F64A942E6586}"/>
    <cellStyle name="20% - Accent3 3 4 3 2 2" xfId="33274" xr:uid="{E574AADD-2CE1-45DE-BAAA-6A8B16F5BCC7}"/>
    <cellStyle name="20% - Accent3 3 4 3 3" xfId="23977" xr:uid="{2222CF03-82E8-4DD2-9E1D-E468145BFBC9}"/>
    <cellStyle name="20% - Accent3 3 4 4" xfId="10461" xr:uid="{7CA3D1C4-A732-4A54-A178-1FD8584D4EE1}"/>
    <cellStyle name="20% - Accent3 3 4 4 2" xfId="29057" xr:uid="{4831D660-63E7-4889-A4D5-0FC1D1B2393C}"/>
    <cellStyle name="20% - Accent3 3 4 5" xfId="19760" xr:uid="{BC32F808-1DCC-489A-B213-8FBDB2DC82BC}"/>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7AA576B4-26DA-428B-BC4A-41D19E334669}"/>
    <cellStyle name="20% - Accent3 3 5 2 2 2 2" xfId="35832" xr:uid="{58D9312F-1FCE-4176-A4CE-9FAE3E65A201}"/>
    <cellStyle name="20% - Accent3 3 5 2 2 3" xfId="26535" xr:uid="{D8550D96-B413-443F-9257-EFC654BD27A2}"/>
    <cellStyle name="20% - Accent3 3 5 2 3" xfId="13019" xr:uid="{347189C6-2524-4132-A3F0-BB71E94B4A23}"/>
    <cellStyle name="20% - Accent3 3 5 2 3 2" xfId="31615" xr:uid="{8116FF83-F8AD-4A1F-BC2C-B7DC3288CAE7}"/>
    <cellStyle name="20% - Accent3 3 5 2 4" xfId="22318" xr:uid="{7607B26D-3C8A-40CA-BFEA-A49AC27D3816}"/>
    <cellStyle name="20% - Accent3 3 5 3" xfId="5765" xr:uid="{00000000-0005-0000-0000-0000B2010000}"/>
    <cellStyle name="20% - Accent3 3 5 3 2" xfId="15091" xr:uid="{C2692934-EE3E-47BA-AA02-45DCE0CFAA55}"/>
    <cellStyle name="20% - Accent3 3 5 3 2 2" xfId="33687" xr:uid="{83F7C703-570E-4B94-8C45-83D63C2B0C5B}"/>
    <cellStyle name="20% - Accent3 3 5 3 3" xfId="24390" xr:uid="{EC80B7EB-26F0-4A20-AE1F-3010FE1D6692}"/>
    <cellStyle name="20% - Accent3 3 5 4" xfId="10874" xr:uid="{4ED54A80-429A-4F40-9516-E716E9AAA701}"/>
    <cellStyle name="20% - Accent3 3 5 4 2" xfId="29470" xr:uid="{B3C1969C-30EA-46C9-88AB-51C47441898C}"/>
    <cellStyle name="20% - Accent3 3 5 5" xfId="20173" xr:uid="{8456F6AC-1F24-4FCF-A914-8EE5A642B4B8}"/>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0B6214D4-F94E-4FDA-9B67-43A7171EEBBD}"/>
    <cellStyle name="20% - Accent3 3 6 2 2 2 2" xfId="36245" xr:uid="{819F9D4C-65BE-4EC3-8644-0B0F278ADB03}"/>
    <cellStyle name="20% - Accent3 3 6 2 2 3" xfId="26948" xr:uid="{F0778F3C-9F18-4AC8-B212-6B4CEF5EE5E2}"/>
    <cellStyle name="20% - Accent3 3 6 2 3" xfId="13432" xr:uid="{DD204C81-A946-4528-A635-20172916B2FB}"/>
    <cellStyle name="20% - Accent3 3 6 2 3 2" xfId="32028" xr:uid="{E4CD9656-668C-43F4-B990-B251AC3617D6}"/>
    <cellStyle name="20% - Accent3 3 6 2 4" xfId="22731" xr:uid="{526A0A50-7A15-4151-826C-F66E6386A43D}"/>
    <cellStyle name="20% - Accent3 3 6 3" xfId="6178" xr:uid="{00000000-0005-0000-0000-0000B6010000}"/>
    <cellStyle name="20% - Accent3 3 6 3 2" xfId="15504" xr:uid="{D4934177-17C6-417D-B7F9-16811B0CE757}"/>
    <cellStyle name="20% - Accent3 3 6 3 2 2" xfId="34100" xr:uid="{4949EBD6-EFB4-4F68-84BE-0B54FA9628F0}"/>
    <cellStyle name="20% - Accent3 3 6 3 3" xfId="24803" xr:uid="{3DF1AE37-47FB-440E-9C84-BF81AF5DE147}"/>
    <cellStyle name="20% - Accent3 3 6 4" xfId="11287" xr:uid="{61AFEAB5-7E14-4C04-A719-3330FDB2B7D8}"/>
    <cellStyle name="20% - Accent3 3 6 4 2" xfId="29883" xr:uid="{CB723F1D-850F-4F45-8CA4-C4929C874F99}"/>
    <cellStyle name="20% - Accent3 3 6 5" xfId="20586" xr:uid="{0375E9B7-440C-4889-9F27-C1EB22C0357B}"/>
    <cellStyle name="20% - Accent3 3 7" xfId="2285" xr:uid="{00000000-0005-0000-0000-0000B7010000}"/>
    <cellStyle name="20% - Accent3 3 7 2" xfId="6591" xr:uid="{00000000-0005-0000-0000-0000B8010000}"/>
    <cellStyle name="20% - Accent3 3 7 2 2" xfId="15917" xr:uid="{C10266ED-4327-4AB6-A124-3777853B79A7}"/>
    <cellStyle name="20% - Accent3 3 7 2 2 2" xfId="34513" xr:uid="{7DAFAF6C-04BC-4CBB-B96E-743DD0582501}"/>
    <cellStyle name="20% - Accent3 3 7 2 3" xfId="25216" xr:uid="{4A4B215F-E311-4D28-ADA9-19B55480520A}"/>
    <cellStyle name="20% - Accent3 3 7 3" xfId="11700" xr:uid="{AE7B347C-6252-4557-BB9B-16CAFF27CD03}"/>
    <cellStyle name="20% - Accent3 3 7 3 2" xfId="30296" xr:uid="{B43EC6B8-0F5D-469A-941D-38DFFBD18B50}"/>
    <cellStyle name="20% - Accent3 3 7 4" xfId="20999" xr:uid="{10E955AB-9487-4B1D-866D-92D6566C1BF4}"/>
    <cellStyle name="20% - Accent3 3 8" xfId="4525" xr:uid="{00000000-0005-0000-0000-0000B9010000}"/>
    <cellStyle name="20% - Accent3 3 8 2" xfId="13851" xr:uid="{5B70FCD5-7788-4200-B279-81B546B1A44C}"/>
    <cellStyle name="20% - Accent3 3 8 2 2" xfId="32447" xr:uid="{584871FE-AFA1-4D3F-B9B6-EDFA12E77029}"/>
    <cellStyle name="20% - Accent3 3 8 3" xfId="23150" xr:uid="{2081BEF9-B989-4339-B499-4B5157E882B4}"/>
    <cellStyle name="20% - Accent3 3 9" xfId="8865" xr:uid="{FFA3EBA3-F40D-47A2-8AA1-A3A9E7BB9A8E}"/>
    <cellStyle name="20% - Accent3 3 9 2" xfId="18189" xr:uid="{3CA3C859-61B2-42DF-9DFE-090EC4252D02}"/>
    <cellStyle name="20% - Accent3 3 9 2 2" xfId="36784" xr:uid="{8311EBDE-BAA9-4641-BD9E-B68155C4BECF}"/>
    <cellStyle name="20% - Accent3 3 9 3" xfId="27487" xr:uid="{6C317771-E005-413C-BD87-BC2BC4D44083}"/>
    <cellStyle name="20% - Accent3 4" xfId="24" xr:uid="{00000000-0005-0000-0000-0000BA010000}"/>
    <cellStyle name="20% - Accent3 4 10" xfId="18935" xr:uid="{952C7587-143B-42BE-9EE0-9451CEFAF02A}"/>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F502B29C-0572-40F9-9356-D7EB5D2282B4}"/>
    <cellStyle name="20% - Accent3 4 2 2 2 2 2" xfId="35008" xr:uid="{86156859-FDD8-49BC-B116-2983B73A0949}"/>
    <cellStyle name="20% - Accent3 4 2 2 2 3" xfId="25711" xr:uid="{77259C57-C564-4CEB-B2C7-E5DE8A0A241A}"/>
    <cellStyle name="20% - Accent3 4 2 2 3" xfId="12195" xr:uid="{C3DC4759-3D93-4263-8A15-A629B4B366F8}"/>
    <cellStyle name="20% - Accent3 4 2 2 3 2" xfId="30791" xr:uid="{613E11F2-FD9A-48A8-8973-16DBCB48B03C}"/>
    <cellStyle name="20% - Accent3 4 2 2 4" xfId="21494" xr:uid="{E8072550-C5D6-4F91-A046-FBEE10E13467}"/>
    <cellStyle name="20% - Accent3 4 2 3" xfId="4941" xr:uid="{00000000-0005-0000-0000-0000BE010000}"/>
    <cellStyle name="20% - Accent3 4 2 3 2" xfId="14267" xr:uid="{7EED3C38-A8EB-4476-A100-10B6FFACAD1D}"/>
    <cellStyle name="20% - Accent3 4 2 3 2 2" xfId="32863" xr:uid="{437DD9A9-7E20-4591-9926-1372CC439541}"/>
    <cellStyle name="20% - Accent3 4 2 3 3" xfId="23566" xr:uid="{C3E520A2-3A0C-4D22-8CC5-02FC4116A4DF}"/>
    <cellStyle name="20% - Accent3 4 2 4" xfId="9376" xr:uid="{92AC27CA-0B0B-4AFE-8457-D3F19BE2837F}"/>
    <cellStyle name="20% - Accent3 4 2 4 2" xfId="18691" xr:uid="{0E0FF906-5C17-4BFF-A5AB-0DFE20667EFD}"/>
    <cellStyle name="20% - Accent3 4 2 4 2 2" xfId="37285" xr:uid="{449533E8-5278-47FF-9BBE-557C0A6E850B}"/>
    <cellStyle name="20% - Accent3 4 2 4 3" xfId="27988" xr:uid="{288E845C-7F85-4CBD-AC4B-C3E86ADB47BD}"/>
    <cellStyle name="20% - Accent3 4 2 5" xfId="10050" xr:uid="{80EAECA9-EDAC-42F9-8413-E1F5E3C1D058}"/>
    <cellStyle name="20% - Accent3 4 2 5 2" xfId="28646" xr:uid="{BF25F764-1ACB-4067-BA82-D75711C94485}"/>
    <cellStyle name="20% - Accent3 4 2 6" xfId="19349" xr:uid="{ADF022B7-9C29-4E30-A0EC-A74A57331741}"/>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5586BA41-AAA9-4424-9906-4CA4146D8327}"/>
    <cellStyle name="20% - Accent3 4 3 2 2 2 2" xfId="35421" xr:uid="{04CF16B2-480E-4D4A-B416-A982777888EA}"/>
    <cellStyle name="20% - Accent3 4 3 2 2 3" xfId="26124" xr:uid="{E5EC3ADE-C328-4AAB-A660-47E3B5849B15}"/>
    <cellStyle name="20% - Accent3 4 3 2 3" xfId="12608" xr:uid="{2E36AA9D-04BA-4F79-9BB4-6E7B106EDC47}"/>
    <cellStyle name="20% - Accent3 4 3 2 3 2" xfId="31204" xr:uid="{DD8B8885-598B-4205-B066-944DD033CEA9}"/>
    <cellStyle name="20% - Accent3 4 3 2 4" xfId="21907" xr:uid="{23417D13-14EE-4593-806D-BCF3643E3EFB}"/>
    <cellStyle name="20% - Accent3 4 3 3" xfId="5354" xr:uid="{00000000-0005-0000-0000-0000C2010000}"/>
    <cellStyle name="20% - Accent3 4 3 3 2" xfId="14680" xr:uid="{C10822E0-3225-432A-855D-F197CB12E37D}"/>
    <cellStyle name="20% - Accent3 4 3 3 2 2" xfId="33276" xr:uid="{831E137C-CF0F-46D8-B806-DA08A6CDB3C9}"/>
    <cellStyle name="20% - Accent3 4 3 3 3" xfId="23979" xr:uid="{A190EC89-18F3-429A-8CDD-351EE86ECFBB}"/>
    <cellStyle name="20% - Accent3 4 3 4" xfId="10463" xr:uid="{2F5A204C-44E5-4119-BBDF-130E53CB376E}"/>
    <cellStyle name="20% - Accent3 4 3 4 2" xfId="29059" xr:uid="{6EB3A895-85DC-4353-8D3D-95BD2E2D4A50}"/>
    <cellStyle name="20% - Accent3 4 3 5" xfId="19762" xr:uid="{DA75EEF8-5B14-4F5E-8EAE-2DB439673694}"/>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5A867FF1-E0A4-4DEB-95C1-AC97A0FF1E4E}"/>
    <cellStyle name="20% - Accent3 4 4 2 2 2 2" xfId="35834" xr:uid="{62E76F9A-C730-4EC4-A512-7BB7611C3FB6}"/>
    <cellStyle name="20% - Accent3 4 4 2 2 3" xfId="26537" xr:uid="{A6A86B65-256B-422C-AF0D-6CF42C403B17}"/>
    <cellStyle name="20% - Accent3 4 4 2 3" xfId="13021" xr:uid="{6F5F6D4F-3779-4108-8E3E-20A642C78291}"/>
    <cellStyle name="20% - Accent3 4 4 2 3 2" xfId="31617" xr:uid="{5CE72A4D-6C48-4A14-B69F-74015B4F4FC0}"/>
    <cellStyle name="20% - Accent3 4 4 2 4" xfId="22320" xr:uid="{1E5C69CA-7E07-4317-B8D1-646BAAF8333C}"/>
    <cellStyle name="20% - Accent3 4 4 3" xfId="5767" xr:uid="{00000000-0005-0000-0000-0000C6010000}"/>
    <cellStyle name="20% - Accent3 4 4 3 2" xfId="15093" xr:uid="{A1D60F46-FEF3-4929-A34B-E952529BD083}"/>
    <cellStyle name="20% - Accent3 4 4 3 2 2" xfId="33689" xr:uid="{8EAAFB8E-F6F9-4F5D-800E-3B20EE87251A}"/>
    <cellStyle name="20% - Accent3 4 4 3 3" xfId="24392" xr:uid="{3427C0FB-FA7D-456C-84B0-29CEC27489BC}"/>
    <cellStyle name="20% - Accent3 4 4 4" xfId="10876" xr:uid="{F65DC605-DD89-4056-87A9-AC26A66FD888}"/>
    <cellStyle name="20% - Accent3 4 4 4 2" xfId="29472" xr:uid="{093BBE9F-213B-4CE2-BF76-DB55076284E7}"/>
    <cellStyle name="20% - Accent3 4 4 5" xfId="20175" xr:uid="{47C01C64-CB52-48E1-AFB8-00C6106CE916}"/>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5115AB83-908A-47A1-9DCB-404484D8BE59}"/>
    <cellStyle name="20% - Accent3 4 5 2 2 2 2" xfId="36247" xr:uid="{DB66BA07-9B8F-4F66-9E97-72DDFF82FFEF}"/>
    <cellStyle name="20% - Accent3 4 5 2 2 3" xfId="26950" xr:uid="{AA73137A-E6E1-412F-A872-4E9C4836DF83}"/>
    <cellStyle name="20% - Accent3 4 5 2 3" xfId="13434" xr:uid="{E0C29860-EAAD-4EA3-ACF1-ED76802048CC}"/>
    <cellStyle name="20% - Accent3 4 5 2 3 2" xfId="32030" xr:uid="{3241FF09-84FF-47AF-BDF8-815CB781F4D5}"/>
    <cellStyle name="20% - Accent3 4 5 2 4" xfId="22733" xr:uid="{592E1EED-485C-4308-93CC-6FF718855C72}"/>
    <cellStyle name="20% - Accent3 4 5 3" xfId="6180" xr:uid="{00000000-0005-0000-0000-0000CA010000}"/>
    <cellStyle name="20% - Accent3 4 5 3 2" xfId="15506" xr:uid="{2F53213B-BD52-4C2F-90FF-0A0AC9E61C86}"/>
    <cellStyle name="20% - Accent3 4 5 3 2 2" xfId="34102" xr:uid="{0AA2E26D-5858-40A5-ACD4-FE137223D159}"/>
    <cellStyle name="20% - Accent3 4 5 3 3" xfId="24805" xr:uid="{A6B2128B-5646-4DED-BC3C-F14AE0CA2E01}"/>
    <cellStyle name="20% - Accent3 4 5 4" xfId="11289" xr:uid="{815B4147-B2B5-4761-B1C2-D432E0C60788}"/>
    <cellStyle name="20% - Accent3 4 5 4 2" xfId="29885" xr:uid="{7F23C36C-20A8-422D-A083-412A32E23C72}"/>
    <cellStyle name="20% - Accent3 4 5 5" xfId="20588" xr:uid="{97776A1F-1A37-4BFE-B369-64B97549F1E1}"/>
    <cellStyle name="20% - Accent3 4 6" xfId="2287" xr:uid="{00000000-0005-0000-0000-0000CB010000}"/>
    <cellStyle name="20% - Accent3 4 6 2" xfId="6593" xr:uid="{00000000-0005-0000-0000-0000CC010000}"/>
    <cellStyle name="20% - Accent3 4 6 2 2" xfId="15919" xr:uid="{C96F7093-B8ED-41A7-ADDD-25934B6F240B}"/>
    <cellStyle name="20% - Accent3 4 6 2 2 2" xfId="34515" xr:uid="{644F4DBB-2FA4-4AA0-813D-10DCC16AB924}"/>
    <cellStyle name="20% - Accent3 4 6 2 3" xfId="25218" xr:uid="{4D734A67-9A05-415A-A6A1-07033F69866D}"/>
    <cellStyle name="20% - Accent3 4 6 3" xfId="11702" xr:uid="{9581EB1C-7ABE-4350-93CF-34C629431002}"/>
    <cellStyle name="20% - Accent3 4 6 3 2" xfId="30298" xr:uid="{0131A58B-0B96-4BB8-AC79-AFF78BE4FF81}"/>
    <cellStyle name="20% - Accent3 4 6 4" xfId="21001" xr:uid="{763BF424-50BA-4455-A4F5-757E6FFB0CE3}"/>
    <cellStyle name="20% - Accent3 4 7" xfId="4527" xr:uid="{00000000-0005-0000-0000-0000CD010000}"/>
    <cellStyle name="20% - Accent3 4 7 2" xfId="13853" xr:uid="{88310BCF-C0CC-444A-AB80-F9841A5CD139}"/>
    <cellStyle name="20% - Accent3 4 7 2 2" xfId="32449" xr:uid="{AC074F84-FC7C-4D8E-919A-7E65463E9A47}"/>
    <cellStyle name="20% - Accent3 4 7 3" xfId="23152" xr:uid="{CFCAB8C8-C480-408A-9978-5ED4CA8DE535}"/>
    <cellStyle name="20% - Accent3 4 8" xfId="8951" xr:uid="{3CB7770B-4F12-4C44-B65D-06C641FEE851}"/>
    <cellStyle name="20% - Accent3 4 8 2" xfId="18275" xr:uid="{90497885-1121-41E4-9E17-056A6F8F3152}"/>
    <cellStyle name="20% - Accent3 4 8 2 2" xfId="36870" xr:uid="{71A57422-2262-4ABF-A5D6-9C22DF6068C5}"/>
    <cellStyle name="20% - Accent3 4 8 3" xfId="27573" xr:uid="{35522D23-CA2F-4BF4-A95C-608F2EDA7356}"/>
    <cellStyle name="20% - Accent3 4 9" xfId="9636" xr:uid="{D2CA0056-AE90-43E9-B697-FA2F8051F2CF}"/>
    <cellStyle name="20% - Accent3 4 9 2" xfId="28232" xr:uid="{DD38A008-731D-4711-A6B2-DA9D7CFD8266}"/>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235DD61B-27FE-4B78-A49A-CA8870B4BF31}"/>
    <cellStyle name="20% - Accent3 5 2 2 2 2" xfId="35001" xr:uid="{53AB11CA-588F-42CA-BF4E-F3B10FBB5368}"/>
    <cellStyle name="20% - Accent3 5 2 2 3" xfId="25704" xr:uid="{C3C68D82-7EA4-4521-8430-B67F98947718}"/>
    <cellStyle name="20% - Accent3 5 2 3" xfId="12188" xr:uid="{28C99E0D-469B-4278-8383-80AA812C5AEC}"/>
    <cellStyle name="20% - Accent3 5 2 3 2" xfId="30784" xr:uid="{45117229-FBDA-4C4A-AD55-04F4984B5B39}"/>
    <cellStyle name="20% - Accent3 5 2 4" xfId="21487" xr:uid="{E5F909D7-877B-4859-A32F-C3E33BC241E9}"/>
    <cellStyle name="20% - Accent3 5 3" xfId="4934" xr:uid="{00000000-0005-0000-0000-0000D1010000}"/>
    <cellStyle name="20% - Accent3 5 3 2" xfId="14260" xr:uid="{ABF5824C-9714-40D7-ADBA-21CDDA9C7D32}"/>
    <cellStyle name="20% - Accent3 5 3 2 2" xfId="32856" xr:uid="{99A76BB6-DBA2-49D7-AF54-CBFC7BD8C11D}"/>
    <cellStyle name="20% - Accent3 5 3 3" xfId="23559" xr:uid="{27DD386A-D729-4E0B-BC54-90F2ED2C4903}"/>
    <cellStyle name="20% - Accent3 5 4" xfId="9184" xr:uid="{F51B2D95-9593-4370-A6D2-AFEF087D7920}"/>
    <cellStyle name="20% - Accent3 5 4 2" xfId="18502" xr:uid="{6744342E-3045-4A36-B4CB-F92F2DCF8D37}"/>
    <cellStyle name="20% - Accent3 5 4 2 2" xfId="37096" xr:uid="{CE14723F-F4BF-4751-A440-BE2EE0C8253B}"/>
    <cellStyle name="20% - Accent3 5 4 3" xfId="27799" xr:uid="{BFEC0DF0-6469-44D3-BB99-751A47BD0DC7}"/>
    <cellStyle name="20% - Accent3 5 5" xfId="10043" xr:uid="{1C50DB65-AD33-42F9-A343-20AD3B37A149}"/>
    <cellStyle name="20% - Accent3 5 5 2" xfId="28639" xr:uid="{D8DBFF06-C699-46F7-AE9B-070C490FD7EB}"/>
    <cellStyle name="20% - Accent3 5 6" xfId="19342" xr:uid="{3D99C7AF-8D67-40F6-9298-B821E5E30C8A}"/>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26A57655-D5A1-4BC0-9BFC-D17A7384B2B0}"/>
    <cellStyle name="20% - Accent3 6 2 2 2 2" xfId="35414" xr:uid="{7528BBBA-6418-466B-ACE2-3B5FA9B76FE9}"/>
    <cellStyle name="20% - Accent3 6 2 2 3" xfId="26117" xr:uid="{06ECEBBC-7C99-473E-8AF1-65873D7D8819}"/>
    <cellStyle name="20% - Accent3 6 2 3" xfId="12601" xr:uid="{EEA0CD47-6D2C-4F9D-ACD5-09330F1BAF28}"/>
    <cellStyle name="20% - Accent3 6 2 3 2" xfId="31197" xr:uid="{A28C2886-244F-4716-B273-DA55E025F9EF}"/>
    <cellStyle name="20% - Accent3 6 2 4" xfId="21900" xr:uid="{929B9DA3-0B02-438B-BD3A-E8AB62658E8D}"/>
    <cellStyle name="20% - Accent3 6 3" xfId="5347" xr:uid="{00000000-0005-0000-0000-0000D5010000}"/>
    <cellStyle name="20% - Accent3 6 3 2" xfId="14673" xr:uid="{870DFB28-5EC7-43B9-95DE-AEB96159F232}"/>
    <cellStyle name="20% - Accent3 6 3 2 2" xfId="33269" xr:uid="{AA483CFE-17B1-448F-A4E4-D30FB7D1DCF4}"/>
    <cellStyle name="20% - Accent3 6 3 3" xfId="23972" xr:uid="{16FF888E-F66A-4835-8E76-D551FD990A18}"/>
    <cellStyle name="20% - Accent3 6 4" xfId="10456" xr:uid="{99D5B268-6E97-444B-9F1B-9CF19F541536}"/>
    <cellStyle name="20% - Accent3 6 4 2" xfId="29052" xr:uid="{FEE5E115-65EB-41DD-803C-BE1B8DDCD6A1}"/>
    <cellStyle name="20% - Accent3 6 5" xfId="19755" xr:uid="{D5DD6252-7BED-4A42-A138-66B9A432BC93}"/>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ECE3A315-BD8B-4A02-8147-350093E32149}"/>
    <cellStyle name="20% - Accent3 7 2 2 2 2" xfId="35827" xr:uid="{B44D7D83-E34F-4800-81D5-280154B4A643}"/>
    <cellStyle name="20% - Accent3 7 2 2 3" xfId="26530" xr:uid="{0A69F934-7106-4831-B1EA-04749C8A368D}"/>
    <cellStyle name="20% - Accent3 7 2 3" xfId="13014" xr:uid="{85908424-4849-4628-80B6-31098FE165CE}"/>
    <cellStyle name="20% - Accent3 7 2 3 2" xfId="31610" xr:uid="{E8318C30-9765-4553-8E56-521AC94981AB}"/>
    <cellStyle name="20% - Accent3 7 2 4" xfId="22313" xr:uid="{ECD02343-3A26-41E1-89B1-BEE6C9BA92C3}"/>
    <cellStyle name="20% - Accent3 7 3" xfId="5760" xr:uid="{00000000-0005-0000-0000-0000D9010000}"/>
    <cellStyle name="20% - Accent3 7 3 2" xfId="15086" xr:uid="{A27FC2F4-C5D2-4EE3-B295-EB832E367CF1}"/>
    <cellStyle name="20% - Accent3 7 3 2 2" xfId="33682" xr:uid="{5BEB2E19-63D5-4BB2-89E9-C3A63647563B}"/>
    <cellStyle name="20% - Accent3 7 3 3" xfId="24385" xr:uid="{55137DAE-C078-4575-BCD2-5948C4437D00}"/>
    <cellStyle name="20% - Accent3 7 4" xfId="10869" xr:uid="{41D23935-BEFF-4C06-B9D9-E572C576824A}"/>
    <cellStyle name="20% - Accent3 7 4 2" xfId="29465" xr:uid="{6BCEBC69-1147-416B-983D-8208588C61FD}"/>
    <cellStyle name="20% - Accent3 7 5" xfId="20168" xr:uid="{F63CA8F0-D528-4758-9783-542CE86D5FB7}"/>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6A7C2B27-4D41-4BAD-99BB-2A027BB4E76B}"/>
    <cellStyle name="20% - Accent3 8 2 2 2 2" xfId="36240" xr:uid="{A3F3214C-6C4A-4ADB-99B0-5636A7DB5C6D}"/>
    <cellStyle name="20% - Accent3 8 2 2 3" xfId="26943" xr:uid="{65E3AE7B-8BAE-450E-B16B-E1BB1BDB4303}"/>
    <cellStyle name="20% - Accent3 8 2 3" xfId="13427" xr:uid="{10CD3762-7A65-4154-B0B0-728EABC660B0}"/>
    <cellStyle name="20% - Accent3 8 2 3 2" xfId="32023" xr:uid="{AFBBF1F2-A64B-47D5-8510-4BF71B975AC2}"/>
    <cellStyle name="20% - Accent3 8 2 4" xfId="22726" xr:uid="{14EEBA51-AD1D-49D1-A84A-B8077D3FE5BF}"/>
    <cellStyle name="20% - Accent3 8 3" xfId="6173" xr:uid="{00000000-0005-0000-0000-0000DD010000}"/>
    <cellStyle name="20% - Accent3 8 3 2" xfId="15499" xr:uid="{35CF70AE-41E2-4D6C-937A-67C647D599A1}"/>
    <cellStyle name="20% - Accent3 8 3 2 2" xfId="34095" xr:uid="{DF0E8D3F-FB8D-4878-AF27-68F6E79DC9CB}"/>
    <cellStyle name="20% - Accent3 8 3 3" xfId="24798" xr:uid="{73F176D9-4F89-41DF-9FBD-46CAE256B8A4}"/>
    <cellStyle name="20% - Accent3 8 4" xfId="11282" xr:uid="{A38DC496-1C1E-4D21-B15B-E5C8A532293E}"/>
    <cellStyle name="20% - Accent3 8 4 2" xfId="29878" xr:uid="{A92536C5-47D1-49D2-A75C-F2267549B536}"/>
    <cellStyle name="20% - Accent3 8 5" xfId="20581" xr:uid="{30CE1577-7FA2-47E1-8C68-D61E3DAAC425}"/>
    <cellStyle name="20% - Accent3 9" xfId="2280" xr:uid="{00000000-0005-0000-0000-0000DE010000}"/>
    <cellStyle name="20% - Accent3 9 2" xfId="6586" xr:uid="{00000000-0005-0000-0000-0000DF010000}"/>
    <cellStyle name="20% - Accent3 9 2 2" xfId="15912" xr:uid="{D738E948-F03E-4815-AC5D-33F06FDA8618}"/>
    <cellStyle name="20% - Accent3 9 2 2 2" xfId="34508" xr:uid="{7DED56C4-0B76-4621-B7B8-F95B9D100A3C}"/>
    <cellStyle name="20% - Accent3 9 2 3" xfId="25211" xr:uid="{B22DC48D-C142-4876-887D-1FA85F8D01D3}"/>
    <cellStyle name="20% - Accent3 9 3" xfId="11695" xr:uid="{45A8C000-4966-42E0-A059-6822188340C8}"/>
    <cellStyle name="20% - Accent3 9 3 2" xfId="30291" xr:uid="{789A26F4-F8E7-4C9C-844A-7E8F07F155DD}"/>
    <cellStyle name="20% - Accent3 9 4" xfId="20994" xr:uid="{8D6ADCEB-ED57-456E-8BC5-A15B9503B0B3}"/>
    <cellStyle name="20% - Accent4" xfId="25" builtinId="42" customBuiltin="1"/>
    <cellStyle name="20% - Accent4 10" xfId="4528" xr:uid="{00000000-0005-0000-0000-0000E1010000}"/>
    <cellStyle name="20% - Accent4 10 2" xfId="13854" xr:uid="{0CFB9B10-4B61-4DAC-B5D6-AEEFDC9F69F0}"/>
    <cellStyle name="20% - Accent4 10 2 2" xfId="32450" xr:uid="{F6B71191-F6B5-43E9-A463-FFB2141C3FB4}"/>
    <cellStyle name="20% - Accent4 10 3" xfId="23153" xr:uid="{283A4006-BC3E-443C-B223-7726EE8059F6}"/>
    <cellStyle name="20% - Accent4 11" xfId="8764" xr:uid="{4A9BF508-806C-496D-AEC5-5842E4A62892}"/>
    <cellStyle name="20% - Accent4 11 2" xfId="18088" xr:uid="{21AC1763-67ED-415B-B79E-B26DA314A541}"/>
    <cellStyle name="20% - Accent4 11 2 2" xfId="36683" xr:uid="{E48E1994-26EB-4DA8-9419-48239DE9B439}"/>
    <cellStyle name="20% - Accent4 11 3" xfId="27386" xr:uid="{EBEE619E-BD61-4F02-9527-B640B9A1C699}"/>
    <cellStyle name="20% - Accent4 12" xfId="9637" xr:uid="{D3BE7866-3B74-4171-AE04-DE67FD085270}"/>
    <cellStyle name="20% - Accent4 12 2" xfId="28233" xr:uid="{6BA05B12-67D8-4A0C-A1F9-EF08F4FB0BE6}"/>
    <cellStyle name="20% - Accent4 13" xfId="18936" xr:uid="{811B48DD-698F-47DE-B046-EE90B0177546}"/>
    <cellStyle name="20% - Accent4 2" xfId="26" xr:uid="{00000000-0005-0000-0000-0000E2010000}"/>
    <cellStyle name="20% - Accent4 2 10" xfId="8794" xr:uid="{31A2F477-5237-45C2-B43F-25AC049A95FF}"/>
    <cellStyle name="20% - Accent4 2 10 2" xfId="18118" xr:uid="{C620A744-0B24-4B4A-921E-BE02B8FFEAB9}"/>
    <cellStyle name="20% - Accent4 2 10 2 2" xfId="36713" xr:uid="{66361DA5-CE95-4FF5-9C09-F6DE12C838B9}"/>
    <cellStyle name="20% - Accent4 2 10 3" xfId="27416" xr:uid="{C4D1789A-9332-4DC6-86F2-76BBF28F36FC}"/>
    <cellStyle name="20% - Accent4 2 11" xfId="9638" xr:uid="{EC83BAFA-422C-437B-85DB-CE6F06999C1E}"/>
    <cellStyle name="20% - Accent4 2 11 2" xfId="28234" xr:uid="{B7FE7ADB-BA10-4232-AF06-8F7F58B33758}"/>
    <cellStyle name="20% - Accent4 2 12" xfId="18937" xr:uid="{E4DEA16E-70D3-4762-A832-21AD54393864}"/>
    <cellStyle name="20% - Accent4 2 2" xfId="27" xr:uid="{00000000-0005-0000-0000-0000E3010000}"/>
    <cellStyle name="20% - Accent4 2 2 10" xfId="9639" xr:uid="{FE953F00-C45E-486D-B409-5F6D4F0CA634}"/>
    <cellStyle name="20% - Accent4 2 2 10 2" xfId="28235" xr:uid="{56F14F3E-58DB-4743-8E0E-059754E17340}"/>
    <cellStyle name="20% - Accent4 2 2 11" xfId="18938" xr:uid="{5E2C17C7-F74C-4C69-A5DE-7F3D33634011}"/>
    <cellStyle name="20% - Accent4 2 2 2" xfId="28" xr:uid="{00000000-0005-0000-0000-0000E4010000}"/>
    <cellStyle name="20% - Accent4 2 2 2 10" xfId="18939" xr:uid="{DB4FD9F7-C13F-4D66-BA1B-EA109BB82757}"/>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E8C075A9-205C-4F88-95EE-75FD9C5A754D}"/>
    <cellStyle name="20% - Accent4 2 2 2 2 2 2 2 2" xfId="35012" xr:uid="{B2999CF5-EC46-408A-9140-FE4F50EB1983}"/>
    <cellStyle name="20% - Accent4 2 2 2 2 2 2 3" xfId="25715" xr:uid="{D14728CE-04A8-4353-89CF-B6640E4CB9DC}"/>
    <cellStyle name="20% - Accent4 2 2 2 2 2 3" xfId="12199" xr:uid="{F0A585F1-ABEE-453D-BD28-FB2DED6F4C7B}"/>
    <cellStyle name="20% - Accent4 2 2 2 2 2 3 2" xfId="30795" xr:uid="{C6E6860B-961E-45E0-9CE8-7C65ED7BE656}"/>
    <cellStyle name="20% - Accent4 2 2 2 2 2 4" xfId="21498" xr:uid="{FCB3794C-81BC-4BDF-A5DE-EC64C6C6252E}"/>
    <cellStyle name="20% - Accent4 2 2 2 2 3" xfId="4945" xr:uid="{00000000-0005-0000-0000-0000E8010000}"/>
    <cellStyle name="20% - Accent4 2 2 2 2 3 2" xfId="14271" xr:uid="{47467AB1-EDC9-44BF-AC32-8CEE5EDC7EBD}"/>
    <cellStyle name="20% - Accent4 2 2 2 2 3 2 2" xfId="32867" xr:uid="{E23E05DC-B7CB-4689-B301-9C72AC63720E}"/>
    <cellStyle name="20% - Accent4 2 2 2 2 3 3" xfId="23570" xr:uid="{A4D1775B-998D-447D-A538-1B6FDA94AA95}"/>
    <cellStyle name="20% - Accent4 2 2 2 2 4" xfId="9529" xr:uid="{0C40CE19-1873-4316-818D-CC943AAFBB7B}"/>
    <cellStyle name="20% - Accent4 2 2 2 2 4 2" xfId="18844" xr:uid="{E6726EC2-E9EA-4066-907C-8FC576B94DBC}"/>
    <cellStyle name="20% - Accent4 2 2 2 2 4 2 2" xfId="37438" xr:uid="{C4616CBA-D245-46E8-8E07-550F2C18E3BF}"/>
    <cellStyle name="20% - Accent4 2 2 2 2 4 3" xfId="28141" xr:uid="{BE07153D-551C-4958-9F3F-17940ADD4931}"/>
    <cellStyle name="20% - Accent4 2 2 2 2 5" xfId="10054" xr:uid="{0D8CBB17-4F7B-44FF-965F-2CBAB6F7A4BD}"/>
    <cellStyle name="20% - Accent4 2 2 2 2 5 2" xfId="28650" xr:uid="{3C3C53AD-40F7-499F-862B-55E011CC6EDF}"/>
    <cellStyle name="20% - Accent4 2 2 2 2 6" xfId="19353" xr:uid="{EF8162B6-908C-4E9F-A524-A83436CD8552}"/>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AF97443C-501B-44EC-9877-EDCE684A8A50}"/>
    <cellStyle name="20% - Accent4 2 2 2 3 2 2 2 2" xfId="35425" xr:uid="{42B3B3F1-DA2E-4A14-979A-F50A62AC0CA7}"/>
    <cellStyle name="20% - Accent4 2 2 2 3 2 2 3" xfId="26128" xr:uid="{B993875E-39DB-4E7E-885B-876BCA572CC2}"/>
    <cellStyle name="20% - Accent4 2 2 2 3 2 3" xfId="12612" xr:uid="{44081F35-F739-4A74-905F-D2A638CB14CB}"/>
    <cellStyle name="20% - Accent4 2 2 2 3 2 3 2" xfId="31208" xr:uid="{D0CB3B94-9FE0-415E-8B16-6F1E2E1BB713}"/>
    <cellStyle name="20% - Accent4 2 2 2 3 2 4" xfId="21911" xr:uid="{E6849D14-4118-4BD6-B9C0-249ADFD5EE5F}"/>
    <cellStyle name="20% - Accent4 2 2 2 3 3" xfId="5358" xr:uid="{00000000-0005-0000-0000-0000EC010000}"/>
    <cellStyle name="20% - Accent4 2 2 2 3 3 2" xfId="14684" xr:uid="{922D39B3-B614-4656-AFA6-A233A181D4D4}"/>
    <cellStyle name="20% - Accent4 2 2 2 3 3 2 2" xfId="33280" xr:uid="{C7075489-8A22-4343-82A8-F768EFC3AD66}"/>
    <cellStyle name="20% - Accent4 2 2 2 3 3 3" xfId="23983" xr:uid="{6F253BFC-B5E3-421F-BE7C-F2C01F86A3C5}"/>
    <cellStyle name="20% - Accent4 2 2 2 3 4" xfId="10467" xr:uid="{7FD127EE-9278-4995-AE02-59DD5C3D1378}"/>
    <cellStyle name="20% - Accent4 2 2 2 3 4 2" xfId="29063" xr:uid="{D8359819-B458-47B2-ACE3-C9C61B0216C2}"/>
    <cellStyle name="20% - Accent4 2 2 2 3 5" xfId="19766" xr:uid="{95F75EE1-1ADA-492A-8E4D-CD39D52D0904}"/>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B8695A54-4FFF-46C6-B491-4C81B15FE623}"/>
    <cellStyle name="20% - Accent4 2 2 2 4 2 2 2 2" xfId="35838" xr:uid="{D3DF8C20-E615-4DB7-9035-6D9AE0E83607}"/>
    <cellStyle name="20% - Accent4 2 2 2 4 2 2 3" xfId="26541" xr:uid="{183CED47-1CB1-4011-8F40-CB29B8B4F898}"/>
    <cellStyle name="20% - Accent4 2 2 2 4 2 3" xfId="13025" xr:uid="{0935CCCF-5F80-4EE0-9F8D-263DF5DA08F7}"/>
    <cellStyle name="20% - Accent4 2 2 2 4 2 3 2" xfId="31621" xr:uid="{3FF37981-A455-4ADA-A897-074486933AC2}"/>
    <cellStyle name="20% - Accent4 2 2 2 4 2 4" xfId="22324" xr:uid="{0084D2B6-51FD-4FEB-B2C0-0B684AC8B3B6}"/>
    <cellStyle name="20% - Accent4 2 2 2 4 3" xfId="5771" xr:uid="{00000000-0005-0000-0000-0000F0010000}"/>
    <cellStyle name="20% - Accent4 2 2 2 4 3 2" xfId="15097" xr:uid="{B4CA8333-2BA1-4733-8FFD-F955B5407B85}"/>
    <cellStyle name="20% - Accent4 2 2 2 4 3 2 2" xfId="33693" xr:uid="{F4FF61BA-E45F-4382-BF2A-4B177D230D0B}"/>
    <cellStyle name="20% - Accent4 2 2 2 4 3 3" xfId="24396" xr:uid="{F3C9AEF4-9F4F-440E-8971-39F73710128A}"/>
    <cellStyle name="20% - Accent4 2 2 2 4 4" xfId="10880" xr:uid="{FD051CED-E579-4898-985B-D5C27E6614B8}"/>
    <cellStyle name="20% - Accent4 2 2 2 4 4 2" xfId="29476" xr:uid="{2CF3D6E9-5926-4978-A8D8-04807F16FBAD}"/>
    <cellStyle name="20% - Accent4 2 2 2 4 5" xfId="20179" xr:uid="{44C31CC4-5CD0-472E-A5C0-5687EDB7693D}"/>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536AE828-FA27-4F59-A5CD-DA73BBE4FF84}"/>
    <cellStyle name="20% - Accent4 2 2 2 5 2 2 2 2" xfId="36251" xr:uid="{F53331CB-830D-43F3-A29B-4A4A07B54081}"/>
    <cellStyle name="20% - Accent4 2 2 2 5 2 2 3" xfId="26954" xr:uid="{0918F7C3-85F0-41D3-BBB8-CED88BDE0ADD}"/>
    <cellStyle name="20% - Accent4 2 2 2 5 2 3" xfId="13438" xr:uid="{8D80693C-BBAD-4A02-9397-DBDF47FF8297}"/>
    <cellStyle name="20% - Accent4 2 2 2 5 2 3 2" xfId="32034" xr:uid="{C69E713B-E940-46DC-B7CC-79EC8B78A985}"/>
    <cellStyle name="20% - Accent4 2 2 2 5 2 4" xfId="22737" xr:uid="{A2A0139D-4BEF-4AE4-8354-B45DBF9295D4}"/>
    <cellStyle name="20% - Accent4 2 2 2 5 3" xfId="6184" xr:uid="{00000000-0005-0000-0000-0000F4010000}"/>
    <cellStyle name="20% - Accent4 2 2 2 5 3 2" xfId="15510" xr:uid="{6A38DC3D-830F-4299-A08B-5C0DED872A01}"/>
    <cellStyle name="20% - Accent4 2 2 2 5 3 2 2" xfId="34106" xr:uid="{FBE98FCC-6F38-40C8-9F8D-2B079CAC0B41}"/>
    <cellStyle name="20% - Accent4 2 2 2 5 3 3" xfId="24809" xr:uid="{641874CD-7EC2-4ACD-8D05-64BB7F28F266}"/>
    <cellStyle name="20% - Accent4 2 2 2 5 4" xfId="11293" xr:uid="{D6BC91E3-B455-486B-85E6-7FE5D02E6010}"/>
    <cellStyle name="20% - Accent4 2 2 2 5 4 2" xfId="29889" xr:uid="{12F5E2D4-C3EC-4054-A32B-19F3464E701A}"/>
    <cellStyle name="20% - Accent4 2 2 2 5 5" xfId="20592" xr:uid="{BF74708B-0390-4F67-B6E7-105871E1B234}"/>
    <cellStyle name="20% - Accent4 2 2 2 6" xfId="2291" xr:uid="{00000000-0005-0000-0000-0000F5010000}"/>
    <cellStyle name="20% - Accent4 2 2 2 6 2" xfId="6597" xr:uid="{00000000-0005-0000-0000-0000F6010000}"/>
    <cellStyle name="20% - Accent4 2 2 2 6 2 2" xfId="15923" xr:uid="{32A316F6-FCF0-4326-A852-A759E4C3898D}"/>
    <cellStyle name="20% - Accent4 2 2 2 6 2 2 2" xfId="34519" xr:uid="{C0CEC1EC-BC4F-4994-9EB1-B93902DABDBC}"/>
    <cellStyle name="20% - Accent4 2 2 2 6 2 3" xfId="25222" xr:uid="{F65D09E1-ADD6-4E40-8B69-1D5E273F8CD1}"/>
    <cellStyle name="20% - Accent4 2 2 2 6 3" xfId="11706" xr:uid="{5AE882C7-A8C2-4A94-8CC6-3261967605A2}"/>
    <cellStyle name="20% - Accent4 2 2 2 6 3 2" xfId="30302" xr:uid="{A9A700F6-05E5-42BC-8806-01D9ED0BF389}"/>
    <cellStyle name="20% - Accent4 2 2 2 6 4" xfId="21005" xr:uid="{54C61588-B034-409E-A8A9-A87ABC5CFBEC}"/>
    <cellStyle name="20% - Accent4 2 2 2 7" xfId="4531" xr:uid="{00000000-0005-0000-0000-0000F7010000}"/>
    <cellStyle name="20% - Accent4 2 2 2 7 2" xfId="13857" xr:uid="{B7AFA20F-6206-46C9-9149-5B527B6284B5}"/>
    <cellStyle name="20% - Accent4 2 2 2 7 2 2" xfId="32453" xr:uid="{797D4B10-29EC-450E-B592-5D657E1C7F60}"/>
    <cellStyle name="20% - Accent4 2 2 2 7 3" xfId="23156" xr:uid="{5F01523D-6143-40F8-A941-64110A0B8AF9}"/>
    <cellStyle name="20% - Accent4 2 2 2 8" xfId="9104" xr:uid="{526BE306-22BA-4A85-81B2-34AEB56F0D90}"/>
    <cellStyle name="20% - Accent4 2 2 2 8 2" xfId="18428" xr:uid="{395AE300-626F-4D42-BFF7-606493AD5B58}"/>
    <cellStyle name="20% - Accent4 2 2 2 8 2 2" xfId="37023" xr:uid="{AFB1914E-CAE0-47DA-BA4C-5125C8EE5253}"/>
    <cellStyle name="20% - Accent4 2 2 2 8 3" xfId="27726" xr:uid="{6C40F166-618F-4AED-9B7F-3455ADF3FC8C}"/>
    <cellStyle name="20% - Accent4 2 2 2 9" xfId="9640" xr:uid="{9943FCF2-B26E-4BD4-B61A-549732CC1E30}"/>
    <cellStyle name="20% - Accent4 2 2 2 9 2" xfId="28236" xr:uid="{6A222D2B-B040-40EB-A8C9-8B2EB18BB6C0}"/>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8E6E7783-8F64-48F0-BFCC-658C60183246}"/>
    <cellStyle name="20% - Accent4 2 2 3 2 2 2 2" xfId="35011" xr:uid="{88609DBF-4779-4FEF-893D-65FD8D3BAF95}"/>
    <cellStyle name="20% - Accent4 2 2 3 2 2 3" xfId="25714" xr:uid="{253BA8D8-70CC-41A0-8193-5EFD2C0F58BD}"/>
    <cellStyle name="20% - Accent4 2 2 3 2 3" xfId="12198" xr:uid="{A64EF38B-7001-4C69-92CF-CDA03A1434DE}"/>
    <cellStyle name="20% - Accent4 2 2 3 2 3 2" xfId="30794" xr:uid="{33763F98-B2D5-404C-8580-2812207D9EB5}"/>
    <cellStyle name="20% - Accent4 2 2 3 2 4" xfId="21497" xr:uid="{9D5EAD80-263D-4369-A610-C52736C31ACE}"/>
    <cellStyle name="20% - Accent4 2 2 3 3" xfId="4944" xr:uid="{00000000-0005-0000-0000-0000FB010000}"/>
    <cellStyle name="20% - Accent4 2 2 3 3 2" xfId="14270" xr:uid="{536CB379-39D5-45E6-A786-207752A1BE9E}"/>
    <cellStyle name="20% - Accent4 2 2 3 3 2 2" xfId="32866" xr:uid="{42581DBE-F54B-46FD-9E6D-F0B9DD8E00AE}"/>
    <cellStyle name="20% - Accent4 2 2 3 3 3" xfId="23569" xr:uid="{BF003BC9-93AB-4489-9F96-D20A7940ADF6}"/>
    <cellStyle name="20% - Accent4 2 2 3 4" xfId="9322" xr:uid="{003BBE99-27AA-4036-A373-4475953A88F4}"/>
    <cellStyle name="20% - Accent4 2 2 3 4 2" xfId="18637" xr:uid="{E863D86A-AA14-4F9C-B4D1-FEE68741A823}"/>
    <cellStyle name="20% - Accent4 2 2 3 4 2 2" xfId="37231" xr:uid="{26C7451E-8A39-4AF1-A5FA-FC56F9913C39}"/>
    <cellStyle name="20% - Accent4 2 2 3 4 3" xfId="27934" xr:uid="{97E79429-5EA3-4E80-84E1-42C98B1859A7}"/>
    <cellStyle name="20% - Accent4 2 2 3 5" xfId="10053" xr:uid="{D8C34DF5-D8B4-4683-A4B8-B4866A8C3851}"/>
    <cellStyle name="20% - Accent4 2 2 3 5 2" xfId="28649" xr:uid="{D50B2FC9-1322-463F-A5D0-0B0321914FB1}"/>
    <cellStyle name="20% - Accent4 2 2 3 6" xfId="19352" xr:uid="{BB670A7B-91A0-4716-B342-48C796A0A7BF}"/>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81AC7D9B-84F4-4F00-89E2-F40D0738D827}"/>
    <cellStyle name="20% - Accent4 2 2 4 2 2 2 2" xfId="35424" xr:uid="{36608288-C235-49C7-9CFD-EC3BEB2A4485}"/>
    <cellStyle name="20% - Accent4 2 2 4 2 2 3" xfId="26127" xr:uid="{507F9A60-1761-4D1F-B06E-18C180A30CCF}"/>
    <cellStyle name="20% - Accent4 2 2 4 2 3" xfId="12611" xr:uid="{F7A299C3-7759-4971-B879-41D46E79A39C}"/>
    <cellStyle name="20% - Accent4 2 2 4 2 3 2" xfId="31207" xr:uid="{DA76B038-2774-4CBC-A38D-52996BF96D8A}"/>
    <cellStyle name="20% - Accent4 2 2 4 2 4" xfId="21910" xr:uid="{3F15FDA4-E75A-4F16-BC07-CEC6D1E16AE7}"/>
    <cellStyle name="20% - Accent4 2 2 4 3" xfId="5357" xr:uid="{00000000-0005-0000-0000-0000FF010000}"/>
    <cellStyle name="20% - Accent4 2 2 4 3 2" xfId="14683" xr:uid="{A7AFEA10-26F9-41A0-9984-4C6B41186324}"/>
    <cellStyle name="20% - Accent4 2 2 4 3 2 2" xfId="33279" xr:uid="{9FB27AD5-35BE-46C5-9E37-4C7A7AE9E27A}"/>
    <cellStyle name="20% - Accent4 2 2 4 3 3" xfId="23982" xr:uid="{BF6A3357-A560-40DF-91CF-C861862515BE}"/>
    <cellStyle name="20% - Accent4 2 2 4 4" xfId="10466" xr:uid="{F37F677D-8CB4-4752-AD90-B1E07AEB5CAF}"/>
    <cellStyle name="20% - Accent4 2 2 4 4 2" xfId="29062" xr:uid="{C1565F15-2E6C-4433-9282-DAAFEE9A93BA}"/>
    <cellStyle name="20% - Accent4 2 2 4 5" xfId="19765" xr:uid="{AD65A474-CE5E-4671-8CAB-E8483D30069B}"/>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650FD053-94B2-45EA-9EBD-23DD85D1C3CE}"/>
    <cellStyle name="20% - Accent4 2 2 5 2 2 2 2" xfId="35837" xr:uid="{A320829D-A7F0-4703-BC51-4351C2FAE3CD}"/>
    <cellStyle name="20% - Accent4 2 2 5 2 2 3" xfId="26540" xr:uid="{F566875C-CEF5-426B-AED7-D9BC889FC983}"/>
    <cellStyle name="20% - Accent4 2 2 5 2 3" xfId="13024" xr:uid="{D43EBF6B-5199-42F7-BFAB-0BEC04D6813C}"/>
    <cellStyle name="20% - Accent4 2 2 5 2 3 2" xfId="31620" xr:uid="{6ABCF9EA-AE10-4623-A12D-5F665A480E23}"/>
    <cellStyle name="20% - Accent4 2 2 5 2 4" xfId="22323" xr:uid="{3E325562-968E-4DDD-B3C3-73EABA19474F}"/>
    <cellStyle name="20% - Accent4 2 2 5 3" xfId="5770" xr:uid="{00000000-0005-0000-0000-000003020000}"/>
    <cellStyle name="20% - Accent4 2 2 5 3 2" xfId="15096" xr:uid="{69C5C060-3D4B-4C16-9A5B-703DC061DE55}"/>
    <cellStyle name="20% - Accent4 2 2 5 3 2 2" xfId="33692" xr:uid="{F7A21E43-1CF2-48F9-BAB6-ADB0E030A802}"/>
    <cellStyle name="20% - Accent4 2 2 5 3 3" xfId="24395" xr:uid="{DA08FA21-09F7-401E-A929-E6AA5A2B89AE}"/>
    <cellStyle name="20% - Accent4 2 2 5 4" xfId="10879" xr:uid="{06672EEC-DCA8-409D-A645-98B278A7A1C1}"/>
    <cellStyle name="20% - Accent4 2 2 5 4 2" xfId="29475" xr:uid="{C112340E-DA8B-4DB4-9EE4-D3114C3E1AFC}"/>
    <cellStyle name="20% - Accent4 2 2 5 5" xfId="20178" xr:uid="{D8FE9C60-6021-43CA-83F1-C480D8EF1FBD}"/>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AF4AD52F-70B9-4D53-8469-BC7143B08002}"/>
    <cellStyle name="20% - Accent4 2 2 6 2 2 2 2" xfId="36250" xr:uid="{7DE1B687-857D-4621-B405-4CF07716E32D}"/>
    <cellStyle name="20% - Accent4 2 2 6 2 2 3" xfId="26953" xr:uid="{6F92A1BE-D7B6-47F1-A201-EC0507502BD5}"/>
    <cellStyle name="20% - Accent4 2 2 6 2 3" xfId="13437" xr:uid="{E27026CC-3319-420D-A850-3EE31F0F63C1}"/>
    <cellStyle name="20% - Accent4 2 2 6 2 3 2" xfId="32033" xr:uid="{8B2959A9-9BFE-44D0-8160-48DC7AFBE831}"/>
    <cellStyle name="20% - Accent4 2 2 6 2 4" xfId="22736" xr:uid="{001BAF77-C4F4-4228-9DB2-3BAE47FA40B6}"/>
    <cellStyle name="20% - Accent4 2 2 6 3" xfId="6183" xr:uid="{00000000-0005-0000-0000-000007020000}"/>
    <cellStyle name="20% - Accent4 2 2 6 3 2" xfId="15509" xr:uid="{2D1E00E1-F457-40E4-8DBA-3CA9410B93E0}"/>
    <cellStyle name="20% - Accent4 2 2 6 3 2 2" xfId="34105" xr:uid="{441EB888-AC9F-43A9-A1A8-AF0DF3A5012B}"/>
    <cellStyle name="20% - Accent4 2 2 6 3 3" xfId="24808" xr:uid="{B112B748-83C8-4CF4-945B-774BEBAAF167}"/>
    <cellStyle name="20% - Accent4 2 2 6 4" xfId="11292" xr:uid="{AC3A4EDC-1A92-405F-A1F8-3D788F9E5174}"/>
    <cellStyle name="20% - Accent4 2 2 6 4 2" xfId="29888" xr:uid="{4406DCEA-D8CE-4128-A139-F4552D72F293}"/>
    <cellStyle name="20% - Accent4 2 2 6 5" xfId="20591" xr:uid="{4AAA9E41-002C-4B35-B000-5215A59DE23A}"/>
    <cellStyle name="20% - Accent4 2 2 7" xfId="2290" xr:uid="{00000000-0005-0000-0000-000008020000}"/>
    <cellStyle name="20% - Accent4 2 2 7 2" xfId="6596" xr:uid="{00000000-0005-0000-0000-000009020000}"/>
    <cellStyle name="20% - Accent4 2 2 7 2 2" xfId="15922" xr:uid="{423D96EA-173A-42E1-8E13-8B18F6B999F8}"/>
    <cellStyle name="20% - Accent4 2 2 7 2 2 2" xfId="34518" xr:uid="{9A4ED616-2032-4D48-95F5-1A193FC0582E}"/>
    <cellStyle name="20% - Accent4 2 2 7 2 3" xfId="25221" xr:uid="{B7D55C3A-77A1-42F0-B35B-05A743BD9E7B}"/>
    <cellStyle name="20% - Accent4 2 2 7 3" xfId="11705" xr:uid="{106661BB-9814-481F-A414-FCFAA12D55A6}"/>
    <cellStyle name="20% - Accent4 2 2 7 3 2" xfId="30301" xr:uid="{9D1FC6F1-9067-44FC-8286-883A8E6511BF}"/>
    <cellStyle name="20% - Accent4 2 2 7 4" xfId="21004" xr:uid="{93F471DF-44E0-4D4D-9B9A-A97ECF590F5E}"/>
    <cellStyle name="20% - Accent4 2 2 8" xfId="4530" xr:uid="{00000000-0005-0000-0000-00000A020000}"/>
    <cellStyle name="20% - Accent4 2 2 8 2" xfId="13856" xr:uid="{E4B92D85-3F06-4CED-A547-8F71D0FF8A8D}"/>
    <cellStyle name="20% - Accent4 2 2 8 2 2" xfId="32452" xr:uid="{DEF284F5-51C3-4298-9F50-9FD506FF4961}"/>
    <cellStyle name="20% - Accent4 2 2 8 3" xfId="23155" xr:uid="{4FEB034F-F42C-4DB6-BFF1-09452BA2277D}"/>
    <cellStyle name="20% - Accent4 2 2 9" xfId="8897" xr:uid="{3A58A73C-0193-4EAC-8E12-5BF8743CE9BA}"/>
    <cellStyle name="20% - Accent4 2 2 9 2" xfId="18221" xr:uid="{B4CDDF13-FD34-4443-AAE2-5DD364C185D5}"/>
    <cellStyle name="20% - Accent4 2 2 9 2 2" xfId="36816" xr:uid="{55230A9C-04FC-4E03-AD52-444235CF2F24}"/>
    <cellStyle name="20% - Accent4 2 2 9 3" xfId="27519" xr:uid="{80CF5CD8-13AB-43B6-BDD2-A10272D96596}"/>
    <cellStyle name="20% - Accent4 2 3" xfId="29" xr:uid="{00000000-0005-0000-0000-00000B020000}"/>
    <cellStyle name="20% - Accent4 2 3 10" xfId="18940" xr:uid="{EA932A96-E67B-4B5D-AC12-9B285638E448}"/>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E1DF63A1-9858-4E3C-9661-3C9214122592}"/>
    <cellStyle name="20% - Accent4 2 3 2 2 2 2 2" xfId="35013" xr:uid="{D0C94703-3E0D-41C9-BAD1-CAEEE5F756AE}"/>
    <cellStyle name="20% - Accent4 2 3 2 2 2 3" xfId="25716" xr:uid="{5A3D54BE-7AE7-40CD-AF3A-3E4CAD22C86A}"/>
    <cellStyle name="20% - Accent4 2 3 2 2 3" xfId="12200" xr:uid="{81237B7C-A190-40B2-87C0-DA9E79CC91C3}"/>
    <cellStyle name="20% - Accent4 2 3 2 2 3 2" xfId="30796" xr:uid="{AC682CC0-183B-436C-95B9-111F0EFA3200}"/>
    <cellStyle name="20% - Accent4 2 3 2 2 4" xfId="21499" xr:uid="{FF50EAC4-A6AD-45E7-BCD3-1F600F0590F8}"/>
    <cellStyle name="20% - Accent4 2 3 2 3" xfId="4946" xr:uid="{00000000-0005-0000-0000-00000F020000}"/>
    <cellStyle name="20% - Accent4 2 3 2 3 2" xfId="14272" xr:uid="{E43841DB-1133-4A4E-9AB1-37A4BE883975}"/>
    <cellStyle name="20% - Accent4 2 3 2 3 2 2" xfId="32868" xr:uid="{FD5D1A14-79D0-49D3-BB1B-62691329E1E7}"/>
    <cellStyle name="20% - Accent4 2 3 2 3 3" xfId="23571" xr:uid="{2DA88238-DB97-43A8-AA3C-6A2023AC247B}"/>
    <cellStyle name="20% - Accent4 2 3 2 4" xfId="9426" xr:uid="{5B247D51-FBFD-4799-8395-E3F1C04297B8}"/>
    <cellStyle name="20% - Accent4 2 3 2 4 2" xfId="18741" xr:uid="{879C3362-D41A-4035-B6A9-F04E1CE093A8}"/>
    <cellStyle name="20% - Accent4 2 3 2 4 2 2" xfId="37335" xr:uid="{08CEBA67-1013-41E4-B58C-8769C01A2E30}"/>
    <cellStyle name="20% - Accent4 2 3 2 4 3" xfId="28038" xr:uid="{D76376B0-91DA-44A1-B946-3109583DCB3C}"/>
    <cellStyle name="20% - Accent4 2 3 2 5" xfId="10055" xr:uid="{26CC0B16-31BC-45A6-9724-CB68B0E717D3}"/>
    <cellStyle name="20% - Accent4 2 3 2 5 2" xfId="28651" xr:uid="{9008815A-CCED-4592-BE38-1F74657630ED}"/>
    <cellStyle name="20% - Accent4 2 3 2 6" xfId="19354" xr:uid="{7875BD5B-FC2F-4BBC-B09D-70852666F468}"/>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C3394197-86E1-4D40-9978-2060A10EF28A}"/>
    <cellStyle name="20% - Accent4 2 3 3 2 2 2 2" xfId="35426" xr:uid="{49C2B1F1-16FB-4315-A6ED-26CC5E60496E}"/>
    <cellStyle name="20% - Accent4 2 3 3 2 2 3" xfId="26129" xr:uid="{2299C869-8B5E-4813-BAC3-7EBA7A889C8D}"/>
    <cellStyle name="20% - Accent4 2 3 3 2 3" xfId="12613" xr:uid="{494D0F1A-40FB-483F-A348-1A25CF783026}"/>
    <cellStyle name="20% - Accent4 2 3 3 2 3 2" xfId="31209" xr:uid="{B111A307-A672-457C-A640-E18E403D9318}"/>
    <cellStyle name="20% - Accent4 2 3 3 2 4" xfId="21912" xr:uid="{0B8C370D-BE77-494D-B1C1-94A9C3CB4F32}"/>
    <cellStyle name="20% - Accent4 2 3 3 3" xfId="5359" xr:uid="{00000000-0005-0000-0000-000013020000}"/>
    <cellStyle name="20% - Accent4 2 3 3 3 2" xfId="14685" xr:uid="{6FAB107F-2B8C-4A24-A56C-DE43E49684C9}"/>
    <cellStyle name="20% - Accent4 2 3 3 3 2 2" xfId="33281" xr:uid="{10ABC764-D369-485D-9710-4CF7939577D9}"/>
    <cellStyle name="20% - Accent4 2 3 3 3 3" xfId="23984" xr:uid="{FC3FF49F-4282-4534-B6DD-E2112774E647}"/>
    <cellStyle name="20% - Accent4 2 3 3 4" xfId="10468" xr:uid="{EF665FEB-AFA4-4D1A-98D5-2A9BE882FF1A}"/>
    <cellStyle name="20% - Accent4 2 3 3 4 2" xfId="29064" xr:uid="{2CBDA045-35AC-4CFE-9827-68C2D9DF4B14}"/>
    <cellStyle name="20% - Accent4 2 3 3 5" xfId="19767" xr:uid="{D27CABE9-8484-4ACA-94F7-963F2AD2F55A}"/>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98184454-3509-4302-9794-66D4B1D5C56E}"/>
    <cellStyle name="20% - Accent4 2 3 4 2 2 2 2" xfId="35839" xr:uid="{B35779B9-BDC5-45A2-8249-2B148B8433A3}"/>
    <cellStyle name="20% - Accent4 2 3 4 2 2 3" xfId="26542" xr:uid="{2713FD72-F2FC-4458-B172-8257BFC5F4D3}"/>
    <cellStyle name="20% - Accent4 2 3 4 2 3" xfId="13026" xr:uid="{165A5716-691C-4A97-84A7-670D130ECECB}"/>
    <cellStyle name="20% - Accent4 2 3 4 2 3 2" xfId="31622" xr:uid="{233A6837-B823-46C6-A7BB-A64E1CCF9738}"/>
    <cellStyle name="20% - Accent4 2 3 4 2 4" xfId="22325" xr:uid="{AED197FC-27F1-4691-85C5-43E8D4FBA10D}"/>
    <cellStyle name="20% - Accent4 2 3 4 3" xfId="5772" xr:uid="{00000000-0005-0000-0000-000017020000}"/>
    <cellStyle name="20% - Accent4 2 3 4 3 2" xfId="15098" xr:uid="{A8A3CD92-445D-47BE-964A-7125241CEA61}"/>
    <cellStyle name="20% - Accent4 2 3 4 3 2 2" xfId="33694" xr:uid="{C6BD22BD-771F-4829-958D-51125D864F73}"/>
    <cellStyle name="20% - Accent4 2 3 4 3 3" xfId="24397" xr:uid="{BC3F34E3-4FA9-43CF-AA13-EF653B0B2AAB}"/>
    <cellStyle name="20% - Accent4 2 3 4 4" xfId="10881" xr:uid="{9304DF8A-7B38-4444-9811-00C18382DC58}"/>
    <cellStyle name="20% - Accent4 2 3 4 4 2" xfId="29477" xr:uid="{9D7E0C1C-3783-458C-B27E-61F40C9F3E33}"/>
    <cellStyle name="20% - Accent4 2 3 4 5" xfId="20180" xr:uid="{96C5DE1E-0EE0-48CC-A7A5-0EED5C00E2C5}"/>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1B993625-EA27-472A-A1D4-EBCA7D3D91EC}"/>
    <cellStyle name="20% - Accent4 2 3 5 2 2 2 2" xfId="36252" xr:uid="{95F31044-76FC-41C8-BE2A-F11E136B0C8F}"/>
    <cellStyle name="20% - Accent4 2 3 5 2 2 3" xfId="26955" xr:uid="{82C6306E-5E67-4812-A401-54F3245B9156}"/>
    <cellStyle name="20% - Accent4 2 3 5 2 3" xfId="13439" xr:uid="{F2CDE6A2-7494-4563-A8AC-D2AEB29E9B9E}"/>
    <cellStyle name="20% - Accent4 2 3 5 2 3 2" xfId="32035" xr:uid="{C16685A5-30E4-47A5-AE68-16E3BC51E96F}"/>
    <cellStyle name="20% - Accent4 2 3 5 2 4" xfId="22738" xr:uid="{E7DFB9C1-166C-426F-8787-88E4983F869F}"/>
    <cellStyle name="20% - Accent4 2 3 5 3" xfId="6185" xr:uid="{00000000-0005-0000-0000-00001B020000}"/>
    <cellStyle name="20% - Accent4 2 3 5 3 2" xfId="15511" xr:uid="{C227FEFF-5208-432C-9A55-350019626DE4}"/>
    <cellStyle name="20% - Accent4 2 3 5 3 2 2" xfId="34107" xr:uid="{5F9B6FC7-C882-4167-85F0-D43B497CB4D0}"/>
    <cellStyle name="20% - Accent4 2 3 5 3 3" xfId="24810" xr:uid="{BF53BC2B-2E15-49FC-8AB8-19623C12F479}"/>
    <cellStyle name="20% - Accent4 2 3 5 4" xfId="11294" xr:uid="{73B4BB23-CC47-432A-A80D-B2B5AA0CD189}"/>
    <cellStyle name="20% - Accent4 2 3 5 4 2" xfId="29890" xr:uid="{E3B934C3-0B49-48E2-8C17-0824262B3943}"/>
    <cellStyle name="20% - Accent4 2 3 5 5" xfId="20593" xr:uid="{F7C2886A-96A1-4E5B-AFD7-B5F14BCF648E}"/>
    <cellStyle name="20% - Accent4 2 3 6" xfId="2292" xr:uid="{00000000-0005-0000-0000-00001C020000}"/>
    <cellStyle name="20% - Accent4 2 3 6 2" xfId="6598" xr:uid="{00000000-0005-0000-0000-00001D020000}"/>
    <cellStyle name="20% - Accent4 2 3 6 2 2" xfId="15924" xr:uid="{73C6BD97-75FE-4932-99BA-125C61E0D912}"/>
    <cellStyle name="20% - Accent4 2 3 6 2 2 2" xfId="34520" xr:uid="{5D90590D-9BB2-4E6B-AFAE-E48DF23063DB}"/>
    <cellStyle name="20% - Accent4 2 3 6 2 3" xfId="25223" xr:uid="{33857771-13F3-4A2D-A55D-CC46264D4983}"/>
    <cellStyle name="20% - Accent4 2 3 6 3" xfId="11707" xr:uid="{048ECD5C-BA3F-4240-ADC4-F991857C1C62}"/>
    <cellStyle name="20% - Accent4 2 3 6 3 2" xfId="30303" xr:uid="{978E13DE-BC44-4CAC-BE4C-215C6BA5F6D4}"/>
    <cellStyle name="20% - Accent4 2 3 6 4" xfId="21006" xr:uid="{7E7EA611-5674-4FED-A381-578CC87EBB9C}"/>
    <cellStyle name="20% - Accent4 2 3 7" xfId="4532" xr:uid="{00000000-0005-0000-0000-00001E020000}"/>
    <cellStyle name="20% - Accent4 2 3 7 2" xfId="13858" xr:uid="{D01635D4-5ADC-4D09-9AAE-E6AA1D09942F}"/>
    <cellStyle name="20% - Accent4 2 3 7 2 2" xfId="32454" xr:uid="{3774BA65-EBAE-4322-B9C7-75454D7EF45E}"/>
    <cellStyle name="20% - Accent4 2 3 7 3" xfId="23157" xr:uid="{522E54F8-6C84-499E-A81F-AE87F347799B}"/>
    <cellStyle name="20% - Accent4 2 3 8" xfId="9001" xr:uid="{B9DE6BBA-06E2-4FC8-B645-F20E60244072}"/>
    <cellStyle name="20% - Accent4 2 3 8 2" xfId="18325" xr:uid="{E8AFDFD5-1906-4744-9D3E-03C5A0F60839}"/>
    <cellStyle name="20% - Accent4 2 3 8 2 2" xfId="36920" xr:uid="{6152B9A9-63EE-402C-9F73-D0E0FE9A64A2}"/>
    <cellStyle name="20% - Accent4 2 3 8 3" xfId="27623" xr:uid="{A2CA0E9E-D5DC-43B4-BFFF-02500F70C257}"/>
    <cellStyle name="20% - Accent4 2 3 9" xfId="9641" xr:uid="{76AECA9D-3590-42D5-99A2-7F04F5F92D8C}"/>
    <cellStyle name="20% - Accent4 2 3 9 2" xfId="28237" xr:uid="{3486F7EB-415C-48DA-883D-1C82E0B8B4E0}"/>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7AE2ABDF-7932-4963-A11D-1F134B329923}"/>
    <cellStyle name="20% - Accent4 2 4 2 2 2 2" xfId="35010" xr:uid="{46DF2FF9-558A-42C2-B287-49FBC5CFA43A}"/>
    <cellStyle name="20% - Accent4 2 4 2 2 3" xfId="25713" xr:uid="{684B36FC-E29A-451E-9A40-1B1989968BDD}"/>
    <cellStyle name="20% - Accent4 2 4 2 3" xfId="12197" xr:uid="{50CC35D2-44A6-464F-AF65-AC11D8B86A97}"/>
    <cellStyle name="20% - Accent4 2 4 2 3 2" xfId="30793" xr:uid="{63603CB3-D426-4C66-9453-EFBA7904E3F7}"/>
    <cellStyle name="20% - Accent4 2 4 2 4" xfId="21496" xr:uid="{D298BFEB-C20F-4F6C-91CE-95D6C5ED8356}"/>
    <cellStyle name="20% - Accent4 2 4 3" xfId="4943" xr:uid="{00000000-0005-0000-0000-000022020000}"/>
    <cellStyle name="20% - Accent4 2 4 3 2" xfId="14269" xr:uid="{C457A138-B9F8-413E-A3C6-B34F2F9BC0A2}"/>
    <cellStyle name="20% - Accent4 2 4 3 2 2" xfId="32865" xr:uid="{0AB31214-2E84-4452-B084-F9407FDF997A}"/>
    <cellStyle name="20% - Accent4 2 4 3 3" xfId="23568" xr:uid="{3E5F477C-C546-446A-8CFF-CC50AFAA3D59}"/>
    <cellStyle name="20% - Accent4 2 4 4" xfId="9218" xr:uid="{EEA9CEE5-7B27-41EB-B571-13D0ADC44445}"/>
    <cellStyle name="20% - Accent4 2 4 4 2" xfId="18534" xr:uid="{A5163FFC-1CAD-4B3C-B106-EB0DEE0E0BC5}"/>
    <cellStyle name="20% - Accent4 2 4 4 2 2" xfId="37128" xr:uid="{078C358E-1A14-455D-9875-CC1207D3F55E}"/>
    <cellStyle name="20% - Accent4 2 4 4 3" xfId="27831" xr:uid="{04C7B3B1-0F83-4E6B-BC8B-21DD44E156E4}"/>
    <cellStyle name="20% - Accent4 2 4 5" xfId="10052" xr:uid="{0436E018-315F-40DC-8431-EE0C445ABBCB}"/>
    <cellStyle name="20% - Accent4 2 4 5 2" xfId="28648" xr:uid="{0D74CFC3-F685-4F4E-9EB1-1B1B66A67307}"/>
    <cellStyle name="20% - Accent4 2 4 6" xfId="19351" xr:uid="{C5D68B30-F0B4-4C5D-8733-BA38BC85C70D}"/>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930A5729-60AA-468E-B613-4023AF763A42}"/>
    <cellStyle name="20% - Accent4 2 5 2 2 2 2" xfId="35423" xr:uid="{0FD0FE15-3D91-4F72-ACBE-7BB3D5CF2BD8}"/>
    <cellStyle name="20% - Accent4 2 5 2 2 3" xfId="26126" xr:uid="{5180E5DF-02C2-4818-A847-D9D403249727}"/>
    <cellStyle name="20% - Accent4 2 5 2 3" xfId="12610" xr:uid="{05AB1BA4-69FF-4249-B537-28D5C1C40179}"/>
    <cellStyle name="20% - Accent4 2 5 2 3 2" xfId="31206" xr:uid="{E1B07A0D-E06D-46D1-8CDE-D86AAD592F6B}"/>
    <cellStyle name="20% - Accent4 2 5 2 4" xfId="21909" xr:uid="{0A131FA2-7121-431A-AA12-F20FD8F72DF1}"/>
    <cellStyle name="20% - Accent4 2 5 3" xfId="5356" xr:uid="{00000000-0005-0000-0000-000026020000}"/>
    <cellStyle name="20% - Accent4 2 5 3 2" xfId="14682" xr:uid="{E33BEC9A-3AFC-4975-82DD-F0DF29F721CB}"/>
    <cellStyle name="20% - Accent4 2 5 3 2 2" xfId="33278" xr:uid="{B2592673-5843-4D4E-92F4-FA3AD6FC6ACE}"/>
    <cellStyle name="20% - Accent4 2 5 3 3" xfId="23981" xr:uid="{E9A07FBF-47B0-46F0-A5F1-366601D5D4E8}"/>
    <cellStyle name="20% - Accent4 2 5 4" xfId="10465" xr:uid="{738AE556-5DDB-45C9-879D-611C6ED79B15}"/>
    <cellStyle name="20% - Accent4 2 5 4 2" xfId="29061" xr:uid="{EBE6ACD0-F24F-474A-8C6C-39AC0A878ED1}"/>
    <cellStyle name="20% - Accent4 2 5 5" xfId="19764" xr:uid="{F2955FCE-13D5-43BF-A86B-442A5B4A2A4B}"/>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E24282F9-9057-4619-BD63-0AC19E215389}"/>
    <cellStyle name="20% - Accent4 2 6 2 2 2 2" xfId="35836" xr:uid="{EBAD4D3D-9FD3-411B-9715-2D70F7A73B2E}"/>
    <cellStyle name="20% - Accent4 2 6 2 2 3" xfId="26539" xr:uid="{8C97C9A3-C496-4A03-BF95-F28EC9E2966E}"/>
    <cellStyle name="20% - Accent4 2 6 2 3" xfId="13023" xr:uid="{4A21EA84-2FDB-4653-9924-63BB083A1F63}"/>
    <cellStyle name="20% - Accent4 2 6 2 3 2" xfId="31619" xr:uid="{6BC1075D-BE33-4A2A-99CA-7313930039B7}"/>
    <cellStyle name="20% - Accent4 2 6 2 4" xfId="22322" xr:uid="{6CEEB51D-DE59-492E-9EDD-09F437054FE0}"/>
    <cellStyle name="20% - Accent4 2 6 3" xfId="5769" xr:uid="{00000000-0005-0000-0000-00002A020000}"/>
    <cellStyle name="20% - Accent4 2 6 3 2" xfId="15095" xr:uid="{6994E288-9EEC-4CAA-A2B7-DF21CAE00BE1}"/>
    <cellStyle name="20% - Accent4 2 6 3 2 2" xfId="33691" xr:uid="{9679C633-44B8-47AA-A784-747C1515D76B}"/>
    <cellStyle name="20% - Accent4 2 6 3 3" xfId="24394" xr:uid="{C8FD1CC6-68BE-4E5B-9B4E-22FC1B45353B}"/>
    <cellStyle name="20% - Accent4 2 6 4" xfId="10878" xr:uid="{EC729409-2E1D-4D57-B3D4-2545BAE55374}"/>
    <cellStyle name="20% - Accent4 2 6 4 2" xfId="29474" xr:uid="{9AECB3B4-E65C-4B3C-8746-A3E9505D95C7}"/>
    <cellStyle name="20% - Accent4 2 6 5" xfId="20177" xr:uid="{2E115093-E76A-47E3-9302-98388B3D8B3A}"/>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191D5B46-493E-4A03-856E-3896599AE295}"/>
    <cellStyle name="20% - Accent4 2 7 2 2 2 2" xfId="36249" xr:uid="{589C2490-19F1-47B4-BDCE-156AA9A37214}"/>
    <cellStyle name="20% - Accent4 2 7 2 2 3" xfId="26952" xr:uid="{4EE6BCD1-D27C-4E92-BD46-951D6B825E8E}"/>
    <cellStyle name="20% - Accent4 2 7 2 3" xfId="13436" xr:uid="{83C42D0C-2FBC-4659-A979-894BCD44B8F7}"/>
    <cellStyle name="20% - Accent4 2 7 2 3 2" xfId="32032" xr:uid="{1E140D6B-5D1B-41A9-805C-4F32E8F55264}"/>
    <cellStyle name="20% - Accent4 2 7 2 4" xfId="22735" xr:uid="{78CDE192-8605-49A6-94DB-BCD7FF4E2B70}"/>
    <cellStyle name="20% - Accent4 2 7 3" xfId="6182" xr:uid="{00000000-0005-0000-0000-00002E020000}"/>
    <cellStyle name="20% - Accent4 2 7 3 2" xfId="15508" xr:uid="{6378488F-7E4F-41A9-B5A7-79B9B4E557BF}"/>
    <cellStyle name="20% - Accent4 2 7 3 2 2" xfId="34104" xr:uid="{352E8EE5-894D-407A-8F10-9F23F41CA580}"/>
    <cellStyle name="20% - Accent4 2 7 3 3" xfId="24807" xr:uid="{07FB4EC3-C694-4CB3-B083-71B3E85FC35C}"/>
    <cellStyle name="20% - Accent4 2 7 4" xfId="11291" xr:uid="{F6BC7D16-469A-4C64-AF21-62E091B2B6A8}"/>
    <cellStyle name="20% - Accent4 2 7 4 2" xfId="29887" xr:uid="{5483D44A-FB47-48FE-851E-1B1A39010A0C}"/>
    <cellStyle name="20% - Accent4 2 7 5" xfId="20590" xr:uid="{8DC65D2F-4A59-4B23-B33F-6E4CAABEABEF}"/>
    <cellStyle name="20% - Accent4 2 8" xfId="2289" xr:uid="{00000000-0005-0000-0000-00002F020000}"/>
    <cellStyle name="20% - Accent4 2 8 2" xfId="6595" xr:uid="{00000000-0005-0000-0000-000030020000}"/>
    <cellStyle name="20% - Accent4 2 8 2 2" xfId="15921" xr:uid="{0996C73A-63DF-4731-84DD-24913BCD27F5}"/>
    <cellStyle name="20% - Accent4 2 8 2 2 2" xfId="34517" xr:uid="{5847F81E-8BD6-470D-BD89-B152C7EA331D}"/>
    <cellStyle name="20% - Accent4 2 8 2 3" xfId="25220" xr:uid="{C14A0522-CB2B-4641-8DAB-D48469AED01A}"/>
    <cellStyle name="20% - Accent4 2 8 3" xfId="11704" xr:uid="{9763EB52-C77D-479F-8C92-13EB5D31315B}"/>
    <cellStyle name="20% - Accent4 2 8 3 2" xfId="30300" xr:uid="{C671030E-0BCF-42CB-8151-3B08B0BEB2A5}"/>
    <cellStyle name="20% - Accent4 2 8 4" xfId="21003" xr:uid="{FEB69F8A-3769-4736-A9F1-F25D2C7ABA46}"/>
    <cellStyle name="20% - Accent4 2 9" xfId="4529" xr:uid="{00000000-0005-0000-0000-000031020000}"/>
    <cellStyle name="20% - Accent4 2 9 2" xfId="13855" xr:uid="{42985725-AF97-46F8-B763-0A67D43D4230}"/>
    <cellStyle name="20% - Accent4 2 9 2 2" xfId="32451" xr:uid="{84CE5755-8773-4440-962D-C9C7F242C254}"/>
    <cellStyle name="20% - Accent4 2 9 3" xfId="23154" xr:uid="{858C16FF-616F-46AC-AF99-F791F4CA326D}"/>
    <cellStyle name="20% - Accent4 3" xfId="30" xr:uid="{00000000-0005-0000-0000-000032020000}"/>
    <cellStyle name="20% - Accent4 3 10" xfId="9642" xr:uid="{679FE545-D692-4D80-B556-6AE801C66CF4}"/>
    <cellStyle name="20% - Accent4 3 10 2" xfId="28238" xr:uid="{16D40EB1-6439-41FB-B015-FFB3FF1F4A81}"/>
    <cellStyle name="20% - Accent4 3 11" xfId="18941" xr:uid="{3DF380FB-622B-4F05-A309-C5A30DEA2C88}"/>
    <cellStyle name="20% - Accent4 3 2" xfId="31" xr:uid="{00000000-0005-0000-0000-000033020000}"/>
    <cellStyle name="20% - Accent4 3 2 10" xfId="18942" xr:uid="{4DA714B3-5F0E-4453-B12B-9CBA55F2506F}"/>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18FE2F40-8AE2-4521-A672-7DF7A18829D1}"/>
    <cellStyle name="20% - Accent4 3 2 2 2 2 2 2" xfId="35015" xr:uid="{1FDC1889-EB02-4DB2-A2F0-5078263D096F}"/>
    <cellStyle name="20% - Accent4 3 2 2 2 2 3" xfId="25718" xr:uid="{DCADA58D-759C-4F85-9F94-0D323DA86DAA}"/>
    <cellStyle name="20% - Accent4 3 2 2 2 3" xfId="12202" xr:uid="{EEAC8D36-14B7-4338-9A7D-353C3C646C27}"/>
    <cellStyle name="20% - Accent4 3 2 2 2 3 2" xfId="30798" xr:uid="{447F8934-4AB3-4C1F-ACA9-C43877F33C6C}"/>
    <cellStyle name="20% - Accent4 3 2 2 2 4" xfId="21501" xr:uid="{2874446B-C257-4A08-96FF-2B54B9A57DC4}"/>
    <cellStyle name="20% - Accent4 3 2 2 3" xfId="4948" xr:uid="{00000000-0005-0000-0000-000037020000}"/>
    <cellStyle name="20% - Accent4 3 2 2 3 2" xfId="14274" xr:uid="{665E8F63-2703-4710-8E77-E4301267EEC6}"/>
    <cellStyle name="20% - Accent4 3 2 2 3 2 2" xfId="32870" xr:uid="{C23010EB-DE4B-44FC-A6F0-A9ADFFB94F84}"/>
    <cellStyle name="20% - Accent4 3 2 2 3 3" xfId="23573" xr:uid="{FDB5DA81-AAF0-4734-AA65-BDD8B29E7A00}"/>
    <cellStyle name="20% - Accent4 3 2 2 4" xfId="9499" xr:uid="{019308F4-938B-408B-A627-483AF94276A0}"/>
    <cellStyle name="20% - Accent4 3 2 2 4 2" xfId="18814" xr:uid="{90D809EC-CBD2-4632-89E6-5C6D55B3B3CD}"/>
    <cellStyle name="20% - Accent4 3 2 2 4 2 2" xfId="37408" xr:uid="{AA85143D-4A16-4583-8AFE-3A29362B6485}"/>
    <cellStyle name="20% - Accent4 3 2 2 4 3" xfId="28111" xr:uid="{21015B63-30DF-47D2-90E5-21D9252C1F20}"/>
    <cellStyle name="20% - Accent4 3 2 2 5" xfId="10057" xr:uid="{4C707699-F613-4488-8A8B-8EA664731AB6}"/>
    <cellStyle name="20% - Accent4 3 2 2 5 2" xfId="28653" xr:uid="{98014B53-8810-42F4-BFCE-F5C682D8E8A5}"/>
    <cellStyle name="20% - Accent4 3 2 2 6" xfId="19356" xr:uid="{4CE1B3A5-E16F-4BFC-93B8-6A52D270E3A4}"/>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BC2C3855-F2FB-4D8D-AE88-44B56408E6D5}"/>
    <cellStyle name="20% - Accent4 3 2 3 2 2 2 2" xfId="35428" xr:uid="{C23E1E1E-DF61-432D-9FF4-C7A2B230D5E1}"/>
    <cellStyle name="20% - Accent4 3 2 3 2 2 3" xfId="26131" xr:uid="{7594C80D-C3B2-4061-8B7D-04959FCDCE86}"/>
    <cellStyle name="20% - Accent4 3 2 3 2 3" xfId="12615" xr:uid="{998FD64A-1EE2-4E04-955F-3329CAF5B446}"/>
    <cellStyle name="20% - Accent4 3 2 3 2 3 2" xfId="31211" xr:uid="{5A34D112-2FF1-487F-B368-66ABE1F6B6B5}"/>
    <cellStyle name="20% - Accent4 3 2 3 2 4" xfId="21914" xr:uid="{3363FA61-3E42-461D-868D-E91E65D29D14}"/>
    <cellStyle name="20% - Accent4 3 2 3 3" xfId="5361" xr:uid="{00000000-0005-0000-0000-00003B020000}"/>
    <cellStyle name="20% - Accent4 3 2 3 3 2" xfId="14687" xr:uid="{935BBD63-01CA-456A-ABC2-D47D7FEF7D0F}"/>
    <cellStyle name="20% - Accent4 3 2 3 3 2 2" xfId="33283" xr:uid="{BA381511-6F79-4908-902B-3023B14581D8}"/>
    <cellStyle name="20% - Accent4 3 2 3 3 3" xfId="23986" xr:uid="{6FB34F0E-2368-46D5-8AE5-29559A068F90}"/>
    <cellStyle name="20% - Accent4 3 2 3 4" xfId="10470" xr:uid="{8496214F-8EED-45D4-9A73-C77D369D578E}"/>
    <cellStyle name="20% - Accent4 3 2 3 4 2" xfId="29066" xr:uid="{5F934850-4320-407C-A7F0-3F7E42F86B80}"/>
    <cellStyle name="20% - Accent4 3 2 3 5" xfId="19769" xr:uid="{F5C00019-4A8E-4783-8F96-F2C9DE4FCCE2}"/>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53BCE1BA-FD0B-4953-8D6D-F9AA1676FC07}"/>
    <cellStyle name="20% - Accent4 3 2 4 2 2 2 2" xfId="35841" xr:uid="{F5688C4A-EA11-4B7E-89F0-F1EBDDDD8A4F}"/>
    <cellStyle name="20% - Accent4 3 2 4 2 2 3" xfId="26544" xr:uid="{BD2FAA2B-6269-4BA9-AEDC-F403C4AC2E34}"/>
    <cellStyle name="20% - Accent4 3 2 4 2 3" xfId="13028" xr:uid="{0FF6BE0E-AEF4-4BFE-A98B-F029B1AE3E5F}"/>
    <cellStyle name="20% - Accent4 3 2 4 2 3 2" xfId="31624" xr:uid="{8E0BC88E-1CC4-4553-8883-C888F5E7F5EA}"/>
    <cellStyle name="20% - Accent4 3 2 4 2 4" xfId="22327" xr:uid="{FEC90DEC-D4BF-4398-9A8C-D6CF52B62F5A}"/>
    <cellStyle name="20% - Accent4 3 2 4 3" xfId="5774" xr:uid="{00000000-0005-0000-0000-00003F020000}"/>
    <cellStyle name="20% - Accent4 3 2 4 3 2" xfId="15100" xr:uid="{6E8DDDCD-A702-4AD5-8DF5-3E530D47D341}"/>
    <cellStyle name="20% - Accent4 3 2 4 3 2 2" xfId="33696" xr:uid="{7EEF5A10-ADFC-496C-93CD-BBA1FAEE85CF}"/>
    <cellStyle name="20% - Accent4 3 2 4 3 3" xfId="24399" xr:uid="{0C61543D-03D5-49D6-895B-60B7647ED50A}"/>
    <cellStyle name="20% - Accent4 3 2 4 4" xfId="10883" xr:uid="{E51A1288-EB0B-4CA9-A462-1A507DDEAA91}"/>
    <cellStyle name="20% - Accent4 3 2 4 4 2" xfId="29479" xr:uid="{F1AE1E9F-8521-4CEA-891A-675B9BB629BF}"/>
    <cellStyle name="20% - Accent4 3 2 4 5" xfId="20182" xr:uid="{F8D5CC27-C8A5-4914-8222-6EAB5FBAB441}"/>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C385736E-4F99-4DEC-816E-31B2E0E0D481}"/>
    <cellStyle name="20% - Accent4 3 2 5 2 2 2 2" xfId="36254" xr:uid="{5C8C9D50-0B51-4DCC-B480-252636687D8D}"/>
    <cellStyle name="20% - Accent4 3 2 5 2 2 3" xfId="26957" xr:uid="{FCA7779E-2821-4C0E-B983-64DD4833A567}"/>
    <cellStyle name="20% - Accent4 3 2 5 2 3" xfId="13441" xr:uid="{43509629-9BBF-444D-A4C3-38DEBF5D0515}"/>
    <cellStyle name="20% - Accent4 3 2 5 2 3 2" xfId="32037" xr:uid="{3FECD86F-711C-471A-A5A4-690E6055AFBD}"/>
    <cellStyle name="20% - Accent4 3 2 5 2 4" xfId="22740" xr:uid="{33A795A2-95A7-4760-821F-5EB6F5682358}"/>
    <cellStyle name="20% - Accent4 3 2 5 3" xfId="6187" xr:uid="{00000000-0005-0000-0000-000043020000}"/>
    <cellStyle name="20% - Accent4 3 2 5 3 2" xfId="15513" xr:uid="{3752F33D-F9B5-4655-9016-83604A4F2CDF}"/>
    <cellStyle name="20% - Accent4 3 2 5 3 2 2" xfId="34109" xr:uid="{2118C339-EE79-4BB9-9F1D-66EACF66BEC6}"/>
    <cellStyle name="20% - Accent4 3 2 5 3 3" xfId="24812" xr:uid="{AAA515A9-27BF-421C-8BD2-242AAA09DB37}"/>
    <cellStyle name="20% - Accent4 3 2 5 4" xfId="11296" xr:uid="{B81F4422-A5F6-4977-83A8-2F674AC0CEDE}"/>
    <cellStyle name="20% - Accent4 3 2 5 4 2" xfId="29892" xr:uid="{2A5849C1-4D05-43E8-BC79-68622E4D830B}"/>
    <cellStyle name="20% - Accent4 3 2 5 5" xfId="20595" xr:uid="{46BF9999-B0CB-4CC9-83A0-8A26D5B38CCA}"/>
    <cellStyle name="20% - Accent4 3 2 6" xfId="2294" xr:uid="{00000000-0005-0000-0000-000044020000}"/>
    <cellStyle name="20% - Accent4 3 2 6 2" xfId="6600" xr:uid="{00000000-0005-0000-0000-000045020000}"/>
    <cellStyle name="20% - Accent4 3 2 6 2 2" xfId="15926" xr:uid="{DF166BE7-5F2F-4519-A1B9-2458750EC227}"/>
    <cellStyle name="20% - Accent4 3 2 6 2 2 2" xfId="34522" xr:uid="{A03CA790-18DF-408D-8D10-BD58113D4139}"/>
    <cellStyle name="20% - Accent4 3 2 6 2 3" xfId="25225" xr:uid="{DD8755BF-D39F-493D-B4B7-22E1F12417B1}"/>
    <cellStyle name="20% - Accent4 3 2 6 3" xfId="11709" xr:uid="{7CCAA5F4-3A70-4D86-9C33-31FBD8F65B92}"/>
    <cellStyle name="20% - Accent4 3 2 6 3 2" xfId="30305" xr:uid="{5B2936A0-E40A-4A71-9F93-9E4BFA74FF9B}"/>
    <cellStyle name="20% - Accent4 3 2 6 4" xfId="21008" xr:uid="{93C45BC6-1C1A-43E8-880A-6CCCEB188B01}"/>
    <cellStyle name="20% - Accent4 3 2 7" xfId="4534" xr:uid="{00000000-0005-0000-0000-000046020000}"/>
    <cellStyle name="20% - Accent4 3 2 7 2" xfId="13860" xr:uid="{CCFE2383-DCF3-47F4-ADD0-8F115BFCEEE8}"/>
    <cellStyle name="20% - Accent4 3 2 7 2 2" xfId="32456" xr:uid="{F0D0B64E-E007-4D87-8276-45F1B542A491}"/>
    <cellStyle name="20% - Accent4 3 2 7 3" xfId="23159" xr:uid="{9E6FB95E-0391-4388-B380-C99866FCDB37}"/>
    <cellStyle name="20% - Accent4 3 2 8" xfId="9074" xr:uid="{BA25EAA8-2B5F-4309-91A3-FC61FCEF209C}"/>
    <cellStyle name="20% - Accent4 3 2 8 2" xfId="18398" xr:uid="{F2D8F74F-990B-4225-8EFE-6D8228FD497C}"/>
    <cellStyle name="20% - Accent4 3 2 8 2 2" xfId="36993" xr:uid="{6881D56E-5A13-4BC8-A38F-91731C228C6E}"/>
    <cellStyle name="20% - Accent4 3 2 8 3" xfId="27696" xr:uid="{22660E35-D37B-414A-91BC-5FB1E2EC330F}"/>
    <cellStyle name="20% - Accent4 3 2 9" xfId="9643" xr:uid="{CA58275B-9566-415C-AE82-FBC408D9F5F7}"/>
    <cellStyle name="20% - Accent4 3 2 9 2" xfId="28239" xr:uid="{648C0AAC-DDA9-4222-A6D2-AD055C16A00B}"/>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AF4C436E-85E4-410C-BFF2-09E701FD6159}"/>
    <cellStyle name="20% - Accent4 3 3 2 2 2 2" xfId="35014" xr:uid="{4D1CD6C3-02FE-4731-A01E-7DB28B986C1A}"/>
    <cellStyle name="20% - Accent4 3 3 2 2 3" xfId="25717" xr:uid="{CC05AB12-94E5-4AC9-B785-B20EB1A6F6D0}"/>
    <cellStyle name="20% - Accent4 3 3 2 3" xfId="12201" xr:uid="{2712AC0E-E4F8-4215-8E2B-81EA2AECB6AA}"/>
    <cellStyle name="20% - Accent4 3 3 2 3 2" xfId="30797" xr:uid="{0115FBBD-DCF6-44F8-9ED3-43B024D087AC}"/>
    <cellStyle name="20% - Accent4 3 3 2 4" xfId="21500" xr:uid="{2FD5F956-E27F-41BC-A446-2B57932D16F7}"/>
    <cellStyle name="20% - Accent4 3 3 3" xfId="4947" xr:uid="{00000000-0005-0000-0000-00004A020000}"/>
    <cellStyle name="20% - Accent4 3 3 3 2" xfId="14273" xr:uid="{AC9ECE46-E2D3-4D08-99EC-C2B5B6F15178}"/>
    <cellStyle name="20% - Accent4 3 3 3 2 2" xfId="32869" xr:uid="{FD063019-E405-4579-A5FE-478123E3BD2C}"/>
    <cellStyle name="20% - Accent4 3 3 3 3" xfId="23572" xr:uid="{C200FAF5-1568-4480-BD4C-0DD77C4656FE}"/>
    <cellStyle name="20% - Accent4 3 3 4" xfId="9292" xr:uid="{E33AB5E9-A8F9-45CB-AD95-0E461E901C30}"/>
    <cellStyle name="20% - Accent4 3 3 4 2" xfId="18607" xr:uid="{4A50B090-75F9-4D3C-B494-E951C57338BC}"/>
    <cellStyle name="20% - Accent4 3 3 4 2 2" xfId="37201" xr:uid="{F4729FA5-06A8-42BE-83CC-58C0C2DEF6EA}"/>
    <cellStyle name="20% - Accent4 3 3 4 3" xfId="27904" xr:uid="{DAB0181C-AC59-430E-B4A3-1969B95CD98B}"/>
    <cellStyle name="20% - Accent4 3 3 5" xfId="10056" xr:uid="{611DA362-7FE8-4066-9570-89BCB7785362}"/>
    <cellStyle name="20% - Accent4 3 3 5 2" xfId="28652" xr:uid="{98FD7703-5FCD-4372-B8A1-135A14DCB901}"/>
    <cellStyle name="20% - Accent4 3 3 6" xfId="19355" xr:uid="{778BAE8B-E669-47CD-A716-2DB1DDB61380}"/>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A4FAA42C-560B-4560-A10E-671ABE57C607}"/>
    <cellStyle name="20% - Accent4 3 4 2 2 2 2" xfId="35427" xr:uid="{AAF17368-59E9-4A22-A5D8-05452831AFFC}"/>
    <cellStyle name="20% - Accent4 3 4 2 2 3" xfId="26130" xr:uid="{E8A78727-075E-4DCE-9901-8B63FAE91D16}"/>
    <cellStyle name="20% - Accent4 3 4 2 3" xfId="12614" xr:uid="{717FB20D-CDA6-41B9-9E90-C85FAA4F604B}"/>
    <cellStyle name="20% - Accent4 3 4 2 3 2" xfId="31210" xr:uid="{92116330-8C35-4D31-9047-84716562C89B}"/>
    <cellStyle name="20% - Accent4 3 4 2 4" xfId="21913" xr:uid="{8886AA08-BF2D-44BD-B2CE-AE534416D889}"/>
    <cellStyle name="20% - Accent4 3 4 3" xfId="5360" xr:uid="{00000000-0005-0000-0000-00004E020000}"/>
    <cellStyle name="20% - Accent4 3 4 3 2" xfId="14686" xr:uid="{9C64DA2B-C51B-46DC-B017-B86EE1EADF91}"/>
    <cellStyle name="20% - Accent4 3 4 3 2 2" xfId="33282" xr:uid="{B276715B-8D5F-482F-B50C-5DA80879C1E0}"/>
    <cellStyle name="20% - Accent4 3 4 3 3" xfId="23985" xr:uid="{E89C6DEC-2B6E-4A51-BE65-5B62A00F7A9E}"/>
    <cellStyle name="20% - Accent4 3 4 4" xfId="10469" xr:uid="{39E3EB63-6A56-4918-B606-776A9B30FBD9}"/>
    <cellStyle name="20% - Accent4 3 4 4 2" xfId="29065" xr:uid="{0DD59798-C7CE-48E1-95A3-9C583D1E006F}"/>
    <cellStyle name="20% - Accent4 3 4 5" xfId="19768" xr:uid="{6FC03051-4396-4DFE-BC7E-D983E4A47D7F}"/>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C7F96B03-419C-4179-8A2D-48ED67EF6B34}"/>
    <cellStyle name="20% - Accent4 3 5 2 2 2 2" xfId="35840" xr:uid="{B305AE63-BBA8-4453-8385-E447EC14C346}"/>
    <cellStyle name="20% - Accent4 3 5 2 2 3" xfId="26543" xr:uid="{6FF103CB-7010-4E6C-B56F-86174BDEB831}"/>
    <cellStyle name="20% - Accent4 3 5 2 3" xfId="13027" xr:uid="{D5D9A6A9-05FC-49C0-984C-82062EC4280F}"/>
    <cellStyle name="20% - Accent4 3 5 2 3 2" xfId="31623" xr:uid="{93D92DAE-C0C9-4D6E-8866-4D93161191B0}"/>
    <cellStyle name="20% - Accent4 3 5 2 4" xfId="22326" xr:uid="{71EBBFD6-6B66-41F5-86B4-9EB4AE54B2CA}"/>
    <cellStyle name="20% - Accent4 3 5 3" xfId="5773" xr:uid="{00000000-0005-0000-0000-000052020000}"/>
    <cellStyle name="20% - Accent4 3 5 3 2" xfId="15099" xr:uid="{0189BFFC-49C8-40C7-8CF1-61DD04EF12F8}"/>
    <cellStyle name="20% - Accent4 3 5 3 2 2" xfId="33695" xr:uid="{8E6ED2F6-5259-4FD5-8D04-4854EB33EFDE}"/>
    <cellStyle name="20% - Accent4 3 5 3 3" xfId="24398" xr:uid="{3BE33D2C-0C48-44B8-92C3-4B41FFA5FF55}"/>
    <cellStyle name="20% - Accent4 3 5 4" xfId="10882" xr:uid="{371DD56B-B847-4FC2-B8F7-DA1C00D47760}"/>
    <cellStyle name="20% - Accent4 3 5 4 2" xfId="29478" xr:uid="{4886671B-4436-4F55-8989-FCD78429F97A}"/>
    <cellStyle name="20% - Accent4 3 5 5" xfId="20181" xr:uid="{B9E19F61-F4AD-4683-80E2-1E36D72FAA06}"/>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4E7FFAEF-4D98-45CB-AED4-72FDC798BC28}"/>
    <cellStyle name="20% - Accent4 3 6 2 2 2 2" xfId="36253" xr:uid="{CC185169-72C4-4C56-8C9C-FA904D1203DF}"/>
    <cellStyle name="20% - Accent4 3 6 2 2 3" xfId="26956" xr:uid="{ACD39870-05CE-4202-A993-2CE2D97B349C}"/>
    <cellStyle name="20% - Accent4 3 6 2 3" xfId="13440" xr:uid="{36036361-47CD-4071-88AF-888181AEEF0B}"/>
    <cellStyle name="20% - Accent4 3 6 2 3 2" xfId="32036" xr:uid="{F20825E2-412B-42AE-ADA0-52D904011385}"/>
    <cellStyle name="20% - Accent4 3 6 2 4" xfId="22739" xr:uid="{D77D7B67-D57D-40C5-8417-5359E43B83E1}"/>
    <cellStyle name="20% - Accent4 3 6 3" xfId="6186" xr:uid="{00000000-0005-0000-0000-000056020000}"/>
    <cellStyle name="20% - Accent4 3 6 3 2" xfId="15512" xr:uid="{D3FD636C-7419-428B-B7D5-C9BB15D89A05}"/>
    <cellStyle name="20% - Accent4 3 6 3 2 2" xfId="34108" xr:uid="{59B10DD2-6647-45E4-9F56-2EF7FB66B940}"/>
    <cellStyle name="20% - Accent4 3 6 3 3" xfId="24811" xr:uid="{DBCA317B-9DDC-4979-B078-FC34C307F537}"/>
    <cellStyle name="20% - Accent4 3 6 4" xfId="11295" xr:uid="{734BD019-1C81-4FF1-97BA-D4ED266621E9}"/>
    <cellStyle name="20% - Accent4 3 6 4 2" xfId="29891" xr:uid="{DF276B49-6A07-459F-AEA2-0EB7DE8F2CAF}"/>
    <cellStyle name="20% - Accent4 3 6 5" xfId="20594" xr:uid="{50A07506-D5DB-412F-B714-9044237AF38E}"/>
    <cellStyle name="20% - Accent4 3 7" xfId="2293" xr:uid="{00000000-0005-0000-0000-000057020000}"/>
    <cellStyle name="20% - Accent4 3 7 2" xfId="6599" xr:uid="{00000000-0005-0000-0000-000058020000}"/>
    <cellStyle name="20% - Accent4 3 7 2 2" xfId="15925" xr:uid="{AC33AE25-E3B9-4C5F-A58F-76EF9DF5B871}"/>
    <cellStyle name="20% - Accent4 3 7 2 2 2" xfId="34521" xr:uid="{ED74DB94-1AC0-4FBE-88C1-5257F694D75E}"/>
    <cellStyle name="20% - Accent4 3 7 2 3" xfId="25224" xr:uid="{2E04FAFE-060A-4DF2-840D-5DA1FE93C518}"/>
    <cellStyle name="20% - Accent4 3 7 3" xfId="11708" xr:uid="{F5FC2DBF-6047-49C8-A104-A476677626DB}"/>
    <cellStyle name="20% - Accent4 3 7 3 2" xfId="30304" xr:uid="{F2973204-8BD1-4995-860F-77C09FC91CEF}"/>
    <cellStyle name="20% - Accent4 3 7 4" xfId="21007" xr:uid="{EDC0B069-27F4-402C-81C5-2CF614909CAA}"/>
    <cellStyle name="20% - Accent4 3 8" xfId="4533" xr:uid="{00000000-0005-0000-0000-000059020000}"/>
    <cellStyle name="20% - Accent4 3 8 2" xfId="13859" xr:uid="{E9597F3C-1DEE-4178-B46A-F5F360F00BE3}"/>
    <cellStyle name="20% - Accent4 3 8 2 2" xfId="32455" xr:uid="{55430600-A46E-43A8-89B3-A6BDCE83DF29}"/>
    <cellStyle name="20% - Accent4 3 8 3" xfId="23158" xr:uid="{514D953F-D75D-4AE3-8905-E299E2F221CE}"/>
    <cellStyle name="20% - Accent4 3 9" xfId="8867" xr:uid="{27FB4CEF-7F56-4AEC-B5AC-6B6A1477FBD8}"/>
    <cellStyle name="20% - Accent4 3 9 2" xfId="18191" xr:uid="{7FA16BBE-0407-4029-A882-40C6D0FD728B}"/>
    <cellStyle name="20% - Accent4 3 9 2 2" xfId="36786" xr:uid="{4E00F64A-6CF2-4821-BC98-D0B53420AF07}"/>
    <cellStyle name="20% - Accent4 3 9 3" xfId="27489" xr:uid="{7A7D19E3-014F-4FFF-B861-782663E06DD3}"/>
    <cellStyle name="20% - Accent4 4" xfId="32" xr:uid="{00000000-0005-0000-0000-00005A020000}"/>
    <cellStyle name="20% - Accent4 4 10" xfId="18943" xr:uid="{13AFD1CD-9A3D-4B67-8FAC-365BDE6F337B}"/>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0F491486-356E-45AA-92B1-CF86647804DD}"/>
    <cellStyle name="20% - Accent4 4 2 2 2 2 2" xfId="35016" xr:uid="{096105E7-6463-429D-8023-81B01C612373}"/>
    <cellStyle name="20% - Accent4 4 2 2 2 3" xfId="25719" xr:uid="{A80609B0-FF49-4F1A-A15B-E3142F84C8EE}"/>
    <cellStyle name="20% - Accent4 4 2 2 3" xfId="12203" xr:uid="{6EBABF0C-DDF7-4CD9-9377-B4B5E84E0D7C}"/>
    <cellStyle name="20% - Accent4 4 2 2 3 2" xfId="30799" xr:uid="{00115A95-0AC2-4DDF-9A87-8BAECEF9C8C4}"/>
    <cellStyle name="20% - Accent4 4 2 2 4" xfId="21502" xr:uid="{1EB7C374-03F0-4440-A9B5-FFC14525A0B1}"/>
    <cellStyle name="20% - Accent4 4 2 3" xfId="4949" xr:uid="{00000000-0005-0000-0000-00005E020000}"/>
    <cellStyle name="20% - Accent4 4 2 3 2" xfId="14275" xr:uid="{050117A8-255C-417B-B977-6AF9D8C72F43}"/>
    <cellStyle name="20% - Accent4 4 2 3 2 2" xfId="32871" xr:uid="{F1697BC1-44EB-4D00-AA98-8F24865E0300}"/>
    <cellStyle name="20% - Accent4 4 2 3 3" xfId="23574" xr:uid="{F184E29A-C750-4A7A-B0EC-D03CD7DCF79C}"/>
    <cellStyle name="20% - Accent4 4 2 4" xfId="9378" xr:uid="{761B3D4A-2751-4646-8A50-05A0DD408525}"/>
    <cellStyle name="20% - Accent4 4 2 4 2" xfId="18693" xr:uid="{B662DF2C-5D6C-4F20-BF35-40462D6801B6}"/>
    <cellStyle name="20% - Accent4 4 2 4 2 2" xfId="37287" xr:uid="{D39BB6BB-70B6-40DD-98C2-7A0BC5FA1B8D}"/>
    <cellStyle name="20% - Accent4 4 2 4 3" xfId="27990" xr:uid="{79FB69A5-1FED-4BCB-8142-2BF1C68D82C1}"/>
    <cellStyle name="20% - Accent4 4 2 5" xfId="10058" xr:uid="{D77C395C-2530-4E3D-B5D7-CA3EA50E338C}"/>
    <cellStyle name="20% - Accent4 4 2 5 2" xfId="28654" xr:uid="{C7425F70-D68B-455A-BD46-C5E7686129A6}"/>
    <cellStyle name="20% - Accent4 4 2 6" xfId="19357" xr:uid="{2DF5FA4E-43DA-43A6-8297-260BE18AC246}"/>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09E1B7CC-B53B-437C-AA49-73981F96E22D}"/>
    <cellStyle name="20% - Accent4 4 3 2 2 2 2" xfId="35429" xr:uid="{D22C85E8-01A8-4897-9113-D400822BDF2F}"/>
    <cellStyle name="20% - Accent4 4 3 2 2 3" xfId="26132" xr:uid="{9C66AB67-B8B7-43D8-95F2-A9B83D0404AA}"/>
    <cellStyle name="20% - Accent4 4 3 2 3" xfId="12616" xr:uid="{A5A2719A-CFB6-4E62-9E5A-C64E28ECF35D}"/>
    <cellStyle name="20% - Accent4 4 3 2 3 2" xfId="31212" xr:uid="{16DB882F-FA1B-4CA9-9CA8-7CF4E20B3C58}"/>
    <cellStyle name="20% - Accent4 4 3 2 4" xfId="21915" xr:uid="{B3586053-3BF1-4D80-BB30-4FE452C0B52F}"/>
    <cellStyle name="20% - Accent4 4 3 3" xfId="5362" xr:uid="{00000000-0005-0000-0000-000062020000}"/>
    <cellStyle name="20% - Accent4 4 3 3 2" xfId="14688" xr:uid="{6F549A4C-0010-4807-8BD5-EAC57103CB8D}"/>
    <cellStyle name="20% - Accent4 4 3 3 2 2" xfId="33284" xr:uid="{1EF50977-51D1-40D8-9E36-90529D79D9F6}"/>
    <cellStyle name="20% - Accent4 4 3 3 3" xfId="23987" xr:uid="{D4935914-CDAD-4816-AD0A-2A03F0893EAF}"/>
    <cellStyle name="20% - Accent4 4 3 4" xfId="10471" xr:uid="{9CE31D6C-1252-490C-9AB1-960ABC8668C1}"/>
    <cellStyle name="20% - Accent4 4 3 4 2" xfId="29067" xr:uid="{B4F3CB9C-0679-4B85-B46E-C1DFC9599574}"/>
    <cellStyle name="20% - Accent4 4 3 5" xfId="19770" xr:uid="{C4899F08-EFDC-463C-9129-DE4A7E84DDE5}"/>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4B022F6B-34A5-4491-9BE3-00A436F80086}"/>
    <cellStyle name="20% - Accent4 4 4 2 2 2 2" xfId="35842" xr:uid="{E449526F-75B7-4800-B13B-979474ED58B2}"/>
    <cellStyle name="20% - Accent4 4 4 2 2 3" xfId="26545" xr:uid="{9393BE53-7C67-4387-BC44-B9F3A68EF999}"/>
    <cellStyle name="20% - Accent4 4 4 2 3" xfId="13029" xr:uid="{D8124D5A-A25C-40BE-B565-0FE6F1A3BEB9}"/>
    <cellStyle name="20% - Accent4 4 4 2 3 2" xfId="31625" xr:uid="{5DA569CA-BFC8-4083-8317-30FA271B0B54}"/>
    <cellStyle name="20% - Accent4 4 4 2 4" xfId="22328" xr:uid="{1FBC0E44-D2C2-476A-8280-C298F97734FF}"/>
    <cellStyle name="20% - Accent4 4 4 3" xfId="5775" xr:uid="{00000000-0005-0000-0000-000066020000}"/>
    <cellStyle name="20% - Accent4 4 4 3 2" xfId="15101" xr:uid="{5A8D439D-AD42-486E-830C-A6B8AA7ACDCE}"/>
    <cellStyle name="20% - Accent4 4 4 3 2 2" xfId="33697" xr:uid="{4C2BB061-5AB2-49B7-8C79-D1B022C24741}"/>
    <cellStyle name="20% - Accent4 4 4 3 3" xfId="24400" xr:uid="{8C870F4E-B19B-4970-8254-086022440B1E}"/>
    <cellStyle name="20% - Accent4 4 4 4" xfId="10884" xr:uid="{6F00D46E-3473-484F-849B-433431663A7E}"/>
    <cellStyle name="20% - Accent4 4 4 4 2" xfId="29480" xr:uid="{98A005FB-F75A-4C2B-ACE7-09F94600F7C3}"/>
    <cellStyle name="20% - Accent4 4 4 5" xfId="20183" xr:uid="{62AE31B3-F96E-4D50-BC96-7778AA9907D1}"/>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2661324C-89A6-40BE-9F4A-86751F6CA02A}"/>
    <cellStyle name="20% - Accent4 4 5 2 2 2 2" xfId="36255" xr:uid="{30778189-DB2C-4986-8C7F-F07A55A9C45D}"/>
    <cellStyle name="20% - Accent4 4 5 2 2 3" xfId="26958" xr:uid="{13FCBECA-29D3-4813-BBA0-4CAF3884C0EB}"/>
    <cellStyle name="20% - Accent4 4 5 2 3" xfId="13442" xr:uid="{FB00D227-068B-4088-B000-D9873800CBF0}"/>
    <cellStyle name="20% - Accent4 4 5 2 3 2" xfId="32038" xr:uid="{AF3BFF33-17F1-4D77-A6F7-711DFEBDFD12}"/>
    <cellStyle name="20% - Accent4 4 5 2 4" xfId="22741" xr:uid="{3FF01B0D-434E-4F5B-B268-5127645DE31B}"/>
    <cellStyle name="20% - Accent4 4 5 3" xfId="6188" xr:uid="{00000000-0005-0000-0000-00006A020000}"/>
    <cellStyle name="20% - Accent4 4 5 3 2" xfId="15514" xr:uid="{017D6BB5-0982-47A4-8078-9524D5F2BFCF}"/>
    <cellStyle name="20% - Accent4 4 5 3 2 2" xfId="34110" xr:uid="{76956C38-92C5-4678-97B1-69B21AB4573C}"/>
    <cellStyle name="20% - Accent4 4 5 3 3" xfId="24813" xr:uid="{7AD69072-ADB3-4878-9005-9DD272264725}"/>
    <cellStyle name="20% - Accent4 4 5 4" xfId="11297" xr:uid="{482C9023-975B-4B7F-841D-2A4FB77BC1BB}"/>
    <cellStyle name="20% - Accent4 4 5 4 2" xfId="29893" xr:uid="{CFE4C015-E170-4F8D-B0D9-66E23C35BF63}"/>
    <cellStyle name="20% - Accent4 4 5 5" xfId="20596" xr:uid="{54876485-0546-45D8-8C61-C576A2A8FE66}"/>
    <cellStyle name="20% - Accent4 4 6" xfId="2295" xr:uid="{00000000-0005-0000-0000-00006B020000}"/>
    <cellStyle name="20% - Accent4 4 6 2" xfId="6601" xr:uid="{00000000-0005-0000-0000-00006C020000}"/>
    <cellStyle name="20% - Accent4 4 6 2 2" xfId="15927" xr:uid="{F480939A-48CF-4C4E-A519-019DDAEB6697}"/>
    <cellStyle name="20% - Accent4 4 6 2 2 2" xfId="34523" xr:uid="{60612271-CEEA-494B-AEE5-59BE4F6D0D30}"/>
    <cellStyle name="20% - Accent4 4 6 2 3" xfId="25226" xr:uid="{4ED31825-376B-46B1-94CF-FF82D6B7E619}"/>
    <cellStyle name="20% - Accent4 4 6 3" xfId="11710" xr:uid="{2DF98565-4561-4642-8E1B-4B6C91DF4868}"/>
    <cellStyle name="20% - Accent4 4 6 3 2" xfId="30306" xr:uid="{6DACD3D4-1320-4AA9-8A4D-220CF67EB1E0}"/>
    <cellStyle name="20% - Accent4 4 6 4" xfId="21009" xr:uid="{B888367C-6C9A-4412-A162-C8948A8F8622}"/>
    <cellStyle name="20% - Accent4 4 7" xfId="4535" xr:uid="{00000000-0005-0000-0000-00006D020000}"/>
    <cellStyle name="20% - Accent4 4 7 2" xfId="13861" xr:uid="{9E6AC8A3-8995-4E68-B775-841C33CED692}"/>
    <cellStyle name="20% - Accent4 4 7 2 2" xfId="32457" xr:uid="{F2E339F7-50BD-4C58-ABAB-55FDADAF2607}"/>
    <cellStyle name="20% - Accent4 4 7 3" xfId="23160" xr:uid="{3F32DF06-A290-4757-9A60-2138A036F98F}"/>
    <cellStyle name="20% - Accent4 4 8" xfId="8953" xr:uid="{66D1590A-BB3A-4B79-BA94-169F97E79370}"/>
    <cellStyle name="20% - Accent4 4 8 2" xfId="18277" xr:uid="{837253D9-1DCA-4894-AB74-2D1216313CAD}"/>
    <cellStyle name="20% - Accent4 4 8 2 2" xfId="36872" xr:uid="{6542A92D-4589-48C6-BE31-E4C70943184E}"/>
    <cellStyle name="20% - Accent4 4 8 3" xfId="27575" xr:uid="{D94611B4-0BAC-45A8-A399-851276B319E4}"/>
    <cellStyle name="20% - Accent4 4 9" xfId="9644" xr:uid="{7F0B5921-2AF5-4597-9ABA-C2FAB9AA876A}"/>
    <cellStyle name="20% - Accent4 4 9 2" xfId="28240" xr:uid="{F80B7E0D-F7E5-486A-90CA-CA3DC023B82E}"/>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B276F3B6-66F1-4076-B40B-FBC9548D582A}"/>
    <cellStyle name="20% - Accent4 5 2 2 2 2" xfId="35009" xr:uid="{3A9D1FFE-8EAC-4D31-A07F-2C23D2384ADA}"/>
    <cellStyle name="20% - Accent4 5 2 2 3" xfId="25712" xr:uid="{34E5669C-5C79-428E-BD7B-8D9268C8F7BE}"/>
    <cellStyle name="20% - Accent4 5 2 3" xfId="12196" xr:uid="{6B852F46-2907-4B58-AAF9-9DD5E23E4A19}"/>
    <cellStyle name="20% - Accent4 5 2 3 2" xfId="30792" xr:uid="{FE17FB65-D774-4862-B1C4-D6B49FB5A777}"/>
    <cellStyle name="20% - Accent4 5 2 4" xfId="21495" xr:uid="{F0A565FB-0EF0-48EB-A69D-022CAF536CEB}"/>
    <cellStyle name="20% - Accent4 5 3" xfId="4942" xr:uid="{00000000-0005-0000-0000-000071020000}"/>
    <cellStyle name="20% - Accent4 5 3 2" xfId="14268" xr:uid="{791FAC80-FA5E-4A64-8803-8A27439215D3}"/>
    <cellStyle name="20% - Accent4 5 3 2 2" xfId="32864" xr:uid="{DFEACFBF-EEB9-4AED-B6A5-172FE393ABA3}"/>
    <cellStyle name="20% - Accent4 5 3 3" xfId="23567" xr:uid="{A8CFBC95-2287-43C8-A401-ED537D156E6D}"/>
    <cellStyle name="20% - Accent4 5 4" xfId="9186" xr:uid="{E62ED282-F767-404B-ADA1-4F8E5B4D01EB}"/>
    <cellStyle name="20% - Accent4 5 4 2" xfId="18504" xr:uid="{515D271C-C282-45E9-A81E-C469FEEDC339}"/>
    <cellStyle name="20% - Accent4 5 4 2 2" xfId="37098" xr:uid="{C02760B5-81A2-499A-B64E-6EDFD0A20F63}"/>
    <cellStyle name="20% - Accent4 5 4 3" xfId="27801" xr:uid="{BF5024B8-7EE1-46BD-9E43-B439EC71BBC6}"/>
    <cellStyle name="20% - Accent4 5 5" xfId="10051" xr:uid="{F7386237-096F-47B2-83FD-1469C43443E8}"/>
    <cellStyle name="20% - Accent4 5 5 2" xfId="28647" xr:uid="{EC66B471-A34F-4D19-84B6-00AF0162694E}"/>
    <cellStyle name="20% - Accent4 5 6" xfId="19350" xr:uid="{90C8E93D-CF4D-4387-AA42-54965DC5CA18}"/>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8D9381FE-662E-4833-BAFD-7E5F5F3F7703}"/>
    <cellStyle name="20% - Accent4 6 2 2 2 2" xfId="35422" xr:uid="{24BB3D5E-538D-4B5E-BB6F-1F77FBDFB07F}"/>
    <cellStyle name="20% - Accent4 6 2 2 3" xfId="26125" xr:uid="{F0BBFA1A-CF48-403B-B70D-68437A83ED48}"/>
    <cellStyle name="20% - Accent4 6 2 3" xfId="12609" xr:uid="{B8CCA9BA-4947-4B2C-ADF4-6CE2EABAC2CE}"/>
    <cellStyle name="20% - Accent4 6 2 3 2" xfId="31205" xr:uid="{47FECD75-8BE8-4ABE-AACB-F51A7E0D94B0}"/>
    <cellStyle name="20% - Accent4 6 2 4" xfId="21908" xr:uid="{ABA3BC30-98C0-4830-A2F2-E441A089F629}"/>
    <cellStyle name="20% - Accent4 6 3" xfId="5355" xr:uid="{00000000-0005-0000-0000-000075020000}"/>
    <cellStyle name="20% - Accent4 6 3 2" xfId="14681" xr:uid="{BE2F6378-AB46-4E81-93B0-09C841E34841}"/>
    <cellStyle name="20% - Accent4 6 3 2 2" xfId="33277" xr:uid="{3882D1D4-90E0-4847-A6F8-32B133F4B01E}"/>
    <cellStyle name="20% - Accent4 6 3 3" xfId="23980" xr:uid="{58FDC9E2-E3D6-49E6-ACE6-FD0C9C9840CE}"/>
    <cellStyle name="20% - Accent4 6 4" xfId="10464" xr:uid="{EFA2AA9F-7EF2-4180-88DE-9F8BDCA96E11}"/>
    <cellStyle name="20% - Accent4 6 4 2" xfId="29060" xr:uid="{947EA758-C1F1-40CE-9FD1-06F05F2F7B79}"/>
    <cellStyle name="20% - Accent4 6 5" xfId="19763" xr:uid="{BC4D9F8A-9338-43E6-B185-DFF4EB033959}"/>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BA7EC7DE-E405-49CF-B183-657C271C896E}"/>
    <cellStyle name="20% - Accent4 7 2 2 2 2" xfId="35835" xr:uid="{74D4D173-669C-4A2F-8BFC-3A0BD8110CB4}"/>
    <cellStyle name="20% - Accent4 7 2 2 3" xfId="26538" xr:uid="{2D1E5C94-B648-48EB-A43D-ACB004D826D3}"/>
    <cellStyle name="20% - Accent4 7 2 3" xfId="13022" xr:uid="{BC77D15C-A8D7-4FDA-B850-74B7725B2060}"/>
    <cellStyle name="20% - Accent4 7 2 3 2" xfId="31618" xr:uid="{A4EA6A22-6918-485D-9880-A185E3E6314A}"/>
    <cellStyle name="20% - Accent4 7 2 4" xfId="22321" xr:uid="{3816D9FA-95A9-4E8A-B092-CD952E4D2E92}"/>
    <cellStyle name="20% - Accent4 7 3" xfId="5768" xr:uid="{00000000-0005-0000-0000-000079020000}"/>
    <cellStyle name="20% - Accent4 7 3 2" xfId="15094" xr:uid="{B0766B4E-78A3-4A5A-B740-8C068D4DEF7E}"/>
    <cellStyle name="20% - Accent4 7 3 2 2" xfId="33690" xr:uid="{CD15141C-0296-43FD-A6BC-CF84956313EE}"/>
    <cellStyle name="20% - Accent4 7 3 3" xfId="24393" xr:uid="{799F9825-9708-4BA5-AB60-CBD376272E0C}"/>
    <cellStyle name="20% - Accent4 7 4" xfId="10877" xr:uid="{F4D7726F-3D2C-4E8B-93A5-61F921BF65BF}"/>
    <cellStyle name="20% - Accent4 7 4 2" xfId="29473" xr:uid="{5E7EE264-6B8B-47EA-90A8-17946A4DC530}"/>
    <cellStyle name="20% - Accent4 7 5" xfId="20176" xr:uid="{2D9BA8C9-D0F1-4B2F-925F-ED6CC8294170}"/>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D931BF7A-20E7-463A-A918-3E7B6B354D38}"/>
    <cellStyle name="20% - Accent4 8 2 2 2 2" xfId="36248" xr:uid="{5B5F4735-CEDF-42BF-9186-92637FC4D0DC}"/>
    <cellStyle name="20% - Accent4 8 2 2 3" xfId="26951" xr:uid="{A042104D-3B34-46EA-986F-A182C22955EC}"/>
    <cellStyle name="20% - Accent4 8 2 3" xfId="13435" xr:uid="{D3E83CAF-EA1C-4A5F-A1C2-7E9599331751}"/>
    <cellStyle name="20% - Accent4 8 2 3 2" xfId="32031" xr:uid="{EBC0158A-0D10-4973-B9AD-4C37F8B45B8B}"/>
    <cellStyle name="20% - Accent4 8 2 4" xfId="22734" xr:uid="{0EB50C87-5BDC-4F11-A2C9-A4493655A681}"/>
    <cellStyle name="20% - Accent4 8 3" xfId="6181" xr:uid="{00000000-0005-0000-0000-00007D020000}"/>
    <cellStyle name="20% - Accent4 8 3 2" xfId="15507" xr:uid="{7B3A48BD-E352-4E93-967F-6006CE15019A}"/>
    <cellStyle name="20% - Accent4 8 3 2 2" xfId="34103" xr:uid="{37E80EC5-2E52-48E3-BF9F-5B0A52433CFC}"/>
    <cellStyle name="20% - Accent4 8 3 3" xfId="24806" xr:uid="{26A6C99D-303B-4037-8A3A-FE8DEA7E7367}"/>
    <cellStyle name="20% - Accent4 8 4" xfId="11290" xr:uid="{B72B6328-3110-4651-9C92-CF31964826CB}"/>
    <cellStyle name="20% - Accent4 8 4 2" xfId="29886" xr:uid="{D54F363F-56D5-448C-AFD9-491D57CF9368}"/>
    <cellStyle name="20% - Accent4 8 5" xfId="20589" xr:uid="{A97DF027-00FC-4147-9BA7-7FF81EAE856C}"/>
    <cellStyle name="20% - Accent4 9" xfId="2288" xr:uid="{00000000-0005-0000-0000-00007E020000}"/>
    <cellStyle name="20% - Accent4 9 2" xfId="6594" xr:uid="{00000000-0005-0000-0000-00007F020000}"/>
    <cellStyle name="20% - Accent4 9 2 2" xfId="15920" xr:uid="{115EE942-1736-432F-A1C6-A26B56147BBF}"/>
    <cellStyle name="20% - Accent4 9 2 2 2" xfId="34516" xr:uid="{8EC620EE-1393-467F-9E2A-B7707EAAF7C9}"/>
    <cellStyle name="20% - Accent4 9 2 3" xfId="25219" xr:uid="{77C850CA-BF86-4FCF-AE68-D07A2AA6D824}"/>
    <cellStyle name="20% - Accent4 9 3" xfId="11703" xr:uid="{FA40E2D7-82AF-4BBA-8A1E-89EBB9A6AAD6}"/>
    <cellStyle name="20% - Accent4 9 3 2" xfId="30299" xr:uid="{D93C9D40-49C4-4DCC-99D2-8A8B84808F68}"/>
    <cellStyle name="20% - Accent4 9 4" xfId="21002" xr:uid="{2A68D5E6-3475-48A7-A88D-E6D052907F57}"/>
    <cellStyle name="20% - Accent5" xfId="33" builtinId="46" customBuiltin="1"/>
    <cellStyle name="20% - Accent5 10" xfId="4536" xr:uid="{00000000-0005-0000-0000-000081020000}"/>
    <cellStyle name="20% - Accent5 10 2" xfId="13862" xr:uid="{D8934EC2-00A2-4B05-A313-A07D0A6F2F13}"/>
    <cellStyle name="20% - Accent5 10 2 2" xfId="32458" xr:uid="{049E581B-E133-4688-879C-2AB4BA59CA47}"/>
    <cellStyle name="20% - Accent5 10 3" xfId="23161" xr:uid="{FA077BB5-4870-4962-9B3D-772089D73D08}"/>
    <cellStyle name="20% - Accent5 11" xfId="8766" xr:uid="{A87C980D-48BC-4AA3-98F7-53B2F02F228C}"/>
    <cellStyle name="20% - Accent5 11 2" xfId="18090" xr:uid="{49E63734-97EA-4410-9AE4-B4A318359B7B}"/>
    <cellStyle name="20% - Accent5 11 2 2" xfId="36685" xr:uid="{4A8D57BF-13E5-4A57-84F3-B700B321955E}"/>
    <cellStyle name="20% - Accent5 11 3" xfId="27388" xr:uid="{C5242FE9-D402-4437-B69C-FD936A494101}"/>
    <cellStyle name="20% - Accent5 12" xfId="9645" xr:uid="{5336DEC0-F5EB-4F4D-9E6C-727736F7D5C7}"/>
    <cellStyle name="20% - Accent5 12 2" xfId="28241" xr:uid="{916802D8-8EF8-4AE1-9D5D-8F7EDD69C0AB}"/>
    <cellStyle name="20% - Accent5 13" xfId="18944" xr:uid="{081D89C5-6A69-48BD-8772-5270A9121583}"/>
    <cellStyle name="20% - Accent5 2" xfId="34" xr:uid="{00000000-0005-0000-0000-000082020000}"/>
    <cellStyle name="20% - Accent5 2 10" xfId="8796" xr:uid="{5BBF4372-A7B1-47A0-AC3D-4A60EDC1A5F8}"/>
    <cellStyle name="20% - Accent5 2 10 2" xfId="18120" xr:uid="{A88DD8A3-FF55-45B6-83A0-3A304736AE60}"/>
    <cellStyle name="20% - Accent5 2 10 2 2" xfId="36715" xr:uid="{D8A817C9-05B3-4AEA-8721-0D273CD6C927}"/>
    <cellStyle name="20% - Accent5 2 10 3" xfId="27418" xr:uid="{1AAE3A4D-8A1B-4A18-AE63-5B61B4498A3D}"/>
    <cellStyle name="20% - Accent5 2 11" xfId="9646" xr:uid="{15014D91-FC05-49ED-A2ED-D3F1F669B187}"/>
    <cellStyle name="20% - Accent5 2 11 2" xfId="28242" xr:uid="{1C036703-FCD6-4E87-8DB7-39DCED991137}"/>
    <cellStyle name="20% - Accent5 2 12" xfId="18945" xr:uid="{1E12650E-8E15-4640-BA50-307069691BB8}"/>
    <cellStyle name="20% - Accent5 2 2" xfId="35" xr:uid="{00000000-0005-0000-0000-000083020000}"/>
    <cellStyle name="20% - Accent5 2 2 10" xfId="9647" xr:uid="{146A0DFD-7ED8-4945-8C9E-398AC2541867}"/>
    <cellStyle name="20% - Accent5 2 2 10 2" xfId="28243" xr:uid="{1BEB71E7-BFFD-47B4-84D6-72723A404F8D}"/>
    <cellStyle name="20% - Accent5 2 2 11" xfId="18946" xr:uid="{DFE922BA-BD70-4B54-A809-EB3B293B69DB}"/>
    <cellStyle name="20% - Accent5 2 2 2" xfId="36" xr:uid="{00000000-0005-0000-0000-000084020000}"/>
    <cellStyle name="20% - Accent5 2 2 2 10" xfId="18947" xr:uid="{11573D51-C8CF-449D-9AD0-D3C29955F508}"/>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87DF9361-0999-4658-BDCB-025D4F16FEA5}"/>
    <cellStyle name="20% - Accent5 2 2 2 2 2 2 2 2" xfId="35020" xr:uid="{04C458E2-B3F6-41EC-BD00-6110FDA8227D}"/>
    <cellStyle name="20% - Accent5 2 2 2 2 2 2 3" xfId="25723" xr:uid="{A9831DB6-2870-470F-B31B-AF9C50B0DF70}"/>
    <cellStyle name="20% - Accent5 2 2 2 2 2 3" xfId="12207" xr:uid="{99155AB7-E8AB-4374-9797-FFE7D1A957B0}"/>
    <cellStyle name="20% - Accent5 2 2 2 2 2 3 2" xfId="30803" xr:uid="{C4B2FCEA-AD41-4D13-A3AE-0DB682B5C2E3}"/>
    <cellStyle name="20% - Accent5 2 2 2 2 2 4" xfId="21506" xr:uid="{59E3E5DA-84DA-4E47-B1F1-E65C66DB315C}"/>
    <cellStyle name="20% - Accent5 2 2 2 2 3" xfId="4953" xr:uid="{00000000-0005-0000-0000-000088020000}"/>
    <cellStyle name="20% - Accent5 2 2 2 2 3 2" xfId="14279" xr:uid="{C213AE4B-7877-467D-B2A4-3FFDBB05E7CF}"/>
    <cellStyle name="20% - Accent5 2 2 2 2 3 2 2" xfId="32875" xr:uid="{2ED9BF25-50D1-43F6-B7E3-3DD3AA4C0C3F}"/>
    <cellStyle name="20% - Accent5 2 2 2 2 3 3" xfId="23578" xr:uid="{C7FDFE8B-F80B-4DBF-9095-A90F098E15E8}"/>
    <cellStyle name="20% - Accent5 2 2 2 2 4" xfId="9531" xr:uid="{5DC5F027-F767-49FB-B9DE-2ACABCF8AC5A}"/>
    <cellStyle name="20% - Accent5 2 2 2 2 4 2" xfId="18846" xr:uid="{762EAB5E-F54E-4163-A871-B8A1E36BFDF8}"/>
    <cellStyle name="20% - Accent5 2 2 2 2 4 2 2" xfId="37440" xr:uid="{70D0C190-6C31-4BBC-B5BA-53066F7E9E46}"/>
    <cellStyle name="20% - Accent5 2 2 2 2 4 3" xfId="28143" xr:uid="{D99951A8-2BAA-4762-BA00-39FF0613DAF2}"/>
    <cellStyle name="20% - Accent5 2 2 2 2 5" xfId="10062" xr:uid="{36F89447-1EEF-4357-9456-2D1F46EBD2CF}"/>
    <cellStyle name="20% - Accent5 2 2 2 2 5 2" xfId="28658" xr:uid="{D66193BB-C45F-4225-82A6-0C1B229EBE70}"/>
    <cellStyle name="20% - Accent5 2 2 2 2 6" xfId="19361" xr:uid="{550EA33C-10B2-47D9-BF8F-5D73AA8554BB}"/>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E8FB44DF-CECD-4EFD-B60E-2128D39E18AD}"/>
    <cellStyle name="20% - Accent5 2 2 2 3 2 2 2 2" xfId="35433" xr:uid="{01D06F73-DC31-4B93-B5D9-751E839D6241}"/>
    <cellStyle name="20% - Accent5 2 2 2 3 2 2 3" xfId="26136" xr:uid="{D12F23F8-C54F-4C23-8F51-A497CED31357}"/>
    <cellStyle name="20% - Accent5 2 2 2 3 2 3" xfId="12620" xr:uid="{A2789DC8-85E7-484E-8D72-E4FC72B024C3}"/>
    <cellStyle name="20% - Accent5 2 2 2 3 2 3 2" xfId="31216" xr:uid="{B56A450A-89A7-4663-8F52-ED8507A67781}"/>
    <cellStyle name="20% - Accent5 2 2 2 3 2 4" xfId="21919" xr:uid="{2A55AE66-27D4-4C05-AC27-430289A6F4EF}"/>
    <cellStyle name="20% - Accent5 2 2 2 3 3" xfId="5366" xr:uid="{00000000-0005-0000-0000-00008C020000}"/>
    <cellStyle name="20% - Accent5 2 2 2 3 3 2" xfId="14692" xr:uid="{6A5B5953-5022-4730-81B7-331C77847DC1}"/>
    <cellStyle name="20% - Accent5 2 2 2 3 3 2 2" xfId="33288" xr:uid="{7D1E62D4-214E-486D-81E3-C8B6FBA7DD2E}"/>
    <cellStyle name="20% - Accent5 2 2 2 3 3 3" xfId="23991" xr:uid="{D5834DB9-10D0-40F7-A137-555CF43320FA}"/>
    <cellStyle name="20% - Accent5 2 2 2 3 4" xfId="10475" xr:uid="{3033DB37-6544-4F4A-8F5D-377384B8960E}"/>
    <cellStyle name="20% - Accent5 2 2 2 3 4 2" xfId="29071" xr:uid="{4600026E-B3D0-4705-8695-DB641B192B29}"/>
    <cellStyle name="20% - Accent5 2 2 2 3 5" xfId="19774" xr:uid="{87D934D0-9089-47D8-BCD5-98E339A0C07C}"/>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C5878D93-DF58-45B1-A63E-5BBE2459E602}"/>
    <cellStyle name="20% - Accent5 2 2 2 4 2 2 2 2" xfId="35846" xr:uid="{CDFF8563-4237-430C-A77D-BCF03E3FF591}"/>
    <cellStyle name="20% - Accent5 2 2 2 4 2 2 3" xfId="26549" xr:uid="{C586ADFF-1F25-495E-B729-B30DBBF6A29C}"/>
    <cellStyle name="20% - Accent5 2 2 2 4 2 3" xfId="13033" xr:uid="{AE2955AC-E276-4759-89FA-851BB32E5866}"/>
    <cellStyle name="20% - Accent5 2 2 2 4 2 3 2" xfId="31629" xr:uid="{23E886DA-6D9F-455B-B08E-EB274F7A33C6}"/>
    <cellStyle name="20% - Accent5 2 2 2 4 2 4" xfId="22332" xr:uid="{870C9DDE-1BDC-4EF9-BE40-F37C7EB1CBDA}"/>
    <cellStyle name="20% - Accent5 2 2 2 4 3" xfId="5779" xr:uid="{00000000-0005-0000-0000-000090020000}"/>
    <cellStyle name="20% - Accent5 2 2 2 4 3 2" xfId="15105" xr:uid="{13EBE413-629F-411C-B375-4A4EDD1165E2}"/>
    <cellStyle name="20% - Accent5 2 2 2 4 3 2 2" xfId="33701" xr:uid="{379F63D8-FC49-40B5-B919-C20CC779AC78}"/>
    <cellStyle name="20% - Accent5 2 2 2 4 3 3" xfId="24404" xr:uid="{53DFF65F-C4B3-4F77-A22F-D5572887AF0F}"/>
    <cellStyle name="20% - Accent5 2 2 2 4 4" xfId="10888" xr:uid="{2E82BE7E-0473-4605-A06A-07AD7F3D8F3C}"/>
    <cellStyle name="20% - Accent5 2 2 2 4 4 2" xfId="29484" xr:uid="{201EE712-E7C7-4823-B7A7-5E52DCFDB65A}"/>
    <cellStyle name="20% - Accent5 2 2 2 4 5" xfId="20187" xr:uid="{AD83ADC8-8C0D-420F-80DB-81F2213DE6C9}"/>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96E3C220-945E-412C-BDC7-FEA34BA66BAE}"/>
    <cellStyle name="20% - Accent5 2 2 2 5 2 2 2 2" xfId="36259" xr:uid="{80DA9EC0-80B6-4F7C-AB28-BF4647F43A97}"/>
    <cellStyle name="20% - Accent5 2 2 2 5 2 2 3" xfId="26962" xr:uid="{3FFC033E-ECAA-4363-91B4-55E67FBC2349}"/>
    <cellStyle name="20% - Accent5 2 2 2 5 2 3" xfId="13446" xr:uid="{C666A66D-C152-41BF-8BBE-551883C5615B}"/>
    <cellStyle name="20% - Accent5 2 2 2 5 2 3 2" xfId="32042" xr:uid="{3D60B534-5246-4139-96B4-1402285240DA}"/>
    <cellStyle name="20% - Accent5 2 2 2 5 2 4" xfId="22745" xr:uid="{0D6E5FB8-CC83-4D84-A3D0-3A461E483BD6}"/>
    <cellStyle name="20% - Accent5 2 2 2 5 3" xfId="6192" xr:uid="{00000000-0005-0000-0000-000094020000}"/>
    <cellStyle name="20% - Accent5 2 2 2 5 3 2" xfId="15518" xr:uid="{A33AA97A-15E1-404E-B59C-021E26EF9476}"/>
    <cellStyle name="20% - Accent5 2 2 2 5 3 2 2" xfId="34114" xr:uid="{A1D9AA23-330A-4C28-B3D8-904E9C7D3C3D}"/>
    <cellStyle name="20% - Accent5 2 2 2 5 3 3" xfId="24817" xr:uid="{B307B6FE-2593-417B-8B7F-5ECBBD1B624D}"/>
    <cellStyle name="20% - Accent5 2 2 2 5 4" xfId="11301" xr:uid="{C23AAC18-4C05-44A5-98D6-A3D479DCA2F9}"/>
    <cellStyle name="20% - Accent5 2 2 2 5 4 2" xfId="29897" xr:uid="{92A29E1E-A201-4131-8BA5-98B400BD7D73}"/>
    <cellStyle name="20% - Accent5 2 2 2 5 5" xfId="20600" xr:uid="{3F89D7C6-BA23-4A0F-BBA8-0912C495AAA1}"/>
    <cellStyle name="20% - Accent5 2 2 2 6" xfId="2299" xr:uid="{00000000-0005-0000-0000-000095020000}"/>
    <cellStyle name="20% - Accent5 2 2 2 6 2" xfId="6605" xr:uid="{00000000-0005-0000-0000-000096020000}"/>
    <cellStyle name="20% - Accent5 2 2 2 6 2 2" xfId="15931" xr:uid="{167B0491-B34A-4B17-8EDA-F06DF900B918}"/>
    <cellStyle name="20% - Accent5 2 2 2 6 2 2 2" xfId="34527" xr:uid="{D19DE076-5E23-479A-BA9A-ED329D95D0C4}"/>
    <cellStyle name="20% - Accent5 2 2 2 6 2 3" xfId="25230" xr:uid="{ADF0DDED-7803-471E-B9E0-18118690FDE6}"/>
    <cellStyle name="20% - Accent5 2 2 2 6 3" xfId="11714" xr:uid="{1FC897D4-A902-4FF4-AD87-8B905626B347}"/>
    <cellStyle name="20% - Accent5 2 2 2 6 3 2" xfId="30310" xr:uid="{5E110F67-44A8-4AF3-8486-EF1C1B60E58D}"/>
    <cellStyle name="20% - Accent5 2 2 2 6 4" xfId="21013" xr:uid="{C4BB082D-5F94-4630-867D-8F635B9DD69A}"/>
    <cellStyle name="20% - Accent5 2 2 2 7" xfId="4539" xr:uid="{00000000-0005-0000-0000-000097020000}"/>
    <cellStyle name="20% - Accent5 2 2 2 7 2" xfId="13865" xr:uid="{6E549761-4978-4287-9A58-9C2C61F3D438}"/>
    <cellStyle name="20% - Accent5 2 2 2 7 2 2" xfId="32461" xr:uid="{CF7B198F-E00D-4D68-BF40-FA545396E392}"/>
    <cellStyle name="20% - Accent5 2 2 2 7 3" xfId="23164" xr:uid="{C3F8E907-D889-4057-BE34-C6AEA88109DD}"/>
    <cellStyle name="20% - Accent5 2 2 2 8" xfId="9106" xr:uid="{E7B219CB-83A9-494A-83ED-783719A0F1D9}"/>
    <cellStyle name="20% - Accent5 2 2 2 8 2" xfId="18430" xr:uid="{97F1BEE8-5359-462E-A03E-D7C11FCC636D}"/>
    <cellStyle name="20% - Accent5 2 2 2 8 2 2" xfId="37025" xr:uid="{7AF5BE30-51AF-4248-BAF0-FA92F79E90D0}"/>
    <cellStyle name="20% - Accent5 2 2 2 8 3" xfId="27728" xr:uid="{A366BAD9-4877-479B-8A43-F3B1CF1A00AC}"/>
    <cellStyle name="20% - Accent5 2 2 2 9" xfId="9648" xr:uid="{16ADA4F8-A7DD-4A13-A8CA-51453D338E1B}"/>
    <cellStyle name="20% - Accent5 2 2 2 9 2" xfId="28244" xr:uid="{7C1D91EF-3D44-46AA-98DC-F07CC089A5B1}"/>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E07528DD-95B5-4CDC-87B0-20258B8832D6}"/>
    <cellStyle name="20% - Accent5 2 2 3 2 2 2 2" xfId="35019" xr:uid="{08723D6C-0D71-48E2-9B48-373406D8C93D}"/>
    <cellStyle name="20% - Accent5 2 2 3 2 2 3" xfId="25722" xr:uid="{A39F5E1D-6F7B-4DDD-9EB1-E45129C9EFB1}"/>
    <cellStyle name="20% - Accent5 2 2 3 2 3" xfId="12206" xr:uid="{5FD13EDF-E594-422C-8E70-19E8B0DF795B}"/>
    <cellStyle name="20% - Accent5 2 2 3 2 3 2" xfId="30802" xr:uid="{6B19F28A-5192-4F77-8CA4-6DE42BDE98BB}"/>
    <cellStyle name="20% - Accent5 2 2 3 2 4" xfId="21505" xr:uid="{E4DE9B19-A4F3-4B68-BFA9-A02AFC385FC7}"/>
    <cellStyle name="20% - Accent5 2 2 3 3" xfId="4952" xr:uid="{00000000-0005-0000-0000-00009B020000}"/>
    <cellStyle name="20% - Accent5 2 2 3 3 2" xfId="14278" xr:uid="{197D736C-233F-4AA6-8F12-DC84D727E28C}"/>
    <cellStyle name="20% - Accent5 2 2 3 3 2 2" xfId="32874" xr:uid="{199BC28E-BE75-4F5C-9C2E-AA562BED5CF0}"/>
    <cellStyle name="20% - Accent5 2 2 3 3 3" xfId="23577" xr:uid="{85860908-4332-4D21-975E-CB94BBC89F0D}"/>
    <cellStyle name="20% - Accent5 2 2 3 4" xfId="9324" xr:uid="{6094FEE1-8E2A-466F-9CDF-43EB9EE581FF}"/>
    <cellStyle name="20% - Accent5 2 2 3 4 2" xfId="18639" xr:uid="{6BB0DE37-7E33-461D-8E2C-6AD26479060F}"/>
    <cellStyle name="20% - Accent5 2 2 3 4 2 2" xfId="37233" xr:uid="{AE18216E-AF02-47F6-8275-FCCD805B3FCD}"/>
    <cellStyle name="20% - Accent5 2 2 3 4 3" xfId="27936" xr:uid="{0701E114-C4B9-4CC4-893B-F1D213327058}"/>
    <cellStyle name="20% - Accent5 2 2 3 5" xfId="10061" xr:uid="{2E4C4035-9FCF-468A-A400-6B09EC1373C8}"/>
    <cellStyle name="20% - Accent5 2 2 3 5 2" xfId="28657" xr:uid="{AB07C619-AA30-4D90-BF57-C849FC865900}"/>
    <cellStyle name="20% - Accent5 2 2 3 6" xfId="19360" xr:uid="{F97CB240-F96D-4D22-8DE9-039CEB81C310}"/>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281CA283-0E6A-47D0-AEEB-4145A7328BDA}"/>
    <cellStyle name="20% - Accent5 2 2 4 2 2 2 2" xfId="35432" xr:uid="{991DE1DE-FC8A-4A36-B6FE-02012CDF727B}"/>
    <cellStyle name="20% - Accent5 2 2 4 2 2 3" xfId="26135" xr:uid="{0DCF7289-253A-409C-869F-4AEAFBB72858}"/>
    <cellStyle name="20% - Accent5 2 2 4 2 3" xfId="12619" xr:uid="{0BE01759-8EA0-4173-8EF5-2B4235B444C2}"/>
    <cellStyle name="20% - Accent5 2 2 4 2 3 2" xfId="31215" xr:uid="{DC816832-C5F7-42E1-918E-B8B624D19EF0}"/>
    <cellStyle name="20% - Accent5 2 2 4 2 4" xfId="21918" xr:uid="{1883EE2D-C4D6-4BA7-86E6-AB579E298CEF}"/>
    <cellStyle name="20% - Accent5 2 2 4 3" xfId="5365" xr:uid="{00000000-0005-0000-0000-00009F020000}"/>
    <cellStyle name="20% - Accent5 2 2 4 3 2" xfId="14691" xr:uid="{612B17B3-481E-4124-8FFD-6D81C4F6EA1E}"/>
    <cellStyle name="20% - Accent5 2 2 4 3 2 2" xfId="33287" xr:uid="{353040C2-D1C9-4722-BDD1-C26B1A8746A8}"/>
    <cellStyle name="20% - Accent5 2 2 4 3 3" xfId="23990" xr:uid="{6E83F076-F705-475D-BE3A-26996C31CAD5}"/>
    <cellStyle name="20% - Accent5 2 2 4 4" xfId="10474" xr:uid="{95BFD575-840B-48A0-A47E-A5EF6BDADAE9}"/>
    <cellStyle name="20% - Accent5 2 2 4 4 2" xfId="29070" xr:uid="{EBF1F146-26C6-40A3-9530-7BC1B6AEF983}"/>
    <cellStyle name="20% - Accent5 2 2 4 5" xfId="19773" xr:uid="{DFAA5B62-8B12-4A1C-B0BF-8E340D73B420}"/>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8202827D-D571-4BFF-98B1-1908D1910BAF}"/>
    <cellStyle name="20% - Accent5 2 2 5 2 2 2 2" xfId="35845" xr:uid="{B0E41F00-E372-453C-BFF7-E458D8B4D482}"/>
    <cellStyle name="20% - Accent5 2 2 5 2 2 3" xfId="26548" xr:uid="{3CB1CD02-56D7-492B-AE69-48B31CB7A9B2}"/>
    <cellStyle name="20% - Accent5 2 2 5 2 3" xfId="13032" xr:uid="{0A448A3F-6BC8-4C91-A56D-7B40B7B22545}"/>
    <cellStyle name="20% - Accent5 2 2 5 2 3 2" xfId="31628" xr:uid="{386CAEDD-A666-4F66-ADBE-7F3B3340C0FD}"/>
    <cellStyle name="20% - Accent5 2 2 5 2 4" xfId="22331" xr:uid="{BAC13F3A-18F6-46D6-8AF7-7EFA9DEB8882}"/>
    <cellStyle name="20% - Accent5 2 2 5 3" xfId="5778" xr:uid="{00000000-0005-0000-0000-0000A3020000}"/>
    <cellStyle name="20% - Accent5 2 2 5 3 2" xfId="15104" xr:uid="{229EC4CB-DA8B-41E4-ABD8-ED4881A1FBE7}"/>
    <cellStyle name="20% - Accent5 2 2 5 3 2 2" xfId="33700" xr:uid="{6EDB4AF3-EA21-45DF-8F93-2FF5E72FF1C2}"/>
    <cellStyle name="20% - Accent5 2 2 5 3 3" xfId="24403" xr:uid="{4C2321D1-FD9E-4016-9C1C-AF8F58DB2D54}"/>
    <cellStyle name="20% - Accent5 2 2 5 4" xfId="10887" xr:uid="{ED7F347E-DFF1-4D7A-837E-6F878E39AB34}"/>
    <cellStyle name="20% - Accent5 2 2 5 4 2" xfId="29483" xr:uid="{056982A9-BAE4-4189-AA67-BDD7917C1283}"/>
    <cellStyle name="20% - Accent5 2 2 5 5" xfId="20186" xr:uid="{AE8E23D9-A5B7-436B-A62C-7C0451270237}"/>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5D103A78-BC40-4546-B218-74A0E72205FE}"/>
    <cellStyle name="20% - Accent5 2 2 6 2 2 2 2" xfId="36258" xr:uid="{ABF11628-C0E3-4E27-9537-338D29C4988F}"/>
    <cellStyle name="20% - Accent5 2 2 6 2 2 3" xfId="26961" xr:uid="{E75C06CD-9B3C-4A7D-998C-027EEF58756B}"/>
    <cellStyle name="20% - Accent5 2 2 6 2 3" xfId="13445" xr:uid="{3911AF44-461D-4618-9165-BA37897C671C}"/>
    <cellStyle name="20% - Accent5 2 2 6 2 3 2" xfId="32041" xr:uid="{7693AD4A-D582-41DC-A368-544B1524FD99}"/>
    <cellStyle name="20% - Accent5 2 2 6 2 4" xfId="22744" xr:uid="{49D63F2D-43EB-4F4F-8FE0-B86C89877EDC}"/>
    <cellStyle name="20% - Accent5 2 2 6 3" xfId="6191" xr:uid="{00000000-0005-0000-0000-0000A7020000}"/>
    <cellStyle name="20% - Accent5 2 2 6 3 2" xfId="15517" xr:uid="{D0C6F69C-75CB-4299-86F5-E540217EE363}"/>
    <cellStyle name="20% - Accent5 2 2 6 3 2 2" xfId="34113" xr:uid="{88B974EF-5750-49B4-9200-9791C911EE44}"/>
    <cellStyle name="20% - Accent5 2 2 6 3 3" xfId="24816" xr:uid="{CADD7E6B-C9E6-4101-BC98-8E7950E2B518}"/>
    <cellStyle name="20% - Accent5 2 2 6 4" xfId="11300" xr:uid="{7295B321-2326-457F-8455-AC9E16C359D6}"/>
    <cellStyle name="20% - Accent5 2 2 6 4 2" xfId="29896" xr:uid="{08758AC5-A9D7-40E7-A9EE-280A230B3DD2}"/>
    <cellStyle name="20% - Accent5 2 2 6 5" xfId="20599" xr:uid="{AAC9C83E-D391-43AD-B6A7-EA044B27398D}"/>
    <cellStyle name="20% - Accent5 2 2 7" xfId="2298" xr:uid="{00000000-0005-0000-0000-0000A8020000}"/>
    <cellStyle name="20% - Accent5 2 2 7 2" xfId="6604" xr:uid="{00000000-0005-0000-0000-0000A9020000}"/>
    <cellStyle name="20% - Accent5 2 2 7 2 2" xfId="15930" xr:uid="{0FF913B3-EB89-492F-9C30-BDCC3247AB55}"/>
    <cellStyle name="20% - Accent5 2 2 7 2 2 2" xfId="34526" xr:uid="{4028497C-0369-4A6F-ACC0-FF8E97C0BF9C}"/>
    <cellStyle name="20% - Accent5 2 2 7 2 3" xfId="25229" xr:uid="{E77893D3-857D-4C59-95B7-3D2317D145A4}"/>
    <cellStyle name="20% - Accent5 2 2 7 3" xfId="11713" xr:uid="{A42A6325-BED8-472F-BB0E-133A719F63C0}"/>
    <cellStyle name="20% - Accent5 2 2 7 3 2" xfId="30309" xr:uid="{A9DA6694-C08C-4C2C-B2CC-BC36571B8576}"/>
    <cellStyle name="20% - Accent5 2 2 7 4" xfId="21012" xr:uid="{3B431FFE-0E66-45E2-B38E-C7A3D7552389}"/>
    <cellStyle name="20% - Accent5 2 2 8" xfId="4538" xr:uid="{00000000-0005-0000-0000-0000AA020000}"/>
    <cellStyle name="20% - Accent5 2 2 8 2" xfId="13864" xr:uid="{11FA954E-2D75-4C77-840D-E326B5151FE9}"/>
    <cellStyle name="20% - Accent5 2 2 8 2 2" xfId="32460" xr:uid="{3A4BB51C-28F7-4042-95E3-75337A112DF8}"/>
    <cellStyle name="20% - Accent5 2 2 8 3" xfId="23163" xr:uid="{F26D9BB8-BAD9-4A69-8446-A567AF885585}"/>
    <cellStyle name="20% - Accent5 2 2 9" xfId="8899" xr:uid="{0E8F9EC8-D565-41C9-B716-FF597FFF35B9}"/>
    <cellStyle name="20% - Accent5 2 2 9 2" xfId="18223" xr:uid="{0C335401-8CBB-4698-8C75-16A5D866A7ED}"/>
    <cellStyle name="20% - Accent5 2 2 9 2 2" xfId="36818" xr:uid="{B9D12401-2110-4B3B-9942-26F297117C66}"/>
    <cellStyle name="20% - Accent5 2 2 9 3" xfId="27521" xr:uid="{F8E2A4B9-BA06-4B04-8BC9-49B87820CAEC}"/>
    <cellStyle name="20% - Accent5 2 3" xfId="37" xr:uid="{00000000-0005-0000-0000-0000AB020000}"/>
    <cellStyle name="20% - Accent5 2 3 10" xfId="18948" xr:uid="{A836970F-104C-4136-86EA-976CAD3DDDD8}"/>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4C15F0A3-1E98-4F5A-A4F0-ED0705FF89DA}"/>
    <cellStyle name="20% - Accent5 2 3 2 2 2 2 2" xfId="35021" xr:uid="{33011581-D425-4D42-8AE9-A51052BB3ECD}"/>
    <cellStyle name="20% - Accent5 2 3 2 2 2 3" xfId="25724" xr:uid="{A5A10D8F-0995-44A3-B684-45A9FBCC7BA8}"/>
    <cellStyle name="20% - Accent5 2 3 2 2 3" xfId="12208" xr:uid="{9A5254D4-3001-4B76-A4A1-8232F529ABD3}"/>
    <cellStyle name="20% - Accent5 2 3 2 2 3 2" xfId="30804" xr:uid="{A3B88931-4A12-43C7-9CE1-669D84A67896}"/>
    <cellStyle name="20% - Accent5 2 3 2 2 4" xfId="21507" xr:uid="{0AC5B953-A09A-434E-88DD-3A67B9E7AB02}"/>
    <cellStyle name="20% - Accent5 2 3 2 3" xfId="4954" xr:uid="{00000000-0005-0000-0000-0000AF020000}"/>
    <cellStyle name="20% - Accent5 2 3 2 3 2" xfId="14280" xr:uid="{9D308555-3A4D-4942-A65A-E9498608D68C}"/>
    <cellStyle name="20% - Accent5 2 3 2 3 2 2" xfId="32876" xr:uid="{C162B87B-6596-4F87-9381-243857DEAF54}"/>
    <cellStyle name="20% - Accent5 2 3 2 3 3" xfId="23579" xr:uid="{192F3D97-8302-425B-BB21-7A3F3C60F15D}"/>
    <cellStyle name="20% - Accent5 2 3 2 4" xfId="9428" xr:uid="{B7820ACF-E1F3-4653-B5DD-FD829B169E84}"/>
    <cellStyle name="20% - Accent5 2 3 2 4 2" xfId="18743" xr:uid="{761DDC00-B68B-4999-B153-81656F2E0029}"/>
    <cellStyle name="20% - Accent5 2 3 2 4 2 2" xfId="37337" xr:uid="{72B4D3D7-4A94-4DFC-80C0-DDEE4464A8D1}"/>
    <cellStyle name="20% - Accent5 2 3 2 4 3" xfId="28040" xr:uid="{64E23A8B-A20C-4FC0-89BB-A45D21341F8C}"/>
    <cellStyle name="20% - Accent5 2 3 2 5" xfId="10063" xr:uid="{EA765C85-29C9-4293-8CCB-35BECAD5BE98}"/>
    <cellStyle name="20% - Accent5 2 3 2 5 2" xfId="28659" xr:uid="{0CFD038A-ED1A-4042-AD35-1DBBB27B2575}"/>
    <cellStyle name="20% - Accent5 2 3 2 6" xfId="19362" xr:uid="{021AFDFA-6991-49FB-8182-04D2A0B87CF2}"/>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31278B0A-CCFD-426C-9F34-DA1CE6133FC7}"/>
    <cellStyle name="20% - Accent5 2 3 3 2 2 2 2" xfId="35434" xr:uid="{47F34530-981C-4DC3-9281-E08E2FE70EB3}"/>
    <cellStyle name="20% - Accent5 2 3 3 2 2 3" xfId="26137" xr:uid="{4F97CC1A-04B0-4C5C-ACE5-5A2FE166ECCD}"/>
    <cellStyle name="20% - Accent5 2 3 3 2 3" xfId="12621" xr:uid="{09AD403F-69BE-4EBB-8D56-4B64620B710E}"/>
    <cellStyle name="20% - Accent5 2 3 3 2 3 2" xfId="31217" xr:uid="{1E2FCCCA-D70C-4FB0-B50E-4659413800CC}"/>
    <cellStyle name="20% - Accent5 2 3 3 2 4" xfId="21920" xr:uid="{EDD9FC03-5219-42EC-AACE-DA66998D3D46}"/>
    <cellStyle name="20% - Accent5 2 3 3 3" xfId="5367" xr:uid="{00000000-0005-0000-0000-0000B3020000}"/>
    <cellStyle name="20% - Accent5 2 3 3 3 2" xfId="14693" xr:uid="{98570C90-74F8-4A48-9C6B-E4F5640E7FE9}"/>
    <cellStyle name="20% - Accent5 2 3 3 3 2 2" xfId="33289" xr:uid="{A9D484E6-C76C-4341-A2DF-93CDF39BC9CA}"/>
    <cellStyle name="20% - Accent5 2 3 3 3 3" xfId="23992" xr:uid="{D7DA6014-BC3F-4D2A-A72B-04430B4B0701}"/>
    <cellStyle name="20% - Accent5 2 3 3 4" xfId="10476" xr:uid="{A7389546-43CC-4778-83D1-221BDA4C4326}"/>
    <cellStyle name="20% - Accent5 2 3 3 4 2" xfId="29072" xr:uid="{745B6DF9-12B5-48DE-AB18-447E3F6D74F5}"/>
    <cellStyle name="20% - Accent5 2 3 3 5" xfId="19775" xr:uid="{4CC388BA-DB10-4429-BCD0-390EFBC74024}"/>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C852C60C-A183-4C31-8245-E047C04A0F3B}"/>
    <cellStyle name="20% - Accent5 2 3 4 2 2 2 2" xfId="35847" xr:uid="{7EF529B5-0EE8-444A-A74B-59B254CE0081}"/>
    <cellStyle name="20% - Accent5 2 3 4 2 2 3" xfId="26550" xr:uid="{9F657573-FF42-4A59-9007-0EC92685C13A}"/>
    <cellStyle name="20% - Accent5 2 3 4 2 3" xfId="13034" xr:uid="{667583CA-E1B4-4146-90EC-B1266A98CFDE}"/>
    <cellStyle name="20% - Accent5 2 3 4 2 3 2" xfId="31630" xr:uid="{09B340B5-FFD6-4755-A3DC-FFBAB387722D}"/>
    <cellStyle name="20% - Accent5 2 3 4 2 4" xfId="22333" xr:uid="{AA988A56-50CA-4103-9DD0-4F6F8804FB55}"/>
    <cellStyle name="20% - Accent5 2 3 4 3" xfId="5780" xr:uid="{00000000-0005-0000-0000-0000B7020000}"/>
    <cellStyle name="20% - Accent5 2 3 4 3 2" xfId="15106" xr:uid="{677B1335-363F-4BEF-9BDF-2F5FB249E978}"/>
    <cellStyle name="20% - Accent5 2 3 4 3 2 2" xfId="33702" xr:uid="{77D239A8-A733-44A3-BBC9-331797D72385}"/>
    <cellStyle name="20% - Accent5 2 3 4 3 3" xfId="24405" xr:uid="{B8970EF1-30FA-4DCA-8F5D-C92B9653684F}"/>
    <cellStyle name="20% - Accent5 2 3 4 4" xfId="10889" xr:uid="{A07D5D44-EBE7-4194-AEF4-95E3E6A7D221}"/>
    <cellStyle name="20% - Accent5 2 3 4 4 2" xfId="29485" xr:uid="{2E358565-55CE-4348-8EFB-3C96696DC0AC}"/>
    <cellStyle name="20% - Accent5 2 3 4 5" xfId="20188" xr:uid="{DB44AC03-03AA-4F78-AE8C-7AA1DD348B5C}"/>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1A127529-0CED-4F68-A438-45D8A5116E40}"/>
    <cellStyle name="20% - Accent5 2 3 5 2 2 2 2" xfId="36260" xr:uid="{FB17C2E1-BAF0-43D4-8E3F-5BC539C2A013}"/>
    <cellStyle name="20% - Accent5 2 3 5 2 2 3" xfId="26963" xr:uid="{B3D82834-73B5-45F6-AF0E-D809C9593874}"/>
    <cellStyle name="20% - Accent5 2 3 5 2 3" xfId="13447" xr:uid="{9DA7AF2B-62F0-470F-9C69-E71593477056}"/>
    <cellStyle name="20% - Accent5 2 3 5 2 3 2" xfId="32043" xr:uid="{A8401407-F78E-495D-B41A-69FF07576388}"/>
    <cellStyle name="20% - Accent5 2 3 5 2 4" xfId="22746" xr:uid="{261638B7-FF73-4B1B-B0C7-59F8D493E933}"/>
    <cellStyle name="20% - Accent5 2 3 5 3" xfId="6193" xr:uid="{00000000-0005-0000-0000-0000BB020000}"/>
    <cellStyle name="20% - Accent5 2 3 5 3 2" xfId="15519" xr:uid="{A4D7D27C-210F-4436-A152-CA2C40520E01}"/>
    <cellStyle name="20% - Accent5 2 3 5 3 2 2" xfId="34115" xr:uid="{BADBEFCC-A120-4912-8D59-62D2D92269FB}"/>
    <cellStyle name="20% - Accent5 2 3 5 3 3" xfId="24818" xr:uid="{335848DE-4DE8-4A89-B037-C6CF80D4556C}"/>
    <cellStyle name="20% - Accent5 2 3 5 4" xfId="11302" xr:uid="{92302366-BFAB-4040-BD43-F0CE34E54A18}"/>
    <cellStyle name="20% - Accent5 2 3 5 4 2" xfId="29898" xr:uid="{5000318C-C1B1-4589-954B-F95C7FC73C08}"/>
    <cellStyle name="20% - Accent5 2 3 5 5" xfId="20601" xr:uid="{EF0C2D7C-31C2-4608-BAAA-97169F41561C}"/>
    <cellStyle name="20% - Accent5 2 3 6" xfId="2300" xr:uid="{00000000-0005-0000-0000-0000BC020000}"/>
    <cellStyle name="20% - Accent5 2 3 6 2" xfId="6606" xr:uid="{00000000-0005-0000-0000-0000BD020000}"/>
    <cellStyle name="20% - Accent5 2 3 6 2 2" xfId="15932" xr:uid="{C0C19FEF-EFAC-434F-A33A-927F18C36844}"/>
    <cellStyle name="20% - Accent5 2 3 6 2 2 2" xfId="34528" xr:uid="{39B9AA64-F7AE-4355-8AB3-CF4B4116DBE4}"/>
    <cellStyle name="20% - Accent5 2 3 6 2 3" xfId="25231" xr:uid="{4C9D4736-1FCF-487D-BB21-78E6E568EFAA}"/>
    <cellStyle name="20% - Accent5 2 3 6 3" xfId="11715" xr:uid="{C66AB1DE-FF54-49EF-8337-280772CB5131}"/>
    <cellStyle name="20% - Accent5 2 3 6 3 2" xfId="30311" xr:uid="{2244B6AE-7A23-4A4E-BC11-3ADFA7B03CCF}"/>
    <cellStyle name="20% - Accent5 2 3 6 4" xfId="21014" xr:uid="{7A36F5F7-6712-4481-988E-6C1DDEDE7D76}"/>
    <cellStyle name="20% - Accent5 2 3 7" xfId="4540" xr:uid="{00000000-0005-0000-0000-0000BE020000}"/>
    <cellStyle name="20% - Accent5 2 3 7 2" xfId="13866" xr:uid="{561048C7-466E-4E44-8C39-4B13D639271C}"/>
    <cellStyle name="20% - Accent5 2 3 7 2 2" xfId="32462" xr:uid="{517BE556-EAAD-451A-AF6D-4177B63B8D50}"/>
    <cellStyle name="20% - Accent5 2 3 7 3" xfId="23165" xr:uid="{CAE0C559-C950-49AF-8283-1F2FBB668C9C}"/>
    <cellStyle name="20% - Accent5 2 3 8" xfId="9003" xr:uid="{9830E7D1-E361-4BA3-A986-3DCE647EEF8E}"/>
    <cellStyle name="20% - Accent5 2 3 8 2" xfId="18327" xr:uid="{FF6902A9-B839-44FF-8C5F-7259F8ED7CAF}"/>
    <cellStyle name="20% - Accent5 2 3 8 2 2" xfId="36922" xr:uid="{EEE30A26-BBEF-492F-A735-489BE6129F25}"/>
    <cellStyle name="20% - Accent5 2 3 8 3" xfId="27625" xr:uid="{504BA438-2394-4627-A947-64ACD3C8ED72}"/>
    <cellStyle name="20% - Accent5 2 3 9" xfId="9649" xr:uid="{12E07ECF-3B88-44C6-A0D0-0E9E7FA25238}"/>
    <cellStyle name="20% - Accent5 2 3 9 2" xfId="28245" xr:uid="{91ABD9AB-C753-46A1-BBFF-21EE3422DCCF}"/>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96806E3A-375E-4BA4-B772-B6E0FF7D2F45}"/>
    <cellStyle name="20% - Accent5 2 4 2 2 2 2" xfId="35018" xr:uid="{61A48E56-9290-4909-ACFE-87B32B85764B}"/>
    <cellStyle name="20% - Accent5 2 4 2 2 3" xfId="25721" xr:uid="{D92AF098-0194-4919-AF54-E52CB34DDB91}"/>
    <cellStyle name="20% - Accent5 2 4 2 3" xfId="12205" xr:uid="{F48866AB-F943-46E6-97B8-D4EAC0B843F0}"/>
    <cellStyle name="20% - Accent5 2 4 2 3 2" xfId="30801" xr:uid="{620539DF-63DB-4D76-BDEF-FAA36F149B91}"/>
    <cellStyle name="20% - Accent5 2 4 2 4" xfId="21504" xr:uid="{6CB2C57F-275E-49C7-B795-6764547C9714}"/>
    <cellStyle name="20% - Accent5 2 4 3" xfId="4951" xr:uid="{00000000-0005-0000-0000-0000C2020000}"/>
    <cellStyle name="20% - Accent5 2 4 3 2" xfId="14277" xr:uid="{1EA8EF5C-19A2-42A8-8E1E-D0DD619AD7DE}"/>
    <cellStyle name="20% - Accent5 2 4 3 2 2" xfId="32873" xr:uid="{76A28159-C84D-403E-850D-7316AFAF621F}"/>
    <cellStyle name="20% - Accent5 2 4 3 3" xfId="23576" xr:uid="{1E347502-AD86-4ACE-8BEE-679C0D2B2AC7}"/>
    <cellStyle name="20% - Accent5 2 4 4" xfId="9220" xr:uid="{A7B88928-FE72-4C1B-B74E-3CA76DBA84CC}"/>
    <cellStyle name="20% - Accent5 2 4 4 2" xfId="18536" xr:uid="{0CD9CBD2-39BB-4104-862B-EDF48D0EFE55}"/>
    <cellStyle name="20% - Accent5 2 4 4 2 2" xfId="37130" xr:uid="{779DF4C9-71B2-4455-ABDA-8AD96C7772C5}"/>
    <cellStyle name="20% - Accent5 2 4 4 3" xfId="27833" xr:uid="{227A262D-0D52-4A66-9DB4-609DDA5EF860}"/>
    <cellStyle name="20% - Accent5 2 4 5" xfId="10060" xr:uid="{AB4618E4-7C43-4189-A26E-4861F5950979}"/>
    <cellStyle name="20% - Accent5 2 4 5 2" xfId="28656" xr:uid="{9FDA19F0-62D4-4BA0-BE0E-7A5A9832F567}"/>
    <cellStyle name="20% - Accent5 2 4 6" xfId="19359" xr:uid="{A3E610C1-793C-41D9-A00A-AA3AE3ED7EB2}"/>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89CC623D-197C-4EF7-9755-12541E3DDB2E}"/>
    <cellStyle name="20% - Accent5 2 5 2 2 2 2" xfId="35431" xr:uid="{6C50C99C-717F-46B0-8CCA-D1AE6BF1335C}"/>
    <cellStyle name="20% - Accent5 2 5 2 2 3" xfId="26134" xr:uid="{1BA60351-E832-4179-998F-A82EA78D0926}"/>
    <cellStyle name="20% - Accent5 2 5 2 3" xfId="12618" xr:uid="{247D6D0D-C176-4FB5-982D-611C907FDE51}"/>
    <cellStyle name="20% - Accent5 2 5 2 3 2" xfId="31214" xr:uid="{84912AAE-D7B8-4CEE-8B28-EFB849A75963}"/>
    <cellStyle name="20% - Accent5 2 5 2 4" xfId="21917" xr:uid="{96F319F3-E29E-47B3-847B-373B94E09DBD}"/>
    <cellStyle name="20% - Accent5 2 5 3" xfId="5364" xr:uid="{00000000-0005-0000-0000-0000C6020000}"/>
    <cellStyle name="20% - Accent5 2 5 3 2" xfId="14690" xr:uid="{C6BDCAE4-A82D-410D-AA1E-76A3F3BD38B6}"/>
    <cellStyle name="20% - Accent5 2 5 3 2 2" xfId="33286" xr:uid="{AEBE540B-371C-4183-A540-82ABEE241194}"/>
    <cellStyle name="20% - Accent5 2 5 3 3" xfId="23989" xr:uid="{B765E2B9-226F-45F7-AAD8-405161B5F698}"/>
    <cellStyle name="20% - Accent5 2 5 4" xfId="10473" xr:uid="{A9EC1F19-3E75-4859-B2B7-7A1132FAB065}"/>
    <cellStyle name="20% - Accent5 2 5 4 2" xfId="29069" xr:uid="{5E055588-4B03-4C78-A799-57F9CA8989F1}"/>
    <cellStyle name="20% - Accent5 2 5 5" xfId="19772" xr:uid="{4F4195AB-11A3-4FCA-8E9A-E9C2CC8424C5}"/>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CAFD35BE-FEA0-4B37-9804-8F43EDFCA465}"/>
    <cellStyle name="20% - Accent5 2 6 2 2 2 2" xfId="35844" xr:uid="{2CBEF38A-940F-4D86-BB3A-B28531FB5820}"/>
    <cellStyle name="20% - Accent5 2 6 2 2 3" xfId="26547" xr:uid="{7BDB41BB-5F0E-4D9F-95A5-F9AB9E6C4344}"/>
    <cellStyle name="20% - Accent5 2 6 2 3" xfId="13031" xr:uid="{7E0FEAE9-F396-45C1-A69C-26FFC503207D}"/>
    <cellStyle name="20% - Accent5 2 6 2 3 2" xfId="31627" xr:uid="{CCC6A190-2006-4C08-986D-A6525A924AA9}"/>
    <cellStyle name="20% - Accent5 2 6 2 4" xfId="22330" xr:uid="{E25505CC-8A38-45FC-BD1B-B7CCD59F42A1}"/>
    <cellStyle name="20% - Accent5 2 6 3" xfId="5777" xr:uid="{00000000-0005-0000-0000-0000CA020000}"/>
    <cellStyle name="20% - Accent5 2 6 3 2" xfId="15103" xr:uid="{4DE34AC4-2969-4EF8-A033-B706A7C4E7D4}"/>
    <cellStyle name="20% - Accent5 2 6 3 2 2" xfId="33699" xr:uid="{D33B158D-AF2F-4DCA-860B-3EF2D1C2322C}"/>
    <cellStyle name="20% - Accent5 2 6 3 3" xfId="24402" xr:uid="{393D7DEA-618F-4EB6-AF88-27AF3435F0F3}"/>
    <cellStyle name="20% - Accent5 2 6 4" xfId="10886" xr:uid="{6B5335DF-2368-4305-901F-24FBEBEC730C}"/>
    <cellStyle name="20% - Accent5 2 6 4 2" xfId="29482" xr:uid="{A8F075B5-B07E-4D19-B1F8-569C7925BC42}"/>
    <cellStyle name="20% - Accent5 2 6 5" xfId="20185" xr:uid="{8CBE67D4-9662-4C66-AF8E-FEAEBF65B108}"/>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C6143B67-C5FA-4D96-85DB-0496C70FC8DC}"/>
    <cellStyle name="20% - Accent5 2 7 2 2 2 2" xfId="36257" xr:uid="{039F5A65-D2E0-4A53-B9B1-B03151F45385}"/>
    <cellStyle name="20% - Accent5 2 7 2 2 3" xfId="26960" xr:uid="{AA3CFE32-A994-4B46-8A0C-DD81C5D489DC}"/>
    <cellStyle name="20% - Accent5 2 7 2 3" xfId="13444" xr:uid="{92D62C6D-E608-43DA-BA81-9A930944154E}"/>
    <cellStyle name="20% - Accent5 2 7 2 3 2" xfId="32040" xr:uid="{C235CB03-51A6-461D-9144-5031576D9B29}"/>
    <cellStyle name="20% - Accent5 2 7 2 4" xfId="22743" xr:uid="{F007E2B9-8191-4162-B77B-E7793318B8A7}"/>
    <cellStyle name="20% - Accent5 2 7 3" xfId="6190" xr:uid="{00000000-0005-0000-0000-0000CE020000}"/>
    <cellStyle name="20% - Accent5 2 7 3 2" xfId="15516" xr:uid="{2D4D29C3-905E-4BA1-8888-F4729D585DCC}"/>
    <cellStyle name="20% - Accent5 2 7 3 2 2" xfId="34112" xr:uid="{98393AE7-191F-4377-9ECC-507B1AA67075}"/>
    <cellStyle name="20% - Accent5 2 7 3 3" xfId="24815" xr:uid="{47E443C3-66DB-499D-AF08-8DA9DED35968}"/>
    <cellStyle name="20% - Accent5 2 7 4" xfId="11299" xr:uid="{3619FDF4-C00B-4CB3-A50E-9F016B681F5D}"/>
    <cellStyle name="20% - Accent5 2 7 4 2" xfId="29895" xr:uid="{693DC585-60DD-4ACD-AF55-4F45988C587C}"/>
    <cellStyle name="20% - Accent5 2 7 5" xfId="20598" xr:uid="{1BF47471-4A7A-4E31-833B-33E297AE6178}"/>
    <cellStyle name="20% - Accent5 2 8" xfId="2297" xr:uid="{00000000-0005-0000-0000-0000CF020000}"/>
    <cellStyle name="20% - Accent5 2 8 2" xfId="6603" xr:uid="{00000000-0005-0000-0000-0000D0020000}"/>
    <cellStyle name="20% - Accent5 2 8 2 2" xfId="15929" xr:uid="{D774FBDD-AD83-47A6-A241-F3C329DA1BB8}"/>
    <cellStyle name="20% - Accent5 2 8 2 2 2" xfId="34525" xr:uid="{09581507-832E-4A1F-890C-520DF7E12542}"/>
    <cellStyle name="20% - Accent5 2 8 2 3" xfId="25228" xr:uid="{8609704A-B9A0-4F97-9B97-8A778A3E001E}"/>
    <cellStyle name="20% - Accent5 2 8 3" xfId="11712" xr:uid="{020B1675-01C3-43E7-8FBD-128A980781B1}"/>
    <cellStyle name="20% - Accent5 2 8 3 2" xfId="30308" xr:uid="{86C2EAB0-8FA1-4357-9C23-06EEB32C3A67}"/>
    <cellStyle name="20% - Accent5 2 8 4" xfId="21011" xr:uid="{7FB1DC1F-A63D-4A3C-91F3-C673B50559EB}"/>
    <cellStyle name="20% - Accent5 2 9" xfId="4537" xr:uid="{00000000-0005-0000-0000-0000D1020000}"/>
    <cellStyle name="20% - Accent5 2 9 2" xfId="13863" xr:uid="{00CE08DF-5A6D-469C-908C-19BABA01C1F0}"/>
    <cellStyle name="20% - Accent5 2 9 2 2" xfId="32459" xr:uid="{46E2A0DF-1C5A-4FFA-BB84-D3E18BAE5A71}"/>
    <cellStyle name="20% - Accent5 2 9 3" xfId="23162" xr:uid="{E4DAAD20-4F27-4F7A-AC57-04101530F93A}"/>
    <cellStyle name="20% - Accent5 3" xfId="38" xr:uid="{00000000-0005-0000-0000-0000D2020000}"/>
    <cellStyle name="20% - Accent5 3 10" xfId="9650" xr:uid="{5FFCA8A2-D814-4B5A-B885-C241E95466C7}"/>
    <cellStyle name="20% - Accent5 3 10 2" xfId="28246" xr:uid="{CA2EF13D-395E-433B-AB66-9F58FFFE6912}"/>
    <cellStyle name="20% - Accent5 3 11" xfId="18949" xr:uid="{00C99BEF-16C5-4820-A107-620159C20AE8}"/>
    <cellStyle name="20% - Accent5 3 2" xfId="39" xr:uid="{00000000-0005-0000-0000-0000D3020000}"/>
    <cellStyle name="20% - Accent5 3 2 10" xfId="18950" xr:uid="{85965BAA-74A7-4AB0-8D98-2B7D91B62D22}"/>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F8F23B03-452B-4E95-9E7D-B7C9ACE9CCF9}"/>
    <cellStyle name="20% - Accent5 3 2 2 2 2 2 2" xfId="35023" xr:uid="{A8827271-1597-4249-9449-7CCD5A641399}"/>
    <cellStyle name="20% - Accent5 3 2 2 2 2 3" xfId="25726" xr:uid="{AD2DC86B-99B9-425C-9B2D-76584C4C6DF0}"/>
    <cellStyle name="20% - Accent5 3 2 2 2 3" xfId="12210" xr:uid="{6D0EA0BD-5D65-462C-9785-9F684DBA303E}"/>
    <cellStyle name="20% - Accent5 3 2 2 2 3 2" xfId="30806" xr:uid="{822B853E-F149-4896-A5E4-9EF496E6A40D}"/>
    <cellStyle name="20% - Accent5 3 2 2 2 4" xfId="21509" xr:uid="{AE7AF698-113F-4148-91B8-908640623AB5}"/>
    <cellStyle name="20% - Accent5 3 2 2 3" xfId="4956" xr:uid="{00000000-0005-0000-0000-0000D7020000}"/>
    <cellStyle name="20% - Accent5 3 2 2 3 2" xfId="14282" xr:uid="{FDCB7D21-2B25-493D-BE5C-C6BD4D97B68F}"/>
    <cellStyle name="20% - Accent5 3 2 2 3 2 2" xfId="32878" xr:uid="{2B9ABDC2-B949-4265-AE17-10CD048EE6BD}"/>
    <cellStyle name="20% - Accent5 3 2 2 3 3" xfId="23581" xr:uid="{1F368D69-1B83-4946-84AF-347FF6BE3337}"/>
    <cellStyle name="20% - Accent5 3 2 2 4" xfId="9501" xr:uid="{82A590A5-96D4-476E-8E6F-D81EEE08C409}"/>
    <cellStyle name="20% - Accent5 3 2 2 4 2" xfId="18816" xr:uid="{35E89294-7C17-41E9-9449-57ABF5C265BB}"/>
    <cellStyle name="20% - Accent5 3 2 2 4 2 2" xfId="37410" xr:uid="{E563B03E-2813-4A87-91E7-FBBD7471CB44}"/>
    <cellStyle name="20% - Accent5 3 2 2 4 3" xfId="28113" xr:uid="{DE8D848F-D906-4C10-84C9-8C55F57A2325}"/>
    <cellStyle name="20% - Accent5 3 2 2 5" xfId="10065" xr:uid="{B09CD5BC-F4F1-4323-87B4-776C2DBFF64A}"/>
    <cellStyle name="20% - Accent5 3 2 2 5 2" xfId="28661" xr:uid="{9FB5EB57-7440-4981-8F8C-95AF06D7B367}"/>
    <cellStyle name="20% - Accent5 3 2 2 6" xfId="19364" xr:uid="{F2D59E9A-9C86-4A94-A56F-C60B665ECD38}"/>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93F2803E-6DF3-4759-AF99-0BF279E83E6E}"/>
    <cellStyle name="20% - Accent5 3 2 3 2 2 2 2" xfId="35436" xr:uid="{84AD112F-74C7-4678-99E5-7D330CB8EFAB}"/>
    <cellStyle name="20% - Accent5 3 2 3 2 2 3" xfId="26139" xr:uid="{9F8806C4-77F8-4358-AC58-424C1891C26F}"/>
    <cellStyle name="20% - Accent5 3 2 3 2 3" xfId="12623" xr:uid="{C9989A00-06C6-4052-AA8A-B375A579EC61}"/>
    <cellStyle name="20% - Accent5 3 2 3 2 3 2" xfId="31219" xr:uid="{868312C2-438B-4004-87A6-6B8F1EFB601C}"/>
    <cellStyle name="20% - Accent5 3 2 3 2 4" xfId="21922" xr:uid="{037C6035-7C60-4B65-86F6-E3034982941F}"/>
    <cellStyle name="20% - Accent5 3 2 3 3" xfId="5369" xr:uid="{00000000-0005-0000-0000-0000DB020000}"/>
    <cellStyle name="20% - Accent5 3 2 3 3 2" xfId="14695" xr:uid="{8E4BC019-E1E4-4359-940D-8B117AA427F1}"/>
    <cellStyle name="20% - Accent5 3 2 3 3 2 2" xfId="33291" xr:uid="{F5CDB2EC-8876-4CE8-BEA4-F59F8D4A7816}"/>
    <cellStyle name="20% - Accent5 3 2 3 3 3" xfId="23994" xr:uid="{F72307B1-E045-44CC-8A4B-41962E0D4DB8}"/>
    <cellStyle name="20% - Accent5 3 2 3 4" xfId="10478" xr:uid="{8D553FB7-6AD0-4D4E-B040-40AE3D07817C}"/>
    <cellStyle name="20% - Accent5 3 2 3 4 2" xfId="29074" xr:uid="{D36A4031-63FD-4C4A-822F-3A8AC6722950}"/>
    <cellStyle name="20% - Accent5 3 2 3 5" xfId="19777" xr:uid="{A72075B5-EE1C-4B54-B018-CCECDF60240B}"/>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06622147-FFAF-4C7E-8266-EC8AD2C2777D}"/>
    <cellStyle name="20% - Accent5 3 2 4 2 2 2 2" xfId="35849" xr:uid="{E441EF35-DEA2-48DF-86B4-60DAFA730834}"/>
    <cellStyle name="20% - Accent5 3 2 4 2 2 3" xfId="26552" xr:uid="{173F888E-318F-4E99-BC8D-02410D2381F2}"/>
    <cellStyle name="20% - Accent5 3 2 4 2 3" xfId="13036" xr:uid="{17B7F588-41EC-4731-B352-1E7EC2432415}"/>
    <cellStyle name="20% - Accent5 3 2 4 2 3 2" xfId="31632" xr:uid="{51B933A7-5E17-4EB5-9DD7-A166E90EA825}"/>
    <cellStyle name="20% - Accent5 3 2 4 2 4" xfId="22335" xr:uid="{1EA82DE4-F4DE-477B-87A9-D68CF9CE1001}"/>
    <cellStyle name="20% - Accent5 3 2 4 3" xfId="5782" xr:uid="{00000000-0005-0000-0000-0000DF020000}"/>
    <cellStyle name="20% - Accent5 3 2 4 3 2" xfId="15108" xr:uid="{8350E131-1C27-4753-84EF-8E2FC9BF42F9}"/>
    <cellStyle name="20% - Accent5 3 2 4 3 2 2" xfId="33704" xr:uid="{E177C9B4-7090-4E62-A378-D5286D8056F9}"/>
    <cellStyle name="20% - Accent5 3 2 4 3 3" xfId="24407" xr:uid="{1CEBE79D-F9A0-41D8-9143-1598527D49B2}"/>
    <cellStyle name="20% - Accent5 3 2 4 4" xfId="10891" xr:uid="{E4AAD47B-CFE1-4B2E-9133-D46F880B3F3B}"/>
    <cellStyle name="20% - Accent5 3 2 4 4 2" xfId="29487" xr:uid="{6509C5FA-D35D-44E6-8548-B8290ADA91B6}"/>
    <cellStyle name="20% - Accent5 3 2 4 5" xfId="20190" xr:uid="{D7F155C6-8282-4F85-BC9B-DF2391C1900E}"/>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68AA5071-9AD1-4CCA-B3F4-69BE3A905A09}"/>
    <cellStyle name="20% - Accent5 3 2 5 2 2 2 2" xfId="36262" xr:uid="{EBC0629A-E25A-4DF2-A7BD-092485EB12A5}"/>
    <cellStyle name="20% - Accent5 3 2 5 2 2 3" xfId="26965" xr:uid="{00F7FCCB-E9C7-4F71-BED6-7885E16A2BAD}"/>
    <cellStyle name="20% - Accent5 3 2 5 2 3" xfId="13449" xr:uid="{44116FED-C589-44E2-9F5A-68655A4AA624}"/>
    <cellStyle name="20% - Accent5 3 2 5 2 3 2" xfId="32045" xr:uid="{583E755F-0771-46D4-B169-64A3E1C72B9D}"/>
    <cellStyle name="20% - Accent5 3 2 5 2 4" xfId="22748" xr:uid="{DD0AF2E3-3B9C-4CAF-93FB-8C04E7CB6A64}"/>
    <cellStyle name="20% - Accent5 3 2 5 3" xfId="6195" xr:uid="{00000000-0005-0000-0000-0000E3020000}"/>
    <cellStyle name="20% - Accent5 3 2 5 3 2" xfId="15521" xr:uid="{EAEB3721-04D6-4645-8274-5B590414BE89}"/>
    <cellStyle name="20% - Accent5 3 2 5 3 2 2" xfId="34117" xr:uid="{1B99E0C9-79D6-48D0-A427-A846495F83EE}"/>
    <cellStyle name="20% - Accent5 3 2 5 3 3" xfId="24820" xr:uid="{AF835666-9FD8-406A-A03B-B1C2E5D950AE}"/>
    <cellStyle name="20% - Accent5 3 2 5 4" xfId="11304" xr:uid="{3030393C-91DF-4239-B4BE-B9684C5959EC}"/>
    <cellStyle name="20% - Accent5 3 2 5 4 2" xfId="29900" xr:uid="{897246EC-6DBD-4113-835E-E4EA5B040B39}"/>
    <cellStyle name="20% - Accent5 3 2 5 5" xfId="20603" xr:uid="{AEA52320-B955-4F93-9592-25EF1109D348}"/>
    <cellStyle name="20% - Accent5 3 2 6" xfId="2302" xr:uid="{00000000-0005-0000-0000-0000E4020000}"/>
    <cellStyle name="20% - Accent5 3 2 6 2" xfId="6608" xr:uid="{00000000-0005-0000-0000-0000E5020000}"/>
    <cellStyle name="20% - Accent5 3 2 6 2 2" xfId="15934" xr:uid="{95CBF526-2D93-4609-9623-6EC11C1C2FE6}"/>
    <cellStyle name="20% - Accent5 3 2 6 2 2 2" xfId="34530" xr:uid="{2F173AAB-E67D-4F45-9806-939FB5BD63ED}"/>
    <cellStyle name="20% - Accent5 3 2 6 2 3" xfId="25233" xr:uid="{CE590BC9-92C6-4375-9CC9-A1B49CD8F0BF}"/>
    <cellStyle name="20% - Accent5 3 2 6 3" xfId="11717" xr:uid="{A3CBBA63-0DBF-44D5-B0BD-FD9FE94DEE8A}"/>
    <cellStyle name="20% - Accent5 3 2 6 3 2" xfId="30313" xr:uid="{4D64CA4B-15CC-4934-86E4-C30CD606292A}"/>
    <cellStyle name="20% - Accent5 3 2 6 4" xfId="21016" xr:uid="{16620F3E-534C-4740-B72F-29F18B35BC9F}"/>
    <cellStyle name="20% - Accent5 3 2 7" xfId="4542" xr:uid="{00000000-0005-0000-0000-0000E6020000}"/>
    <cellStyle name="20% - Accent5 3 2 7 2" xfId="13868" xr:uid="{B0F93D84-144A-4652-AF59-FEDC04450294}"/>
    <cellStyle name="20% - Accent5 3 2 7 2 2" xfId="32464" xr:uid="{9F4DFEEA-0E16-4E03-9DAC-29C417EACFD9}"/>
    <cellStyle name="20% - Accent5 3 2 7 3" xfId="23167" xr:uid="{0DCBA085-81D0-435D-88C1-02BED32A785E}"/>
    <cellStyle name="20% - Accent5 3 2 8" xfId="9076" xr:uid="{BEDF1D01-35A3-4513-9363-9C1AFC748168}"/>
    <cellStyle name="20% - Accent5 3 2 8 2" xfId="18400" xr:uid="{3EF50471-E8BA-450E-80B3-4A5B83C40BC9}"/>
    <cellStyle name="20% - Accent5 3 2 8 2 2" xfId="36995" xr:uid="{2E8F568A-B211-4308-8C48-56C0F3929953}"/>
    <cellStyle name="20% - Accent5 3 2 8 3" xfId="27698" xr:uid="{851F5E2A-C7CA-4766-A5A3-7610196D966B}"/>
    <cellStyle name="20% - Accent5 3 2 9" xfId="9651" xr:uid="{D5535DAD-1B94-4073-B90F-E91CF259E125}"/>
    <cellStyle name="20% - Accent5 3 2 9 2" xfId="28247" xr:uid="{F9804033-6147-463E-98BB-B7377374116D}"/>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7A8374FA-E706-46D8-8D7E-2D9693C45A8B}"/>
    <cellStyle name="20% - Accent5 3 3 2 2 2 2" xfId="35022" xr:uid="{223B802B-4043-4E40-B0C5-87E82E3BC8E0}"/>
    <cellStyle name="20% - Accent5 3 3 2 2 3" xfId="25725" xr:uid="{F0673A4D-C31D-48FF-B721-4F95E11430DA}"/>
    <cellStyle name="20% - Accent5 3 3 2 3" xfId="12209" xr:uid="{496F875B-6E57-40E6-8FB1-50B729757959}"/>
    <cellStyle name="20% - Accent5 3 3 2 3 2" xfId="30805" xr:uid="{27FF998F-174A-413D-95B2-219996CF7E85}"/>
    <cellStyle name="20% - Accent5 3 3 2 4" xfId="21508" xr:uid="{C3B9858F-9ECD-445C-AEC5-079A2FB4F230}"/>
    <cellStyle name="20% - Accent5 3 3 3" xfId="4955" xr:uid="{00000000-0005-0000-0000-0000EA020000}"/>
    <cellStyle name="20% - Accent5 3 3 3 2" xfId="14281" xr:uid="{F1865523-A81A-4AC7-A46F-72772DEFAB05}"/>
    <cellStyle name="20% - Accent5 3 3 3 2 2" xfId="32877" xr:uid="{C594A0B1-30C9-4299-9770-C80FD78B04F6}"/>
    <cellStyle name="20% - Accent5 3 3 3 3" xfId="23580" xr:uid="{DCCD9B62-9C42-4A9A-973F-40A3F5E2387B}"/>
    <cellStyle name="20% - Accent5 3 3 4" xfId="9294" xr:uid="{124960EA-C7A4-4686-BF67-47D6C57F7EEB}"/>
    <cellStyle name="20% - Accent5 3 3 4 2" xfId="18609" xr:uid="{679166EA-5963-4ABA-92CE-BCD20F4497DD}"/>
    <cellStyle name="20% - Accent5 3 3 4 2 2" xfId="37203" xr:uid="{BDD87CFC-EFFF-4CE2-9835-9D4BF8DCA1F1}"/>
    <cellStyle name="20% - Accent5 3 3 4 3" xfId="27906" xr:uid="{FC7E636C-DA8D-4832-8E4A-BD1B4AD35E90}"/>
    <cellStyle name="20% - Accent5 3 3 5" xfId="10064" xr:uid="{BB386578-6398-4009-9EA5-58BC31FF4A13}"/>
    <cellStyle name="20% - Accent5 3 3 5 2" xfId="28660" xr:uid="{508C7129-8B28-47F4-BD61-7EFB447FDEDC}"/>
    <cellStyle name="20% - Accent5 3 3 6" xfId="19363" xr:uid="{18F50AAE-883F-4953-9C40-6254CF498270}"/>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8C9F8DE4-BB01-4EE4-A671-46E8BD2C59F9}"/>
    <cellStyle name="20% - Accent5 3 4 2 2 2 2" xfId="35435" xr:uid="{76490C51-2592-4504-A52F-59198F5EF06D}"/>
    <cellStyle name="20% - Accent5 3 4 2 2 3" xfId="26138" xr:uid="{387DE92A-E820-4588-ABB0-D265C999F48A}"/>
    <cellStyle name="20% - Accent5 3 4 2 3" xfId="12622" xr:uid="{A55B8827-5BFF-4B6C-A006-E4815B0A51D0}"/>
    <cellStyle name="20% - Accent5 3 4 2 3 2" xfId="31218" xr:uid="{8D126419-8E00-4607-85C9-95EDA902FDD3}"/>
    <cellStyle name="20% - Accent5 3 4 2 4" xfId="21921" xr:uid="{1C6173D2-9127-4149-ACFB-6733A420E9A9}"/>
    <cellStyle name="20% - Accent5 3 4 3" xfId="5368" xr:uid="{00000000-0005-0000-0000-0000EE020000}"/>
    <cellStyle name="20% - Accent5 3 4 3 2" xfId="14694" xr:uid="{06DE9130-4F97-4E1E-916F-203DF620C931}"/>
    <cellStyle name="20% - Accent5 3 4 3 2 2" xfId="33290" xr:uid="{780D3276-7F0B-499C-B8C0-D07BE17B12AC}"/>
    <cellStyle name="20% - Accent5 3 4 3 3" xfId="23993" xr:uid="{E446CEA6-8D7C-4AA3-806A-4B1CDF8B8119}"/>
    <cellStyle name="20% - Accent5 3 4 4" xfId="10477" xr:uid="{06CEFDFC-5A01-4A8A-A15A-049635C27245}"/>
    <cellStyle name="20% - Accent5 3 4 4 2" xfId="29073" xr:uid="{C9E0023A-868B-49A7-82CF-7DCCC5EE5761}"/>
    <cellStyle name="20% - Accent5 3 4 5" xfId="19776" xr:uid="{E2B19391-763E-492F-B098-FDE30ABED57A}"/>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E7F4BC54-0077-44D2-A284-A8EE546954FC}"/>
    <cellStyle name="20% - Accent5 3 5 2 2 2 2" xfId="35848" xr:uid="{3B48B1F7-6FA6-43A2-921F-25F03F74739F}"/>
    <cellStyle name="20% - Accent5 3 5 2 2 3" xfId="26551" xr:uid="{BD85A412-8694-4222-B4CF-DE237B40F3AA}"/>
    <cellStyle name="20% - Accent5 3 5 2 3" xfId="13035" xr:uid="{AE888957-EC49-494D-8F77-75DA8B269060}"/>
    <cellStyle name="20% - Accent5 3 5 2 3 2" xfId="31631" xr:uid="{8CDA33CC-D3B3-4256-A2D6-FC81A1F58210}"/>
    <cellStyle name="20% - Accent5 3 5 2 4" xfId="22334" xr:uid="{A0FC7462-3F53-4AC9-8BFC-67905B0CD5F5}"/>
    <cellStyle name="20% - Accent5 3 5 3" xfId="5781" xr:uid="{00000000-0005-0000-0000-0000F2020000}"/>
    <cellStyle name="20% - Accent5 3 5 3 2" xfId="15107" xr:uid="{C1D7E59D-A940-4CBB-9D95-1CDC15486EDA}"/>
    <cellStyle name="20% - Accent5 3 5 3 2 2" xfId="33703" xr:uid="{426A4D65-59E0-4D3A-BBAE-AB0E65764EF4}"/>
    <cellStyle name="20% - Accent5 3 5 3 3" xfId="24406" xr:uid="{7C64B4E6-6873-4046-AFD0-18E321C61C06}"/>
    <cellStyle name="20% - Accent5 3 5 4" xfId="10890" xr:uid="{68593817-023A-45C5-8343-CD3E4C1932B3}"/>
    <cellStyle name="20% - Accent5 3 5 4 2" xfId="29486" xr:uid="{1B227E92-FA68-47C1-9B1B-CF84BB4C237A}"/>
    <cellStyle name="20% - Accent5 3 5 5" xfId="20189" xr:uid="{59D8E000-EC9E-4BB6-83F4-08AA2ACF6980}"/>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5D736A93-6327-4C37-957A-276FF43C8208}"/>
    <cellStyle name="20% - Accent5 3 6 2 2 2 2" xfId="36261" xr:uid="{221E10F5-32CC-431B-886E-AD18FD60E13B}"/>
    <cellStyle name="20% - Accent5 3 6 2 2 3" xfId="26964" xr:uid="{48C32C57-EBEE-4EB7-AE76-C77A62A0B721}"/>
    <cellStyle name="20% - Accent5 3 6 2 3" xfId="13448" xr:uid="{EABE3C6F-ED79-45B6-95D0-29F375345A38}"/>
    <cellStyle name="20% - Accent5 3 6 2 3 2" xfId="32044" xr:uid="{389D4939-144D-4573-8FAC-B0D4FCB48463}"/>
    <cellStyle name="20% - Accent5 3 6 2 4" xfId="22747" xr:uid="{3EF7E162-8229-46D7-A7BF-A64B412E7C9F}"/>
    <cellStyle name="20% - Accent5 3 6 3" xfId="6194" xr:uid="{00000000-0005-0000-0000-0000F6020000}"/>
    <cellStyle name="20% - Accent5 3 6 3 2" xfId="15520" xr:uid="{81EB2332-A8ED-4FC2-B892-76BB75D43E3B}"/>
    <cellStyle name="20% - Accent5 3 6 3 2 2" xfId="34116" xr:uid="{5CBF0408-A9C5-4EB9-8A01-74C4599E6A32}"/>
    <cellStyle name="20% - Accent5 3 6 3 3" xfId="24819" xr:uid="{40BC5D3C-8D64-4942-9ED4-FEC38BCAE33E}"/>
    <cellStyle name="20% - Accent5 3 6 4" xfId="11303" xr:uid="{9C47AA79-F761-48A1-B133-5D7C81C43EBC}"/>
    <cellStyle name="20% - Accent5 3 6 4 2" xfId="29899" xr:uid="{363EEF64-FE53-4E5C-9B2D-3F95CA2B0649}"/>
    <cellStyle name="20% - Accent5 3 6 5" xfId="20602" xr:uid="{416A67E5-D829-4884-8609-F8DF73A0C331}"/>
    <cellStyle name="20% - Accent5 3 7" xfId="2301" xr:uid="{00000000-0005-0000-0000-0000F7020000}"/>
    <cellStyle name="20% - Accent5 3 7 2" xfId="6607" xr:uid="{00000000-0005-0000-0000-0000F8020000}"/>
    <cellStyle name="20% - Accent5 3 7 2 2" xfId="15933" xr:uid="{F6AED0A3-6A52-4BFE-B07C-CA8C874C5837}"/>
    <cellStyle name="20% - Accent5 3 7 2 2 2" xfId="34529" xr:uid="{826B9368-8012-4E03-8EC1-5E5E92797D79}"/>
    <cellStyle name="20% - Accent5 3 7 2 3" xfId="25232" xr:uid="{38661153-D07C-4C2B-A378-FBB12EFF20D9}"/>
    <cellStyle name="20% - Accent5 3 7 3" xfId="11716" xr:uid="{468978AF-39FB-4F5D-ABF2-5C37E0B62853}"/>
    <cellStyle name="20% - Accent5 3 7 3 2" xfId="30312" xr:uid="{735DFF36-FA05-4607-801C-E91E9A46D0A4}"/>
    <cellStyle name="20% - Accent5 3 7 4" xfId="21015" xr:uid="{48E929AC-81F4-4B09-A3B6-2AC9B0B87E64}"/>
    <cellStyle name="20% - Accent5 3 8" xfId="4541" xr:uid="{00000000-0005-0000-0000-0000F9020000}"/>
    <cellStyle name="20% - Accent5 3 8 2" xfId="13867" xr:uid="{04D48C4D-D842-4C73-842D-66E60DF7E84B}"/>
    <cellStyle name="20% - Accent5 3 8 2 2" xfId="32463" xr:uid="{D865B3F2-A24F-4542-B81F-B90D1E34F5BF}"/>
    <cellStyle name="20% - Accent5 3 8 3" xfId="23166" xr:uid="{83F9ECEB-4B37-4B9F-98A8-4DEFB0AB565D}"/>
    <cellStyle name="20% - Accent5 3 9" xfId="8869" xr:uid="{43CC8A87-AEEB-4E51-98E7-F8AE8D86AD2B}"/>
    <cellStyle name="20% - Accent5 3 9 2" xfId="18193" xr:uid="{2E91B878-2C0D-4EE2-A995-550EBF00F606}"/>
    <cellStyle name="20% - Accent5 3 9 2 2" xfId="36788" xr:uid="{CCE15643-E510-45A0-964D-31F76D5FB7C7}"/>
    <cellStyle name="20% - Accent5 3 9 3" xfId="27491" xr:uid="{F68FB488-2B76-42BD-B4EF-6482605A2CFA}"/>
    <cellStyle name="20% - Accent5 4" xfId="40" xr:uid="{00000000-0005-0000-0000-0000FA020000}"/>
    <cellStyle name="20% - Accent5 4 10" xfId="18951" xr:uid="{E2ABD894-3C28-44BE-B124-2BFA2BEB9564}"/>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A7DB71AA-8775-4A5C-8E9A-02F687A399B5}"/>
    <cellStyle name="20% - Accent5 4 2 2 2 2 2" xfId="35024" xr:uid="{4CACDE48-1092-491E-9B4A-11DD115F673C}"/>
    <cellStyle name="20% - Accent5 4 2 2 2 3" xfId="25727" xr:uid="{8FE0AA07-53A0-4D5B-A1AE-750908983D25}"/>
    <cellStyle name="20% - Accent5 4 2 2 3" xfId="12211" xr:uid="{7C9EB508-0574-4768-9D4D-058D03ABED20}"/>
    <cellStyle name="20% - Accent5 4 2 2 3 2" xfId="30807" xr:uid="{2873B8A1-2C1B-49E5-97DE-6608DD823BBD}"/>
    <cellStyle name="20% - Accent5 4 2 2 4" xfId="21510" xr:uid="{57205587-0C5E-4618-84BA-8EC10B3A6CC0}"/>
    <cellStyle name="20% - Accent5 4 2 3" xfId="4957" xr:uid="{00000000-0005-0000-0000-0000FE020000}"/>
    <cellStyle name="20% - Accent5 4 2 3 2" xfId="14283" xr:uid="{7013F4F1-5B77-47C0-A7F5-B3A797F62238}"/>
    <cellStyle name="20% - Accent5 4 2 3 2 2" xfId="32879" xr:uid="{29CE516A-90B3-4687-8986-113D324DD633}"/>
    <cellStyle name="20% - Accent5 4 2 3 3" xfId="23582" xr:uid="{D011DD25-A750-428B-ADCB-4939BF794029}"/>
    <cellStyle name="20% - Accent5 4 2 4" xfId="9380" xr:uid="{1C764D65-D71C-4646-AD86-15F83BDBF498}"/>
    <cellStyle name="20% - Accent5 4 2 4 2" xfId="18695" xr:uid="{AD40B6A9-E11F-409B-9C88-CCBEEE3DB5EC}"/>
    <cellStyle name="20% - Accent5 4 2 4 2 2" xfId="37289" xr:uid="{2B23CAD1-0337-4173-9137-C53A6BE37773}"/>
    <cellStyle name="20% - Accent5 4 2 4 3" xfId="27992" xr:uid="{E1063CDA-B707-4D70-8FA7-BB8EC9F9EFC6}"/>
    <cellStyle name="20% - Accent5 4 2 5" xfId="10066" xr:uid="{E3510C55-BF2E-45A0-B83F-6469E8E88AC9}"/>
    <cellStyle name="20% - Accent5 4 2 5 2" xfId="28662" xr:uid="{B3F39A20-2021-4610-93E6-650489B05568}"/>
    <cellStyle name="20% - Accent5 4 2 6" xfId="19365" xr:uid="{BF066A88-11FC-4C76-B751-9258EEF23B0F}"/>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A49C0534-84CA-4A1E-8C70-C19DE6B7E325}"/>
    <cellStyle name="20% - Accent5 4 3 2 2 2 2" xfId="35437" xr:uid="{40DEF7C4-B1E6-45A1-9AF4-13BFDD28D4F1}"/>
    <cellStyle name="20% - Accent5 4 3 2 2 3" xfId="26140" xr:uid="{06A14A79-368E-48C5-A65F-7EC666C8B707}"/>
    <cellStyle name="20% - Accent5 4 3 2 3" xfId="12624" xr:uid="{5D5A2A6F-5F90-433F-B4AB-C140903874EF}"/>
    <cellStyle name="20% - Accent5 4 3 2 3 2" xfId="31220" xr:uid="{52A7322C-3116-4D51-8C2B-C9DB551C1BAF}"/>
    <cellStyle name="20% - Accent5 4 3 2 4" xfId="21923" xr:uid="{A8D1733A-0B37-432B-8779-32C8C5B15158}"/>
    <cellStyle name="20% - Accent5 4 3 3" xfId="5370" xr:uid="{00000000-0005-0000-0000-000002030000}"/>
    <cellStyle name="20% - Accent5 4 3 3 2" xfId="14696" xr:uid="{B52F9792-4D79-446D-AC3A-5A837D524E81}"/>
    <cellStyle name="20% - Accent5 4 3 3 2 2" xfId="33292" xr:uid="{7D14BB6B-BA55-4E96-BA2E-213D5C298C89}"/>
    <cellStyle name="20% - Accent5 4 3 3 3" xfId="23995" xr:uid="{82663EB1-E349-4721-9441-D1E14EB11A7B}"/>
    <cellStyle name="20% - Accent5 4 3 4" xfId="10479" xr:uid="{DFD6D23A-0C4E-4262-8A16-B37F7C6FA59A}"/>
    <cellStyle name="20% - Accent5 4 3 4 2" xfId="29075" xr:uid="{8540DC43-0A93-48DA-897A-D8B32A8F83A1}"/>
    <cellStyle name="20% - Accent5 4 3 5" xfId="19778" xr:uid="{1794C91A-BD68-41F0-AD36-2B0E2CC1DF60}"/>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ED679720-862B-40C2-95D8-A0050EA34635}"/>
    <cellStyle name="20% - Accent5 4 4 2 2 2 2" xfId="35850" xr:uid="{8ABF98B9-E934-420E-86E2-E92A4BE81BD6}"/>
    <cellStyle name="20% - Accent5 4 4 2 2 3" xfId="26553" xr:uid="{241F477D-9579-4DE9-9D0B-2183E01FE79A}"/>
    <cellStyle name="20% - Accent5 4 4 2 3" xfId="13037" xr:uid="{CBAFCBDE-8CF3-4047-AC61-969C1A4714B1}"/>
    <cellStyle name="20% - Accent5 4 4 2 3 2" xfId="31633" xr:uid="{8ECC3BC5-F970-45AC-AF65-9479F2BD9C66}"/>
    <cellStyle name="20% - Accent5 4 4 2 4" xfId="22336" xr:uid="{6852F24B-D6DF-4972-A8C8-1FECD54158C7}"/>
    <cellStyle name="20% - Accent5 4 4 3" xfId="5783" xr:uid="{00000000-0005-0000-0000-000006030000}"/>
    <cellStyle name="20% - Accent5 4 4 3 2" xfId="15109" xr:uid="{6F74BBDC-9A57-4BF6-A6F9-269DA163E268}"/>
    <cellStyle name="20% - Accent5 4 4 3 2 2" xfId="33705" xr:uid="{17A07B1A-CBBC-4CF5-95A7-1CB7F297B8C5}"/>
    <cellStyle name="20% - Accent5 4 4 3 3" xfId="24408" xr:uid="{2F4C62C4-B7AA-486C-99E2-8FBE2D7B9D45}"/>
    <cellStyle name="20% - Accent5 4 4 4" xfId="10892" xr:uid="{E185CCE4-F332-4551-9E41-627F8D4B4700}"/>
    <cellStyle name="20% - Accent5 4 4 4 2" xfId="29488" xr:uid="{BCC9159B-8363-44F1-BEB0-F9B260F8F8D8}"/>
    <cellStyle name="20% - Accent5 4 4 5" xfId="20191" xr:uid="{78FD64F3-4E23-4CD3-8153-8D57EE21E839}"/>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948BCB8F-34D5-4661-8093-8CCD657B0E8D}"/>
    <cellStyle name="20% - Accent5 4 5 2 2 2 2" xfId="36263" xr:uid="{4D77C6A5-2E22-4B9C-AAB6-BCF568D0C041}"/>
    <cellStyle name="20% - Accent5 4 5 2 2 3" xfId="26966" xr:uid="{71470286-713D-449A-AAD4-7A242D332639}"/>
    <cellStyle name="20% - Accent5 4 5 2 3" xfId="13450" xr:uid="{A9309FC5-227E-49BE-A706-36BB3F955EE8}"/>
    <cellStyle name="20% - Accent5 4 5 2 3 2" xfId="32046" xr:uid="{4C79D8EF-FBF7-4146-B28C-39C3E649902C}"/>
    <cellStyle name="20% - Accent5 4 5 2 4" xfId="22749" xr:uid="{36120CD7-71F3-4CD1-9BEC-40147464D379}"/>
    <cellStyle name="20% - Accent5 4 5 3" xfId="6196" xr:uid="{00000000-0005-0000-0000-00000A030000}"/>
    <cellStyle name="20% - Accent5 4 5 3 2" xfId="15522" xr:uid="{99E3F865-9A83-430C-8B07-5ABB3D3E5131}"/>
    <cellStyle name="20% - Accent5 4 5 3 2 2" xfId="34118" xr:uid="{A1E4DB96-6F89-4529-9E44-CA6910DC7896}"/>
    <cellStyle name="20% - Accent5 4 5 3 3" xfId="24821" xr:uid="{2EF369E7-A9AC-4643-B751-BB6CB7DE2470}"/>
    <cellStyle name="20% - Accent5 4 5 4" xfId="11305" xr:uid="{B0BC07F0-9B8F-456B-8534-10EB5EEB8D39}"/>
    <cellStyle name="20% - Accent5 4 5 4 2" xfId="29901" xr:uid="{4FEC7909-1763-40B1-A0B6-220571B9588F}"/>
    <cellStyle name="20% - Accent5 4 5 5" xfId="20604" xr:uid="{C4CCC335-1E52-41FB-B2FA-DFFDC8E78191}"/>
    <cellStyle name="20% - Accent5 4 6" xfId="2303" xr:uid="{00000000-0005-0000-0000-00000B030000}"/>
    <cellStyle name="20% - Accent5 4 6 2" xfId="6609" xr:uid="{00000000-0005-0000-0000-00000C030000}"/>
    <cellStyle name="20% - Accent5 4 6 2 2" xfId="15935" xr:uid="{497ECD84-6805-4F4F-A8EE-C9BE571D8193}"/>
    <cellStyle name="20% - Accent5 4 6 2 2 2" xfId="34531" xr:uid="{F36F11A8-D9EB-43D0-AC7D-E1A26F9B15D1}"/>
    <cellStyle name="20% - Accent5 4 6 2 3" xfId="25234" xr:uid="{395540E5-218A-4EBB-8D39-B2F8EFD28F44}"/>
    <cellStyle name="20% - Accent5 4 6 3" xfId="11718" xr:uid="{23D308FF-7C7B-428C-A476-7A5311CFCD61}"/>
    <cellStyle name="20% - Accent5 4 6 3 2" xfId="30314" xr:uid="{FB3C186E-934A-4DFD-88CB-B528EE4FC324}"/>
    <cellStyle name="20% - Accent5 4 6 4" xfId="21017" xr:uid="{E50743AA-F941-46B7-89FA-1CC975704784}"/>
    <cellStyle name="20% - Accent5 4 7" xfId="4543" xr:uid="{00000000-0005-0000-0000-00000D030000}"/>
    <cellStyle name="20% - Accent5 4 7 2" xfId="13869" xr:uid="{3EC3ACCE-DBA2-46FE-AE97-86DD1200E738}"/>
    <cellStyle name="20% - Accent5 4 7 2 2" xfId="32465" xr:uid="{97EE6218-298B-4B74-9D83-8E96B28443F2}"/>
    <cellStyle name="20% - Accent5 4 7 3" xfId="23168" xr:uid="{B2DB4B40-90E9-4933-BEC4-387017E3ECF2}"/>
    <cellStyle name="20% - Accent5 4 8" xfId="8955" xr:uid="{8AD43D76-8747-44EC-8D3B-2720ADF9D1B1}"/>
    <cellStyle name="20% - Accent5 4 8 2" xfId="18279" xr:uid="{56D9596E-948B-45AF-9EB1-D23CF27C8D15}"/>
    <cellStyle name="20% - Accent5 4 8 2 2" xfId="36874" xr:uid="{3E576B73-628D-4388-8945-E3D3A7F8CABC}"/>
    <cellStyle name="20% - Accent5 4 8 3" xfId="27577" xr:uid="{E5DD3BEF-C85C-43BB-8B3D-F8991FB1B7BC}"/>
    <cellStyle name="20% - Accent5 4 9" xfId="9652" xr:uid="{E6423FB4-6C3C-454C-A6EE-B3F254AC4029}"/>
    <cellStyle name="20% - Accent5 4 9 2" xfId="28248" xr:uid="{52AF7DE2-6D52-4715-A06D-A07A94755339}"/>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564E1D68-39CE-4C8B-9A0A-8DE6F6A5DD07}"/>
    <cellStyle name="20% - Accent5 5 2 2 2 2" xfId="35017" xr:uid="{3251D366-EE0E-45FA-938F-5B8C41C2078F}"/>
    <cellStyle name="20% - Accent5 5 2 2 3" xfId="25720" xr:uid="{519FB7BB-A518-4A27-A1D2-979ADBC4DDB8}"/>
    <cellStyle name="20% - Accent5 5 2 3" xfId="12204" xr:uid="{D60AA400-51CA-4E7B-98E5-6E72F98073DB}"/>
    <cellStyle name="20% - Accent5 5 2 3 2" xfId="30800" xr:uid="{0889AC89-03DA-459B-B4C6-6CD4C3D03694}"/>
    <cellStyle name="20% - Accent5 5 2 4" xfId="21503" xr:uid="{58027374-A9F5-4778-9E9E-2C69F4CA803B}"/>
    <cellStyle name="20% - Accent5 5 3" xfId="4950" xr:uid="{00000000-0005-0000-0000-000011030000}"/>
    <cellStyle name="20% - Accent5 5 3 2" xfId="14276" xr:uid="{8750D288-368B-4F65-96D3-884A8F100135}"/>
    <cellStyle name="20% - Accent5 5 3 2 2" xfId="32872" xr:uid="{441FADE9-1C74-4EFF-8775-70E176590D7C}"/>
    <cellStyle name="20% - Accent5 5 3 3" xfId="23575" xr:uid="{7D1904AC-51D1-4ABC-880C-D8C5C80AB791}"/>
    <cellStyle name="20% - Accent5 5 4" xfId="9188" xr:uid="{164CF7CE-7706-426C-90AA-4867A06E28BD}"/>
    <cellStyle name="20% - Accent5 5 4 2" xfId="18506" xr:uid="{6413E019-1413-436F-8A33-25F7D256C456}"/>
    <cellStyle name="20% - Accent5 5 4 2 2" xfId="37100" xr:uid="{4F1ED90F-5DA8-4139-A615-A2127E6A53F6}"/>
    <cellStyle name="20% - Accent5 5 4 3" xfId="27803" xr:uid="{74063026-01FC-4205-9FF5-34A5E955502B}"/>
    <cellStyle name="20% - Accent5 5 5" xfId="10059" xr:uid="{97A4967E-5117-44B0-986D-1250E3D6CB9B}"/>
    <cellStyle name="20% - Accent5 5 5 2" xfId="28655" xr:uid="{8DA0705A-4915-4C42-8F4E-E56E1F133BCB}"/>
    <cellStyle name="20% - Accent5 5 6" xfId="19358" xr:uid="{990A6070-A71B-4EC8-83B1-EFCC18C6010A}"/>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5F019D2E-3E9E-490C-9BE8-8E4A4BDA3347}"/>
    <cellStyle name="20% - Accent5 6 2 2 2 2" xfId="35430" xr:uid="{84CE0F74-F945-4436-A5F8-9A13A4EB2F22}"/>
    <cellStyle name="20% - Accent5 6 2 2 3" xfId="26133" xr:uid="{A79D02C1-2580-4159-8BB1-380C6FFE451E}"/>
    <cellStyle name="20% - Accent5 6 2 3" xfId="12617" xr:uid="{57895E1D-0EEB-443C-83F5-18B0F942EE66}"/>
    <cellStyle name="20% - Accent5 6 2 3 2" xfId="31213" xr:uid="{1A3A1C2F-471C-411F-BE72-03C048F015CF}"/>
    <cellStyle name="20% - Accent5 6 2 4" xfId="21916" xr:uid="{31BF6F7E-048A-4FBE-ADBD-9FAD8D070DF7}"/>
    <cellStyle name="20% - Accent5 6 3" xfId="5363" xr:uid="{00000000-0005-0000-0000-000015030000}"/>
    <cellStyle name="20% - Accent5 6 3 2" xfId="14689" xr:uid="{EFC3F543-266B-4A28-94E9-15BAC31BB532}"/>
    <cellStyle name="20% - Accent5 6 3 2 2" xfId="33285" xr:uid="{2C6DF3A2-8211-4103-98B9-21D804B569DE}"/>
    <cellStyle name="20% - Accent5 6 3 3" xfId="23988" xr:uid="{5CE6F51E-AF3D-4EAC-9694-A97E6A1BDAE8}"/>
    <cellStyle name="20% - Accent5 6 4" xfId="10472" xr:uid="{C026F8D3-AF1E-4C5B-9E7E-D0F98873DCB8}"/>
    <cellStyle name="20% - Accent5 6 4 2" xfId="29068" xr:uid="{712F4F66-CB66-4F16-AE3F-294B0152F449}"/>
    <cellStyle name="20% - Accent5 6 5" xfId="19771" xr:uid="{6B90E12D-3B19-4CF3-812D-D7B8E9E76509}"/>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75E3A1BB-67B6-4B79-9A05-DD7AB08356BB}"/>
    <cellStyle name="20% - Accent5 7 2 2 2 2" xfId="35843" xr:uid="{5FA3CA6C-24EF-4C6C-BD4D-494A71DFC882}"/>
    <cellStyle name="20% - Accent5 7 2 2 3" xfId="26546" xr:uid="{7B086FAF-CD74-44F3-A733-2186F94051DE}"/>
    <cellStyle name="20% - Accent5 7 2 3" xfId="13030" xr:uid="{F779E111-4A7F-45AD-8FF9-8BF3C594248C}"/>
    <cellStyle name="20% - Accent5 7 2 3 2" xfId="31626" xr:uid="{81DAE2C5-BB49-4F7D-A7D1-A06383B9F96A}"/>
    <cellStyle name="20% - Accent5 7 2 4" xfId="22329" xr:uid="{52BB9F12-32C1-4668-BBBC-5EA13A114840}"/>
    <cellStyle name="20% - Accent5 7 3" xfId="5776" xr:uid="{00000000-0005-0000-0000-000019030000}"/>
    <cellStyle name="20% - Accent5 7 3 2" xfId="15102" xr:uid="{24FFCE79-24D1-4155-AC59-401111233CC2}"/>
    <cellStyle name="20% - Accent5 7 3 2 2" xfId="33698" xr:uid="{4BA3A8F2-243F-4181-9709-5C64E696BE78}"/>
    <cellStyle name="20% - Accent5 7 3 3" xfId="24401" xr:uid="{7BAABE10-C19F-4C46-8D07-E580D154AC70}"/>
    <cellStyle name="20% - Accent5 7 4" xfId="10885" xr:uid="{159FE4D2-D7AF-42E0-AC9C-EABDB4D8DA29}"/>
    <cellStyle name="20% - Accent5 7 4 2" xfId="29481" xr:uid="{AD83F176-B508-45B2-B1AC-A49290821EC0}"/>
    <cellStyle name="20% - Accent5 7 5" xfId="20184" xr:uid="{A3EF24E7-6B0B-454D-A978-1C36E35DA89C}"/>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47F5B743-A680-4272-ADCE-63F059ECEC29}"/>
    <cellStyle name="20% - Accent5 8 2 2 2 2" xfId="36256" xr:uid="{F7AE6046-531D-43D2-89E4-4E2A5455C882}"/>
    <cellStyle name="20% - Accent5 8 2 2 3" xfId="26959" xr:uid="{D5EC2809-E6F8-4F66-866A-2E271979E156}"/>
    <cellStyle name="20% - Accent5 8 2 3" xfId="13443" xr:uid="{C6AD0D92-239E-495A-BD45-B7A25FF277A5}"/>
    <cellStyle name="20% - Accent5 8 2 3 2" xfId="32039" xr:uid="{D49DA0F6-7F30-4CEC-B7E6-A0E539B87755}"/>
    <cellStyle name="20% - Accent5 8 2 4" xfId="22742" xr:uid="{BE4B3248-11FC-4C4A-B8A0-FCBA924A01B1}"/>
    <cellStyle name="20% - Accent5 8 3" xfId="6189" xr:uid="{00000000-0005-0000-0000-00001D030000}"/>
    <cellStyle name="20% - Accent5 8 3 2" xfId="15515" xr:uid="{4BF483B5-9AEB-4577-A07A-7384FE38E3B9}"/>
    <cellStyle name="20% - Accent5 8 3 2 2" xfId="34111" xr:uid="{F20FC58D-8B7F-46A8-A9A8-08E25C1DDBD1}"/>
    <cellStyle name="20% - Accent5 8 3 3" xfId="24814" xr:uid="{E638F086-B13C-485B-90FB-727A701A39E8}"/>
    <cellStyle name="20% - Accent5 8 4" xfId="11298" xr:uid="{4C6692EA-9AE3-48F3-8E84-B7CF659B4B61}"/>
    <cellStyle name="20% - Accent5 8 4 2" xfId="29894" xr:uid="{3091C167-A4BF-4A0E-B30D-B31C53687DFF}"/>
    <cellStyle name="20% - Accent5 8 5" xfId="20597" xr:uid="{A5F318DF-5ED3-402B-914B-7D0B9E80108C}"/>
    <cellStyle name="20% - Accent5 9" xfId="2296" xr:uid="{00000000-0005-0000-0000-00001E030000}"/>
    <cellStyle name="20% - Accent5 9 2" xfId="6602" xr:uid="{00000000-0005-0000-0000-00001F030000}"/>
    <cellStyle name="20% - Accent5 9 2 2" xfId="15928" xr:uid="{C60BE098-6218-4BF8-ADA9-428081601B53}"/>
    <cellStyle name="20% - Accent5 9 2 2 2" xfId="34524" xr:uid="{0CA2904B-0C82-40B2-A002-518781724831}"/>
    <cellStyle name="20% - Accent5 9 2 3" xfId="25227" xr:uid="{CA49427D-29F2-4284-9F19-FC53376E799D}"/>
    <cellStyle name="20% - Accent5 9 3" xfId="11711" xr:uid="{1CB9D58F-A6DF-48AE-853F-59692C963717}"/>
    <cellStyle name="20% - Accent5 9 3 2" xfId="30307" xr:uid="{882E0AA9-E210-426E-A46A-A13EB0D0F462}"/>
    <cellStyle name="20% - Accent5 9 4" xfId="21010" xr:uid="{587C156F-7026-49A5-AA8F-C550A4BDDBE4}"/>
    <cellStyle name="20% - Accent6" xfId="41" builtinId="50" customBuiltin="1"/>
    <cellStyle name="20% - Accent6 10" xfId="4544" xr:uid="{00000000-0005-0000-0000-000021030000}"/>
    <cellStyle name="20% - Accent6 10 2" xfId="13870" xr:uid="{CAC29E3B-852A-47DA-96BC-5680D2BA18AF}"/>
    <cellStyle name="20% - Accent6 10 2 2" xfId="32466" xr:uid="{CA8CC074-CD56-477A-8A4E-ED86C37B502B}"/>
    <cellStyle name="20% - Accent6 10 3" xfId="23169" xr:uid="{12EEC5C9-EBCA-444E-AB81-2F258FCA88FB}"/>
    <cellStyle name="20% - Accent6 11" xfId="8768" xr:uid="{5A1F1293-A19F-445F-908A-D9DBB6265CA0}"/>
    <cellStyle name="20% - Accent6 11 2" xfId="18092" xr:uid="{418ACBA8-ABB4-49D4-BB6E-6459A4E10C8D}"/>
    <cellStyle name="20% - Accent6 11 2 2" xfId="36687" xr:uid="{C0867E3D-8F1E-4BA5-90D7-45F0722B692E}"/>
    <cellStyle name="20% - Accent6 11 3" xfId="27390" xr:uid="{E36F278C-BCC1-43F6-BF09-F064E1950128}"/>
    <cellStyle name="20% - Accent6 12" xfId="9653" xr:uid="{3F3A4EEC-5F28-4EBC-95A9-356920FD579B}"/>
    <cellStyle name="20% - Accent6 12 2" xfId="28249" xr:uid="{E626E339-F531-4B83-A8DC-70101537324C}"/>
    <cellStyle name="20% - Accent6 13" xfId="18952" xr:uid="{99F8996C-26E8-4A4C-82BF-941C978D5308}"/>
    <cellStyle name="20% - Accent6 2" xfId="42" xr:uid="{00000000-0005-0000-0000-000022030000}"/>
    <cellStyle name="20% - Accent6 2 10" xfId="8795" xr:uid="{9A35B19E-8802-437A-ABDC-7B06A4E07F58}"/>
    <cellStyle name="20% - Accent6 2 10 2" xfId="18119" xr:uid="{B5F2D574-D0B8-4025-9B0C-B64B2ACD6E81}"/>
    <cellStyle name="20% - Accent6 2 10 2 2" xfId="36714" xr:uid="{6721FA18-2F69-4B5B-BEB8-EAEF15BD22F9}"/>
    <cellStyle name="20% - Accent6 2 10 3" xfId="27417" xr:uid="{335AAF57-C042-4F4B-8CC1-E8B1C56873B1}"/>
    <cellStyle name="20% - Accent6 2 11" xfId="9654" xr:uid="{92169338-1802-4C70-B127-5EBB53DF2DD2}"/>
    <cellStyle name="20% - Accent6 2 11 2" xfId="28250" xr:uid="{7565C3E4-0ABE-4366-98D2-FF8E1EAF4852}"/>
    <cellStyle name="20% - Accent6 2 12" xfId="18953" xr:uid="{AB5D1D43-E2BD-4578-8541-D31C16D1CCDD}"/>
    <cellStyle name="20% - Accent6 2 2" xfId="43" xr:uid="{00000000-0005-0000-0000-000023030000}"/>
    <cellStyle name="20% - Accent6 2 2 10" xfId="9655" xr:uid="{C5F4B530-10B8-48EA-83CF-7C23E34F80D9}"/>
    <cellStyle name="20% - Accent6 2 2 10 2" xfId="28251" xr:uid="{7ABB2E98-C835-4236-BE36-35EC9531DB75}"/>
    <cellStyle name="20% - Accent6 2 2 11" xfId="18954" xr:uid="{94DA555C-4E20-469A-99AC-5F5553AD0107}"/>
    <cellStyle name="20% - Accent6 2 2 2" xfId="44" xr:uid="{00000000-0005-0000-0000-000024030000}"/>
    <cellStyle name="20% - Accent6 2 2 2 10" xfId="18955" xr:uid="{94913804-7187-4272-A3E1-B40E79571F3C}"/>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055941A4-613C-48D5-8E1A-C0F02A64CCF3}"/>
    <cellStyle name="20% - Accent6 2 2 2 2 2 2 2 2" xfId="35028" xr:uid="{2DC8C8B8-CDF0-4134-A364-D9E02A41DD9F}"/>
    <cellStyle name="20% - Accent6 2 2 2 2 2 2 3" xfId="25731" xr:uid="{774E1DDC-4824-4B52-87A7-35E8D8F70354}"/>
    <cellStyle name="20% - Accent6 2 2 2 2 2 3" xfId="12215" xr:uid="{826B2CFB-7F0B-4F60-BE83-AF9051E37044}"/>
    <cellStyle name="20% - Accent6 2 2 2 2 2 3 2" xfId="30811" xr:uid="{E131D7DE-24B4-4C62-A896-87A6FE603875}"/>
    <cellStyle name="20% - Accent6 2 2 2 2 2 4" xfId="21514" xr:uid="{CB4C2B58-D462-4450-86F1-3D8923879C15}"/>
    <cellStyle name="20% - Accent6 2 2 2 2 3" xfId="4961" xr:uid="{00000000-0005-0000-0000-000028030000}"/>
    <cellStyle name="20% - Accent6 2 2 2 2 3 2" xfId="14287" xr:uid="{CF4A9AC0-BFD8-4663-940D-D28120567665}"/>
    <cellStyle name="20% - Accent6 2 2 2 2 3 2 2" xfId="32883" xr:uid="{C3253BD0-95BF-43C2-A967-9D959C8578F2}"/>
    <cellStyle name="20% - Accent6 2 2 2 2 3 3" xfId="23586" xr:uid="{FF41AED4-2DC4-4D22-AFB5-E6DD70CAE61F}"/>
    <cellStyle name="20% - Accent6 2 2 2 2 4" xfId="9530" xr:uid="{AFD3EE0E-70EF-4C1B-B994-7B8E7E8187BC}"/>
    <cellStyle name="20% - Accent6 2 2 2 2 4 2" xfId="18845" xr:uid="{ED31A346-D16D-438E-96B7-A90A7384EF6D}"/>
    <cellStyle name="20% - Accent6 2 2 2 2 4 2 2" xfId="37439" xr:uid="{B32D518B-F075-4FA4-B99D-4DD5ADB31086}"/>
    <cellStyle name="20% - Accent6 2 2 2 2 4 3" xfId="28142" xr:uid="{4A00B337-1C28-4512-A8D2-AA975925F5D9}"/>
    <cellStyle name="20% - Accent6 2 2 2 2 5" xfId="10070" xr:uid="{BB6980F5-955E-482F-AD26-9B3E48A93106}"/>
    <cellStyle name="20% - Accent6 2 2 2 2 5 2" xfId="28666" xr:uid="{7CD50D45-2DF4-40E6-BB0A-4360556CA682}"/>
    <cellStyle name="20% - Accent6 2 2 2 2 6" xfId="19369" xr:uid="{EB072668-E75B-4A98-8BC4-292252FA16D4}"/>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331EAD6D-020B-49D5-8D22-CAE0161E8339}"/>
    <cellStyle name="20% - Accent6 2 2 2 3 2 2 2 2" xfId="35441" xr:uid="{76B0A55A-64D4-4A11-B16E-19D7AAF11C43}"/>
    <cellStyle name="20% - Accent6 2 2 2 3 2 2 3" xfId="26144" xr:uid="{5FBC15F7-3AE1-4143-B60F-06055033B98A}"/>
    <cellStyle name="20% - Accent6 2 2 2 3 2 3" xfId="12628" xr:uid="{EFC806FC-6421-4992-9269-88644D19E504}"/>
    <cellStyle name="20% - Accent6 2 2 2 3 2 3 2" xfId="31224" xr:uid="{2E02097D-F536-4C18-BFCD-D67F8354C9DB}"/>
    <cellStyle name="20% - Accent6 2 2 2 3 2 4" xfId="21927" xr:uid="{E5D8CBC8-356B-47F9-BE10-F2F58AE4650E}"/>
    <cellStyle name="20% - Accent6 2 2 2 3 3" xfId="5374" xr:uid="{00000000-0005-0000-0000-00002C030000}"/>
    <cellStyle name="20% - Accent6 2 2 2 3 3 2" xfId="14700" xr:uid="{D1468442-7CF6-4FD9-ADED-5E01D7418CF8}"/>
    <cellStyle name="20% - Accent6 2 2 2 3 3 2 2" xfId="33296" xr:uid="{383F3F0A-7B5D-4BBF-8B60-0DF06223C591}"/>
    <cellStyle name="20% - Accent6 2 2 2 3 3 3" xfId="23999" xr:uid="{BC304938-DFD5-48DE-AC5D-67EA0936EE07}"/>
    <cellStyle name="20% - Accent6 2 2 2 3 4" xfId="10483" xr:uid="{B7E4E299-77E6-4728-AAF2-9A24D4D576BF}"/>
    <cellStyle name="20% - Accent6 2 2 2 3 4 2" xfId="29079" xr:uid="{B5029506-4693-4BCD-9AAE-01D6BF56DC89}"/>
    <cellStyle name="20% - Accent6 2 2 2 3 5" xfId="19782" xr:uid="{0A03D8FE-267D-4EDC-81F8-3BB06D7994A6}"/>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A55B712E-C7B6-4C08-97A2-B5D0B863518E}"/>
    <cellStyle name="20% - Accent6 2 2 2 4 2 2 2 2" xfId="35854" xr:uid="{A582E1F6-B042-4F66-9B7D-CA1818617727}"/>
    <cellStyle name="20% - Accent6 2 2 2 4 2 2 3" xfId="26557" xr:uid="{F083AFCE-B973-41A4-B138-A314C1AFE48A}"/>
    <cellStyle name="20% - Accent6 2 2 2 4 2 3" xfId="13041" xr:uid="{21F1F15E-D31F-486E-8F62-7F843A697A70}"/>
    <cellStyle name="20% - Accent6 2 2 2 4 2 3 2" xfId="31637" xr:uid="{500A72F8-B53F-45E4-8D9D-25EA9D8B8E8E}"/>
    <cellStyle name="20% - Accent6 2 2 2 4 2 4" xfId="22340" xr:uid="{2323846F-BE9A-4D61-9914-EBEFB7B34AA6}"/>
    <cellStyle name="20% - Accent6 2 2 2 4 3" xfId="5787" xr:uid="{00000000-0005-0000-0000-000030030000}"/>
    <cellStyle name="20% - Accent6 2 2 2 4 3 2" xfId="15113" xr:uid="{42ABC698-5C62-4FE9-BABA-BCB042C81C19}"/>
    <cellStyle name="20% - Accent6 2 2 2 4 3 2 2" xfId="33709" xr:uid="{8B0A9DFD-6920-4928-BD4F-E9DC39C4885D}"/>
    <cellStyle name="20% - Accent6 2 2 2 4 3 3" xfId="24412" xr:uid="{CDE12982-0A6C-4834-A187-A4432F9D585D}"/>
    <cellStyle name="20% - Accent6 2 2 2 4 4" xfId="10896" xr:uid="{B00EDE71-2769-4A7D-9A1A-D5281F10F4AF}"/>
    <cellStyle name="20% - Accent6 2 2 2 4 4 2" xfId="29492" xr:uid="{EFD47F57-8268-4D7A-A314-8A66D48E059E}"/>
    <cellStyle name="20% - Accent6 2 2 2 4 5" xfId="20195" xr:uid="{C3D48D26-A307-4106-938E-C9F616F59576}"/>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B9E3EAE0-E817-4C3A-875D-F6418A048401}"/>
    <cellStyle name="20% - Accent6 2 2 2 5 2 2 2 2" xfId="36267" xr:uid="{B4CEE171-B2AB-4D85-BDE5-3C62EC047DA3}"/>
    <cellStyle name="20% - Accent6 2 2 2 5 2 2 3" xfId="26970" xr:uid="{7BFA4BD0-ADF2-4E89-ABFA-86302CC409F1}"/>
    <cellStyle name="20% - Accent6 2 2 2 5 2 3" xfId="13454" xr:uid="{337DFCEF-A21B-47B1-8589-8EBD947FB249}"/>
    <cellStyle name="20% - Accent6 2 2 2 5 2 3 2" xfId="32050" xr:uid="{A52BED20-E746-427E-8B2F-A8C9A086EDBA}"/>
    <cellStyle name="20% - Accent6 2 2 2 5 2 4" xfId="22753" xr:uid="{84AD44E1-930C-44DE-89A2-0FBEAFB80F59}"/>
    <cellStyle name="20% - Accent6 2 2 2 5 3" xfId="6200" xr:uid="{00000000-0005-0000-0000-000034030000}"/>
    <cellStyle name="20% - Accent6 2 2 2 5 3 2" xfId="15526" xr:uid="{EE2FC7CE-C5E1-48E0-9250-8F945A0C81C2}"/>
    <cellStyle name="20% - Accent6 2 2 2 5 3 2 2" xfId="34122" xr:uid="{0C6ACD5D-CD50-4FEF-B3D2-2671B3F31D0B}"/>
    <cellStyle name="20% - Accent6 2 2 2 5 3 3" xfId="24825" xr:uid="{3B23D688-720D-49B6-8F60-C4256754A934}"/>
    <cellStyle name="20% - Accent6 2 2 2 5 4" xfId="11309" xr:uid="{B5B7B65C-5CD7-4A19-BA6E-DA7BD254EC60}"/>
    <cellStyle name="20% - Accent6 2 2 2 5 4 2" xfId="29905" xr:uid="{AF6398A3-3943-418C-8E97-1C6BC2BBAA5B}"/>
    <cellStyle name="20% - Accent6 2 2 2 5 5" xfId="20608" xr:uid="{647129CB-9E2C-40E8-BF92-F72B646DAC91}"/>
    <cellStyle name="20% - Accent6 2 2 2 6" xfId="2307" xr:uid="{00000000-0005-0000-0000-000035030000}"/>
    <cellStyle name="20% - Accent6 2 2 2 6 2" xfId="6613" xr:uid="{00000000-0005-0000-0000-000036030000}"/>
    <cellStyle name="20% - Accent6 2 2 2 6 2 2" xfId="15939" xr:uid="{37E152FF-BF28-4F05-A2A2-941B249FAA9C}"/>
    <cellStyle name="20% - Accent6 2 2 2 6 2 2 2" xfId="34535" xr:uid="{578C1974-45FF-4048-A945-5D0262CFAE28}"/>
    <cellStyle name="20% - Accent6 2 2 2 6 2 3" xfId="25238" xr:uid="{B9D5C1B9-061B-49E5-B016-A7E19B1418AE}"/>
    <cellStyle name="20% - Accent6 2 2 2 6 3" xfId="11722" xr:uid="{F3CCC124-E371-4DAF-9111-D700DFB09113}"/>
    <cellStyle name="20% - Accent6 2 2 2 6 3 2" xfId="30318" xr:uid="{25C9230D-3C61-4B36-930F-689546BEAB74}"/>
    <cellStyle name="20% - Accent6 2 2 2 6 4" xfId="21021" xr:uid="{57C4C776-7647-481B-88DE-A8AF176E00FF}"/>
    <cellStyle name="20% - Accent6 2 2 2 7" xfId="4547" xr:uid="{00000000-0005-0000-0000-000037030000}"/>
    <cellStyle name="20% - Accent6 2 2 2 7 2" xfId="13873" xr:uid="{5DD02C43-E309-4B1A-A6FB-BA02A9A4D588}"/>
    <cellStyle name="20% - Accent6 2 2 2 7 2 2" xfId="32469" xr:uid="{E389DAF5-3EA7-4C0D-9523-27DAB8DFF985}"/>
    <cellStyle name="20% - Accent6 2 2 2 7 3" xfId="23172" xr:uid="{89995F44-67EB-42A0-8BDB-5E9DEBE19D62}"/>
    <cellStyle name="20% - Accent6 2 2 2 8" xfId="9105" xr:uid="{2D3B6B01-F2FB-4D08-A7F9-9902961EFB46}"/>
    <cellStyle name="20% - Accent6 2 2 2 8 2" xfId="18429" xr:uid="{E98AB6C2-69C9-421E-ABDF-217BDABB52BC}"/>
    <cellStyle name="20% - Accent6 2 2 2 8 2 2" xfId="37024" xr:uid="{D1BB1438-451B-4E59-8240-E1DD512F2838}"/>
    <cellStyle name="20% - Accent6 2 2 2 8 3" xfId="27727" xr:uid="{5FE51722-6633-4954-AFA2-330B51B104C0}"/>
    <cellStyle name="20% - Accent6 2 2 2 9" xfId="9656" xr:uid="{B1F2B55D-4000-4894-8A76-D55C213851ED}"/>
    <cellStyle name="20% - Accent6 2 2 2 9 2" xfId="28252" xr:uid="{BE278E27-690C-44EB-A5BE-37F34CAEBD1A}"/>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0729A793-EED5-4BF2-BDA7-EBCF692A8083}"/>
    <cellStyle name="20% - Accent6 2 2 3 2 2 2 2" xfId="35027" xr:uid="{241D0C19-3607-4D58-8FFF-91B32CF598AE}"/>
    <cellStyle name="20% - Accent6 2 2 3 2 2 3" xfId="25730" xr:uid="{883858B3-FFE7-4900-A2A6-17C96E85B2A8}"/>
    <cellStyle name="20% - Accent6 2 2 3 2 3" xfId="12214" xr:uid="{C2E59308-9A5A-4543-91D6-0A93DF8759BB}"/>
    <cellStyle name="20% - Accent6 2 2 3 2 3 2" xfId="30810" xr:uid="{41E822F2-33D3-4F2C-9C7D-D1D33F082345}"/>
    <cellStyle name="20% - Accent6 2 2 3 2 4" xfId="21513" xr:uid="{2B42555C-4119-4FC9-B804-7CB3E3893116}"/>
    <cellStyle name="20% - Accent6 2 2 3 3" xfId="4960" xr:uid="{00000000-0005-0000-0000-00003B030000}"/>
    <cellStyle name="20% - Accent6 2 2 3 3 2" xfId="14286" xr:uid="{3300DE03-0EE7-43A4-9179-E4BA9B56E96B}"/>
    <cellStyle name="20% - Accent6 2 2 3 3 2 2" xfId="32882" xr:uid="{6F9D2CB3-7DAB-49B3-B965-81ECD16CE694}"/>
    <cellStyle name="20% - Accent6 2 2 3 3 3" xfId="23585" xr:uid="{D5BF8E84-B436-4BC4-BC77-3DF409B824FE}"/>
    <cellStyle name="20% - Accent6 2 2 3 4" xfId="9323" xr:uid="{93CC3C58-EC1C-4AC6-8D02-E00EFD80A494}"/>
    <cellStyle name="20% - Accent6 2 2 3 4 2" xfId="18638" xr:uid="{4B663E8E-06DD-4CCB-9BF3-4AF215F4659D}"/>
    <cellStyle name="20% - Accent6 2 2 3 4 2 2" xfId="37232" xr:uid="{8272D769-2103-42E3-9DFA-F3795E90D8C4}"/>
    <cellStyle name="20% - Accent6 2 2 3 4 3" xfId="27935" xr:uid="{F05AF740-E0A3-435F-941A-3A815E5775BD}"/>
    <cellStyle name="20% - Accent6 2 2 3 5" xfId="10069" xr:uid="{2B58E1F9-5147-4053-93F5-A3966B99E0E2}"/>
    <cellStyle name="20% - Accent6 2 2 3 5 2" xfId="28665" xr:uid="{69D095F5-4419-4312-AB20-FCE8D2349677}"/>
    <cellStyle name="20% - Accent6 2 2 3 6" xfId="19368" xr:uid="{5C527952-60B4-4EA7-9C05-716854F53B6E}"/>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D2690AF7-91EB-4737-9D66-C69D0AC7458B}"/>
    <cellStyle name="20% - Accent6 2 2 4 2 2 2 2" xfId="35440" xr:uid="{D9C63304-421E-479F-8E74-3DA375205B77}"/>
    <cellStyle name="20% - Accent6 2 2 4 2 2 3" xfId="26143" xr:uid="{3AEE06A8-0436-4FEE-874C-2C4842452914}"/>
    <cellStyle name="20% - Accent6 2 2 4 2 3" xfId="12627" xr:uid="{1995DD3C-806D-4136-AA9B-8110DBEA2E9B}"/>
    <cellStyle name="20% - Accent6 2 2 4 2 3 2" xfId="31223" xr:uid="{DCC198DD-697C-41DF-A777-FB3E3DCD24D9}"/>
    <cellStyle name="20% - Accent6 2 2 4 2 4" xfId="21926" xr:uid="{5254831E-DBF9-4CF2-A1D0-F30A0726ADAE}"/>
    <cellStyle name="20% - Accent6 2 2 4 3" xfId="5373" xr:uid="{00000000-0005-0000-0000-00003F030000}"/>
    <cellStyle name="20% - Accent6 2 2 4 3 2" xfId="14699" xr:uid="{233DCB88-6BF8-4DF8-9FC3-824F01EC4502}"/>
    <cellStyle name="20% - Accent6 2 2 4 3 2 2" xfId="33295" xr:uid="{20BFCD94-1241-413B-A9BA-38CA20E40DE3}"/>
    <cellStyle name="20% - Accent6 2 2 4 3 3" xfId="23998" xr:uid="{A0670557-6D01-4DBB-B6D4-09DC9AC79889}"/>
    <cellStyle name="20% - Accent6 2 2 4 4" xfId="10482" xr:uid="{77E7FC45-DF38-47A8-AD9F-048D6E2A6A7D}"/>
    <cellStyle name="20% - Accent6 2 2 4 4 2" xfId="29078" xr:uid="{BEE8B2D5-B239-4D08-89B2-70536D7AF979}"/>
    <cellStyle name="20% - Accent6 2 2 4 5" xfId="19781" xr:uid="{A75DB327-4185-4932-81C9-542A59FC204F}"/>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1B5DAD55-15C1-4576-9DED-9F6750BD5787}"/>
    <cellStyle name="20% - Accent6 2 2 5 2 2 2 2" xfId="35853" xr:uid="{3AA643BC-0345-4202-BBEC-3E9BFF9B8049}"/>
    <cellStyle name="20% - Accent6 2 2 5 2 2 3" xfId="26556" xr:uid="{0BED9DBA-F81D-4EA1-8F7D-05C4CE423789}"/>
    <cellStyle name="20% - Accent6 2 2 5 2 3" xfId="13040" xr:uid="{513D590A-430C-410D-ACD5-4C3320F3D184}"/>
    <cellStyle name="20% - Accent6 2 2 5 2 3 2" xfId="31636" xr:uid="{C2E9AA47-C666-429D-9E2D-38F5A558BC27}"/>
    <cellStyle name="20% - Accent6 2 2 5 2 4" xfId="22339" xr:uid="{B7544D87-59F1-4629-9078-1B2FF7B0B276}"/>
    <cellStyle name="20% - Accent6 2 2 5 3" xfId="5786" xr:uid="{00000000-0005-0000-0000-000043030000}"/>
    <cellStyle name="20% - Accent6 2 2 5 3 2" xfId="15112" xr:uid="{A633FACB-6F78-4EDE-9D9B-EE4A21E55F7A}"/>
    <cellStyle name="20% - Accent6 2 2 5 3 2 2" xfId="33708" xr:uid="{6639E06A-4529-4615-BE2E-6DF593EFF003}"/>
    <cellStyle name="20% - Accent6 2 2 5 3 3" xfId="24411" xr:uid="{D524525D-0D2D-4773-BCBC-D2C11D9E9ACD}"/>
    <cellStyle name="20% - Accent6 2 2 5 4" xfId="10895" xr:uid="{24D1E8E1-DE54-4CBE-9B6E-D4970AE5C30A}"/>
    <cellStyle name="20% - Accent6 2 2 5 4 2" xfId="29491" xr:uid="{8AA62ECE-897B-4960-90E7-13E4B51682D1}"/>
    <cellStyle name="20% - Accent6 2 2 5 5" xfId="20194" xr:uid="{3AF419A7-F16A-4622-A2D0-07FD0333CED0}"/>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1C05033F-DDB6-4C6D-8EA7-F98AB279B4AD}"/>
    <cellStyle name="20% - Accent6 2 2 6 2 2 2 2" xfId="36266" xr:uid="{51186FAB-4308-4C6C-9B37-06487C51B2E2}"/>
    <cellStyle name="20% - Accent6 2 2 6 2 2 3" xfId="26969" xr:uid="{A36F94E0-5771-449C-B21C-4F8101FAAB94}"/>
    <cellStyle name="20% - Accent6 2 2 6 2 3" xfId="13453" xr:uid="{4C466867-7288-495E-9AB7-002D35ECCB7E}"/>
    <cellStyle name="20% - Accent6 2 2 6 2 3 2" xfId="32049" xr:uid="{2A4F6686-CE65-41A6-A197-F7F98C6C1DE5}"/>
    <cellStyle name="20% - Accent6 2 2 6 2 4" xfId="22752" xr:uid="{735DE2A9-F75D-4B54-921F-6F5AA9A8679A}"/>
    <cellStyle name="20% - Accent6 2 2 6 3" xfId="6199" xr:uid="{00000000-0005-0000-0000-000047030000}"/>
    <cellStyle name="20% - Accent6 2 2 6 3 2" xfId="15525" xr:uid="{85D9AB68-68CB-4F0C-8EFB-74E8FE70A3B3}"/>
    <cellStyle name="20% - Accent6 2 2 6 3 2 2" xfId="34121" xr:uid="{EDCE7E58-D0ED-4038-9D9C-51712D52DDC9}"/>
    <cellStyle name="20% - Accent6 2 2 6 3 3" xfId="24824" xr:uid="{7F674A0B-DE3B-4B52-8F9A-EA0776C38BA3}"/>
    <cellStyle name="20% - Accent6 2 2 6 4" xfId="11308" xr:uid="{07FBBD10-C76A-46CF-88CE-7500633F63C7}"/>
    <cellStyle name="20% - Accent6 2 2 6 4 2" xfId="29904" xr:uid="{60E8722E-829D-4348-8D96-B83367ECA0FE}"/>
    <cellStyle name="20% - Accent6 2 2 6 5" xfId="20607" xr:uid="{6035A7B6-E865-4708-A478-6B341CB3F82F}"/>
    <cellStyle name="20% - Accent6 2 2 7" xfId="2306" xr:uid="{00000000-0005-0000-0000-000048030000}"/>
    <cellStyle name="20% - Accent6 2 2 7 2" xfId="6612" xr:uid="{00000000-0005-0000-0000-000049030000}"/>
    <cellStyle name="20% - Accent6 2 2 7 2 2" xfId="15938" xr:uid="{1B0F61F9-377C-4585-B89B-0108E4E56311}"/>
    <cellStyle name="20% - Accent6 2 2 7 2 2 2" xfId="34534" xr:uid="{FBB3BCE6-3DE0-45FD-A101-0D3D75BFEF5C}"/>
    <cellStyle name="20% - Accent6 2 2 7 2 3" xfId="25237" xr:uid="{8373B57D-006C-43F9-A8F3-FB8F086A8FCA}"/>
    <cellStyle name="20% - Accent6 2 2 7 3" xfId="11721" xr:uid="{D2D5FCC9-3421-4AF7-9218-05B22C5D6B61}"/>
    <cellStyle name="20% - Accent6 2 2 7 3 2" xfId="30317" xr:uid="{11560F67-2249-48CE-A8EF-56389652B9DF}"/>
    <cellStyle name="20% - Accent6 2 2 7 4" xfId="21020" xr:uid="{ABBCE427-F05E-4540-B355-BFEE7CBD93BF}"/>
    <cellStyle name="20% - Accent6 2 2 8" xfId="4546" xr:uid="{00000000-0005-0000-0000-00004A030000}"/>
    <cellStyle name="20% - Accent6 2 2 8 2" xfId="13872" xr:uid="{3CCB8DDE-9328-4A3D-ADF4-DDA290AF092D}"/>
    <cellStyle name="20% - Accent6 2 2 8 2 2" xfId="32468" xr:uid="{BA493905-9091-46AC-A626-6E796FE8BAE9}"/>
    <cellStyle name="20% - Accent6 2 2 8 3" xfId="23171" xr:uid="{05A97FFF-849D-4D8F-90D5-EE873FB879DD}"/>
    <cellStyle name="20% - Accent6 2 2 9" xfId="8898" xr:uid="{88686F75-037F-4072-9BDC-942546C51E8F}"/>
    <cellStyle name="20% - Accent6 2 2 9 2" xfId="18222" xr:uid="{DCA795FA-B2AC-4C07-ACC6-4DE2C64BD40C}"/>
    <cellStyle name="20% - Accent6 2 2 9 2 2" xfId="36817" xr:uid="{3629055C-6569-479B-880B-16990642DBA3}"/>
    <cellStyle name="20% - Accent6 2 2 9 3" xfId="27520" xr:uid="{E9FD0284-B4E3-4996-AE9D-C84CCC70BA02}"/>
    <cellStyle name="20% - Accent6 2 3" xfId="45" xr:uid="{00000000-0005-0000-0000-00004B030000}"/>
    <cellStyle name="20% - Accent6 2 3 10" xfId="18956" xr:uid="{8CB03F3F-1055-43D6-B4BA-D8178E367E28}"/>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9BC7CFDC-333B-4D5F-8900-0799E7760F36}"/>
    <cellStyle name="20% - Accent6 2 3 2 2 2 2 2" xfId="35029" xr:uid="{C720DC3D-9C40-4A67-9A98-174A70D6C693}"/>
    <cellStyle name="20% - Accent6 2 3 2 2 2 3" xfId="25732" xr:uid="{BE79AB43-A6B4-4299-8CA1-652B458710CF}"/>
    <cellStyle name="20% - Accent6 2 3 2 2 3" xfId="12216" xr:uid="{8FB5218D-AF12-4848-8529-AF062BB75445}"/>
    <cellStyle name="20% - Accent6 2 3 2 2 3 2" xfId="30812" xr:uid="{270BAA0A-7C42-4250-AE27-9FDC843D0A8A}"/>
    <cellStyle name="20% - Accent6 2 3 2 2 4" xfId="21515" xr:uid="{EE9E00BE-6AEA-4C77-BA47-C2C9C6E21901}"/>
    <cellStyle name="20% - Accent6 2 3 2 3" xfId="4962" xr:uid="{00000000-0005-0000-0000-00004F030000}"/>
    <cellStyle name="20% - Accent6 2 3 2 3 2" xfId="14288" xr:uid="{37384DE7-FA48-4216-9CEC-9AA0E99A4CB3}"/>
    <cellStyle name="20% - Accent6 2 3 2 3 2 2" xfId="32884" xr:uid="{ECCE5D3A-87C2-4EAF-9367-CE47B043DCD5}"/>
    <cellStyle name="20% - Accent6 2 3 2 3 3" xfId="23587" xr:uid="{7CC823AE-9DEA-408F-A0FA-42AB64F80461}"/>
    <cellStyle name="20% - Accent6 2 3 2 4" xfId="9427" xr:uid="{009378B6-C0A8-4C7C-A9A2-F91104842D93}"/>
    <cellStyle name="20% - Accent6 2 3 2 4 2" xfId="18742" xr:uid="{F6119332-9755-45AA-A509-3C59F36504F0}"/>
    <cellStyle name="20% - Accent6 2 3 2 4 2 2" xfId="37336" xr:uid="{7B10B932-65BC-4AC1-8D93-DB491626FCD1}"/>
    <cellStyle name="20% - Accent6 2 3 2 4 3" xfId="28039" xr:uid="{9FFA9D7F-979C-480B-839D-F8098A25BA19}"/>
    <cellStyle name="20% - Accent6 2 3 2 5" xfId="10071" xr:uid="{4AA8E305-CC37-42B5-BCBF-F116CCF4CE72}"/>
    <cellStyle name="20% - Accent6 2 3 2 5 2" xfId="28667" xr:uid="{3D982E59-1F40-4BC3-871C-C87C3B9AF6BD}"/>
    <cellStyle name="20% - Accent6 2 3 2 6" xfId="19370" xr:uid="{761E2D8F-D62A-4B25-90D9-C81610FE0E44}"/>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731F4B92-9F12-4E84-80CB-B840F5A97231}"/>
    <cellStyle name="20% - Accent6 2 3 3 2 2 2 2" xfId="35442" xr:uid="{091A4722-C9D2-44E5-B579-1B6B967BD576}"/>
    <cellStyle name="20% - Accent6 2 3 3 2 2 3" xfId="26145" xr:uid="{57EE9883-3CC8-43B2-875E-87AA39F6BCDF}"/>
    <cellStyle name="20% - Accent6 2 3 3 2 3" xfId="12629" xr:uid="{78B7F145-1B42-487C-99AB-A43BCBB240BB}"/>
    <cellStyle name="20% - Accent6 2 3 3 2 3 2" xfId="31225" xr:uid="{1A8D5D3F-6FB3-439D-B8B6-F41CC57E4BA5}"/>
    <cellStyle name="20% - Accent6 2 3 3 2 4" xfId="21928" xr:uid="{EF95699E-56E2-4100-804B-4CE4F3DC3B3E}"/>
    <cellStyle name="20% - Accent6 2 3 3 3" xfId="5375" xr:uid="{00000000-0005-0000-0000-000053030000}"/>
    <cellStyle name="20% - Accent6 2 3 3 3 2" xfId="14701" xr:uid="{5E191981-E847-4028-8741-50745F903C40}"/>
    <cellStyle name="20% - Accent6 2 3 3 3 2 2" xfId="33297" xr:uid="{A8A9ECEA-7CB8-4166-8603-8E4368A4D6E8}"/>
    <cellStyle name="20% - Accent6 2 3 3 3 3" xfId="24000" xr:uid="{14D7142E-B73F-4EA8-9B28-5C465CE6CC2A}"/>
    <cellStyle name="20% - Accent6 2 3 3 4" xfId="10484" xr:uid="{C65420F1-90A4-445D-AADC-21ABE06B894D}"/>
    <cellStyle name="20% - Accent6 2 3 3 4 2" xfId="29080" xr:uid="{7DAE7798-9E60-4DBB-9670-9CE4152A06BD}"/>
    <cellStyle name="20% - Accent6 2 3 3 5" xfId="19783" xr:uid="{972F686E-9CFF-4886-A862-69485DD87322}"/>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F4FB6E1F-F25E-4369-8583-CFF73C6B2BD1}"/>
    <cellStyle name="20% - Accent6 2 3 4 2 2 2 2" xfId="35855" xr:uid="{C32DEC50-0426-4153-9806-B2C5BBD6CE41}"/>
    <cellStyle name="20% - Accent6 2 3 4 2 2 3" xfId="26558" xr:uid="{92051D52-174D-435C-A681-107E75876AC7}"/>
    <cellStyle name="20% - Accent6 2 3 4 2 3" xfId="13042" xr:uid="{4021815B-0B78-4343-99B4-B624261030EC}"/>
    <cellStyle name="20% - Accent6 2 3 4 2 3 2" xfId="31638" xr:uid="{3452138A-0869-44EC-A84E-264A689FB78A}"/>
    <cellStyle name="20% - Accent6 2 3 4 2 4" xfId="22341" xr:uid="{BE172D62-C0DC-4989-817E-44D3833603A6}"/>
    <cellStyle name="20% - Accent6 2 3 4 3" xfId="5788" xr:uid="{00000000-0005-0000-0000-000057030000}"/>
    <cellStyle name="20% - Accent6 2 3 4 3 2" xfId="15114" xr:uid="{76638857-1E4F-4EF7-A92C-60A67631D08C}"/>
    <cellStyle name="20% - Accent6 2 3 4 3 2 2" xfId="33710" xr:uid="{35B5A216-0C39-4DD3-9DD4-5F9C5BDFA390}"/>
    <cellStyle name="20% - Accent6 2 3 4 3 3" xfId="24413" xr:uid="{C1C81D82-104E-47B4-9B1F-C179C582283F}"/>
    <cellStyle name="20% - Accent6 2 3 4 4" xfId="10897" xr:uid="{1597BF80-00B8-43AB-B201-26C7EE40BEA7}"/>
    <cellStyle name="20% - Accent6 2 3 4 4 2" xfId="29493" xr:uid="{AFBBA4EB-F15A-4A71-AC98-E7EA6E272680}"/>
    <cellStyle name="20% - Accent6 2 3 4 5" xfId="20196" xr:uid="{AD3CE32E-7AAD-45DF-8E93-BCE5ADF8B8C7}"/>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95C00B48-4FF9-48B7-9916-BD858ECD224A}"/>
    <cellStyle name="20% - Accent6 2 3 5 2 2 2 2" xfId="36268" xr:uid="{1378B579-0CF2-48B2-9D36-500C397DDB18}"/>
    <cellStyle name="20% - Accent6 2 3 5 2 2 3" xfId="26971" xr:uid="{8F2D1BAD-D379-4D10-B7D9-7E28E06D880A}"/>
    <cellStyle name="20% - Accent6 2 3 5 2 3" xfId="13455" xr:uid="{B95FF061-86AC-440D-8B76-216CABF01243}"/>
    <cellStyle name="20% - Accent6 2 3 5 2 3 2" xfId="32051" xr:uid="{0B486F35-C82B-4888-BB23-8079C657D1AF}"/>
    <cellStyle name="20% - Accent6 2 3 5 2 4" xfId="22754" xr:uid="{CDD7169A-2127-47EB-A416-493EA9F3AA4A}"/>
    <cellStyle name="20% - Accent6 2 3 5 3" xfId="6201" xr:uid="{00000000-0005-0000-0000-00005B030000}"/>
    <cellStyle name="20% - Accent6 2 3 5 3 2" xfId="15527" xr:uid="{FC4FD01A-958D-46D5-94B2-F3563060566E}"/>
    <cellStyle name="20% - Accent6 2 3 5 3 2 2" xfId="34123" xr:uid="{FFA1C4BD-8F1A-4437-BC75-923F20613B99}"/>
    <cellStyle name="20% - Accent6 2 3 5 3 3" xfId="24826" xr:uid="{D4EBD2C4-5F3B-4523-98FD-A52EAAED934D}"/>
    <cellStyle name="20% - Accent6 2 3 5 4" xfId="11310" xr:uid="{32EFACAA-9E7C-495C-9442-EDF813D1CD37}"/>
    <cellStyle name="20% - Accent6 2 3 5 4 2" xfId="29906" xr:uid="{5EED12BA-75D8-4083-9FB2-E3FA3F0A4D89}"/>
    <cellStyle name="20% - Accent6 2 3 5 5" xfId="20609" xr:uid="{586B3386-A9C7-4F2C-944A-70D21EA220F9}"/>
    <cellStyle name="20% - Accent6 2 3 6" xfId="2308" xr:uid="{00000000-0005-0000-0000-00005C030000}"/>
    <cellStyle name="20% - Accent6 2 3 6 2" xfId="6614" xr:uid="{00000000-0005-0000-0000-00005D030000}"/>
    <cellStyle name="20% - Accent6 2 3 6 2 2" xfId="15940" xr:uid="{E61B459A-8831-4CD3-BC17-130097E5D4C1}"/>
    <cellStyle name="20% - Accent6 2 3 6 2 2 2" xfId="34536" xr:uid="{1A9D62A0-C91E-4CA5-A807-EFF02AFEC9B5}"/>
    <cellStyle name="20% - Accent6 2 3 6 2 3" xfId="25239" xr:uid="{762906C2-7C69-440B-B2B9-C8BB68A0863D}"/>
    <cellStyle name="20% - Accent6 2 3 6 3" xfId="11723" xr:uid="{79180E98-47E1-4256-AA17-7A2BAFD2A423}"/>
    <cellStyle name="20% - Accent6 2 3 6 3 2" xfId="30319" xr:uid="{5CFE3E53-321C-49E5-92F3-5ED442AD8902}"/>
    <cellStyle name="20% - Accent6 2 3 6 4" xfId="21022" xr:uid="{9DB43D06-9810-4B2B-BE9B-5F999CE40459}"/>
    <cellStyle name="20% - Accent6 2 3 7" xfId="4548" xr:uid="{00000000-0005-0000-0000-00005E030000}"/>
    <cellStyle name="20% - Accent6 2 3 7 2" xfId="13874" xr:uid="{87633B5C-9AAC-4BEA-B27E-AD3D951A3AFA}"/>
    <cellStyle name="20% - Accent6 2 3 7 2 2" xfId="32470" xr:uid="{1B7D73FF-2EA4-46CC-8F5F-932A7E0D057F}"/>
    <cellStyle name="20% - Accent6 2 3 7 3" xfId="23173" xr:uid="{C957E80D-0F70-4FC6-897B-498DA9B717BF}"/>
    <cellStyle name="20% - Accent6 2 3 8" xfId="9002" xr:uid="{F69877AB-868C-474F-8F88-C5F2F1F2C041}"/>
    <cellStyle name="20% - Accent6 2 3 8 2" xfId="18326" xr:uid="{67CBD332-E7BD-4EAA-9646-5FBAAC1BDE01}"/>
    <cellStyle name="20% - Accent6 2 3 8 2 2" xfId="36921" xr:uid="{F26A72B3-0B5E-4AC3-AFC4-696EB634D1E9}"/>
    <cellStyle name="20% - Accent6 2 3 8 3" xfId="27624" xr:uid="{2CA82B5D-C76E-49D5-9712-A9BAD19FDCF4}"/>
    <cellStyle name="20% - Accent6 2 3 9" xfId="9657" xr:uid="{42A87B4D-FF93-4E06-94B7-E76AAB91AA79}"/>
    <cellStyle name="20% - Accent6 2 3 9 2" xfId="28253" xr:uid="{461FBBA1-22F4-4ABA-919E-349851920B6C}"/>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9F09CE7E-E950-43AB-B1EF-D54A719EF15C}"/>
    <cellStyle name="20% - Accent6 2 4 2 2 2 2" xfId="35026" xr:uid="{0CE4E9A7-50C7-4447-AB20-F2DEDAD6FBEB}"/>
    <cellStyle name="20% - Accent6 2 4 2 2 3" xfId="25729" xr:uid="{AD04CD30-F5E6-4FA8-B39E-CC6A4A01CC75}"/>
    <cellStyle name="20% - Accent6 2 4 2 3" xfId="12213" xr:uid="{B65DE28E-6D82-4117-8B79-1E024B389E59}"/>
    <cellStyle name="20% - Accent6 2 4 2 3 2" xfId="30809" xr:uid="{EF602CFC-50E8-48F7-B263-1BA3F80AFE60}"/>
    <cellStyle name="20% - Accent6 2 4 2 4" xfId="21512" xr:uid="{9F6628C3-DD8D-4386-A78B-03AD914B6F76}"/>
    <cellStyle name="20% - Accent6 2 4 3" xfId="4959" xr:uid="{00000000-0005-0000-0000-000062030000}"/>
    <cellStyle name="20% - Accent6 2 4 3 2" xfId="14285" xr:uid="{FE0467DD-99E8-497B-8D4A-35B89CBD6EE1}"/>
    <cellStyle name="20% - Accent6 2 4 3 2 2" xfId="32881" xr:uid="{FB42FD45-0A23-4387-8D7D-C94FF9A45F92}"/>
    <cellStyle name="20% - Accent6 2 4 3 3" xfId="23584" xr:uid="{218203CA-2191-4964-B099-881326460A33}"/>
    <cellStyle name="20% - Accent6 2 4 4" xfId="9219" xr:uid="{C8AD75F8-261B-45C4-93F0-0E0A49EEEF79}"/>
    <cellStyle name="20% - Accent6 2 4 4 2" xfId="18535" xr:uid="{D99EB97D-37DE-4BB3-A012-304C691C1D40}"/>
    <cellStyle name="20% - Accent6 2 4 4 2 2" xfId="37129" xr:uid="{4258DBF0-376C-4EF7-9199-FC2B1F095BAF}"/>
    <cellStyle name="20% - Accent6 2 4 4 3" xfId="27832" xr:uid="{F47DCD5F-DBE4-491E-BACF-DCF87E137882}"/>
    <cellStyle name="20% - Accent6 2 4 5" xfId="10068" xr:uid="{DA76E657-11E4-408A-9354-62A981058264}"/>
    <cellStyle name="20% - Accent6 2 4 5 2" xfId="28664" xr:uid="{61B0C28C-16F8-49FD-881A-70918986CF12}"/>
    <cellStyle name="20% - Accent6 2 4 6" xfId="19367" xr:uid="{B0CD37BB-B57E-4D8E-A96B-BF926AC3C704}"/>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5611EC67-3F63-4125-9F3C-3A7EE8751DB2}"/>
    <cellStyle name="20% - Accent6 2 5 2 2 2 2" xfId="35439" xr:uid="{B0C76FC1-8740-4C71-A194-F2AF89C750C9}"/>
    <cellStyle name="20% - Accent6 2 5 2 2 3" xfId="26142" xr:uid="{C12B2C8A-D70D-443F-893F-1F809FCEF265}"/>
    <cellStyle name="20% - Accent6 2 5 2 3" xfId="12626" xr:uid="{2752B301-69D2-4B4F-8F75-9A13376071F6}"/>
    <cellStyle name="20% - Accent6 2 5 2 3 2" xfId="31222" xr:uid="{A2AC69B6-CE10-4A96-A8EC-01E35F8B4EF9}"/>
    <cellStyle name="20% - Accent6 2 5 2 4" xfId="21925" xr:uid="{ACE637A9-7344-4D41-BCD4-AA69B34C4ADC}"/>
    <cellStyle name="20% - Accent6 2 5 3" xfId="5372" xr:uid="{00000000-0005-0000-0000-000066030000}"/>
    <cellStyle name="20% - Accent6 2 5 3 2" xfId="14698" xr:uid="{5B02B922-1F5D-48C9-AF1C-0E19F12BC2D3}"/>
    <cellStyle name="20% - Accent6 2 5 3 2 2" xfId="33294" xr:uid="{C43F2C8A-C98B-4268-BEF2-24CEEBC3F28E}"/>
    <cellStyle name="20% - Accent6 2 5 3 3" xfId="23997" xr:uid="{B7D652E4-8DC4-447D-A47D-07CEFA673600}"/>
    <cellStyle name="20% - Accent6 2 5 4" xfId="10481" xr:uid="{FA3AD841-71C2-4DC4-B73A-87F3DF099BBB}"/>
    <cellStyle name="20% - Accent6 2 5 4 2" xfId="29077" xr:uid="{69DF935E-EE4C-4CB0-9CA3-B14C78694800}"/>
    <cellStyle name="20% - Accent6 2 5 5" xfId="19780" xr:uid="{647F68E3-2700-4C59-B750-2119AFDB7F7F}"/>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1F809D39-84F0-45F7-8291-EDA740D66D61}"/>
    <cellStyle name="20% - Accent6 2 6 2 2 2 2" xfId="35852" xr:uid="{4DF0AFD1-40C0-49E3-9291-C86EE0897498}"/>
    <cellStyle name="20% - Accent6 2 6 2 2 3" xfId="26555" xr:uid="{B23A3489-3D9A-4B06-A5C8-56F046786FA4}"/>
    <cellStyle name="20% - Accent6 2 6 2 3" xfId="13039" xr:uid="{C54BEC8F-2086-44E8-BD72-E0C363865A77}"/>
    <cellStyle name="20% - Accent6 2 6 2 3 2" xfId="31635" xr:uid="{5E7DF242-6F17-4EEA-A0EF-A8D235AC8B10}"/>
    <cellStyle name="20% - Accent6 2 6 2 4" xfId="22338" xr:uid="{A489214D-86D3-43BA-A385-597C9CDD30FE}"/>
    <cellStyle name="20% - Accent6 2 6 3" xfId="5785" xr:uid="{00000000-0005-0000-0000-00006A030000}"/>
    <cellStyle name="20% - Accent6 2 6 3 2" xfId="15111" xr:uid="{CEF370EC-404B-4921-BB4C-10592CDCDF38}"/>
    <cellStyle name="20% - Accent6 2 6 3 2 2" xfId="33707" xr:uid="{C507BCF4-FEBF-4F31-884E-9E35DA56BBD8}"/>
    <cellStyle name="20% - Accent6 2 6 3 3" xfId="24410" xr:uid="{EC014A3C-3CBE-4E73-AC6E-FBE4323610D8}"/>
    <cellStyle name="20% - Accent6 2 6 4" xfId="10894" xr:uid="{BDD9727E-7AE3-4B28-873D-A2CDA480389B}"/>
    <cellStyle name="20% - Accent6 2 6 4 2" xfId="29490" xr:uid="{F412EF3F-ED4C-4373-B754-1678644B94B0}"/>
    <cellStyle name="20% - Accent6 2 6 5" xfId="20193" xr:uid="{BF774BF0-4324-4835-B0A4-EB9FC2B2231F}"/>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A97E6019-AEDD-4ACE-87D6-8497D5F2380A}"/>
    <cellStyle name="20% - Accent6 2 7 2 2 2 2" xfId="36265" xr:uid="{30F939D4-9A9B-406E-944D-8B97EF309737}"/>
    <cellStyle name="20% - Accent6 2 7 2 2 3" xfId="26968" xr:uid="{38195CF9-0B9A-452F-9ECB-FC23CAF146A6}"/>
    <cellStyle name="20% - Accent6 2 7 2 3" xfId="13452" xr:uid="{474BE360-619F-43C4-AD2D-F1B7F0FED6AF}"/>
    <cellStyle name="20% - Accent6 2 7 2 3 2" xfId="32048" xr:uid="{4D7FAAFC-CF15-4D17-90D2-C0CAA488683C}"/>
    <cellStyle name="20% - Accent6 2 7 2 4" xfId="22751" xr:uid="{390978FC-BF75-4841-A9F8-E8B5678502E8}"/>
    <cellStyle name="20% - Accent6 2 7 3" xfId="6198" xr:uid="{00000000-0005-0000-0000-00006E030000}"/>
    <cellStyle name="20% - Accent6 2 7 3 2" xfId="15524" xr:uid="{39CA6B69-7FCF-4759-85F6-8A91F5C951B6}"/>
    <cellStyle name="20% - Accent6 2 7 3 2 2" xfId="34120" xr:uid="{C7D84677-8704-453F-8BFF-724FDC31C38A}"/>
    <cellStyle name="20% - Accent6 2 7 3 3" xfId="24823" xr:uid="{1B96E525-D637-4625-8859-288E7F18CBC4}"/>
    <cellStyle name="20% - Accent6 2 7 4" xfId="11307" xr:uid="{3C6AFF6D-3621-42B8-BD39-4FA77990F4A9}"/>
    <cellStyle name="20% - Accent6 2 7 4 2" xfId="29903" xr:uid="{278AD352-65BD-4434-A9D8-27B9E89FAE56}"/>
    <cellStyle name="20% - Accent6 2 7 5" xfId="20606" xr:uid="{1BCFB08D-324F-48D4-BBA9-C507E985B6FE}"/>
    <cellStyle name="20% - Accent6 2 8" xfId="2305" xr:uid="{00000000-0005-0000-0000-00006F030000}"/>
    <cellStyle name="20% - Accent6 2 8 2" xfId="6611" xr:uid="{00000000-0005-0000-0000-000070030000}"/>
    <cellStyle name="20% - Accent6 2 8 2 2" xfId="15937" xr:uid="{887FE5E9-0293-4530-A99E-3A45DD40211C}"/>
    <cellStyle name="20% - Accent6 2 8 2 2 2" xfId="34533" xr:uid="{2F063707-8FCA-4028-BC5E-3A656767B561}"/>
    <cellStyle name="20% - Accent6 2 8 2 3" xfId="25236" xr:uid="{77DDFC7C-570B-4768-B2BB-8445D5A4B0D8}"/>
    <cellStyle name="20% - Accent6 2 8 3" xfId="11720" xr:uid="{9413BD44-74B0-46CB-BFC7-B4642E76920E}"/>
    <cellStyle name="20% - Accent6 2 8 3 2" xfId="30316" xr:uid="{348FCFE8-1AE3-4BA9-B2A2-AB53BA90F4D6}"/>
    <cellStyle name="20% - Accent6 2 8 4" xfId="21019" xr:uid="{D71637CB-8B63-4360-B47F-C0DDA2E97EC6}"/>
    <cellStyle name="20% - Accent6 2 9" xfId="4545" xr:uid="{00000000-0005-0000-0000-000071030000}"/>
    <cellStyle name="20% - Accent6 2 9 2" xfId="13871" xr:uid="{A0915F25-028A-4A95-AE4D-0534641F03D9}"/>
    <cellStyle name="20% - Accent6 2 9 2 2" xfId="32467" xr:uid="{26AE297B-78D1-4D9B-8122-10BCD4FA0CFA}"/>
    <cellStyle name="20% - Accent6 2 9 3" xfId="23170" xr:uid="{5FF62C62-5B09-4A0D-894B-9C73808C7BBC}"/>
    <cellStyle name="20% - Accent6 3" xfId="46" xr:uid="{00000000-0005-0000-0000-000072030000}"/>
    <cellStyle name="20% - Accent6 3 10" xfId="9658" xr:uid="{9DB8576A-F5B9-475B-9FE9-79917832F2BF}"/>
    <cellStyle name="20% - Accent6 3 10 2" xfId="28254" xr:uid="{05A4D905-D518-4FC6-89D8-1E39859C8B93}"/>
    <cellStyle name="20% - Accent6 3 11" xfId="18957" xr:uid="{34480D29-B7D1-4772-811D-E05A277CAF56}"/>
    <cellStyle name="20% - Accent6 3 2" xfId="47" xr:uid="{00000000-0005-0000-0000-000073030000}"/>
    <cellStyle name="20% - Accent6 3 2 10" xfId="18958" xr:uid="{D5FF03BE-E9F1-46AB-A629-97B039491146}"/>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504F9A0D-8829-4EFE-97F6-8AED64EA1425}"/>
    <cellStyle name="20% - Accent6 3 2 2 2 2 2 2" xfId="35031" xr:uid="{E858481F-F72D-48FA-AC37-B0893200590E}"/>
    <cellStyle name="20% - Accent6 3 2 2 2 2 3" xfId="25734" xr:uid="{B7615707-0B13-46BB-A3EA-85590CD46FDE}"/>
    <cellStyle name="20% - Accent6 3 2 2 2 3" xfId="12218" xr:uid="{B7926062-BCB8-4991-BA30-05FEA25D106E}"/>
    <cellStyle name="20% - Accent6 3 2 2 2 3 2" xfId="30814" xr:uid="{E56FF5F7-98AC-4DE0-94B7-153731791A44}"/>
    <cellStyle name="20% - Accent6 3 2 2 2 4" xfId="21517" xr:uid="{A513B504-3EDB-416D-82DD-2C2D84F111D0}"/>
    <cellStyle name="20% - Accent6 3 2 2 3" xfId="4964" xr:uid="{00000000-0005-0000-0000-000077030000}"/>
    <cellStyle name="20% - Accent6 3 2 2 3 2" xfId="14290" xr:uid="{53A63FB5-C91F-4EC3-8422-3B69C2B60B68}"/>
    <cellStyle name="20% - Accent6 3 2 2 3 2 2" xfId="32886" xr:uid="{AFFD52B3-2689-4DBD-B5C7-6D7233F8F3D9}"/>
    <cellStyle name="20% - Accent6 3 2 2 3 3" xfId="23589" xr:uid="{97E592AB-8335-49ED-9F98-9F842946C6AD}"/>
    <cellStyle name="20% - Accent6 3 2 2 4" xfId="9503" xr:uid="{A5A3EDF8-16EA-4A86-8795-C3BA46FE244A}"/>
    <cellStyle name="20% - Accent6 3 2 2 4 2" xfId="18818" xr:uid="{2B6B8EF5-63EB-4C8D-BD0F-203696882CDA}"/>
    <cellStyle name="20% - Accent6 3 2 2 4 2 2" xfId="37412" xr:uid="{F69F68F3-F566-4DA6-B778-01365FCB390A}"/>
    <cellStyle name="20% - Accent6 3 2 2 4 3" xfId="28115" xr:uid="{88EE9434-D9CE-46BE-869A-526C956660D1}"/>
    <cellStyle name="20% - Accent6 3 2 2 5" xfId="10073" xr:uid="{8A80EF57-3F3B-4F29-ADB7-0D2DE05F8681}"/>
    <cellStyle name="20% - Accent6 3 2 2 5 2" xfId="28669" xr:uid="{30B98CD4-FEF2-4F23-A628-E5FCF79F91F7}"/>
    <cellStyle name="20% - Accent6 3 2 2 6" xfId="19372" xr:uid="{02EDFB9E-8956-44C2-BDF8-0CC4115AD50A}"/>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33289DAA-0AC4-4733-9F2D-0DC7150BF71C}"/>
    <cellStyle name="20% - Accent6 3 2 3 2 2 2 2" xfId="35444" xr:uid="{8A353926-D207-4CEE-884B-6DDA7C8D1A64}"/>
    <cellStyle name="20% - Accent6 3 2 3 2 2 3" xfId="26147" xr:uid="{4DE63F7D-F596-4FAA-A136-739A75D7E5DC}"/>
    <cellStyle name="20% - Accent6 3 2 3 2 3" xfId="12631" xr:uid="{1584A564-09AC-463C-AEB9-129D8C19BDC1}"/>
    <cellStyle name="20% - Accent6 3 2 3 2 3 2" xfId="31227" xr:uid="{C236806E-DA06-4CA9-A72D-24EDAEF85D37}"/>
    <cellStyle name="20% - Accent6 3 2 3 2 4" xfId="21930" xr:uid="{DB2C594A-8411-4F66-9DEA-605739C8DD65}"/>
    <cellStyle name="20% - Accent6 3 2 3 3" xfId="5377" xr:uid="{00000000-0005-0000-0000-00007B030000}"/>
    <cellStyle name="20% - Accent6 3 2 3 3 2" xfId="14703" xr:uid="{B629836F-C946-49F5-8389-005B06EE4FE4}"/>
    <cellStyle name="20% - Accent6 3 2 3 3 2 2" xfId="33299" xr:uid="{D2EB170D-5CE4-49F5-ABFE-BFD7EFE10FC1}"/>
    <cellStyle name="20% - Accent6 3 2 3 3 3" xfId="24002" xr:uid="{59E6BD72-5993-479D-BEDE-4F6C9790C029}"/>
    <cellStyle name="20% - Accent6 3 2 3 4" xfId="10486" xr:uid="{8CA1EFE6-99D6-437D-B41A-C5C120D24A72}"/>
    <cellStyle name="20% - Accent6 3 2 3 4 2" xfId="29082" xr:uid="{D01C94A1-E86C-4D61-A6AA-EC5EC8252F38}"/>
    <cellStyle name="20% - Accent6 3 2 3 5" xfId="19785" xr:uid="{39BAC354-CA95-4462-A8D5-CFE0F0665A1E}"/>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6EE1D4AF-5990-46F6-B934-E66DE322D9E9}"/>
    <cellStyle name="20% - Accent6 3 2 4 2 2 2 2" xfId="35857" xr:uid="{77E83CF9-D12C-4646-A551-102598F5C8F1}"/>
    <cellStyle name="20% - Accent6 3 2 4 2 2 3" xfId="26560" xr:uid="{9BCD0776-D60E-4B59-88FF-C855B48EBDF9}"/>
    <cellStyle name="20% - Accent6 3 2 4 2 3" xfId="13044" xr:uid="{9AE84826-F789-4291-92A9-DA9398885A4C}"/>
    <cellStyle name="20% - Accent6 3 2 4 2 3 2" xfId="31640" xr:uid="{12435D5A-F0DD-4902-AA94-E90F1C04266B}"/>
    <cellStyle name="20% - Accent6 3 2 4 2 4" xfId="22343" xr:uid="{D831F966-D426-423B-A240-761B19112FA8}"/>
    <cellStyle name="20% - Accent6 3 2 4 3" xfId="5790" xr:uid="{00000000-0005-0000-0000-00007F030000}"/>
    <cellStyle name="20% - Accent6 3 2 4 3 2" xfId="15116" xr:uid="{280306ED-BC34-4FF5-9CF7-818B8D408AB9}"/>
    <cellStyle name="20% - Accent6 3 2 4 3 2 2" xfId="33712" xr:uid="{61C62EB3-F39E-4FC6-BDE8-BCD7D12830EA}"/>
    <cellStyle name="20% - Accent6 3 2 4 3 3" xfId="24415" xr:uid="{6BE6E8DA-BC9D-4B83-81CF-FE4DE68D227C}"/>
    <cellStyle name="20% - Accent6 3 2 4 4" xfId="10899" xr:uid="{45F725A0-0C04-4CA0-A466-2E44122341E5}"/>
    <cellStyle name="20% - Accent6 3 2 4 4 2" xfId="29495" xr:uid="{FD0CC283-FD29-4861-B676-C43666B99C3E}"/>
    <cellStyle name="20% - Accent6 3 2 4 5" xfId="20198" xr:uid="{B10AD528-68A0-40F0-ABEC-E85078A33B59}"/>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2F7F4E9A-4790-4577-BEB7-77E9E636DB0B}"/>
    <cellStyle name="20% - Accent6 3 2 5 2 2 2 2" xfId="36270" xr:uid="{B4F60992-B3BE-40EE-8D56-174D2AA2BED2}"/>
    <cellStyle name="20% - Accent6 3 2 5 2 2 3" xfId="26973" xr:uid="{C616357D-F4DC-45B2-951B-F3F684FCBFF6}"/>
    <cellStyle name="20% - Accent6 3 2 5 2 3" xfId="13457" xr:uid="{A4B77346-9D05-497A-A614-AFE2932DF1B4}"/>
    <cellStyle name="20% - Accent6 3 2 5 2 3 2" xfId="32053" xr:uid="{7B241BAC-9337-438A-892B-8AEF055C8EE4}"/>
    <cellStyle name="20% - Accent6 3 2 5 2 4" xfId="22756" xr:uid="{72A3350A-511D-422F-9E91-572F65160B7F}"/>
    <cellStyle name="20% - Accent6 3 2 5 3" xfId="6203" xr:uid="{00000000-0005-0000-0000-000083030000}"/>
    <cellStyle name="20% - Accent6 3 2 5 3 2" xfId="15529" xr:uid="{5EE7D4BF-7BF4-44AB-AA44-E930983DFAB1}"/>
    <cellStyle name="20% - Accent6 3 2 5 3 2 2" xfId="34125" xr:uid="{1624122E-79FC-4DBF-B9B6-93202E965EC6}"/>
    <cellStyle name="20% - Accent6 3 2 5 3 3" xfId="24828" xr:uid="{9929EDAB-E4A3-43DF-8989-2DB69F32B234}"/>
    <cellStyle name="20% - Accent6 3 2 5 4" xfId="11312" xr:uid="{D2AA09D2-1C09-4B7B-A3A8-51C299FA1620}"/>
    <cellStyle name="20% - Accent6 3 2 5 4 2" xfId="29908" xr:uid="{F1633D09-25B3-48C5-8FF4-C61025234037}"/>
    <cellStyle name="20% - Accent6 3 2 5 5" xfId="20611" xr:uid="{7464CB51-C30F-407D-B5B4-249EA219778E}"/>
    <cellStyle name="20% - Accent6 3 2 6" xfId="2310" xr:uid="{00000000-0005-0000-0000-000084030000}"/>
    <cellStyle name="20% - Accent6 3 2 6 2" xfId="6616" xr:uid="{00000000-0005-0000-0000-000085030000}"/>
    <cellStyle name="20% - Accent6 3 2 6 2 2" xfId="15942" xr:uid="{B8A7AE33-2721-41CB-AA48-DAFFC1AA15C1}"/>
    <cellStyle name="20% - Accent6 3 2 6 2 2 2" xfId="34538" xr:uid="{D3E1C066-E99A-404B-9565-577CEDFD59E4}"/>
    <cellStyle name="20% - Accent6 3 2 6 2 3" xfId="25241" xr:uid="{1DD98B28-8E53-46B0-B0B5-64D155F77215}"/>
    <cellStyle name="20% - Accent6 3 2 6 3" xfId="11725" xr:uid="{A8A0B182-2B82-4D86-AECD-B38069B82C2A}"/>
    <cellStyle name="20% - Accent6 3 2 6 3 2" xfId="30321" xr:uid="{C3F8EBDA-2537-4EE1-9181-FD4D4FD1E08A}"/>
    <cellStyle name="20% - Accent6 3 2 6 4" xfId="21024" xr:uid="{1CCFC730-6E68-4659-924D-0622B4BD029A}"/>
    <cellStyle name="20% - Accent6 3 2 7" xfId="4550" xr:uid="{00000000-0005-0000-0000-000086030000}"/>
    <cellStyle name="20% - Accent6 3 2 7 2" xfId="13876" xr:uid="{1DBBF4C7-23B9-4B8C-9342-2B3D9A2676C4}"/>
    <cellStyle name="20% - Accent6 3 2 7 2 2" xfId="32472" xr:uid="{9A989EE5-A7DD-425A-9256-D4A4E544FC60}"/>
    <cellStyle name="20% - Accent6 3 2 7 3" xfId="23175" xr:uid="{4BBED83B-0DF6-4143-88BA-692FAC7183F0}"/>
    <cellStyle name="20% - Accent6 3 2 8" xfId="9078" xr:uid="{55C63253-C10A-44F0-A9A1-D3E9AD1B1E77}"/>
    <cellStyle name="20% - Accent6 3 2 8 2" xfId="18402" xr:uid="{736BC0D6-3A41-4BAA-A0E7-D0F350CB8C9B}"/>
    <cellStyle name="20% - Accent6 3 2 8 2 2" xfId="36997" xr:uid="{AC259322-6328-4789-94E4-7D1A402F8FA6}"/>
    <cellStyle name="20% - Accent6 3 2 8 3" xfId="27700" xr:uid="{158ECEEC-BEF6-4C01-B806-AB0BFBE93441}"/>
    <cellStyle name="20% - Accent6 3 2 9" xfId="9659" xr:uid="{5FDED68B-6315-4FFE-9032-F20B45C95A37}"/>
    <cellStyle name="20% - Accent6 3 2 9 2" xfId="28255" xr:uid="{B1D63245-FD56-4213-A5FF-268FD70BC816}"/>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661E50D9-C362-439C-86B3-AAE959EF0507}"/>
    <cellStyle name="20% - Accent6 3 3 2 2 2 2" xfId="35030" xr:uid="{6D64150B-D51F-4158-AEDB-DB7D616F9D02}"/>
    <cellStyle name="20% - Accent6 3 3 2 2 3" xfId="25733" xr:uid="{353C6CD1-25A6-4875-A9FD-CFCCF2402518}"/>
    <cellStyle name="20% - Accent6 3 3 2 3" xfId="12217" xr:uid="{174712A0-E49C-410C-A5D7-CD8C2F13D7D2}"/>
    <cellStyle name="20% - Accent6 3 3 2 3 2" xfId="30813" xr:uid="{99CBDB0F-B95E-4929-9A5A-A8E987081885}"/>
    <cellStyle name="20% - Accent6 3 3 2 4" xfId="21516" xr:uid="{95F25F84-1957-48CC-8496-39246D49F296}"/>
    <cellStyle name="20% - Accent6 3 3 3" xfId="4963" xr:uid="{00000000-0005-0000-0000-00008A030000}"/>
    <cellStyle name="20% - Accent6 3 3 3 2" xfId="14289" xr:uid="{E96406BA-0858-44FF-B264-7ABBB6AA2CDC}"/>
    <cellStyle name="20% - Accent6 3 3 3 2 2" xfId="32885" xr:uid="{E41C3C4A-9355-46E6-A591-A5E8C51149B8}"/>
    <cellStyle name="20% - Accent6 3 3 3 3" xfId="23588" xr:uid="{D5C6C8CA-F193-4F75-996F-62C810DCEB1D}"/>
    <cellStyle name="20% - Accent6 3 3 4" xfId="9296" xr:uid="{68DBDAD1-945F-459A-93CE-56D312D1EDE4}"/>
    <cellStyle name="20% - Accent6 3 3 4 2" xfId="18611" xr:uid="{208E3948-024F-4E87-957D-3E0C6D4034D1}"/>
    <cellStyle name="20% - Accent6 3 3 4 2 2" xfId="37205" xr:uid="{0F85D9D0-71F7-4D6B-94A2-8C12207ADB31}"/>
    <cellStyle name="20% - Accent6 3 3 4 3" xfId="27908" xr:uid="{5C1001CD-1E81-4979-9BC8-26D765FEEC38}"/>
    <cellStyle name="20% - Accent6 3 3 5" xfId="10072" xr:uid="{C834E842-3B41-4A56-85D0-8A8604A2C7B0}"/>
    <cellStyle name="20% - Accent6 3 3 5 2" xfId="28668" xr:uid="{755E9209-0865-47D6-A5AE-0E53E1B85B75}"/>
    <cellStyle name="20% - Accent6 3 3 6" xfId="19371" xr:uid="{C34FFEB4-589B-43EB-9593-6277EF73C01E}"/>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5563C66C-29F7-495C-8F46-A3572D12DC40}"/>
    <cellStyle name="20% - Accent6 3 4 2 2 2 2" xfId="35443" xr:uid="{78C383B2-2E7D-4200-9DA5-1FDFB3790D6B}"/>
    <cellStyle name="20% - Accent6 3 4 2 2 3" xfId="26146" xr:uid="{78F302ED-B820-4149-AF4D-2C4C83EB2698}"/>
    <cellStyle name="20% - Accent6 3 4 2 3" xfId="12630" xr:uid="{0C6B5DDB-AD40-49DD-BAC1-EC7120B7EBC9}"/>
    <cellStyle name="20% - Accent6 3 4 2 3 2" xfId="31226" xr:uid="{71A211BE-B3D0-417C-B9B3-A8DD1182BE70}"/>
    <cellStyle name="20% - Accent6 3 4 2 4" xfId="21929" xr:uid="{3951F77E-D189-40D5-9061-3A51E82AFFE0}"/>
    <cellStyle name="20% - Accent6 3 4 3" xfId="5376" xr:uid="{00000000-0005-0000-0000-00008E030000}"/>
    <cellStyle name="20% - Accent6 3 4 3 2" xfId="14702" xr:uid="{1860E8AD-9D98-47C6-B997-A509A9C06EB3}"/>
    <cellStyle name="20% - Accent6 3 4 3 2 2" xfId="33298" xr:uid="{5BA475AE-CC12-48E9-8791-DA2FB2BA9FA4}"/>
    <cellStyle name="20% - Accent6 3 4 3 3" xfId="24001" xr:uid="{13F5D465-0074-4F42-8979-49A6697D4C6E}"/>
    <cellStyle name="20% - Accent6 3 4 4" xfId="10485" xr:uid="{0C955724-9D32-49A3-85C0-62E62A8110B9}"/>
    <cellStyle name="20% - Accent6 3 4 4 2" xfId="29081" xr:uid="{68014501-2B33-4F75-8E94-59F7F7286947}"/>
    <cellStyle name="20% - Accent6 3 4 5" xfId="19784" xr:uid="{9FAC8936-CF02-4D88-8C76-2E577C6F4F05}"/>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A94CE255-A25F-441E-90D5-E782D8231A11}"/>
    <cellStyle name="20% - Accent6 3 5 2 2 2 2" xfId="35856" xr:uid="{4041A8B7-1190-4C51-890F-5F6EA06AD906}"/>
    <cellStyle name="20% - Accent6 3 5 2 2 3" xfId="26559" xr:uid="{2E048961-234B-41AE-B10E-14CB6DCFA479}"/>
    <cellStyle name="20% - Accent6 3 5 2 3" xfId="13043" xr:uid="{E13EDA34-3C43-41E8-8578-619D10598721}"/>
    <cellStyle name="20% - Accent6 3 5 2 3 2" xfId="31639" xr:uid="{93C8F17D-E74E-46C5-9EA2-2145A6D16793}"/>
    <cellStyle name="20% - Accent6 3 5 2 4" xfId="22342" xr:uid="{47653D31-FDE8-4E3D-B5F5-280410ED04BB}"/>
    <cellStyle name="20% - Accent6 3 5 3" xfId="5789" xr:uid="{00000000-0005-0000-0000-000092030000}"/>
    <cellStyle name="20% - Accent6 3 5 3 2" xfId="15115" xr:uid="{B373DF44-5BA6-4496-926A-E5C904590AC7}"/>
    <cellStyle name="20% - Accent6 3 5 3 2 2" xfId="33711" xr:uid="{D2181F1F-8971-4DB0-8525-44CF6ACA6386}"/>
    <cellStyle name="20% - Accent6 3 5 3 3" xfId="24414" xr:uid="{DEC37081-6278-4718-8EC1-E51194D35725}"/>
    <cellStyle name="20% - Accent6 3 5 4" xfId="10898" xr:uid="{00075598-CE5B-404D-BCEE-62207321F57E}"/>
    <cellStyle name="20% - Accent6 3 5 4 2" xfId="29494" xr:uid="{9D793CF2-36B5-4820-830A-FB63F43FDAFA}"/>
    <cellStyle name="20% - Accent6 3 5 5" xfId="20197" xr:uid="{4824F046-DB27-4262-94CC-EF639E984823}"/>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2F7676FF-2936-4EF4-B095-0A1CDCFCF61B}"/>
    <cellStyle name="20% - Accent6 3 6 2 2 2 2" xfId="36269" xr:uid="{27D7A6C7-EC91-47E7-B8D8-EA81E0B915AA}"/>
    <cellStyle name="20% - Accent6 3 6 2 2 3" xfId="26972" xr:uid="{264695BA-50E7-46C1-B97E-BEB3616EC6B7}"/>
    <cellStyle name="20% - Accent6 3 6 2 3" xfId="13456" xr:uid="{B12C05BB-875E-4715-A380-91E823D0D7F1}"/>
    <cellStyle name="20% - Accent6 3 6 2 3 2" xfId="32052" xr:uid="{7C360650-2922-4D49-8B81-337E9378C5E4}"/>
    <cellStyle name="20% - Accent6 3 6 2 4" xfId="22755" xr:uid="{DA05C4BF-5A92-4702-A6FB-0E88E5C797DC}"/>
    <cellStyle name="20% - Accent6 3 6 3" xfId="6202" xr:uid="{00000000-0005-0000-0000-000096030000}"/>
    <cellStyle name="20% - Accent6 3 6 3 2" xfId="15528" xr:uid="{419A1F1D-D4CD-43AE-8DE6-13CDF24B00A4}"/>
    <cellStyle name="20% - Accent6 3 6 3 2 2" xfId="34124" xr:uid="{0FA89A45-AD67-4747-AD86-9802BC773F4C}"/>
    <cellStyle name="20% - Accent6 3 6 3 3" xfId="24827" xr:uid="{BDAFDB09-4DE5-4FC9-BC38-9533A2A0B73D}"/>
    <cellStyle name="20% - Accent6 3 6 4" xfId="11311" xr:uid="{C292554B-13A9-4C4F-B013-B6BC6B8A832D}"/>
    <cellStyle name="20% - Accent6 3 6 4 2" xfId="29907" xr:uid="{B275D57C-C9D4-4DB3-BDDC-8A4EF2A9E90A}"/>
    <cellStyle name="20% - Accent6 3 6 5" xfId="20610" xr:uid="{29BE2501-CA44-49E8-BF57-BDE2C9A9A5EE}"/>
    <cellStyle name="20% - Accent6 3 7" xfId="2309" xr:uid="{00000000-0005-0000-0000-000097030000}"/>
    <cellStyle name="20% - Accent6 3 7 2" xfId="6615" xr:uid="{00000000-0005-0000-0000-000098030000}"/>
    <cellStyle name="20% - Accent6 3 7 2 2" xfId="15941" xr:uid="{8FA80613-79BE-46D6-9F41-286B97E5D982}"/>
    <cellStyle name="20% - Accent6 3 7 2 2 2" xfId="34537" xr:uid="{BC092B7F-F058-4A4A-963D-FBC65A60379B}"/>
    <cellStyle name="20% - Accent6 3 7 2 3" xfId="25240" xr:uid="{B7FF7783-2362-4786-BF37-089C296DA856}"/>
    <cellStyle name="20% - Accent6 3 7 3" xfId="11724" xr:uid="{67FF6C3F-3DF0-45F4-BAB9-6B50422D0FA5}"/>
    <cellStyle name="20% - Accent6 3 7 3 2" xfId="30320" xr:uid="{DB61A425-D484-4A40-8FBA-BECAA3A8F435}"/>
    <cellStyle name="20% - Accent6 3 7 4" xfId="21023" xr:uid="{B32FF9A3-9C29-4F4E-9A3C-1594AA5932CF}"/>
    <cellStyle name="20% - Accent6 3 8" xfId="4549" xr:uid="{00000000-0005-0000-0000-000099030000}"/>
    <cellStyle name="20% - Accent6 3 8 2" xfId="13875" xr:uid="{4FD928D1-0A1C-45AE-8352-1338CF2F40EF}"/>
    <cellStyle name="20% - Accent6 3 8 2 2" xfId="32471" xr:uid="{9C658D23-EFFB-4CF5-A593-E163BC8BD3EF}"/>
    <cellStyle name="20% - Accent6 3 8 3" xfId="23174" xr:uid="{A5AB4CF2-2A07-4F40-BBBC-FC986C4F1381}"/>
    <cellStyle name="20% - Accent6 3 9" xfId="8871" xr:uid="{6A653046-C3D6-46DC-9DAA-DA1241CBE9F0}"/>
    <cellStyle name="20% - Accent6 3 9 2" xfId="18195" xr:uid="{84AD5F1E-F9EF-42EA-A177-763095CCBE5C}"/>
    <cellStyle name="20% - Accent6 3 9 2 2" xfId="36790" xr:uid="{D7176361-1807-4B5B-8DCF-AA0EA80DF826}"/>
    <cellStyle name="20% - Accent6 3 9 3" xfId="27493" xr:uid="{92F527C2-9DA9-4B8B-BF5A-A6EABF63EC26}"/>
    <cellStyle name="20% - Accent6 4" xfId="48" xr:uid="{00000000-0005-0000-0000-00009A030000}"/>
    <cellStyle name="20% - Accent6 4 10" xfId="18959" xr:uid="{EC73A8E6-E4AC-476A-A400-AF1F06C7C39F}"/>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471B184A-F390-421F-81EA-E51C068DEFCC}"/>
    <cellStyle name="20% - Accent6 4 2 2 2 2 2" xfId="35032" xr:uid="{5997731C-D26D-48BE-80F0-B8D6BA0862DE}"/>
    <cellStyle name="20% - Accent6 4 2 2 2 3" xfId="25735" xr:uid="{196C66FA-263A-4923-BAF1-F45202C03387}"/>
    <cellStyle name="20% - Accent6 4 2 2 3" xfId="12219" xr:uid="{F661CC8B-32A0-4AA6-9A68-6CD1A3065933}"/>
    <cellStyle name="20% - Accent6 4 2 2 3 2" xfId="30815" xr:uid="{11EF7D32-1314-4832-9E6C-964B4153DCD8}"/>
    <cellStyle name="20% - Accent6 4 2 2 4" xfId="21518" xr:uid="{EF955CD7-CB85-4B9B-BF7A-AA89668E3C43}"/>
    <cellStyle name="20% - Accent6 4 2 3" xfId="4965" xr:uid="{00000000-0005-0000-0000-00009E030000}"/>
    <cellStyle name="20% - Accent6 4 2 3 2" xfId="14291" xr:uid="{6E340B80-E71D-40A9-BDA4-71A3D2722506}"/>
    <cellStyle name="20% - Accent6 4 2 3 2 2" xfId="32887" xr:uid="{1EBB7585-AC57-4378-9757-214F74801286}"/>
    <cellStyle name="20% - Accent6 4 2 3 3" xfId="23590" xr:uid="{4C01B155-CF66-4306-BD8B-30DB49D874B6}"/>
    <cellStyle name="20% - Accent6 4 2 4" xfId="9382" xr:uid="{704ED43C-A59A-4E80-A03F-B933767E3A55}"/>
    <cellStyle name="20% - Accent6 4 2 4 2" xfId="18697" xr:uid="{D6CBE672-EEA6-42B6-A46E-3F88453420A0}"/>
    <cellStyle name="20% - Accent6 4 2 4 2 2" xfId="37291" xr:uid="{541E0184-1A1B-410B-A57C-8F61350631EF}"/>
    <cellStyle name="20% - Accent6 4 2 4 3" xfId="27994" xr:uid="{94E61FE2-A5D3-47FC-855B-50EA8A5DB785}"/>
    <cellStyle name="20% - Accent6 4 2 5" xfId="10074" xr:uid="{889B53D0-22A7-4AD7-9D9A-775D61B8066C}"/>
    <cellStyle name="20% - Accent6 4 2 5 2" xfId="28670" xr:uid="{E1B8EDF9-1420-4AD8-957B-86D054C434C7}"/>
    <cellStyle name="20% - Accent6 4 2 6" xfId="19373" xr:uid="{B9758EAC-C5C6-443A-986A-1BA4C2D076C5}"/>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2FF707E5-587D-43A7-B7D0-4A061164EFA4}"/>
    <cellStyle name="20% - Accent6 4 3 2 2 2 2" xfId="35445" xr:uid="{87726DA8-8E04-4581-87E2-75A958B3F56D}"/>
    <cellStyle name="20% - Accent6 4 3 2 2 3" xfId="26148" xr:uid="{A5C32C1D-24CC-44E5-9FB0-A14C0C66A6EC}"/>
    <cellStyle name="20% - Accent6 4 3 2 3" xfId="12632" xr:uid="{0EB343CE-CFC2-40C9-AD94-C8475DFD3370}"/>
    <cellStyle name="20% - Accent6 4 3 2 3 2" xfId="31228" xr:uid="{ED087F00-E304-4996-8076-D80BFE21EE58}"/>
    <cellStyle name="20% - Accent6 4 3 2 4" xfId="21931" xr:uid="{FD91D005-D2B6-49F5-9B28-EF36052A5197}"/>
    <cellStyle name="20% - Accent6 4 3 3" xfId="5378" xr:uid="{00000000-0005-0000-0000-0000A2030000}"/>
    <cellStyle name="20% - Accent6 4 3 3 2" xfId="14704" xr:uid="{0B4EDA6D-CF2E-4161-A98C-D3D3E0F7CBFD}"/>
    <cellStyle name="20% - Accent6 4 3 3 2 2" xfId="33300" xr:uid="{11699F03-8737-4F7B-A6FF-CB403BEFCDE2}"/>
    <cellStyle name="20% - Accent6 4 3 3 3" xfId="24003" xr:uid="{B7272145-4E76-4881-A9F1-E9F4C856A5C8}"/>
    <cellStyle name="20% - Accent6 4 3 4" xfId="10487" xr:uid="{C97996C9-9AA6-46E3-99ED-DB04F4BF63B7}"/>
    <cellStyle name="20% - Accent6 4 3 4 2" xfId="29083" xr:uid="{0867E765-F023-4CE2-A56F-4E2827BFF1F4}"/>
    <cellStyle name="20% - Accent6 4 3 5" xfId="19786" xr:uid="{A2217EEF-5F12-497D-953B-8B0E267BEB31}"/>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671A6983-345C-4FC9-B23A-5D64602F5850}"/>
    <cellStyle name="20% - Accent6 4 4 2 2 2 2" xfId="35858" xr:uid="{AE807B4A-78DB-4365-B333-4BAEE2F9A674}"/>
    <cellStyle name="20% - Accent6 4 4 2 2 3" xfId="26561" xr:uid="{4DEAD47E-9A3B-44DF-875F-56AED64E0DC1}"/>
    <cellStyle name="20% - Accent6 4 4 2 3" xfId="13045" xr:uid="{EC301E8C-F013-4D8B-A21B-135D46C1A17F}"/>
    <cellStyle name="20% - Accent6 4 4 2 3 2" xfId="31641" xr:uid="{F23B25D0-D5E2-4A0E-B9A8-40B3B3B1567B}"/>
    <cellStyle name="20% - Accent6 4 4 2 4" xfId="22344" xr:uid="{ECF16526-3706-4A53-BD7C-D2EC04720F44}"/>
    <cellStyle name="20% - Accent6 4 4 3" xfId="5791" xr:uid="{00000000-0005-0000-0000-0000A6030000}"/>
    <cellStyle name="20% - Accent6 4 4 3 2" xfId="15117" xr:uid="{78F0AC78-7306-4D96-AAE6-10CADD421985}"/>
    <cellStyle name="20% - Accent6 4 4 3 2 2" xfId="33713" xr:uid="{156FEAC7-4B53-4332-B9C1-2CE6FB26701D}"/>
    <cellStyle name="20% - Accent6 4 4 3 3" xfId="24416" xr:uid="{13CA88B1-4F30-4D93-8FE4-5E21C2FA0D9E}"/>
    <cellStyle name="20% - Accent6 4 4 4" xfId="10900" xr:uid="{050CEB17-50C4-4706-8D6D-9D7D67496EF4}"/>
    <cellStyle name="20% - Accent6 4 4 4 2" xfId="29496" xr:uid="{1CA672C8-7556-4D8A-BBCC-D89BDC3D2E71}"/>
    <cellStyle name="20% - Accent6 4 4 5" xfId="20199" xr:uid="{31B206CD-3CB8-4E2D-A288-EBA97FB037AA}"/>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C2B86FC6-966C-4F54-B46A-B75FA8D8E2BA}"/>
    <cellStyle name="20% - Accent6 4 5 2 2 2 2" xfId="36271" xr:uid="{51EB645C-E7E9-4697-9D13-41EB6698B8BA}"/>
    <cellStyle name="20% - Accent6 4 5 2 2 3" xfId="26974" xr:uid="{0EE46E86-F5BE-472D-B065-CCE60AEC341D}"/>
    <cellStyle name="20% - Accent6 4 5 2 3" xfId="13458" xr:uid="{BA16730F-86E5-4FA0-B485-9C6013FB41E6}"/>
    <cellStyle name="20% - Accent6 4 5 2 3 2" xfId="32054" xr:uid="{8ADAF79D-6CD7-4B4C-B3C5-116A3645BB16}"/>
    <cellStyle name="20% - Accent6 4 5 2 4" xfId="22757" xr:uid="{1715C569-28DE-4A68-B474-C35CBF0425CE}"/>
    <cellStyle name="20% - Accent6 4 5 3" xfId="6204" xr:uid="{00000000-0005-0000-0000-0000AA030000}"/>
    <cellStyle name="20% - Accent6 4 5 3 2" xfId="15530" xr:uid="{593A22DB-FF4F-4F75-BC91-60C773FF6094}"/>
    <cellStyle name="20% - Accent6 4 5 3 2 2" xfId="34126" xr:uid="{2B8A8B71-0E82-4234-8FA7-DF01D8F79C7B}"/>
    <cellStyle name="20% - Accent6 4 5 3 3" xfId="24829" xr:uid="{20C80DDE-0164-4368-BA58-D495E1CD4694}"/>
    <cellStyle name="20% - Accent6 4 5 4" xfId="11313" xr:uid="{159BBCD8-4383-4C24-B272-CE97C875F34A}"/>
    <cellStyle name="20% - Accent6 4 5 4 2" xfId="29909" xr:uid="{4C1E0FD0-B220-43E7-81D3-51F902714AF6}"/>
    <cellStyle name="20% - Accent6 4 5 5" xfId="20612" xr:uid="{84D87A06-EC59-4B63-B4E3-83AD5F287A2A}"/>
    <cellStyle name="20% - Accent6 4 6" xfId="2311" xr:uid="{00000000-0005-0000-0000-0000AB030000}"/>
    <cellStyle name="20% - Accent6 4 6 2" xfId="6617" xr:uid="{00000000-0005-0000-0000-0000AC030000}"/>
    <cellStyle name="20% - Accent6 4 6 2 2" xfId="15943" xr:uid="{AE663C73-BFD4-4E92-99E1-B3B7DFF0C587}"/>
    <cellStyle name="20% - Accent6 4 6 2 2 2" xfId="34539" xr:uid="{5C33AE26-F681-4C0B-9751-45A5D5C52F59}"/>
    <cellStyle name="20% - Accent6 4 6 2 3" xfId="25242" xr:uid="{9FCE6C95-1787-4F20-AD9F-33D10BCD41F2}"/>
    <cellStyle name="20% - Accent6 4 6 3" xfId="11726" xr:uid="{C14C161D-E409-4088-89AE-801AD2D708AC}"/>
    <cellStyle name="20% - Accent6 4 6 3 2" xfId="30322" xr:uid="{C4D54D57-4AFA-4724-894F-27164D56B754}"/>
    <cellStyle name="20% - Accent6 4 6 4" xfId="21025" xr:uid="{683E6C36-3CDC-40A7-9C50-42D25CAA620C}"/>
    <cellStyle name="20% - Accent6 4 7" xfId="4551" xr:uid="{00000000-0005-0000-0000-0000AD030000}"/>
    <cellStyle name="20% - Accent6 4 7 2" xfId="13877" xr:uid="{3F08C5E4-D867-4A18-96D2-C81975D6E7E9}"/>
    <cellStyle name="20% - Accent6 4 7 2 2" xfId="32473" xr:uid="{6850323E-7AC8-4DDA-841D-8EC525A4CA0F}"/>
    <cellStyle name="20% - Accent6 4 7 3" xfId="23176" xr:uid="{15C6CD1A-FD4C-4B28-B409-F7AC8A1910C0}"/>
    <cellStyle name="20% - Accent6 4 8" xfId="8957" xr:uid="{03E1DA3A-6A3F-4C0D-9844-2D38E7BA13BC}"/>
    <cellStyle name="20% - Accent6 4 8 2" xfId="18281" xr:uid="{6F44CAD5-F380-44CC-B0D3-59306490BDC9}"/>
    <cellStyle name="20% - Accent6 4 8 2 2" xfId="36876" xr:uid="{0CBF8B47-738D-4C62-B532-4BD48339C1A7}"/>
    <cellStyle name="20% - Accent6 4 8 3" xfId="27579" xr:uid="{C493C56C-5483-489F-B440-3BB9184C6661}"/>
    <cellStyle name="20% - Accent6 4 9" xfId="9660" xr:uid="{D8915277-D093-4564-A3D7-D48E431BFDD4}"/>
    <cellStyle name="20% - Accent6 4 9 2" xfId="28256" xr:uid="{A495F07D-C55C-4D4B-BA42-B2B7FFD1599F}"/>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4DC0A933-A7B6-4F13-9CE3-C821E7BA262B}"/>
    <cellStyle name="20% - Accent6 5 2 2 2 2" xfId="35025" xr:uid="{DB5D895C-08CA-4989-B7E6-D5A118CC24B0}"/>
    <cellStyle name="20% - Accent6 5 2 2 3" xfId="25728" xr:uid="{BAE343B4-31CA-49D7-98E5-632CD19DDB59}"/>
    <cellStyle name="20% - Accent6 5 2 3" xfId="12212" xr:uid="{2CEC172F-ACE0-4298-8B2A-BC6BA571864A}"/>
    <cellStyle name="20% - Accent6 5 2 3 2" xfId="30808" xr:uid="{899A14EC-D435-4D32-BB9D-86043D482F2D}"/>
    <cellStyle name="20% - Accent6 5 2 4" xfId="21511" xr:uid="{4B090A47-9E13-4C9A-8060-2D6F16E393C4}"/>
    <cellStyle name="20% - Accent6 5 3" xfId="4958" xr:uid="{00000000-0005-0000-0000-0000B1030000}"/>
    <cellStyle name="20% - Accent6 5 3 2" xfId="14284" xr:uid="{F0AF0EF3-D11D-4BA9-9F40-EBAFEE2FA4C1}"/>
    <cellStyle name="20% - Accent6 5 3 2 2" xfId="32880" xr:uid="{52E0BD05-871E-4681-BDE8-EA0EE3845ACC}"/>
    <cellStyle name="20% - Accent6 5 3 3" xfId="23583" xr:uid="{B008EDCD-DD8D-414A-97E3-83A516A4B4A1}"/>
    <cellStyle name="20% - Accent6 5 4" xfId="9191" xr:uid="{C812E2E5-5572-4E86-9CB6-C7C53792C044}"/>
    <cellStyle name="20% - Accent6 5 4 2" xfId="18508" xr:uid="{435851D6-5197-4FDB-8BE8-8EF38CEE6951}"/>
    <cellStyle name="20% - Accent6 5 4 2 2" xfId="37102" xr:uid="{86FCC046-5B85-46AE-AA1E-C87010CE2BB3}"/>
    <cellStyle name="20% - Accent6 5 4 3" xfId="27805" xr:uid="{EF0747EB-8432-4AD4-8233-869B52B31B3C}"/>
    <cellStyle name="20% - Accent6 5 5" xfId="10067" xr:uid="{BAF7CF09-3514-4BA7-AE8B-680D5738A2F2}"/>
    <cellStyle name="20% - Accent6 5 5 2" xfId="28663" xr:uid="{85D3E5F4-05F6-4F83-87E2-E1A04974F4A5}"/>
    <cellStyle name="20% - Accent6 5 6" xfId="19366" xr:uid="{FE438712-FEE8-44F3-B9B0-1EDFED7AEC32}"/>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91C3C478-FCAB-4928-882D-1937906BDE12}"/>
    <cellStyle name="20% - Accent6 6 2 2 2 2" xfId="35438" xr:uid="{B8BBF066-DBDE-4470-93BB-FE5664D6C43B}"/>
    <cellStyle name="20% - Accent6 6 2 2 3" xfId="26141" xr:uid="{92C3ABB2-FFBE-42CE-8B35-52A276AF41A2}"/>
    <cellStyle name="20% - Accent6 6 2 3" xfId="12625" xr:uid="{35175110-8BB7-4365-914A-D8B89CDB5F93}"/>
    <cellStyle name="20% - Accent6 6 2 3 2" xfId="31221" xr:uid="{CC2E6F86-1A87-4ED8-997A-32930E67E72E}"/>
    <cellStyle name="20% - Accent6 6 2 4" xfId="21924" xr:uid="{0BB52750-C9FE-49FF-9475-958CFBDAF795}"/>
    <cellStyle name="20% - Accent6 6 3" xfId="5371" xr:uid="{00000000-0005-0000-0000-0000B5030000}"/>
    <cellStyle name="20% - Accent6 6 3 2" xfId="14697" xr:uid="{C4317EC8-A60F-4354-9D64-14F482517521}"/>
    <cellStyle name="20% - Accent6 6 3 2 2" xfId="33293" xr:uid="{6BF44DD3-7CCD-411E-A947-6C8A0E24195B}"/>
    <cellStyle name="20% - Accent6 6 3 3" xfId="23996" xr:uid="{5F2C3D5B-4913-4756-B875-6FF0754EF34F}"/>
    <cellStyle name="20% - Accent6 6 4" xfId="10480" xr:uid="{4476D5C7-661E-4A65-A418-92BF4BC58C4F}"/>
    <cellStyle name="20% - Accent6 6 4 2" xfId="29076" xr:uid="{0304BA00-724E-4A75-A8C6-2997E4823018}"/>
    <cellStyle name="20% - Accent6 6 5" xfId="19779" xr:uid="{D0040D4B-807B-4FF8-B98B-7788CD4E1108}"/>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966C3E71-7445-4F92-9F5E-7EF5085ED19F}"/>
    <cellStyle name="20% - Accent6 7 2 2 2 2" xfId="35851" xr:uid="{F4A93D23-71E5-4F85-B972-50593E539E7C}"/>
    <cellStyle name="20% - Accent6 7 2 2 3" xfId="26554" xr:uid="{62CDB45E-F083-4BCD-95DC-5A7368751845}"/>
    <cellStyle name="20% - Accent6 7 2 3" xfId="13038" xr:uid="{EFD66CFA-480B-47B6-90A0-07A33E79B56C}"/>
    <cellStyle name="20% - Accent6 7 2 3 2" xfId="31634" xr:uid="{1B495A51-137C-4964-A84C-17FC38D2C4F0}"/>
    <cellStyle name="20% - Accent6 7 2 4" xfId="22337" xr:uid="{FE360A71-877D-48F2-887C-431CBE40E054}"/>
    <cellStyle name="20% - Accent6 7 3" xfId="5784" xr:uid="{00000000-0005-0000-0000-0000B9030000}"/>
    <cellStyle name="20% - Accent6 7 3 2" xfId="15110" xr:uid="{B3359C1E-A0E4-481D-9774-44C5A540CB8D}"/>
    <cellStyle name="20% - Accent6 7 3 2 2" xfId="33706" xr:uid="{E921DBFF-A88F-4973-B4D7-38C233BA15FF}"/>
    <cellStyle name="20% - Accent6 7 3 3" xfId="24409" xr:uid="{064F5C67-5F82-4206-967F-E9399036BC48}"/>
    <cellStyle name="20% - Accent6 7 4" xfId="10893" xr:uid="{26AB1081-0D93-4530-ADC1-A503F99CA24E}"/>
    <cellStyle name="20% - Accent6 7 4 2" xfId="29489" xr:uid="{C18EC704-AF74-4E53-8C0D-DB31E31A4F96}"/>
    <cellStyle name="20% - Accent6 7 5" xfId="20192" xr:uid="{678DA1D6-A0B3-41BA-8C50-5B74020765E1}"/>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5F759F55-7D41-49F8-87B7-4CC15D2DFB2F}"/>
    <cellStyle name="20% - Accent6 8 2 2 2 2" xfId="36264" xr:uid="{030A1C88-F190-4D17-8572-9749A8445BF0}"/>
    <cellStyle name="20% - Accent6 8 2 2 3" xfId="26967" xr:uid="{5B46313D-FA4E-454F-89A4-AEEA874E3665}"/>
    <cellStyle name="20% - Accent6 8 2 3" xfId="13451" xr:uid="{39590E1F-5A14-488A-95FE-86BBC5F05744}"/>
    <cellStyle name="20% - Accent6 8 2 3 2" xfId="32047" xr:uid="{71E86D6A-EF21-40E1-BEFC-DE022295D9FB}"/>
    <cellStyle name="20% - Accent6 8 2 4" xfId="22750" xr:uid="{91EFA49D-7AC8-4E86-B265-92D04E02DB35}"/>
    <cellStyle name="20% - Accent6 8 3" xfId="6197" xr:uid="{00000000-0005-0000-0000-0000BD030000}"/>
    <cellStyle name="20% - Accent6 8 3 2" xfId="15523" xr:uid="{F69C2396-1D7A-4037-80E5-79EDDD113B7F}"/>
    <cellStyle name="20% - Accent6 8 3 2 2" xfId="34119" xr:uid="{DCB8236A-D78E-46B0-BDA8-A356D774379C}"/>
    <cellStyle name="20% - Accent6 8 3 3" xfId="24822" xr:uid="{7C4663A2-CFB6-4F21-A284-1A1708054746}"/>
    <cellStyle name="20% - Accent6 8 4" xfId="11306" xr:uid="{F21DC5AB-DBD8-4A2B-8E71-886E69FD16E2}"/>
    <cellStyle name="20% - Accent6 8 4 2" xfId="29902" xr:uid="{E90B3094-D0C2-4391-A558-991857535B0E}"/>
    <cellStyle name="20% - Accent6 8 5" xfId="20605" xr:uid="{A710A263-3AD9-4CAC-875D-C6C8CA98D950}"/>
    <cellStyle name="20% - Accent6 9" xfId="2304" xr:uid="{00000000-0005-0000-0000-0000BE030000}"/>
    <cellStyle name="20% - Accent6 9 2" xfId="6610" xr:uid="{00000000-0005-0000-0000-0000BF030000}"/>
    <cellStyle name="20% - Accent6 9 2 2" xfId="15936" xr:uid="{0E447F88-932B-42EF-B629-EA805C7A6A4C}"/>
    <cellStyle name="20% - Accent6 9 2 2 2" xfId="34532" xr:uid="{C7437C2E-78A4-47D2-B68C-ED36508C74BE}"/>
    <cellStyle name="20% - Accent6 9 2 3" xfId="25235" xr:uid="{66E4DE2B-C346-4629-A921-4A2C09BC9E20}"/>
    <cellStyle name="20% - Accent6 9 3" xfId="11719" xr:uid="{DDF26437-E920-4FB6-94A9-7FD969056D53}"/>
    <cellStyle name="20% - Accent6 9 3 2" xfId="30315" xr:uid="{8F74D732-B177-41E1-9D79-6349E3C6F7E4}"/>
    <cellStyle name="20% - Accent6 9 4" xfId="21018" xr:uid="{384AE56C-7244-443B-9FA4-6AB9B909737B}"/>
    <cellStyle name="40% - Accent1" xfId="49" builtinId="31" customBuiltin="1"/>
    <cellStyle name="40% - Accent1 10" xfId="4552" xr:uid="{00000000-0005-0000-0000-0000C1030000}"/>
    <cellStyle name="40% - Accent1 10 2" xfId="13878" xr:uid="{A8BE7180-3031-43B7-BFFD-2948E3707C94}"/>
    <cellStyle name="40% - Accent1 10 2 2" xfId="32474" xr:uid="{2CF9822C-8DD4-4B0F-AE0C-664F38AF4CAF}"/>
    <cellStyle name="40% - Accent1 10 3" xfId="23177" xr:uid="{1DC1AABD-C228-4446-BCAB-CDEA1C5E2D7D}"/>
    <cellStyle name="40% - Accent1 11" xfId="8759" xr:uid="{E0AA4078-00FF-4C00-81ED-1F048AC6C533}"/>
    <cellStyle name="40% - Accent1 11 2" xfId="18083" xr:uid="{8BA3D7AA-19ED-4054-9CFD-DB8FF72AD99D}"/>
    <cellStyle name="40% - Accent1 11 2 2" xfId="36678" xr:uid="{66AE5B17-B5BA-4C20-9611-BA96A8C28A94}"/>
    <cellStyle name="40% - Accent1 11 3" xfId="27381" xr:uid="{34EAF898-63BD-4E73-AB6C-E93EB805EB79}"/>
    <cellStyle name="40% - Accent1 12" xfId="9661" xr:uid="{B6397CCA-8A1D-41A3-A164-7D522FD131B6}"/>
    <cellStyle name="40% - Accent1 12 2" xfId="28257" xr:uid="{DD5A3814-9FFD-4814-A5EE-96EEE00ABACF}"/>
    <cellStyle name="40% - Accent1 13" xfId="18960" xr:uid="{6EF7214D-9B5A-4AA6-BC56-1DA01533BFB0}"/>
    <cellStyle name="40% - Accent1 2" xfId="50" xr:uid="{00000000-0005-0000-0000-0000C2030000}"/>
    <cellStyle name="40% - Accent1 2 10" xfId="8798" xr:uid="{82026451-631C-40CA-BC49-BE5DA2EA921A}"/>
    <cellStyle name="40% - Accent1 2 10 2" xfId="18122" xr:uid="{8896F332-D608-43DA-AEE7-A316DA1F8841}"/>
    <cellStyle name="40% - Accent1 2 10 2 2" xfId="36717" xr:uid="{3E350A69-A6D6-4ED7-B4A9-FC0869B7161D}"/>
    <cellStyle name="40% - Accent1 2 10 3" xfId="27420" xr:uid="{D347BD5C-1C3A-4021-ABB6-C3564AC3DFC9}"/>
    <cellStyle name="40% - Accent1 2 11" xfId="9662" xr:uid="{026B8003-07F9-4934-ACF0-186D6801B381}"/>
    <cellStyle name="40% - Accent1 2 11 2" xfId="28258" xr:uid="{6C85E5C8-0954-492F-BFAB-723301B02307}"/>
    <cellStyle name="40% - Accent1 2 12" xfId="18961" xr:uid="{32B98281-45F0-4C48-94E2-6C1F584F5B80}"/>
    <cellStyle name="40% - Accent1 2 2" xfId="51" xr:uid="{00000000-0005-0000-0000-0000C3030000}"/>
    <cellStyle name="40% - Accent1 2 2 10" xfId="9663" xr:uid="{FD9511FA-14E3-43B9-8471-E4D3AB87CD0D}"/>
    <cellStyle name="40% - Accent1 2 2 10 2" xfId="28259" xr:uid="{3A0B9FC4-FCFD-465A-9A79-2CA9A0F05BF8}"/>
    <cellStyle name="40% - Accent1 2 2 11" xfId="18962" xr:uid="{D92053C1-C789-45C6-B21C-66558726FADB}"/>
    <cellStyle name="40% - Accent1 2 2 2" xfId="52" xr:uid="{00000000-0005-0000-0000-0000C4030000}"/>
    <cellStyle name="40% - Accent1 2 2 2 10" xfId="18963" xr:uid="{51C1B029-F422-4C3C-A105-FCC88ECC053E}"/>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78F4F213-D381-424E-B803-7AB853E88EE8}"/>
    <cellStyle name="40% - Accent1 2 2 2 2 2 2 2 2" xfId="35036" xr:uid="{77593167-1898-41F2-8517-8ED7B92D0281}"/>
    <cellStyle name="40% - Accent1 2 2 2 2 2 2 3" xfId="25739" xr:uid="{28BCD060-377F-4597-8DF7-71C42B605421}"/>
    <cellStyle name="40% - Accent1 2 2 2 2 2 3" xfId="12223" xr:uid="{ED886101-3B6D-4403-82DB-11627EC6D61C}"/>
    <cellStyle name="40% - Accent1 2 2 2 2 2 3 2" xfId="30819" xr:uid="{4672B248-80A6-4B40-B1B1-9A56D4A43456}"/>
    <cellStyle name="40% - Accent1 2 2 2 2 2 4" xfId="21522" xr:uid="{AECE446C-5BD1-4674-9B19-318E1ECC3991}"/>
    <cellStyle name="40% - Accent1 2 2 2 2 3" xfId="4969" xr:uid="{00000000-0005-0000-0000-0000C8030000}"/>
    <cellStyle name="40% - Accent1 2 2 2 2 3 2" xfId="14295" xr:uid="{6FAFF3B5-9D38-47AE-B42E-C7E0EF201277}"/>
    <cellStyle name="40% - Accent1 2 2 2 2 3 2 2" xfId="32891" xr:uid="{C65819F8-16D4-4EAF-A2AA-BE617DC9A022}"/>
    <cellStyle name="40% - Accent1 2 2 2 2 3 3" xfId="23594" xr:uid="{8549F996-8EEB-4771-9CAA-3F700F9D798A}"/>
    <cellStyle name="40% - Accent1 2 2 2 2 4" xfId="9533" xr:uid="{757B5AC4-115E-4B90-B4EA-505C31F9B178}"/>
    <cellStyle name="40% - Accent1 2 2 2 2 4 2" xfId="18848" xr:uid="{3B536381-6022-4F80-BE08-F8B3F4AAB2EB}"/>
    <cellStyle name="40% - Accent1 2 2 2 2 4 2 2" xfId="37442" xr:uid="{523B155C-C02F-4BA2-A57D-9C03A7972443}"/>
    <cellStyle name="40% - Accent1 2 2 2 2 4 3" xfId="28145" xr:uid="{D969D1CA-A450-47B8-80B8-13EC76518A51}"/>
    <cellStyle name="40% - Accent1 2 2 2 2 5" xfId="10078" xr:uid="{7A984A6B-911A-4FAA-9092-AAC883F20578}"/>
    <cellStyle name="40% - Accent1 2 2 2 2 5 2" xfId="28674" xr:uid="{0BEF92B1-E9B2-4199-9812-AE61AA6805EA}"/>
    <cellStyle name="40% - Accent1 2 2 2 2 6" xfId="19377" xr:uid="{57E2F278-4B1B-420C-8A81-7A35AAB17223}"/>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18B8B5AE-8E23-4329-9714-53FCD717CDDB}"/>
    <cellStyle name="40% - Accent1 2 2 2 3 2 2 2 2" xfId="35449" xr:uid="{6DF85CBE-D0AB-4480-82D5-0AFA9803A86C}"/>
    <cellStyle name="40% - Accent1 2 2 2 3 2 2 3" xfId="26152" xr:uid="{7BBF2C9D-5524-4D69-92C4-D79566DA7E68}"/>
    <cellStyle name="40% - Accent1 2 2 2 3 2 3" xfId="12636" xr:uid="{FA738B96-A901-4683-B27A-6A22EADE68CC}"/>
    <cellStyle name="40% - Accent1 2 2 2 3 2 3 2" xfId="31232" xr:uid="{360CCF8B-977F-418F-A016-A61CDBC988C6}"/>
    <cellStyle name="40% - Accent1 2 2 2 3 2 4" xfId="21935" xr:uid="{7333FD13-5B22-4D9B-8A09-57A161D5A416}"/>
    <cellStyle name="40% - Accent1 2 2 2 3 3" xfId="5382" xr:uid="{00000000-0005-0000-0000-0000CC030000}"/>
    <cellStyle name="40% - Accent1 2 2 2 3 3 2" xfId="14708" xr:uid="{75734B9F-CD7C-41F2-80BD-06F22616798C}"/>
    <cellStyle name="40% - Accent1 2 2 2 3 3 2 2" xfId="33304" xr:uid="{4ED33596-268C-457C-99DE-DFC1C5BAB7AC}"/>
    <cellStyle name="40% - Accent1 2 2 2 3 3 3" xfId="24007" xr:uid="{615C71DE-422C-4ED7-B9D1-B6185F6A0A33}"/>
    <cellStyle name="40% - Accent1 2 2 2 3 4" xfId="10491" xr:uid="{E6275137-38D9-4CAF-AF90-A73D0F892149}"/>
    <cellStyle name="40% - Accent1 2 2 2 3 4 2" xfId="29087" xr:uid="{2B25DD36-AC5B-4E89-BA06-8E2F2EBF6C2B}"/>
    <cellStyle name="40% - Accent1 2 2 2 3 5" xfId="19790" xr:uid="{0477D50E-CB91-40D5-A1BF-10A870F1189C}"/>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14932581-6CDF-45BF-954D-A055F1667B16}"/>
    <cellStyle name="40% - Accent1 2 2 2 4 2 2 2 2" xfId="35862" xr:uid="{3052FCF9-8B5F-4EF0-B662-44E44AFC6911}"/>
    <cellStyle name="40% - Accent1 2 2 2 4 2 2 3" xfId="26565" xr:uid="{022A0C63-8D22-4D28-8461-53D23D4FA9DA}"/>
    <cellStyle name="40% - Accent1 2 2 2 4 2 3" xfId="13049" xr:uid="{13D9210F-BEF7-4C66-A34A-3E8245903405}"/>
    <cellStyle name="40% - Accent1 2 2 2 4 2 3 2" xfId="31645" xr:uid="{48E41214-D7DD-4FE0-9BBD-69F80AB4114E}"/>
    <cellStyle name="40% - Accent1 2 2 2 4 2 4" xfId="22348" xr:uid="{CD70A9D0-46B5-4D60-896D-62EF763458ED}"/>
    <cellStyle name="40% - Accent1 2 2 2 4 3" xfId="5795" xr:uid="{00000000-0005-0000-0000-0000D0030000}"/>
    <cellStyle name="40% - Accent1 2 2 2 4 3 2" xfId="15121" xr:uid="{89F066AC-0101-47CD-8088-87673B8A0C31}"/>
    <cellStyle name="40% - Accent1 2 2 2 4 3 2 2" xfId="33717" xr:uid="{56895A76-15C9-4F16-8071-59391CEF4D2B}"/>
    <cellStyle name="40% - Accent1 2 2 2 4 3 3" xfId="24420" xr:uid="{271EF092-54E6-4B30-90F5-52D82D608011}"/>
    <cellStyle name="40% - Accent1 2 2 2 4 4" xfId="10904" xr:uid="{EC748270-1554-4D33-A858-65990288F2AC}"/>
    <cellStyle name="40% - Accent1 2 2 2 4 4 2" xfId="29500" xr:uid="{919AF34F-1F94-49F0-B872-FBC5DE19899E}"/>
    <cellStyle name="40% - Accent1 2 2 2 4 5" xfId="20203" xr:uid="{DF405DBE-31A2-4B60-8DFA-037EF22936CC}"/>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6BCF206E-0DE0-40F1-8315-9BB88E8CEDCF}"/>
    <cellStyle name="40% - Accent1 2 2 2 5 2 2 2 2" xfId="36275" xr:uid="{03F148E6-46DF-4B87-A1C6-3EC5BA8E22D5}"/>
    <cellStyle name="40% - Accent1 2 2 2 5 2 2 3" xfId="26978" xr:uid="{23B095FB-B199-4870-A92C-C86A2CC490F6}"/>
    <cellStyle name="40% - Accent1 2 2 2 5 2 3" xfId="13462" xr:uid="{06B2C7CC-5788-4D9B-93DD-B7553F8AE1B6}"/>
    <cellStyle name="40% - Accent1 2 2 2 5 2 3 2" xfId="32058" xr:uid="{E44137CF-D374-4152-A0C0-940DEE59EE69}"/>
    <cellStyle name="40% - Accent1 2 2 2 5 2 4" xfId="22761" xr:uid="{A530732D-8D44-4CDD-8FCA-3B3CC0FE972E}"/>
    <cellStyle name="40% - Accent1 2 2 2 5 3" xfId="6208" xr:uid="{00000000-0005-0000-0000-0000D4030000}"/>
    <cellStyle name="40% - Accent1 2 2 2 5 3 2" xfId="15534" xr:uid="{517245E6-5982-4971-90E7-17D8BB538A15}"/>
    <cellStyle name="40% - Accent1 2 2 2 5 3 2 2" xfId="34130" xr:uid="{67CA1814-11EE-4529-976C-2AB98C7C2B7B}"/>
    <cellStyle name="40% - Accent1 2 2 2 5 3 3" xfId="24833" xr:uid="{178615A7-DB63-4AD5-94F4-304433A2AEB7}"/>
    <cellStyle name="40% - Accent1 2 2 2 5 4" xfId="11317" xr:uid="{8C9C08F3-FE39-4BBE-8DB0-62E2A5260F1D}"/>
    <cellStyle name="40% - Accent1 2 2 2 5 4 2" xfId="29913" xr:uid="{D5AA6729-9F9E-47FC-8D24-38C930DF56A7}"/>
    <cellStyle name="40% - Accent1 2 2 2 5 5" xfId="20616" xr:uid="{241237BA-748D-43B9-A3C3-CA1516848852}"/>
    <cellStyle name="40% - Accent1 2 2 2 6" xfId="2315" xr:uid="{00000000-0005-0000-0000-0000D5030000}"/>
    <cellStyle name="40% - Accent1 2 2 2 6 2" xfId="6621" xr:uid="{00000000-0005-0000-0000-0000D6030000}"/>
    <cellStyle name="40% - Accent1 2 2 2 6 2 2" xfId="15947" xr:uid="{0DFEAAE5-558E-45F1-8940-C3D14035CA19}"/>
    <cellStyle name="40% - Accent1 2 2 2 6 2 2 2" xfId="34543" xr:uid="{ABBAFE7E-7F27-42D6-8474-FEA8D5554CBC}"/>
    <cellStyle name="40% - Accent1 2 2 2 6 2 3" xfId="25246" xr:uid="{D018BA21-B8B1-4929-8A67-668D2C66B5BB}"/>
    <cellStyle name="40% - Accent1 2 2 2 6 3" xfId="11730" xr:uid="{FF8FF43E-EC83-4341-A3B7-D4B3C3DF8359}"/>
    <cellStyle name="40% - Accent1 2 2 2 6 3 2" xfId="30326" xr:uid="{EA6FC91C-A0B1-4223-9A02-032AD1D6FD1D}"/>
    <cellStyle name="40% - Accent1 2 2 2 6 4" xfId="21029" xr:uid="{48C57B42-4387-4C4F-B5C2-FC69B1BBE87A}"/>
    <cellStyle name="40% - Accent1 2 2 2 7" xfId="4555" xr:uid="{00000000-0005-0000-0000-0000D7030000}"/>
    <cellStyle name="40% - Accent1 2 2 2 7 2" xfId="13881" xr:uid="{9A1B4ACA-218D-4E87-BA3B-D51C7C132893}"/>
    <cellStyle name="40% - Accent1 2 2 2 7 2 2" xfId="32477" xr:uid="{F04252C5-7E4E-487A-AECE-E7ABC9CC23DF}"/>
    <cellStyle name="40% - Accent1 2 2 2 7 3" xfId="23180" xr:uid="{34500E32-ECCF-4297-BAB4-3CA3FD9F9599}"/>
    <cellStyle name="40% - Accent1 2 2 2 8" xfId="9108" xr:uid="{1189B5E8-DD3C-4F9A-ACD3-DB853C0AC60B}"/>
    <cellStyle name="40% - Accent1 2 2 2 8 2" xfId="18432" xr:uid="{A0E717D9-EA32-4903-BEE8-EC7AE55757F6}"/>
    <cellStyle name="40% - Accent1 2 2 2 8 2 2" xfId="37027" xr:uid="{700B771E-3B74-4842-AC62-2D82DB63B7A9}"/>
    <cellStyle name="40% - Accent1 2 2 2 8 3" xfId="27730" xr:uid="{AE547505-035E-46E9-A120-32A044AEA86E}"/>
    <cellStyle name="40% - Accent1 2 2 2 9" xfId="9664" xr:uid="{91DB715A-4EF2-4790-B102-314D82FBFCFF}"/>
    <cellStyle name="40% - Accent1 2 2 2 9 2" xfId="28260" xr:uid="{35FF7944-B740-4D98-8FC3-C513E985857A}"/>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A5C8F813-D25C-41A1-8C33-6774EE289864}"/>
    <cellStyle name="40% - Accent1 2 2 3 2 2 2 2" xfId="35035" xr:uid="{1D2637C6-B4EE-4833-AB4E-B54FA13C882E}"/>
    <cellStyle name="40% - Accent1 2 2 3 2 2 3" xfId="25738" xr:uid="{2A763073-EFA0-4EDE-83E9-DBC2AA99BF53}"/>
    <cellStyle name="40% - Accent1 2 2 3 2 3" xfId="12222" xr:uid="{64D3F775-EB0A-420C-8E00-2A80BD9B6257}"/>
    <cellStyle name="40% - Accent1 2 2 3 2 3 2" xfId="30818" xr:uid="{660C3511-DAA0-48A7-BAE1-27485A9A3E8D}"/>
    <cellStyle name="40% - Accent1 2 2 3 2 4" xfId="21521" xr:uid="{B1A98036-FFCA-4B4D-9A50-5AE04910A7B7}"/>
    <cellStyle name="40% - Accent1 2 2 3 3" xfId="4968" xr:uid="{00000000-0005-0000-0000-0000DB030000}"/>
    <cellStyle name="40% - Accent1 2 2 3 3 2" xfId="14294" xr:uid="{A4306147-823D-4A30-944B-A4325D10D1F7}"/>
    <cellStyle name="40% - Accent1 2 2 3 3 2 2" xfId="32890" xr:uid="{977F6704-5F92-4D28-8E2A-D7146C74B250}"/>
    <cellStyle name="40% - Accent1 2 2 3 3 3" xfId="23593" xr:uid="{93C5F265-9A76-4780-A07F-22D8649526AF}"/>
    <cellStyle name="40% - Accent1 2 2 3 4" xfId="9326" xr:uid="{6D693950-F4D3-4A82-8C01-49E2379281D4}"/>
    <cellStyle name="40% - Accent1 2 2 3 4 2" xfId="18641" xr:uid="{1904C8F7-9811-4E2A-80CD-E15C0BC33FE7}"/>
    <cellStyle name="40% - Accent1 2 2 3 4 2 2" xfId="37235" xr:uid="{EDF9C541-24CC-4002-9C01-0B1BE8CEEA39}"/>
    <cellStyle name="40% - Accent1 2 2 3 4 3" xfId="27938" xr:uid="{FFC31CED-B18F-42AC-9B74-E551459CE2BF}"/>
    <cellStyle name="40% - Accent1 2 2 3 5" xfId="10077" xr:uid="{AFCFF668-7D0C-43A9-A907-66468B6FC8A7}"/>
    <cellStyle name="40% - Accent1 2 2 3 5 2" xfId="28673" xr:uid="{4461ADC5-4D42-4E5F-967C-6257DA336046}"/>
    <cellStyle name="40% - Accent1 2 2 3 6" xfId="19376" xr:uid="{43185739-0145-490D-8E60-BE930564A5B8}"/>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8C215DCD-88E4-428B-8A42-0311AFAACD2B}"/>
    <cellStyle name="40% - Accent1 2 2 4 2 2 2 2" xfId="35448" xr:uid="{DE2CE4C8-BA6A-4172-A4C1-AB7ED35867BA}"/>
    <cellStyle name="40% - Accent1 2 2 4 2 2 3" xfId="26151" xr:uid="{497F0D29-4121-434A-8383-5DAED92E2790}"/>
    <cellStyle name="40% - Accent1 2 2 4 2 3" xfId="12635" xr:uid="{A8D10693-F665-4425-96B8-32472F06A7BC}"/>
    <cellStyle name="40% - Accent1 2 2 4 2 3 2" xfId="31231" xr:uid="{ACA5C2DC-2493-4274-B93E-CA103FCA4F3C}"/>
    <cellStyle name="40% - Accent1 2 2 4 2 4" xfId="21934" xr:uid="{FD51A704-F2CE-4FCD-9A81-9598E2AFE5C2}"/>
    <cellStyle name="40% - Accent1 2 2 4 3" xfId="5381" xr:uid="{00000000-0005-0000-0000-0000DF030000}"/>
    <cellStyle name="40% - Accent1 2 2 4 3 2" xfId="14707" xr:uid="{ACDBCB2B-5B8C-4D41-9A06-E614C99B01C7}"/>
    <cellStyle name="40% - Accent1 2 2 4 3 2 2" xfId="33303" xr:uid="{D76E3CE5-FB60-46E6-8233-C560294627FC}"/>
    <cellStyle name="40% - Accent1 2 2 4 3 3" xfId="24006" xr:uid="{A7FB70C2-BF34-4ED8-9806-3D434F04F26A}"/>
    <cellStyle name="40% - Accent1 2 2 4 4" xfId="10490" xr:uid="{3F590AA5-D955-49F0-BFDA-ADC8AF792CF4}"/>
    <cellStyle name="40% - Accent1 2 2 4 4 2" xfId="29086" xr:uid="{735B7AA1-EC97-4BD2-82FF-456728E47ED7}"/>
    <cellStyle name="40% - Accent1 2 2 4 5" xfId="19789" xr:uid="{266ACBCB-E6AD-4C78-8B54-FCCE38A57E39}"/>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D4A7908C-C8E1-451C-AC51-C66A6BC9BD6D}"/>
    <cellStyle name="40% - Accent1 2 2 5 2 2 2 2" xfId="35861" xr:uid="{388AB360-17B9-4DBA-9EB3-FA28AD199BC7}"/>
    <cellStyle name="40% - Accent1 2 2 5 2 2 3" xfId="26564" xr:uid="{B9B087C3-AD6A-4A76-B98D-F2E66BFADB7C}"/>
    <cellStyle name="40% - Accent1 2 2 5 2 3" xfId="13048" xr:uid="{7661EF93-DC47-4C5E-9D34-4B3002048E9B}"/>
    <cellStyle name="40% - Accent1 2 2 5 2 3 2" xfId="31644" xr:uid="{B59F03F0-3FBB-4D44-81BF-0A805873BAAA}"/>
    <cellStyle name="40% - Accent1 2 2 5 2 4" xfId="22347" xr:uid="{AB2DA608-6F57-4C10-AF61-3CF85931CBD7}"/>
    <cellStyle name="40% - Accent1 2 2 5 3" xfId="5794" xr:uid="{00000000-0005-0000-0000-0000E3030000}"/>
    <cellStyle name="40% - Accent1 2 2 5 3 2" xfId="15120" xr:uid="{B36886BE-16C8-4F98-9556-ABFAD8B86F1A}"/>
    <cellStyle name="40% - Accent1 2 2 5 3 2 2" xfId="33716" xr:uid="{C90EAA10-A3C3-4F17-9D77-A6125E9408A0}"/>
    <cellStyle name="40% - Accent1 2 2 5 3 3" xfId="24419" xr:uid="{AE01BDDC-995C-4FBE-BF36-55FADA46523F}"/>
    <cellStyle name="40% - Accent1 2 2 5 4" xfId="10903" xr:uid="{5DE5EA2A-A9D9-4663-BB79-CE59994931A1}"/>
    <cellStyle name="40% - Accent1 2 2 5 4 2" xfId="29499" xr:uid="{7CCF0A46-C106-4816-8868-0CB38580E19B}"/>
    <cellStyle name="40% - Accent1 2 2 5 5" xfId="20202" xr:uid="{91811CDF-F9E5-47DB-B730-0F9D3AB95369}"/>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19C57BE5-1B0E-4BE3-94C1-7C004A308FDA}"/>
    <cellStyle name="40% - Accent1 2 2 6 2 2 2 2" xfId="36274" xr:uid="{A4FD647D-7A2E-46A2-9533-5E69FAD65840}"/>
    <cellStyle name="40% - Accent1 2 2 6 2 2 3" xfId="26977" xr:uid="{FDEFF367-7DA0-47E8-8AA2-163693FC57AC}"/>
    <cellStyle name="40% - Accent1 2 2 6 2 3" xfId="13461" xr:uid="{4130B1A6-192A-42AA-804A-EF6524AB1C56}"/>
    <cellStyle name="40% - Accent1 2 2 6 2 3 2" xfId="32057" xr:uid="{7FACDEF3-E2A2-464D-8AEE-F6BAF4DBC21D}"/>
    <cellStyle name="40% - Accent1 2 2 6 2 4" xfId="22760" xr:uid="{C4799370-192A-4325-B57F-C3BC8B8C83D4}"/>
    <cellStyle name="40% - Accent1 2 2 6 3" xfId="6207" xr:uid="{00000000-0005-0000-0000-0000E7030000}"/>
    <cellStyle name="40% - Accent1 2 2 6 3 2" xfId="15533" xr:uid="{BB3E871C-A8C6-48BE-810D-89D89572E0FE}"/>
    <cellStyle name="40% - Accent1 2 2 6 3 2 2" xfId="34129" xr:uid="{F851C0FB-AA71-4F2B-BF92-632583427939}"/>
    <cellStyle name="40% - Accent1 2 2 6 3 3" xfId="24832" xr:uid="{AA9552CA-1B99-4C16-9D07-6D74107FB7C1}"/>
    <cellStyle name="40% - Accent1 2 2 6 4" xfId="11316" xr:uid="{A76C5D8D-B0CF-47C4-9DD9-2BF726D9892D}"/>
    <cellStyle name="40% - Accent1 2 2 6 4 2" xfId="29912" xr:uid="{6B7D0307-44FE-41F2-9850-F1A3A065C4AB}"/>
    <cellStyle name="40% - Accent1 2 2 6 5" xfId="20615" xr:uid="{234D67E8-84C0-4F23-AD07-74A267254743}"/>
    <cellStyle name="40% - Accent1 2 2 7" xfId="2314" xr:uid="{00000000-0005-0000-0000-0000E8030000}"/>
    <cellStyle name="40% - Accent1 2 2 7 2" xfId="6620" xr:uid="{00000000-0005-0000-0000-0000E9030000}"/>
    <cellStyle name="40% - Accent1 2 2 7 2 2" xfId="15946" xr:uid="{5C43BB63-FA24-430E-88B9-0F59F7AA8D3A}"/>
    <cellStyle name="40% - Accent1 2 2 7 2 2 2" xfId="34542" xr:uid="{CA5F5574-8F4A-4AED-A8CD-51CCBE2C6784}"/>
    <cellStyle name="40% - Accent1 2 2 7 2 3" xfId="25245" xr:uid="{B1F7BBCC-D950-4D29-AA18-8211FA50852C}"/>
    <cellStyle name="40% - Accent1 2 2 7 3" xfId="11729" xr:uid="{86CF1642-F37E-4D50-B4B6-73669F7112C1}"/>
    <cellStyle name="40% - Accent1 2 2 7 3 2" xfId="30325" xr:uid="{8A2F2FB2-F11A-4D47-9F63-B4FE42504C33}"/>
    <cellStyle name="40% - Accent1 2 2 7 4" xfId="21028" xr:uid="{644E7E96-EDB2-4DCC-ABAA-C66D76894DA9}"/>
    <cellStyle name="40% - Accent1 2 2 8" xfId="4554" xr:uid="{00000000-0005-0000-0000-0000EA030000}"/>
    <cellStyle name="40% - Accent1 2 2 8 2" xfId="13880" xr:uid="{5B7D72A1-E7FD-480A-B66D-D31F5E60D8CA}"/>
    <cellStyle name="40% - Accent1 2 2 8 2 2" xfId="32476" xr:uid="{CAC8214A-5E68-4909-93C4-B37A1B233F4E}"/>
    <cellStyle name="40% - Accent1 2 2 8 3" xfId="23179" xr:uid="{7F0358DB-B6DA-4AA1-A57B-4377A9E659C2}"/>
    <cellStyle name="40% - Accent1 2 2 9" xfId="8901" xr:uid="{10130317-AF31-4351-8201-FD8BD447EA3C}"/>
    <cellStyle name="40% - Accent1 2 2 9 2" xfId="18225" xr:uid="{33F01E21-7CF2-4587-B5A0-F880286AA792}"/>
    <cellStyle name="40% - Accent1 2 2 9 2 2" xfId="36820" xr:uid="{F537E39A-171C-41E8-B1CF-54CCD6BFAC82}"/>
    <cellStyle name="40% - Accent1 2 2 9 3" xfId="27523" xr:uid="{7BB3E423-4A41-46EA-A1C7-1FB094F71A12}"/>
    <cellStyle name="40% - Accent1 2 3" xfId="53" xr:uid="{00000000-0005-0000-0000-0000EB030000}"/>
    <cellStyle name="40% - Accent1 2 3 10" xfId="18964" xr:uid="{90D19A8E-33E5-4E11-8975-5849D0FA9C54}"/>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15FE9F3E-3DE1-433F-9781-A9EF04D117EE}"/>
    <cellStyle name="40% - Accent1 2 3 2 2 2 2 2" xfId="35037" xr:uid="{498F6F4D-EB81-4DBC-A8F1-A60E5A017182}"/>
    <cellStyle name="40% - Accent1 2 3 2 2 2 3" xfId="25740" xr:uid="{9E65D888-6114-4099-BBE5-7D015AC6214F}"/>
    <cellStyle name="40% - Accent1 2 3 2 2 3" xfId="12224" xr:uid="{A1CE874F-E63A-4254-AB60-0D37A269248D}"/>
    <cellStyle name="40% - Accent1 2 3 2 2 3 2" xfId="30820" xr:uid="{7E697077-075A-44D4-B9F2-3A5662D33999}"/>
    <cellStyle name="40% - Accent1 2 3 2 2 4" xfId="21523" xr:uid="{3008C63D-A88E-4625-8720-5D8D423D8941}"/>
    <cellStyle name="40% - Accent1 2 3 2 3" xfId="4970" xr:uid="{00000000-0005-0000-0000-0000EF030000}"/>
    <cellStyle name="40% - Accent1 2 3 2 3 2" xfId="14296" xr:uid="{17EC9A60-0115-4E01-85CD-A0B4A27424EF}"/>
    <cellStyle name="40% - Accent1 2 3 2 3 2 2" xfId="32892" xr:uid="{433D25D3-9D48-407A-A5DF-961F907D9DEE}"/>
    <cellStyle name="40% - Accent1 2 3 2 3 3" xfId="23595" xr:uid="{C9BA89C4-A3A8-48DE-A0AE-AFA80B901FEF}"/>
    <cellStyle name="40% - Accent1 2 3 2 4" xfId="9430" xr:uid="{C79D1FB2-141C-4301-8F37-B3B9643C0550}"/>
    <cellStyle name="40% - Accent1 2 3 2 4 2" xfId="18745" xr:uid="{7CA8C5E5-CC9B-4AD8-8FFC-60BD9C144EB4}"/>
    <cellStyle name="40% - Accent1 2 3 2 4 2 2" xfId="37339" xr:uid="{4441399D-F086-4110-9825-60D2DD0CAAAA}"/>
    <cellStyle name="40% - Accent1 2 3 2 4 3" xfId="28042" xr:uid="{A57DEEEF-2868-4306-9AB3-3C0C7C5037B6}"/>
    <cellStyle name="40% - Accent1 2 3 2 5" xfId="10079" xr:uid="{203987C8-E158-4C55-98CA-0A4A936F7596}"/>
    <cellStyle name="40% - Accent1 2 3 2 5 2" xfId="28675" xr:uid="{48814D31-56C0-4BFD-A14A-C06F5072D382}"/>
    <cellStyle name="40% - Accent1 2 3 2 6" xfId="19378" xr:uid="{38A2E086-B593-4BD2-96F5-351CF3FEEA4A}"/>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884E7F42-D4CF-41A3-A9E3-702ED1B8DB76}"/>
    <cellStyle name="40% - Accent1 2 3 3 2 2 2 2" xfId="35450" xr:uid="{19BE335B-2DED-44DD-BC5C-F7149DC1FD04}"/>
    <cellStyle name="40% - Accent1 2 3 3 2 2 3" xfId="26153" xr:uid="{08AE8A85-ADD0-4E12-AB2A-9DAB3E921E3E}"/>
    <cellStyle name="40% - Accent1 2 3 3 2 3" xfId="12637" xr:uid="{C41DDAB1-0767-46E3-A0B7-FA9EE8CCEAC2}"/>
    <cellStyle name="40% - Accent1 2 3 3 2 3 2" xfId="31233" xr:uid="{44C468A4-5C86-45A3-9D72-100D51602BBA}"/>
    <cellStyle name="40% - Accent1 2 3 3 2 4" xfId="21936" xr:uid="{DAD566B0-1D7B-48E0-882B-E5E385042630}"/>
    <cellStyle name="40% - Accent1 2 3 3 3" xfId="5383" xr:uid="{00000000-0005-0000-0000-0000F3030000}"/>
    <cellStyle name="40% - Accent1 2 3 3 3 2" xfId="14709" xr:uid="{03F5A77C-C84F-4313-B8B7-48A1AD5BD564}"/>
    <cellStyle name="40% - Accent1 2 3 3 3 2 2" xfId="33305" xr:uid="{9F1550DF-AAF5-4992-9998-7CD42BCB70C9}"/>
    <cellStyle name="40% - Accent1 2 3 3 3 3" xfId="24008" xr:uid="{9ABE0228-A5A7-49CD-A19E-EE1EE61C4ADD}"/>
    <cellStyle name="40% - Accent1 2 3 3 4" xfId="10492" xr:uid="{FD741478-3F67-406B-BC57-92A0AC6830E5}"/>
    <cellStyle name="40% - Accent1 2 3 3 4 2" xfId="29088" xr:uid="{11560A3D-5D7D-4F6D-8F54-42AEADBF1856}"/>
    <cellStyle name="40% - Accent1 2 3 3 5" xfId="19791" xr:uid="{A719B38D-6F78-47FD-95A2-B3E3952FC84C}"/>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58B03F4A-90AF-417A-9EBC-0283685C553B}"/>
    <cellStyle name="40% - Accent1 2 3 4 2 2 2 2" xfId="35863" xr:uid="{37178B56-0E41-485C-9F04-7C1ED0B8E7E1}"/>
    <cellStyle name="40% - Accent1 2 3 4 2 2 3" xfId="26566" xr:uid="{9832D76B-E1B0-4C77-944F-9748A682B332}"/>
    <cellStyle name="40% - Accent1 2 3 4 2 3" xfId="13050" xr:uid="{84508C95-3CF1-4D31-AD7E-8254D85DCD9B}"/>
    <cellStyle name="40% - Accent1 2 3 4 2 3 2" xfId="31646" xr:uid="{33E2F78F-31F3-4567-9798-C7F416BB8CA8}"/>
    <cellStyle name="40% - Accent1 2 3 4 2 4" xfId="22349" xr:uid="{31CA1168-7204-498C-99EC-71726A8A8BD6}"/>
    <cellStyle name="40% - Accent1 2 3 4 3" xfId="5796" xr:uid="{00000000-0005-0000-0000-0000F7030000}"/>
    <cellStyle name="40% - Accent1 2 3 4 3 2" xfId="15122" xr:uid="{787ED64D-9CF3-4DB8-B901-FB17DA394D07}"/>
    <cellStyle name="40% - Accent1 2 3 4 3 2 2" xfId="33718" xr:uid="{09EA2AAF-C05F-45B2-8C3A-EB36B164B6D9}"/>
    <cellStyle name="40% - Accent1 2 3 4 3 3" xfId="24421" xr:uid="{88BE36D6-D479-4DD3-B3BE-393402E54F06}"/>
    <cellStyle name="40% - Accent1 2 3 4 4" xfId="10905" xr:uid="{DF8920F4-F3DD-4AB2-A699-42E10631C0D6}"/>
    <cellStyle name="40% - Accent1 2 3 4 4 2" xfId="29501" xr:uid="{160F0512-DDB4-4F41-B07D-FD477C326D87}"/>
    <cellStyle name="40% - Accent1 2 3 4 5" xfId="20204" xr:uid="{94B7DAAA-A37C-457E-A0FE-ED031BAFAA9D}"/>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B7E1148D-28A1-4ADD-A031-FDBEAFEAE82A}"/>
    <cellStyle name="40% - Accent1 2 3 5 2 2 2 2" xfId="36276" xr:uid="{8BE4FC4C-2C70-4DAB-B787-1183311CA1FA}"/>
    <cellStyle name="40% - Accent1 2 3 5 2 2 3" xfId="26979" xr:uid="{B993B349-BC94-456E-A4E0-32F0C13593B3}"/>
    <cellStyle name="40% - Accent1 2 3 5 2 3" xfId="13463" xr:uid="{0DE5479F-32A0-465F-BE6A-C5A544E3E02F}"/>
    <cellStyle name="40% - Accent1 2 3 5 2 3 2" xfId="32059" xr:uid="{FE743DB3-FD09-4520-BBEE-673BA0D05767}"/>
    <cellStyle name="40% - Accent1 2 3 5 2 4" xfId="22762" xr:uid="{B3373C00-CD8C-4B44-9010-5C40C131B1E9}"/>
    <cellStyle name="40% - Accent1 2 3 5 3" xfId="6209" xr:uid="{00000000-0005-0000-0000-0000FB030000}"/>
    <cellStyle name="40% - Accent1 2 3 5 3 2" xfId="15535" xr:uid="{51A8C193-B3EB-48A6-A009-D558C9B22841}"/>
    <cellStyle name="40% - Accent1 2 3 5 3 2 2" xfId="34131" xr:uid="{1A1E241C-DADB-4594-A7AA-70CB0C8800E8}"/>
    <cellStyle name="40% - Accent1 2 3 5 3 3" xfId="24834" xr:uid="{A3D68ECE-B80D-4981-8C06-9F396F835B7E}"/>
    <cellStyle name="40% - Accent1 2 3 5 4" xfId="11318" xr:uid="{B20FC8BB-9023-4E8A-8B5B-AEA6B57360A3}"/>
    <cellStyle name="40% - Accent1 2 3 5 4 2" xfId="29914" xr:uid="{BABF375A-445F-43F3-A1C4-AE50963E1E52}"/>
    <cellStyle name="40% - Accent1 2 3 5 5" xfId="20617" xr:uid="{CFB263D0-C687-4316-985B-C7C27B445C67}"/>
    <cellStyle name="40% - Accent1 2 3 6" xfId="2316" xr:uid="{00000000-0005-0000-0000-0000FC030000}"/>
    <cellStyle name="40% - Accent1 2 3 6 2" xfId="6622" xr:uid="{00000000-0005-0000-0000-0000FD030000}"/>
    <cellStyle name="40% - Accent1 2 3 6 2 2" xfId="15948" xr:uid="{03389633-1A5C-4BDC-A738-61DC9B5A1BE6}"/>
    <cellStyle name="40% - Accent1 2 3 6 2 2 2" xfId="34544" xr:uid="{D2125F9A-BB57-4FEA-9B86-0C396729D062}"/>
    <cellStyle name="40% - Accent1 2 3 6 2 3" xfId="25247" xr:uid="{42065323-AF45-426B-852B-D73C357A97C7}"/>
    <cellStyle name="40% - Accent1 2 3 6 3" xfId="11731" xr:uid="{38FF5756-0796-487E-954A-C24E63C02F02}"/>
    <cellStyle name="40% - Accent1 2 3 6 3 2" xfId="30327" xr:uid="{C10C1CBF-1CA5-4337-8A80-77FCE071159A}"/>
    <cellStyle name="40% - Accent1 2 3 6 4" xfId="21030" xr:uid="{7A7FF5E2-CFE7-439C-B5A2-C73876CEE91B}"/>
    <cellStyle name="40% - Accent1 2 3 7" xfId="4556" xr:uid="{00000000-0005-0000-0000-0000FE030000}"/>
    <cellStyle name="40% - Accent1 2 3 7 2" xfId="13882" xr:uid="{7D6C0BF2-C507-442C-9EE3-FF3E12A77983}"/>
    <cellStyle name="40% - Accent1 2 3 7 2 2" xfId="32478" xr:uid="{9A390FEA-9AAF-46BD-B4C7-05146217226F}"/>
    <cellStyle name="40% - Accent1 2 3 7 3" xfId="23181" xr:uid="{E9AA9A96-1CA0-4CA6-BD03-2F77E5ECEF8A}"/>
    <cellStyle name="40% - Accent1 2 3 8" xfId="9005" xr:uid="{83AF69B9-664F-4E19-B721-7989C2FEBC0C}"/>
    <cellStyle name="40% - Accent1 2 3 8 2" xfId="18329" xr:uid="{955B9619-EEF7-42A2-8196-74AE88DE7062}"/>
    <cellStyle name="40% - Accent1 2 3 8 2 2" xfId="36924" xr:uid="{A3AB7A0A-E000-42DC-A986-45A1C964A642}"/>
    <cellStyle name="40% - Accent1 2 3 8 3" xfId="27627" xr:uid="{4528A3D9-30B4-4271-9927-1995F161168F}"/>
    <cellStyle name="40% - Accent1 2 3 9" xfId="9665" xr:uid="{749C9EC4-73A0-4752-97D7-1A1D7EEA91CB}"/>
    <cellStyle name="40% - Accent1 2 3 9 2" xfId="28261" xr:uid="{2727EF4E-06B6-4374-97AF-CA0D82AFBC1B}"/>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FD98EEF0-C56C-45E7-B5DA-02BAB2698F23}"/>
    <cellStyle name="40% - Accent1 2 4 2 2 2 2" xfId="35034" xr:uid="{3131D659-F90A-4791-B35B-2E1431ED18BE}"/>
    <cellStyle name="40% - Accent1 2 4 2 2 3" xfId="25737" xr:uid="{4A879495-0ACD-468C-817F-079BC48C484A}"/>
    <cellStyle name="40% - Accent1 2 4 2 3" xfId="12221" xr:uid="{0305E712-50BB-4943-9BFA-C2F9DF89AAE7}"/>
    <cellStyle name="40% - Accent1 2 4 2 3 2" xfId="30817" xr:uid="{ACF9ABEB-E2B8-42F0-9D8D-F08C849A30EC}"/>
    <cellStyle name="40% - Accent1 2 4 2 4" xfId="21520" xr:uid="{4ED57EDA-BD8A-4544-9B60-9BECB5F08A01}"/>
    <cellStyle name="40% - Accent1 2 4 3" xfId="4967" xr:uid="{00000000-0005-0000-0000-000002040000}"/>
    <cellStyle name="40% - Accent1 2 4 3 2" xfId="14293" xr:uid="{BE85E406-0C07-474C-B08D-CD39CFE3EC0A}"/>
    <cellStyle name="40% - Accent1 2 4 3 2 2" xfId="32889" xr:uid="{B9F74A4F-E43C-4E25-813A-CAC4CCF72E9C}"/>
    <cellStyle name="40% - Accent1 2 4 3 3" xfId="23592" xr:uid="{9CC93ABA-C5AE-44AB-9E98-0A21BA4F84AD}"/>
    <cellStyle name="40% - Accent1 2 4 4" xfId="9222" xr:uid="{A6B83122-AC98-4E58-AA4D-EC5ECC38FC6B}"/>
    <cellStyle name="40% - Accent1 2 4 4 2" xfId="18538" xr:uid="{7B31D6B2-0673-4C81-BFC2-AC1328DD3AB3}"/>
    <cellStyle name="40% - Accent1 2 4 4 2 2" xfId="37132" xr:uid="{F5B2ECC0-C9AF-43F9-9C9B-AA64BAED2905}"/>
    <cellStyle name="40% - Accent1 2 4 4 3" xfId="27835" xr:uid="{7DB0F753-A7D3-4E13-A2B1-E1F25AA68710}"/>
    <cellStyle name="40% - Accent1 2 4 5" xfId="10076" xr:uid="{7071DC8D-E4D4-4A3E-969E-2B3EC1683D92}"/>
    <cellStyle name="40% - Accent1 2 4 5 2" xfId="28672" xr:uid="{F538BD00-B837-43BC-85EB-19A34951E2CA}"/>
    <cellStyle name="40% - Accent1 2 4 6" xfId="19375" xr:uid="{49FE7CCB-F795-47F4-9CA5-879561DE729D}"/>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1988AA4F-E320-4F6E-9474-AFC355CD8EE5}"/>
    <cellStyle name="40% - Accent1 2 5 2 2 2 2" xfId="35447" xr:uid="{DE229C0A-902F-41DA-8DBC-DE7C97F0D7CD}"/>
    <cellStyle name="40% - Accent1 2 5 2 2 3" xfId="26150" xr:uid="{346DE8EB-388F-44ED-A015-F53CBE007D4F}"/>
    <cellStyle name="40% - Accent1 2 5 2 3" xfId="12634" xr:uid="{A98C20E2-A409-4019-BB89-6BE3A4552ADE}"/>
    <cellStyle name="40% - Accent1 2 5 2 3 2" xfId="31230" xr:uid="{E0FBB645-4FDA-4A8A-90BE-6FB12EA0852A}"/>
    <cellStyle name="40% - Accent1 2 5 2 4" xfId="21933" xr:uid="{F0BBE89C-13E2-457A-AB3B-8F9DDE0158C0}"/>
    <cellStyle name="40% - Accent1 2 5 3" xfId="5380" xr:uid="{00000000-0005-0000-0000-000006040000}"/>
    <cellStyle name="40% - Accent1 2 5 3 2" xfId="14706" xr:uid="{C1DB9B42-CCB6-46CB-9B89-D75854AB8A53}"/>
    <cellStyle name="40% - Accent1 2 5 3 2 2" xfId="33302" xr:uid="{ADA6810F-493D-45D1-8C4F-DCABC28C08E6}"/>
    <cellStyle name="40% - Accent1 2 5 3 3" xfId="24005" xr:uid="{CD906394-B191-4A40-933C-C8746ED0CD5E}"/>
    <cellStyle name="40% - Accent1 2 5 4" xfId="10489" xr:uid="{425F85AF-761E-4A04-B054-1C7813684887}"/>
    <cellStyle name="40% - Accent1 2 5 4 2" xfId="29085" xr:uid="{E13229E0-E323-41DB-953F-AEA87E705C67}"/>
    <cellStyle name="40% - Accent1 2 5 5" xfId="19788" xr:uid="{3BED9913-BB18-49D2-9EEC-77A087E80832}"/>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0F7B755E-B6F5-4F28-9B0C-1BB91AE06D59}"/>
    <cellStyle name="40% - Accent1 2 6 2 2 2 2" xfId="35860" xr:uid="{4D3591BF-3F28-43CF-8E52-438230487145}"/>
    <cellStyle name="40% - Accent1 2 6 2 2 3" xfId="26563" xr:uid="{22E5D477-7980-4923-A542-05CBE40647D4}"/>
    <cellStyle name="40% - Accent1 2 6 2 3" xfId="13047" xr:uid="{A5571DEB-2904-414B-98FC-3A11B948DA60}"/>
    <cellStyle name="40% - Accent1 2 6 2 3 2" xfId="31643" xr:uid="{B08499C9-B065-4726-A46B-E2AEF4788FDF}"/>
    <cellStyle name="40% - Accent1 2 6 2 4" xfId="22346" xr:uid="{724E201A-1056-4C90-9862-D704B8D73D06}"/>
    <cellStyle name="40% - Accent1 2 6 3" xfId="5793" xr:uid="{00000000-0005-0000-0000-00000A040000}"/>
    <cellStyle name="40% - Accent1 2 6 3 2" xfId="15119" xr:uid="{E7B8C2AD-3AA1-4483-A992-5402736B5BCC}"/>
    <cellStyle name="40% - Accent1 2 6 3 2 2" xfId="33715" xr:uid="{2F2BFF9B-70A5-426B-88B1-B39AB3ECA8FC}"/>
    <cellStyle name="40% - Accent1 2 6 3 3" xfId="24418" xr:uid="{19BE5682-CE5D-41C7-AB0C-B1542D4344FF}"/>
    <cellStyle name="40% - Accent1 2 6 4" xfId="10902" xr:uid="{70ED79AC-00F1-4E25-AC6A-9C6B9F7C7B35}"/>
    <cellStyle name="40% - Accent1 2 6 4 2" xfId="29498" xr:uid="{3A3123A0-4E75-4F88-A315-632A920ED10E}"/>
    <cellStyle name="40% - Accent1 2 6 5" xfId="20201" xr:uid="{7B4344AC-D254-4B3C-8426-D45B355A4010}"/>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84095BEC-B922-4DB3-BDEC-3133E00C735E}"/>
    <cellStyle name="40% - Accent1 2 7 2 2 2 2" xfId="36273" xr:uid="{7FCD5DEC-A563-4797-8E1F-52CE9FDBD95C}"/>
    <cellStyle name="40% - Accent1 2 7 2 2 3" xfId="26976" xr:uid="{16564067-E5B5-4E7E-A586-691080BFE3C4}"/>
    <cellStyle name="40% - Accent1 2 7 2 3" xfId="13460" xr:uid="{24FF6BE8-1A9F-4051-91A8-41CDE3FE855C}"/>
    <cellStyle name="40% - Accent1 2 7 2 3 2" xfId="32056" xr:uid="{FA474E87-0BA7-404A-BB96-2BC0B196D7DD}"/>
    <cellStyle name="40% - Accent1 2 7 2 4" xfId="22759" xr:uid="{AD752848-AE53-42B2-B088-4733B77613E4}"/>
    <cellStyle name="40% - Accent1 2 7 3" xfId="6206" xr:uid="{00000000-0005-0000-0000-00000E040000}"/>
    <cellStyle name="40% - Accent1 2 7 3 2" xfId="15532" xr:uid="{7BE95F81-7051-446F-8114-07553B9F1FED}"/>
    <cellStyle name="40% - Accent1 2 7 3 2 2" xfId="34128" xr:uid="{C1177B51-4563-4660-B473-6250818E2055}"/>
    <cellStyle name="40% - Accent1 2 7 3 3" xfId="24831" xr:uid="{6628FE78-1D55-4F04-A411-DA8626382332}"/>
    <cellStyle name="40% - Accent1 2 7 4" xfId="11315" xr:uid="{389246C8-1404-429C-A81D-88E95B02A131}"/>
    <cellStyle name="40% - Accent1 2 7 4 2" xfId="29911" xr:uid="{9A00FA78-E433-4D9D-B1D3-EDF8A25B889D}"/>
    <cellStyle name="40% - Accent1 2 7 5" xfId="20614" xr:uid="{263BAD3A-F174-415D-86AE-F0EE8724ABA0}"/>
    <cellStyle name="40% - Accent1 2 8" xfId="2313" xr:uid="{00000000-0005-0000-0000-00000F040000}"/>
    <cellStyle name="40% - Accent1 2 8 2" xfId="6619" xr:uid="{00000000-0005-0000-0000-000010040000}"/>
    <cellStyle name="40% - Accent1 2 8 2 2" xfId="15945" xr:uid="{61865CCF-4AD9-4378-8E0E-DCBA7ADFFD17}"/>
    <cellStyle name="40% - Accent1 2 8 2 2 2" xfId="34541" xr:uid="{B81187D1-1C9B-4947-A45A-BC353E4BEEC5}"/>
    <cellStyle name="40% - Accent1 2 8 2 3" xfId="25244" xr:uid="{9F5E8B5C-B09C-4443-8777-498A770F45E8}"/>
    <cellStyle name="40% - Accent1 2 8 3" xfId="11728" xr:uid="{B1071DEB-26D3-4581-923D-5682FAD351FA}"/>
    <cellStyle name="40% - Accent1 2 8 3 2" xfId="30324" xr:uid="{1495A4F7-EF07-41D6-9238-DD98A5921993}"/>
    <cellStyle name="40% - Accent1 2 8 4" xfId="21027" xr:uid="{50853CA3-DDFD-45CA-8B51-358FE2015A45}"/>
    <cellStyle name="40% - Accent1 2 9" xfId="4553" xr:uid="{00000000-0005-0000-0000-000011040000}"/>
    <cellStyle name="40% - Accent1 2 9 2" xfId="13879" xr:uid="{2AF98209-8958-4E84-B6DB-D4CD560CD9D2}"/>
    <cellStyle name="40% - Accent1 2 9 2 2" xfId="32475" xr:uid="{180E6EEC-7AD2-462B-AFB1-B5528F082B28}"/>
    <cellStyle name="40% - Accent1 2 9 3" xfId="23178" xr:uid="{3AB9AA0D-0C40-41F8-8AFA-10D5A86E6F47}"/>
    <cellStyle name="40% - Accent1 3" xfId="54" xr:uid="{00000000-0005-0000-0000-000012040000}"/>
    <cellStyle name="40% - Accent1 3 10" xfId="9666" xr:uid="{42430991-BAF7-41B7-B280-D27104D862BB}"/>
    <cellStyle name="40% - Accent1 3 10 2" xfId="28262" xr:uid="{94312662-64D4-486C-8A73-F5C2C56D4585}"/>
    <cellStyle name="40% - Accent1 3 11" xfId="18965" xr:uid="{455F6CE4-C310-4012-8C1E-815562FD3C8A}"/>
    <cellStyle name="40% - Accent1 3 2" xfId="55" xr:uid="{00000000-0005-0000-0000-000013040000}"/>
    <cellStyle name="40% - Accent1 3 2 10" xfId="18966" xr:uid="{E1E36913-C7B6-457B-A015-58F45C87074C}"/>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432F43B8-F203-4CB0-80EB-5776A766EC49}"/>
    <cellStyle name="40% - Accent1 3 2 2 2 2 2 2" xfId="35039" xr:uid="{FBC5E01C-8A66-4F48-81C5-E953252D0E19}"/>
    <cellStyle name="40% - Accent1 3 2 2 2 2 3" xfId="25742" xr:uid="{182ADF70-55A0-4209-904D-AE639C17FA7E}"/>
    <cellStyle name="40% - Accent1 3 2 2 2 3" xfId="12226" xr:uid="{4327657C-2A1E-4970-97F0-A6C21C3224E2}"/>
    <cellStyle name="40% - Accent1 3 2 2 2 3 2" xfId="30822" xr:uid="{3ED39A71-A780-4101-9CAE-4FA3EA041813}"/>
    <cellStyle name="40% - Accent1 3 2 2 2 4" xfId="21525" xr:uid="{9306C48B-E67D-442C-924B-8B5A86DF6D90}"/>
    <cellStyle name="40% - Accent1 3 2 2 3" xfId="4972" xr:uid="{00000000-0005-0000-0000-000017040000}"/>
    <cellStyle name="40% - Accent1 3 2 2 3 2" xfId="14298" xr:uid="{3ACE7D35-B745-4D1F-9646-500890768557}"/>
    <cellStyle name="40% - Accent1 3 2 2 3 2 2" xfId="32894" xr:uid="{8947EC71-D90C-4A55-AA68-F6925488CFBC}"/>
    <cellStyle name="40% - Accent1 3 2 2 3 3" xfId="23597" xr:uid="{B042A2A3-78D8-4ECB-8684-1742CD44B7EF}"/>
    <cellStyle name="40% - Accent1 3 2 2 4" xfId="9494" xr:uid="{49092FA9-F337-44E8-98C8-15711B1C1558}"/>
    <cellStyle name="40% - Accent1 3 2 2 4 2" xfId="18809" xr:uid="{0E079E68-8720-43A7-9782-DA4E236C423C}"/>
    <cellStyle name="40% - Accent1 3 2 2 4 2 2" xfId="37403" xr:uid="{CBBA27E6-BEEC-4F12-8C58-882167E287C9}"/>
    <cellStyle name="40% - Accent1 3 2 2 4 3" xfId="28106" xr:uid="{020EF598-8AB0-4653-857B-C61CC0F94C91}"/>
    <cellStyle name="40% - Accent1 3 2 2 5" xfId="10081" xr:uid="{4779B5F9-78F1-46AA-BAB7-0F39AE12C9AF}"/>
    <cellStyle name="40% - Accent1 3 2 2 5 2" xfId="28677" xr:uid="{2D574627-A433-4293-98F4-CB3834BA5697}"/>
    <cellStyle name="40% - Accent1 3 2 2 6" xfId="19380" xr:uid="{909A169C-0B78-44B9-B0CA-EE0989033071}"/>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9F2109D6-4AC3-4573-A70C-E626F6038C30}"/>
    <cellStyle name="40% - Accent1 3 2 3 2 2 2 2" xfId="35452" xr:uid="{C16E1DD0-36E1-41D3-A7F0-0AC9F0E3BDD2}"/>
    <cellStyle name="40% - Accent1 3 2 3 2 2 3" xfId="26155" xr:uid="{E37D2014-17E8-48E0-AD3D-C3C1A874E842}"/>
    <cellStyle name="40% - Accent1 3 2 3 2 3" xfId="12639" xr:uid="{213271AC-ACDC-4D5E-ACAB-CA409F55FC6A}"/>
    <cellStyle name="40% - Accent1 3 2 3 2 3 2" xfId="31235" xr:uid="{F08E90E5-2C8B-48DC-8DA2-FE255D881840}"/>
    <cellStyle name="40% - Accent1 3 2 3 2 4" xfId="21938" xr:uid="{4CA0E120-339A-4002-96DB-45E55DD646B2}"/>
    <cellStyle name="40% - Accent1 3 2 3 3" xfId="5385" xr:uid="{00000000-0005-0000-0000-00001B040000}"/>
    <cellStyle name="40% - Accent1 3 2 3 3 2" xfId="14711" xr:uid="{301D9227-96B5-41BE-BB32-2C13F92BEFD1}"/>
    <cellStyle name="40% - Accent1 3 2 3 3 2 2" xfId="33307" xr:uid="{D6FDBE61-1473-4444-BE7D-0C9F40176403}"/>
    <cellStyle name="40% - Accent1 3 2 3 3 3" xfId="24010" xr:uid="{2867556B-AFB9-4621-AE70-0AF95176F68B}"/>
    <cellStyle name="40% - Accent1 3 2 3 4" xfId="10494" xr:uid="{61898E45-CFD8-4F20-9CBE-309B801B29CF}"/>
    <cellStyle name="40% - Accent1 3 2 3 4 2" xfId="29090" xr:uid="{B18CA429-9BEA-490D-B339-BE0A4B4B336B}"/>
    <cellStyle name="40% - Accent1 3 2 3 5" xfId="19793" xr:uid="{474EF1D2-50E0-4415-85BD-E7BB7BCA8919}"/>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E2477F61-0C10-4BC2-A060-1DF4F62E83B3}"/>
    <cellStyle name="40% - Accent1 3 2 4 2 2 2 2" xfId="35865" xr:uid="{625D2BC7-BA4B-4C48-9F80-8C97ADD6527C}"/>
    <cellStyle name="40% - Accent1 3 2 4 2 2 3" xfId="26568" xr:uid="{F7AA2AA3-6F41-45EA-9331-B560E1E18022}"/>
    <cellStyle name="40% - Accent1 3 2 4 2 3" xfId="13052" xr:uid="{D2E64041-9E7D-41DC-A2CB-9B6ED31D6B90}"/>
    <cellStyle name="40% - Accent1 3 2 4 2 3 2" xfId="31648" xr:uid="{CA357609-FB8B-4EBB-9BF5-7D02BF473080}"/>
    <cellStyle name="40% - Accent1 3 2 4 2 4" xfId="22351" xr:uid="{B5C35DCA-0D9A-4C07-BB3D-B4C7C10650BA}"/>
    <cellStyle name="40% - Accent1 3 2 4 3" xfId="5798" xr:uid="{00000000-0005-0000-0000-00001F040000}"/>
    <cellStyle name="40% - Accent1 3 2 4 3 2" xfId="15124" xr:uid="{9FE16D18-C0AC-4909-9A51-02C1FC85062D}"/>
    <cellStyle name="40% - Accent1 3 2 4 3 2 2" xfId="33720" xr:uid="{EF5C2FA6-69A0-4795-87E0-3DC3E58AD298}"/>
    <cellStyle name="40% - Accent1 3 2 4 3 3" xfId="24423" xr:uid="{DB1668F3-68D5-4B21-8D5E-D3613606D060}"/>
    <cellStyle name="40% - Accent1 3 2 4 4" xfId="10907" xr:uid="{3295C053-D365-4DFB-A6FE-720076912E2E}"/>
    <cellStyle name="40% - Accent1 3 2 4 4 2" xfId="29503" xr:uid="{AB3CAEBD-7FE0-4ED6-B13D-729D37267418}"/>
    <cellStyle name="40% - Accent1 3 2 4 5" xfId="20206" xr:uid="{972E8458-4887-4A03-A220-19BC7C93918F}"/>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26501C4C-BBD6-4734-9CA4-2752A1CB062E}"/>
    <cellStyle name="40% - Accent1 3 2 5 2 2 2 2" xfId="36278" xr:uid="{0C0A7073-E36B-449F-9BC5-1DD73F6B1BBA}"/>
    <cellStyle name="40% - Accent1 3 2 5 2 2 3" xfId="26981" xr:uid="{94240BFB-8E1C-43E4-BA7E-6AE95E94B0BF}"/>
    <cellStyle name="40% - Accent1 3 2 5 2 3" xfId="13465" xr:uid="{103E9559-EA26-4F5C-9C56-3B5346A477BB}"/>
    <cellStyle name="40% - Accent1 3 2 5 2 3 2" xfId="32061" xr:uid="{B5362706-92FB-4524-9217-A3E93F0C2DEA}"/>
    <cellStyle name="40% - Accent1 3 2 5 2 4" xfId="22764" xr:uid="{6F38AB32-E819-40D5-8EEE-556E4FA0101B}"/>
    <cellStyle name="40% - Accent1 3 2 5 3" xfId="6211" xr:uid="{00000000-0005-0000-0000-000023040000}"/>
    <cellStyle name="40% - Accent1 3 2 5 3 2" xfId="15537" xr:uid="{EEBAB462-B98E-4128-A42F-5F077EB6E3B8}"/>
    <cellStyle name="40% - Accent1 3 2 5 3 2 2" xfId="34133" xr:uid="{268DC4AF-9561-4E92-9D97-80E528FD7DAD}"/>
    <cellStyle name="40% - Accent1 3 2 5 3 3" xfId="24836" xr:uid="{9177CE4C-A964-4728-B055-3EEF8F00610D}"/>
    <cellStyle name="40% - Accent1 3 2 5 4" xfId="11320" xr:uid="{E604F369-BF30-44E3-BA4E-F9306D2902A1}"/>
    <cellStyle name="40% - Accent1 3 2 5 4 2" xfId="29916" xr:uid="{86CD9112-7C28-4C92-93B9-2FFA80FEA027}"/>
    <cellStyle name="40% - Accent1 3 2 5 5" xfId="20619" xr:uid="{038704C4-1CDE-48AF-8B1A-DE58FB016017}"/>
    <cellStyle name="40% - Accent1 3 2 6" xfId="2318" xr:uid="{00000000-0005-0000-0000-000024040000}"/>
    <cellStyle name="40% - Accent1 3 2 6 2" xfId="6624" xr:uid="{00000000-0005-0000-0000-000025040000}"/>
    <cellStyle name="40% - Accent1 3 2 6 2 2" xfId="15950" xr:uid="{682E99B4-689C-431F-B6D1-4AC4289C1F25}"/>
    <cellStyle name="40% - Accent1 3 2 6 2 2 2" xfId="34546" xr:uid="{4E4E12B4-46C9-412E-A46A-E28054AECC6F}"/>
    <cellStyle name="40% - Accent1 3 2 6 2 3" xfId="25249" xr:uid="{E69F7C63-ADD3-41D1-AE61-A8E209B3D24B}"/>
    <cellStyle name="40% - Accent1 3 2 6 3" xfId="11733" xr:uid="{E619C75C-32A9-4D04-A145-50C604E75FD4}"/>
    <cellStyle name="40% - Accent1 3 2 6 3 2" xfId="30329" xr:uid="{C4AD8480-F5E4-4547-94FE-A6A9D0FB4321}"/>
    <cellStyle name="40% - Accent1 3 2 6 4" xfId="21032" xr:uid="{5E62E030-DC65-41AF-8D3A-6E144474CE8B}"/>
    <cellStyle name="40% - Accent1 3 2 7" xfId="4558" xr:uid="{00000000-0005-0000-0000-000026040000}"/>
    <cellStyle name="40% - Accent1 3 2 7 2" xfId="13884" xr:uid="{54CA98A5-C74E-4841-B8B4-F09CDFA195D8}"/>
    <cellStyle name="40% - Accent1 3 2 7 2 2" xfId="32480" xr:uid="{1CE7E088-BE81-4C01-94C6-4B138DD3A346}"/>
    <cellStyle name="40% - Accent1 3 2 7 3" xfId="23183" xr:uid="{36D9DE30-D490-405B-97E3-A4C0809DD80C}"/>
    <cellStyle name="40% - Accent1 3 2 8" xfId="9069" xr:uid="{F3D9FD63-8946-4492-B81A-42936E8B246D}"/>
    <cellStyle name="40% - Accent1 3 2 8 2" xfId="18393" xr:uid="{5DF7A8B6-FF1D-4985-B7A0-55AD4EFAD8FE}"/>
    <cellStyle name="40% - Accent1 3 2 8 2 2" xfId="36988" xr:uid="{1171ACAF-784F-4431-88D7-EECFEAD56FD1}"/>
    <cellStyle name="40% - Accent1 3 2 8 3" xfId="27691" xr:uid="{F5785B68-5B32-487C-A740-F036A6152161}"/>
    <cellStyle name="40% - Accent1 3 2 9" xfId="9667" xr:uid="{33698577-0B33-47E7-BB69-21214B8F2209}"/>
    <cellStyle name="40% - Accent1 3 2 9 2" xfId="28263" xr:uid="{D1C48E1B-5039-4EF7-AE18-ADFF74B2CB33}"/>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2155C3C3-0DE0-4D80-A843-F37933B54F88}"/>
    <cellStyle name="40% - Accent1 3 3 2 2 2 2" xfId="35038" xr:uid="{39DC7A16-66EA-4C66-B3D5-CDF1766F2F9D}"/>
    <cellStyle name="40% - Accent1 3 3 2 2 3" xfId="25741" xr:uid="{1E892171-536D-46F2-B9B3-2977706DE975}"/>
    <cellStyle name="40% - Accent1 3 3 2 3" xfId="12225" xr:uid="{8AF69E34-C8DA-4A88-B856-4B1B83AE9FB4}"/>
    <cellStyle name="40% - Accent1 3 3 2 3 2" xfId="30821" xr:uid="{5B318778-942D-495C-A04C-A8A8DE1540E4}"/>
    <cellStyle name="40% - Accent1 3 3 2 4" xfId="21524" xr:uid="{E90B7608-1366-43AF-938C-FE41A69FF4BB}"/>
    <cellStyle name="40% - Accent1 3 3 3" xfId="4971" xr:uid="{00000000-0005-0000-0000-00002A040000}"/>
    <cellStyle name="40% - Accent1 3 3 3 2" xfId="14297" xr:uid="{584F64C7-6CF6-47D1-A32F-6C72542B1070}"/>
    <cellStyle name="40% - Accent1 3 3 3 2 2" xfId="32893" xr:uid="{FF81F006-03FE-442C-A05E-F47C39FBE248}"/>
    <cellStyle name="40% - Accent1 3 3 3 3" xfId="23596" xr:uid="{E98756FF-1FA9-4C48-9E03-7B60E6441818}"/>
    <cellStyle name="40% - Accent1 3 3 4" xfId="9287" xr:uid="{8C21B573-3D31-49DA-ACD8-D3EC7CC3A858}"/>
    <cellStyle name="40% - Accent1 3 3 4 2" xfId="18602" xr:uid="{BA011F89-DA0D-410D-9A0F-549094195E70}"/>
    <cellStyle name="40% - Accent1 3 3 4 2 2" xfId="37196" xr:uid="{C5C520FC-DB3A-469C-BA08-1F85FC77CBAF}"/>
    <cellStyle name="40% - Accent1 3 3 4 3" xfId="27899" xr:uid="{5DC464D5-D41C-4127-A4D7-429827964EBC}"/>
    <cellStyle name="40% - Accent1 3 3 5" xfId="10080" xr:uid="{8EB527F4-B670-4E24-9048-D04DD169D708}"/>
    <cellStyle name="40% - Accent1 3 3 5 2" xfId="28676" xr:uid="{09A7DB7E-6F42-47C7-B3AB-4FE06143AEC6}"/>
    <cellStyle name="40% - Accent1 3 3 6" xfId="19379" xr:uid="{882C57D3-3232-4FCB-9C60-9A6B61C383BD}"/>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C18B25F3-6CC9-4568-BDC4-85F64F250426}"/>
    <cellStyle name="40% - Accent1 3 4 2 2 2 2" xfId="35451" xr:uid="{435C6E88-5A49-44D5-912A-740B912267E4}"/>
    <cellStyle name="40% - Accent1 3 4 2 2 3" xfId="26154" xr:uid="{3D5BAC41-F826-4E4D-AF9F-DAE88617622C}"/>
    <cellStyle name="40% - Accent1 3 4 2 3" xfId="12638" xr:uid="{F44C672A-632E-49D6-97CF-178462B4FF0E}"/>
    <cellStyle name="40% - Accent1 3 4 2 3 2" xfId="31234" xr:uid="{326CE6C1-C9E8-4175-A527-2CDB96A5AA27}"/>
    <cellStyle name="40% - Accent1 3 4 2 4" xfId="21937" xr:uid="{5746D58A-D812-46A7-A12D-996C743E92E5}"/>
    <cellStyle name="40% - Accent1 3 4 3" xfId="5384" xr:uid="{00000000-0005-0000-0000-00002E040000}"/>
    <cellStyle name="40% - Accent1 3 4 3 2" xfId="14710" xr:uid="{8A6BC7B6-8AD1-4DA4-BCD5-2FC403E917B1}"/>
    <cellStyle name="40% - Accent1 3 4 3 2 2" xfId="33306" xr:uid="{872ADECA-2777-480B-8DC1-736E861F0DCB}"/>
    <cellStyle name="40% - Accent1 3 4 3 3" xfId="24009" xr:uid="{BA15AAB0-C685-461D-BCB2-625AEC533251}"/>
    <cellStyle name="40% - Accent1 3 4 4" xfId="10493" xr:uid="{42724B9A-6FE5-419A-971B-2260B2B5DE81}"/>
    <cellStyle name="40% - Accent1 3 4 4 2" xfId="29089" xr:uid="{B0720A67-F5E2-4482-9BFA-31D15F5B72B2}"/>
    <cellStyle name="40% - Accent1 3 4 5" xfId="19792" xr:uid="{842BCE29-A7FD-4B53-967A-F292F24ACF3E}"/>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5197B973-C0FF-4447-9207-DE6386157E15}"/>
    <cellStyle name="40% - Accent1 3 5 2 2 2 2" xfId="35864" xr:uid="{567DBC2E-499A-4F45-B195-7C6A0AB94914}"/>
    <cellStyle name="40% - Accent1 3 5 2 2 3" xfId="26567" xr:uid="{CF19400B-2E91-4A49-800E-2F8BB814BA85}"/>
    <cellStyle name="40% - Accent1 3 5 2 3" xfId="13051" xr:uid="{E14AE2CE-8356-469E-802A-0618274CB320}"/>
    <cellStyle name="40% - Accent1 3 5 2 3 2" xfId="31647" xr:uid="{7CB6E4AF-B5C1-4B53-AA0A-18D258BF096D}"/>
    <cellStyle name="40% - Accent1 3 5 2 4" xfId="22350" xr:uid="{07BCAAC4-B6EF-4D63-9F5D-F898F10FEDE4}"/>
    <cellStyle name="40% - Accent1 3 5 3" xfId="5797" xr:uid="{00000000-0005-0000-0000-000032040000}"/>
    <cellStyle name="40% - Accent1 3 5 3 2" xfId="15123" xr:uid="{7E348999-489A-4853-B284-5F84FB8CFF78}"/>
    <cellStyle name="40% - Accent1 3 5 3 2 2" xfId="33719" xr:uid="{BBEFF1E7-9F23-4B81-9584-709DF88EA0DE}"/>
    <cellStyle name="40% - Accent1 3 5 3 3" xfId="24422" xr:uid="{8C24C0EC-24DD-4A6D-BC20-9D7ACCE2E48E}"/>
    <cellStyle name="40% - Accent1 3 5 4" xfId="10906" xr:uid="{FCAE54EE-EF3C-4617-B8F7-2C45FBC6036B}"/>
    <cellStyle name="40% - Accent1 3 5 4 2" xfId="29502" xr:uid="{3CD9E349-9321-4CD7-89FD-A0B9D7208F84}"/>
    <cellStyle name="40% - Accent1 3 5 5" xfId="20205" xr:uid="{4EAD91B3-543F-4E13-8359-C3501D9AC275}"/>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447D6600-609F-4868-9653-8593A395E158}"/>
    <cellStyle name="40% - Accent1 3 6 2 2 2 2" xfId="36277" xr:uid="{28CCD975-BE81-406A-A21D-A50E68DD94C9}"/>
    <cellStyle name="40% - Accent1 3 6 2 2 3" xfId="26980" xr:uid="{FF746097-C174-49E4-A1BB-45BD4CD29211}"/>
    <cellStyle name="40% - Accent1 3 6 2 3" xfId="13464" xr:uid="{DE52D8A0-A36B-4D8D-809B-D6BDBA318990}"/>
    <cellStyle name="40% - Accent1 3 6 2 3 2" xfId="32060" xr:uid="{B8002CD3-2D2D-4585-89EC-092877085F57}"/>
    <cellStyle name="40% - Accent1 3 6 2 4" xfId="22763" xr:uid="{B477EE72-9C0F-478F-BEEC-9B3BC22D9CE4}"/>
    <cellStyle name="40% - Accent1 3 6 3" xfId="6210" xr:uid="{00000000-0005-0000-0000-000036040000}"/>
    <cellStyle name="40% - Accent1 3 6 3 2" xfId="15536" xr:uid="{2DA7DE8A-82DA-4926-AF58-5014169E6962}"/>
    <cellStyle name="40% - Accent1 3 6 3 2 2" xfId="34132" xr:uid="{33ACC6E2-E66F-4AE7-BEDE-63206AA5E2DA}"/>
    <cellStyle name="40% - Accent1 3 6 3 3" xfId="24835" xr:uid="{657A3B90-3D45-43A4-A044-D2169FD0995B}"/>
    <cellStyle name="40% - Accent1 3 6 4" xfId="11319" xr:uid="{98B0C503-E56D-4570-B831-0C3301980692}"/>
    <cellStyle name="40% - Accent1 3 6 4 2" xfId="29915" xr:uid="{6176C65F-D651-4429-99C9-129DBECCC094}"/>
    <cellStyle name="40% - Accent1 3 6 5" xfId="20618" xr:uid="{F4D4A0A8-2156-448E-AF53-AA866D781E3C}"/>
    <cellStyle name="40% - Accent1 3 7" xfId="2317" xr:uid="{00000000-0005-0000-0000-000037040000}"/>
    <cellStyle name="40% - Accent1 3 7 2" xfId="6623" xr:uid="{00000000-0005-0000-0000-000038040000}"/>
    <cellStyle name="40% - Accent1 3 7 2 2" xfId="15949" xr:uid="{81903ED4-3663-43BA-A38E-86AD62EEA5EA}"/>
    <cellStyle name="40% - Accent1 3 7 2 2 2" xfId="34545" xr:uid="{416E767A-C7DA-40AE-B642-837857632989}"/>
    <cellStyle name="40% - Accent1 3 7 2 3" xfId="25248" xr:uid="{4FB8D3F9-2971-4112-ACC7-F498B8C6FD5E}"/>
    <cellStyle name="40% - Accent1 3 7 3" xfId="11732" xr:uid="{41AF9770-A301-43C2-BA0C-E027C543B97B}"/>
    <cellStyle name="40% - Accent1 3 7 3 2" xfId="30328" xr:uid="{1D28D654-5FAF-4B32-82B5-461396D3507E}"/>
    <cellStyle name="40% - Accent1 3 7 4" xfId="21031" xr:uid="{1FCDAC71-97C2-4917-8BEC-C5F5AD5C9A38}"/>
    <cellStyle name="40% - Accent1 3 8" xfId="4557" xr:uid="{00000000-0005-0000-0000-000039040000}"/>
    <cellStyle name="40% - Accent1 3 8 2" xfId="13883" xr:uid="{B75D05AA-055D-4C64-A2DD-CBF52FED7E3A}"/>
    <cellStyle name="40% - Accent1 3 8 2 2" xfId="32479" xr:uid="{DD498D91-F69B-43D7-A67D-1C2137DCB02F}"/>
    <cellStyle name="40% - Accent1 3 8 3" xfId="23182" xr:uid="{CAF2977F-9B22-45AC-98CD-B09A51CCD364}"/>
    <cellStyle name="40% - Accent1 3 9" xfId="8862" xr:uid="{2CC30516-31CA-485E-88BE-FCC7F9756A95}"/>
    <cellStyle name="40% - Accent1 3 9 2" xfId="18186" xr:uid="{133D69F4-EB18-4A11-97BA-BB23F5264D44}"/>
    <cellStyle name="40% - Accent1 3 9 2 2" xfId="36781" xr:uid="{28793B2E-B47E-4419-93B4-90CF17EFAF73}"/>
    <cellStyle name="40% - Accent1 3 9 3" xfId="27484" xr:uid="{2D1EA98B-E454-4161-B7CE-D11AACF67A7E}"/>
    <cellStyle name="40% - Accent1 4" xfId="56" xr:uid="{00000000-0005-0000-0000-00003A040000}"/>
    <cellStyle name="40% - Accent1 4 10" xfId="18967" xr:uid="{5A0BE446-7562-4927-9BB8-C739F5875F5B}"/>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46EA4E12-97CE-49F2-B632-F4C834E36BBB}"/>
    <cellStyle name="40% - Accent1 4 2 2 2 2 2" xfId="35040" xr:uid="{4B42289D-14CB-46CD-8EB1-7B70B33DDC80}"/>
    <cellStyle name="40% - Accent1 4 2 2 2 3" xfId="25743" xr:uid="{CDFEB394-4DC2-4658-A778-F42385C013F1}"/>
    <cellStyle name="40% - Accent1 4 2 2 3" xfId="12227" xr:uid="{39C46E63-0F19-4333-BC7C-CD8BFE8BEA72}"/>
    <cellStyle name="40% - Accent1 4 2 2 3 2" xfId="30823" xr:uid="{2BFAAC81-B382-44D2-A884-46059FB025CB}"/>
    <cellStyle name="40% - Accent1 4 2 2 4" xfId="21526" xr:uid="{DC4AD65E-3B2D-4DA8-BF1F-C06A1B614598}"/>
    <cellStyle name="40% - Accent1 4 2 3" xfId="4973" xr:uid="{00000000-0005-0000-0000-00003E040000}"/>
    <cellStyle name="40% - Accent1 4 2 3 2" xfId="14299" xr:uid="{9A5A4EE6-74C8-4F63-9472-133455A8B91C}"/>
    <cellStyle name="40% - Accent1 4 2 3 2 2" xfId="32895" xr:uid="{854E448A-5635-49C0-94DD-E28003A9BE6A}"/>
    <cellStyle name="40% - Accent1 4 2 3 3" xfId="23598" xr:uid="{EF3E1D3C-7771-4125-BABB-D32848D946DF}"/>
    <cellStyle name="40% - Accent1 4 2 4" xfId="9373" xr:uid="{3BC949C7-8F86-44EA-9F10-CF277586B131}"/>
    <cellStyle name="40% - Accent1 4 2 4 2" xfId="18688" xr:uid="{217C59D2-95AF-4B5F-AE96-C0D1C21B5647}"/>
    <cellStyle name="40% - Accent1 4 2 4 2 2" xfId="37282" xr:uid="{DC8F0AEA-C956-433B-B1A5-2CE76514DE0D}"/>
    <cellStyle name="40% - Accent1 4 2 4 3" xfId="27985" xr:uid="{C9C86D0E-B708-44D4-814B-8F9F100C5D99}"/>
    <cellStyle name="40% - Accent1 4 2 5" xfId="10082" xr:uid="{600E6AE3-DFD0-47BA-857F-73F9549F245B}"/>
    <cellStyle name="40% - Accent1 4 2 5 2" xfId="28678" xr:uid="{9143A572-DAD0-4FA5-B150-4EE81B7B9CA0}"/>
    <cellStyle name="40% - Accent1 4 2 6" xfId="19381" xr:uid="{1F4CE12B-A3E1-466E-8B8B-CB4E1F799D5B}"/>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BC07F1A6-9BCE-4517-B732-86D6C06CE38C}"/>
    <cellStyle name="40% - Accent1 4 3 2 2 2 2" xfId="35453" xr:uid="{20765ADF-43B8-4A59-BB85-E447EE5DC8B1}"/>
    <cellStyle name="40% - Accent1 4 3 2 2 3" xfId="26156" xr:uid="{DABBA04E-8601-4003-BC37-E8BE2F03E2AF}"/>
    <cellStyle name="40% - Accent1 4 3 2 3" xfId="12640" xr:uid="{2287CFFB-EC5B-401D-B250-3C1D59DEB852}"/>
    <cellStyle name="40% - Accent1 4 3 2 3 2" xfId="31236" xr:uid="{7CB8233E-A962-4A29-AE07-060BE8D723B7}"/>
    <cellStyle name="40% - Accent1 4 3 2 4" xfId="21939" xr:uid="{D2FAB852-A935-4C4C-ABDA-FB060B995290}"/>
    <cellStyle name="40% - Accent1 4 3 3" xfId="5386" xr:uid="{00000000-0005-0000-0000-000042040000}"/>
    <cellStyle name="40% - Accent1 4 3 3 2" xfId="14712" xr:uid="{7C68116C-F112-4C5B-97E4-A030403F8C18}"/>
    <cellStyle name="40% - Accent1 4 3 3 2 2" xfId="33308" xr:uid="{6D15472B-B083-48FF-B611-14D62FC49438}"/>
    <cellStyle name="40% - Accent1 4 3 3 3" xfId="24011" xr:uid="{71699083-1B24-4F8B-99EF-1DBC0CB4AEB2}"/>
    <cellStyle name="40% - Accent1 4 3 4" xfId="10495" xr:uid="{6EA2EEBA-1E8A-40A8-AA01-5DADFBF918FC}"/>
    <cellStyle name="40% - Accent1 4 3 4 2" xfId="29091" xr:uid="{425C980A-395C-4CDF-BEC3-BAB95260A72A}"/>
    <cellStyle name="40% - Accent1 4 3 5" xfId="19794" xr:uid="{A6892E84-1761-4565-BB96-3DEC1C51CA79}"/>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4ADB739A-60D9-40CB-A552-7CE0A4C8EB45}"/>
    <cellStyle name="40% - Accent1 4 4 2 2 2 2" xfId="35866" xr:uid="{987DBBFE-6E52-4CD0-AD14-BB178D18B859}"/>
    <cellStyle name="40% - Accent1 4 4 2 2 3" xfId="26569" xr:uid="{210CFF03-92A0-4147-8DB7-C79F998BFFFE}"/>
    <cellStyle name="40% - Accent1 4 4 2 3" xfId="13053" xr:uid="{9C959467-6478-4373-8AA7-2D7F4EBA30C5}"/>
    <cellStyle name="40% - Accent1 4 4 2 3 2" xfId="31649" xr:uid="{C8660A0D-E92A-4B42-B112-AE22ACA71DA7}"/>
    <cellStyle name="40% - Accent1 4 4 2 4" xfId="22352" xr:uid="{86621B76-5584-4C03-8AE7-4A558C099661}"/>
    <cellStyle name="40% - Accent1 4 4 3" xfId="5799" xr:uid="{00000000-0005-0000-0000-000046040000}"/>
    <cellStyle name="40% - Accent1 4 4 3 2" xfId="15125" xr:uid="{133D4C2C-39DD-4DC5-8F75-120D08B1F66C}"/>
    <cellStyle name="40% - Accent1 4 4 3 2 2" xfId="33721" xr:uid="{8B48B4D3-E9C6-4FDC-9C00-62B319EA8B64}"/>
    <cellStyle name="40% - Accent1 4 4 3 3" xfId="24424" xr:uid="{233E2F77-1D18-4B0C-86F6-E8462369C6A6}"/>
    <cellStyle name="40% - Accent1 4 4 4" xfId="10908" xr:uid="{5AC9A200-6D11-46F5-8361-7F53901FF25B}"/>
    <cellStyle name="40% - Accent1 4 4 4 2" xfId="29504" xr:uid="{81657D92-C22F-484E-816A-CAB0C8B90884}"/>
    <cellStyle name="40% - Accent1 4 4 5" xfId="20207" xr:uid="{ED5B6155-804F-46A3-8E3F-C765A8DCC6F2}"/>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50883333-A5DB-4231-988C-0DC7F01A6401}"/>
    <cellStyle name="40% - Accent1 4 5 2 2 2 2" xfId="36279" xr:uid="{FBE9F766-53C8-4DBE-B4AA-14C10968CD6E}"/>
    <cellStyle name="40% - Accent1 4 5 2 2 3" xfId="26982" xr:uid="{78AB40A0-3F42-43CE-B9A9-8C7F02623350}"/>
    <cellStyle name="40% - Accent1 4 5 2 3" xfId="13466" xr:uid="{AC51BEB4-9927-43F9-B2DA-8A97D6B4FD22}"/>
    <cellStyle name="40% - Accent1 4 5 2 3 2" xfId="32062" xr:uid="{2736916D-9CDB-4AC8-A55F-D631419C44DD}"/>
    <cellStyle name="40% - Accent1 4 5 2 4" xfId="22765" xr:uid="{C93D66BA-E14A-4503-91E6-F0A4CAB393CE}"/>
    <cellStyle name="40% - Accent1 4 5 3" xfId="6212" xr:uid="{00000000-0005-0000-0000-00004A040000}"/>
    <cellStyle name="40% - Accent1 4 5 3 2" xfId="15538" xr:uid="{40BFC07C-9E70-4DD6-B92D-DD4844343612}"/>
    <cellStyle name="40% - Accent1 4 5 3 2 2" xfId="34134" xr:uid="{C91F2417-60F5-4EDC-9B36-DC556AF30BE3}"/>
    <cellStyle name="40% - Accent1 4 5 3 3" xfId="24837" xr:uid="{97F1BEF7-3EE8-43C6-A4CA-370004BCF17B}"/>
    <cellStyle name="40% - Accent1 4 5 4" xfId="11321" xr:uid="{57EE7436-452A-4116-BF31-D3EADBF42316}"/>
    <cellStyle name="40% - Accent1 4 5 4 2" xfId="29917" xr:uid="{BE38AA27-ED82-4004-956C-3AB140C2E004}"/>
    <cellStyle name="40% - Accent1 4 5 5" xfId="20620" xr:uid="{EA3C2EB7-C30D-450E-AD75-01D2B2DFA487}"/>
    <cellStyle name="40% - Accent1 4 6" xfId="2319" xr:uid="{00000000-0005-0000-0000-00004B040000}"/>
    <cellStyle name="40% - Accent1 4 6 2" xfId="6625" xr:uid="{00000000-0005-0000-0000-00004C040000}"/>
    <cellStyle name="40% - Accent1 4 6 2 2" xfId="15951" xr:uid="{DD385DA8-9030-4B63-974D-CAFCB1BC2BC5}"/>
    <cellStyle name="40% - Accent1 4 6 2 2 2" xfId="34547" xr:uid="{9999F2D8-678E-460F-BFCA-EA4B3865F377}"/>
    <cellStyle name="40% - Accent1 4 6 2 3" xfId="25250" xr:uid="{D6D5DE2D-34F6-463F-9C65-CB5C7D149E08}"/>
    <cellStyle name="40% - Accent1 4 6 3" xfId="11734" xr:uid="{F4057C6F-A490-4BFA-80D4-78EED42C6BCB}"/>
    <cellStyle name="40% - Accent1 4 6 3 2" xfId="30330" xr:uid="{D1624A06-11B7-4CB4-993F-694A4AD7C3D2}"/>
    <cellStyle name="40% - Accent1 4 6 4" xfId="21033" xr:uid="{98FD115E-1535-47E4-8812-E8B72D76207D}"/>
    <cellStyle name="40% - Accent1 4 7" xfId="4559" xr:uid="{00000000-0005-0000-0000-00004D040000}"/>
    <cellStyle name="40% - Accent1 4 7 2" xfId="13885" xr:uid="{5241CC25-C00E-4A8B-A3C2-BBA57C1E0025}"/>
    <cellStyle name="40% - Accent1 4 7 2 2" xfId="32481" xr:uid="{D061E857-1245-4907-B283-1775AC8A2096}"/>
    <cellStyle name="40% - Accent1 4 7 3" xfId="23184" xr:uid="{C60D8DA7-15A9-450D-9735-5EF0C02515CA}"/>
    <cellStyle name="40% - Accent1 4 8" xfId="8948" xr:uid="{7BCBB449-71B8-4468-A700-0125C7659C3D}"/>
    <cellStyle name="40% - Accent1 4 8 2" xfId="18272" xr:uid="{28C7DB08-24D8-4155-940B-812EAA8FC8AB}"/>
    <cellStyle name="40% - Accent1 4 8 2 2" xfId="36867" xr:uid="{CE1D0F29-48B5-4F51-8ADD-723B5411D48B}"/>
    <cellStyle name="40% - Accent1 4 8 3" xfId="27570" xr:uid="{2BF62C82-AF55-4706-989F-EB0B67CC989B}"/>
    <cellStyle name="40% - Accent1 4 9" xfId="9668" xr:uid="{D840B2BE-190E-4FFF-8093-0CAF4F66D605}"/>
    <cellStyle name="40% - Accent1 4 9 2" xfId="28264" xr:uid="{0EDA9AA1-EE6F-454B-82E1-A3B2BA6B7B11}"/>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30B282AB-151B-4004-87CE-BF881C784C2B}"/>
    <cellStyle name="40% - Accent1 5 2 2 2 2" xfId="35033" xr:uid="{D5315EA4-CB8B-4034-8C07-DBD3B1A998C4}"/>
    <cellStyle name="40% - Accent1 5 2 2 3" xfId="25736" xr:uid="{1AE0689A-40E9-4534-82B5-AD6931B7CCF7}"/>
    <cellStyle name="40% - Accent1 5 2 3" xfId="12220" xr:uid="{2EF82298-69D0-4252-BA28-5CD55BD414F3}"/>
    <cellStyle name="40% - Accent1 5 2 3 2" xfId="30816" xr:uid="{123E42F5-F303-430A-A3EF-BE0FB0F862FE}"/>
    <cellStyle name="40% - Accent1 5 2 4" xfId="21519" xr:uid="{4396476F-2779-40E4-B137-9923222B61D4}"/>
    <cellStyle name="40% - Accent1 5 3" xfId="4966" xr:uid="{00000000-0005-0000-0000-000051040000}"/>
    <cellStyle name="40% - Accent1 5 3 2" xfId="14292" xr:uid="{F69839D7-FF79-4C28-A99B-4EC0FDF407C8}"/>
    <cellStyle name="40% - Accent1 5 3 2 2" xfId="32888" xr:uid="{3E12080D-045F-4D93-97CE-E9E6C9EDA248}"/>
    <cellStyle name="40% - Accent1 5 3 3" xfId="23591" xr:uid="{2E2D44F1-D20D-4868-BF20-E2E93DCF7AF2}"/>
    <cellStyle name="40% - Accent1 5 4" xfId="9181" xr:uid="{332DA761-F1AA-4FF3-9BBB-9ECEE19D2DFF}"/>
    <cellStyle name="40% - Accent1 5 4 2" xfId="18499" xr:uid="{63DC96F7-CA8B-4AAA-BA72-A5046685F53E}"/>
    <cellStyle name="40% - Accent1 5 4 2 2" xfId="37093" xr:uid="{9956C5F1-3EFE-41F1-8C14-0DECCDC70DA7}"/>
    <cellStyle name="40% - Accent1 5 4 3" xfId="27796" xr:uid="{4B809E11-72A8-4F69-9F79-B529A4B6AEA7}"/>
    <cellStyle name="40% - Accent1 5 5" xfId="10075" xr:uid="{0E3578EB-9EF5-4A23-8C96-EE353FF90CB4}"/>
    <cellStyle name="40% - Accent1 5 5 2" xfId="28671" xr:uid="{3C44A114-1CC3-4533-9EE6-A20B9AED5247}"/>
    <cellStyle name="40% - Accent1 5 6" xfId="19374" xr:uid="{F0748C82-EF7A-451E-8D33-4B10752170D5}"/>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8BEED0F1-40B5-4B2D-B893-923C83844573}"/>
    <cellStyle name="40% - Accent1 6 2 2 2 2" xfId="35446" xr:uid="{EBB50EDE-3FA8-427C-A739-0B7768223163}"/>
    <cellStyle name="40% - Accent1 6 2 2 3" xfId="26149" xr:uid="{9F7AC4A4-D89E-4EBD-A7B0-5865F17183EC}"/>
    <cellStyle name="40% - Accent1 6 2 3" xfId="12633" xr:uid="{F2B18FBA-2DF2-4AC3-B884-577801BD2AE1}"/>
    <cellStyle name="40% - Accent1 6 2 3 2" xfId="31229" xr:uid="{47341CBF-0BCA-44BF-877F-4FFEA4E9FD93}"/>
    <cellStyle name="40% - Accent1 6 2 4" xfId="21932" xr:uid="{956126E9-CB60-4A3B-B7F5-3E30CF565821}"/>
    <cellStyle name="40% - Accent1 6 3" xfId="5379" xr:uid="{00000000-0005-0000-0000-000055040000}"/>
    <cellStyle name="40% - Accent1 6 3 2" xfId="14705" xr:uid="{9A465B79-E5C5-486E-B8C3-34A265304E58}"/>
    <cellStyle name="40% - Accent1 6 3 2 2" xfId="33301" xr:uid="{077C6FCA-1BFE-4562-AFF6-CEAE7CF06E19}"/>
    <cellStyle name="40% - Accent1 6 3 3" xfId="24004" xr:uid="{70E278A1-0B65-4885-8232-316FE1304B7C}"/>
    <cellStyle name="40% - Accent1 6 4" xfId="10488" xr:uid="{2419A23E-4765-4CDE-A882-7448AE5F2815}"/>
    <cellStyle name="40% - Accent1 6 4 2" xfId="29084" xr:uid="{5FB5ED9F-AE78-488E-84F5-D9C14F6BF754}"/>
    <cellStyle name="40% - Accent1 6 5" xfId="19787" xr:uid="{3BAD0A8B-E2C4-47C1-8AC0-26C8AA7B00AF}"/>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FBB1225C-09FA-4F39-AD46-6D83566CAD83}"/>
    <cellStyle name="40% - Accent1 7 2 2 2 2" xfId="35859" xr:uid="{18920151-6CFA-4F07-A351-878ED9DF586A}"/>
    <cellStyle name="40% - Accent1 7 2 2 3" xfId="26562" xr:uid="{EF294791-A83F-4570-9846-6042F21CCA02}"/>
    <cellStyle name="40% - Accent1 7 2 3" xfId="13046" xr:uid="{1B1FF665-81FA-4727-A6D5-94264504D2FA}"/>
    <cellStyle name="40% - Accent1 7 2 3 2" xfId="31642" xr:uid="{02051431-6DAE-4B6A-91F3-B41C89B8977F}"/>
    <cellStyle name="40% - Accent1 7 2 4" xfId="22345" xr:uid="{3EE1A3D3-3DF7-46C4-8EEC-9BD201E37B23}"/>
    <cellStyle name="40% - Accent1 7 3" xfId="5792" xr:uid="{00000000-0005-0000-0000-000059040000}"/>
    <cellStyle name="40% - Accent1 7 3 2" xfId="15118" xr:uid="{00F16A5C-5EE7-4784-86B2-7663EE4FEAF0}"/>
    <cellStyle name="40% - Accent1 7 3 2 2" xfId="33714" xr:uid="{BF114475-1D37-480A-A65F-C795066521C9}"/>
    <cellStyle name="40% - Accent1 7 3 3" xfId="24417" xr:uid="{4FE4B1AD-6546-4144-A864-BC3977406003}"/>
    <cellStyle name="40% - Accent1 7 4" xfId="10901" xr:uid="{B1CC5F17-25B1-4299-96F6-040ED9EE5C93}"/>
    <cellStyle name="40% - Accent1 7 4 2" xfId="29497" xr:uid="{3D97C309-14E0-43CF-97E6-E88E09B60B4C}"/>
    <cellStyle name="40% - Accent1 7 5" xfId="20200" xr:uid="{980F4C67-F613-4321-9AC1-0E5F66BC7B3E}"/>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A8A30DD2-445C-4318-ADC8-141DF0A9FC38}"/>
    <cellStyle name="40% - Accent1 8 2 2 2 2" xfId="36272" xr:uid="{A2E97E43-EC2A-4F3C-8584-DE501D0E7959}"/>
    <cellStyle name="40% - Accent1 8 2 2 3" xfId="26975" xr:uid="{D9F63CD6-068B-475B-A794-A5837A803A1D}"/>
    <cellStyle name="40% - Accent1 8 2 3" xfId="13459" xr:uid="{27CFF4FC-2D5A-4E9D-AD1D-FD2F2345A3A8}"/>
    <cellStyle name="40% - Accent1 8 2 3 2" xfId="32055" xr:uid="{AB93752B-F357-40E5-A3FA-0AD794EEEE6F}"/>
    <cellStyle name="40% - Accent1 8 2 4" xfId="22758" xr:uid="{24D57D3E-706F-4D25-88B9-112B5B41478D}"/>
    <cellStyle name="40% - Accent1 8 3" xfId="6205" xr:uid="{00000000-0005-0000-0000-00005D040000}"/>
    <cellStyle name="40% - Accent1 8 3 2" xfId="15531" xr:uid="{D61DDC30-D420-4523-9477-85267D041EE6}"/>
    <cellStyle name="40% - Accent1 8 3 2 2" xfId="34127" xr:uid="{E9F20A40-B7B5-49ED-9695-BB7300709F6A}"/>
    <cellStyle name="40% - Accent1 8 3 3" xfId="24830" xr:uid="{88B84685-28D5-494A-9E83-B87BDEE4E6C8}"/>
    <cellStyle name="40% - Accent1 8 4" xfId="11314" xr:uid="{E36F35CE-84AD-40FA-ABC2-E8F094BAA426}"/>
    <cellStyle name="40% - Accent1 8 4 2" xfId="29910" xr:uid="{2C6FDE5C-60E4-4E23-8984-175590E599AF}"/>
    <cellStyle name="40% - Accent1 8 5" xfId="20613" xr:uid="{B3F91345-7C8B-40DA-A912-76C50354C6D2}"/>
    <cellStyle name="40% - Accent1 9" xfId="2312" xr:uid="{00000000-0005-0000-0000-00005E040000}"/>
    <cellStyle name="40% - Accent1 9 2" xfId="6618" xr:uid="{00000000-0005-0000-0000-00005F040000}"/>
    <cellStyle name="40% - Accent1 9 2 2" xfId="15944" xr:uid="{D07F24DF-994B-49D3-B54A-E1014A38EDC0}"/>
    <cellStyle name="40% - Accent1 9 2 2 2" xfId="34540" xr:uid="{ABF68F09-1118-4DA2-8784-8B5A2CE20189}"/>
    <cellStyle name="40% - Accent1 9 2 3" xfId="25243" xr:uid="{13A569C3-ECA4-4A71-9E78-B3030A4DD12D}"/>
    <cellStyle name="40% - Accent1 9 3" xfId="11727" xr:uid="{12735F4A-83CA-421C-81E7-4FF0A6FA3AA0}"/>
    <cellStyle name="40% - Accent1 9 3 2" xfId="30323" xr:uid="{ABA9353F-DA3F-4461-9345-27DD9B2D32C1}"/>
    <cellStyle name="40% - Accent1 9 4" xfId="21026" xr:uid="{C8493997-C7C3-4384-B4F0-7F7E7E9BD495}"/>
    <cellStyle name="40% - Accent2" xfId="57" builtinId="35" customBuiltin="1"/>
    <cellStyle name="40% - Accent2 10" xfId="4560" xr:uid="{00000000-0005-0000-0000-000061040000}"/>
    <cellStyle name="40% - Accent2 10 2" xfId="13886" xr:uid="{525BB17C-59F8-4F5E-BC13-7A542FC28918}"/>
    <cellStyle name="40% - Accent2 10 2 2" xfId="32482" xr:uid="{ACB7784F-50E4-44E4-AD95-A657767391B2}"/>
    <cellStyle name="40% - Accent2 10 3" xfId="23185" xr:uid="{94B9C735-63E9-45AF-837B-5849C271D94D}"/>
    <cellStyle name="40% - Accent2 11" xfId="8761" xr:uid="{8631D9D1-53DA-4958-8F7C-AD68B7B91D61}"/>
    <cellStyle name="40% - Accent2 11 2" xfId="18085" xr:uid="{A0DE55D7-E268-4EE3-80BB-93F8FFB1101A}"/>
    <cellStyle name="40% - Accent2 11 2 2" xfId="36680" xr:uid="{C10D7865-C588-49EA-88C3-1193A2F47592}"/>
    <cellStyle name="40% - Accent2 11 3" xfId="27383" xr:uid="{5209A315-A5A7-4D8D-9012-8071B3ECFAC2}"/>
    <cellStyle name="40% - Accent2 12" xfId="9669" xr:uid="{B3BC300D-ADF6-41F3-AA98-0DC3F7F8BDC7}"/>
    <cellStyle name="40% - Accent2 12 2" xfId="28265" xr:uid="{46B78604-A502-40C9-B40F-E40837384F5F}"/>
    <cellStyle name="40% - Accent2 13" xfId="18968" xr:uid="{BDB4DBF3-04B3-49F3-B025-C9D77DEC5777}"/>
    <cellStyle name="40% - Accent2 2" xfId="58" xr:uid="{00000000-0005-0000-0000-000062040000}"/>
    <cellStyle name="40% - Accent2 2 10" xfId="8799" xr:uid="{E3EEC046-6E76-44A5-8D1B-64621A8F0AC5}"/>
    <cellStyle name="40% - Accent2 2 10 2" xfId="18123" xr:uid="{059F3F69-B9C1-4822-9087-BBC711CC0F81}"/>
    <cellStyle name="40% - Accent2 2 10 2 2" xfId="36718" xr:uid="{304E74F5-67AC-4B62-8ACC-B51799F0F3E8}"/>
    <cellStyle name="40% - Accent2 2 10 3" xfId="27421" xr:uid="{7A4140DF-A8C0-4E30-888E-F5F74671FE70}"/>
    <cellStyle name="40% - Accent2 2 11" xfId="9670" xr:uid="{31532FFA-7B53-45E2-806A-9685609252C6}"/>
    <cellStyle name="40% - Accent2 2 11 2" xfId="28266" xr:uid="{3703CF38-7F3F-42CE-9155-35D2C470D09B}"/>
    <cellStyle name="40% - Accent2 2 12" xfId="18969" xr:uid="{10620CE7-15BA-41F6-97E2-697667CC8EF0}"/>
    <cellStyle name="40% - Accent2 2 2" xfId="59" xr:uid="{00000000-0005-0000-0000-000063040000}"/>
    <cellStyle name="40% - Accent2 2 2 10" xfId="9671" xr:uid="{D9A7850F-F92E-49F6-B4B3-B5E28C79038F}"/>
    <cellStyle name="40% - Accent2 2 2 10 2" xfId="28267" xr:uid="{4088BB1A-3061-40BB-9B70-3C4C041B4C0C}"/>
    <cellStyle name="40% - Accent2 2 2 11" xfId="18970" xr:uid="{82C08628-D7FC-420C-90F4-D26AEFF9F6AD}"/>
    <cellStyle name="40% - Accent2 2 2 2" xfId="60" xr:uid="{00000000-0005-0000-0000-000064040000}"/>
    <cellStyle name="40% - Accent2 2 2 2 10" xfId="18971" xr:uid="{D534BFCC-697F-4233-AFE8-E9D228F498AA}"/>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6EC017FB-DBB4-4EF5-B382-6B241B4E86C1}"/>
    <cellStyle name="40% - Accent2 2 2 2 2 2 2 2 2" xfId="35044" xr:uid="{A21DE213-F84B-4431-B3F6-013639F5275E}"/>
    <cellStyle name="40% - Accent2 2 2 2 2 2 2 3" xfId="25747" xr:uid="{98CCFF1C-0C34-409D-9174-2B572253DDFB}"/>
    <cellStyle name="40% - Accent2 2 2 2 2 2 3" xfId="12231" xr:uid="{271F819C-0CC0-44A1-8F9D-208F8F469C2C}"/>
    <cellStyle name="40% - Accent2 2 2 2 2 2 3 2" xfId="30827" xr:uid="{806FB0BE-F964-4C6F-854B-397D661DBCD1}"/>
    <cellStyle name="40% - Accent2 2 2 2 2 2 4" xfId="21530" xr:uid="{6AFDCA73-0C04-44DB-98FF-1168E9A1DF30}"/>
    <cellStyle name="40% - Accent2 2 2 2 2 3" xfId="4977" xr:uid="{00000000-0005-0000-0000-000068040000}"/>
    <cellStyle name="40% - Accent2 2 2 2 2 3 2" xfId="14303" xr:uid="{A4B03C35-BB32-4D5A-B1D7-FA2A0AA29071}"/>
    <cellStyle name="40% - Accent2 2 2 2 2 3 2 2" xfId="32899" xr:uid="{EC625472-89C9-4F99-9B5A-7121227E07E1}"/>
    <cellStyle name="40% - Accent2 2 2 2 2 3 3" xfId="23602" xr:uid="{0E4E4662-82A4-446B-A3B1-11040EA95E6B}"/>
    <cellStyle name="40% - Accent2 2 2 2 2 4" xfId="9534" xr:uid="{9F53A086-33FC-422E-9DFF-72D04AC43949}"/>
    <cellStyle name="40% - Accent2 2 2 2 2 4 2" xfId="18849" xr:uid="{EE3D7D61-BCE1-4263-AFFA-A5AC1F5EC350}"/>
    <cellStyle name="40% - Accent2 2 2 2 2 4 2 2" xfId="37443" xr:uid="{427CE005-365C-4176-B16D-F93A42B85CF7}"/>
    <cellStyle name="40% - Accent2 2 2 2 2 4 3" xfId="28146" xr:uid="{0075B1E5-F02A-4168-B0F6-B2F15C40251E}"/>
    <cellStyle name="40% - Accent2 2 2 2 2 5" xfId="10086" xr:uid="{85CB2B6D-5B8C-41EF-9FC7-4140B9C79D16}"/>
    <cellStyle name="40% - Accent2 2 2 2 2 5 2" xfId="28682" xr:uid="{4F623DD1-1F3C-4C02-BF74-16AF5A8E6950}"/>
    <cellStyle name="40% - Accent2 2 2 2 2 6" xfId="19385" xr:uid="{84C26A09-4271-4E0E-92FD-DA7BF7F611D4}"/>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E7C2DC28-4566-4C04-B7A2-23E8210638C4}"/>
    <cellStyle name="40% - Accent2 2 2 2 3 2 2 2 2" xfId="35457" xr:uid="{1160C455-08A9-49EA-8AA8-F84306B86D31}"/>
    <cellStyle name="40% - Accent2 2 2 2 3 2 2 3" xfId="26160" xr:uid="{1EF602FA-B366-49B6-B1B7-A78B0308A1F0}"/>
    <cellStyle name="40% - Accent2 2 2 2 3 2 3" xfId="12644" xr:uid="{D6B9A009-6524-492D-8AC6-333C81A7DB07}"/>
    <cellStyle name="40% - Accent2 2 2 2 3 2 3 2" xfId="31240" xr:uid="{D6B2180A-0242-49F7-8F78-E561341AA9DD}"/>
    <cellStyle name="40% - Accent2 2 2 2 3 2 4" xfId="21943" xr:uid="{319D03E9-FA8E-4CB2-8C97-9D1AC7DF41EB}"/>
    <cellStyle name="40% - Accent2 2 2 2 3 3" xfId="5390" xr:uid="{00000000-0005-0000-0000-00006C040000}"/>
    <cellStyle name="40% - Accent2 2 2 2 3 3 2" xfId="14716" xr:uid="{7AC227B8-3C77-425D-88CC-F4ED8A5CA092}"/>
    <cellStyle name="40% - Accent2 2 2 2 3 3 2 2" xfId="33312" xr:uid="{E4618C6E-5423-4583-AED6-98BE703CD374}"/>
    <cellStyle name="40% - Accent2 2 2 2 3 3 3" xfId="24015" xr:uid="{4E1CFF42-5406-4FD6-B6CE-722E65913D87}"/>
    <cellStyle name="40% - Accent2 2 2 2 3 4" xfId="10499" xr:uid="{F7C5E586-7758-4B3C-A269-5DEFE2A0C918}"/>
    <cellStyle name="40% - Accent2 2 2 2 3 4 2" xfId="29095" xr:uid="{0F1F1C4F-0886-4930-9A11-4CBEA6F39B22}"/>
    <cellStyle name="40% - Accent2 2 2 2 3 5" xfId="19798" xr:uid="{D74DAA19-7572-4E24-8D39-B0033C9DD0B2}"/>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48203492-9799-4EDA-977F-E0DAFD8C0914}"/>
    <cellStyle name="40% - Accent2 2 2 2 4 2 2 2 2" xfId="35870" xr:uid="{15C395B6-D5AC-4FB7-9E2E-8BBF056D518E}"/>
    <cellStyle name="40% - Accent2 2 2 2 4 2 2 3" xfId="26573" xr:uid="{ED5ED897-C6A5-4330-AC6C-B1ABF51598C1}"/>
    <cellStyle name="40% - Accent2 2 2 2 4 2 3" xfId="13057" xr:uid="{515A129D-7389-4A2F-8C9E-1422876B4E72}"/>
    <cellStyle name="40% - Accent2 2 2 2 4 2 3 2" xfId="31653" xr:uid="{36E6A348-369F-46FE-A7A4-C0EFEC2AFE1C}"/>
    <cellStyle name="40% - Accent2 2 2 2 4 2 4" xfId="22356" xr:uid="{460C07AE-C9C9-42FB-AE79-94AAC072EE44}"/>
    <cellStyle name="40% - Accent2 2 2 2 4 3" xfId="5803" xr:uid="{00000000-0005-0000-0000-000070040000}"/>
    <cellStyle name="40% - Accent2 2 2 2 4 3 2" xfId="15129" xr:uid="{F471DB25-45EB-46B4-9B44-53B172B2B77C}"/>
    <cellStyle name="40% - Accent2 2 2 2 4 3 2 2" xfId="33725" xr:uid="{1BB2FBFD-DA15-48E0-8436-1057636E370B}"/>
    <cellStyle name="40% - Accent2 2 2 2 4 3 3" xfId="24428" xr:uid="{A25AE544-61EE-46FB-9365-28BAEFDFCEAF}"/>
    <cellStyle name="40% - Accent2 2 2 2 4 4" xfId="10912" xr:uid="{80A3292D-278A-4D3A-95C1-925410441EE1}"/>
    <cellStyle name="40% - Accent2 2 2 2 4 4 2" xfId="29508" xr:uid="{42D49FB4-C2E7-48C4-B764-052F32B94BA2}"/>
    <cellStyle name="40% - Accent2 2 2 2 4 5" xfId="20211" xr:uid="{EA193854-FCEE-45D7-906E-9C82916C3817}"/>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C464B3C2-6D4C-40E7-A501-D4108766449F}"/>
    <cellStyle name="40% - Accent2 2 2 2 5 2 2 2 2" xfId="36283" xr:uid="{490C216B-4102-4D83-A333-6B610CF59CE8}"/>
    <cellStyle name="40% - Accent2 2 2 2 5 2 2 3" xfId="26986" xr:uid="{74EBD235-D304-4CFB-B373-07AF4DC15E96}"/>
    <cellStyle name="40% - Accent2 2 2 2 5 2 3" xfId="13470" xr:uid="{C9D20888-8A28-44E8-88D9-13EDF5C0E87F}"/>
    <cellStyle name="40% - Accent2 2 2 2 5 2 3 2" xfId="32066" xr:uid="{A53C20E7-62A2-4B08-9C89-44B297B71ACE}"/>
    <cellStyle name="40% - Accent2 2 2 2 5 2 4" xfId="22769" xr:uid="{93E311DD-7668-468D-9ADC-8DFA7D69D494}"/>
    <cellStyle name="40% - Accent2 2 2 2 5 3" xfId="6216" xr:uid="{00000000-0005-0000-0000-000074040000}"/>
    <cellStyle name="40% - Accent2 2 2 2 5 3 2" xfId="15542" xr:uid="{FC70EA5C-2393-40B4-8DE2-E96CF517B797}"/>
    <cellStyle name="40% - Accent2 2 2 2 5 3 2 2" xfId="34138" xr:uid="{E4B9278E-6646-4451-8C9F-27A86D423B77}"/>
    <cellStyle name="40% - Accent2 2 2 2 5 3 3" xfId="24841" xr:uid="{0A3375EE-8CEE-4898-B2D0-EDC419E94946}"/>
    <cellStyle name="40% - Accent2 2 2 2 5 4" xfId="11325" xr:uid="{D795CA73-554B-4190-BA7A-6AB87DE9F3EE}"/>
    <cellStyle name="40% - Accent2 2 2 2 5 4 2" xfId="29921" xr:uid="{6F03F280-0D0C-4F30-B5C8-0F9E2FD9F562}"/>
    <cellStyle name="40% - Accent2 2 2 2 5 5" xfId="20624" xr:uid="{C8C36BCB-1AD3-437E-9A48-A1655C765B06}"/>
    <cellStyle name="40% - Accent2 2 2 2 6" xfId="2323" xr:uid="{00000000-0005-0000-0000-000075040000}"/>
    <cellStyle name="40% - Accent2 2 2 2 6 2" xfId="6629" xr:uid="{00000000-0005-0000-0000-000076040000}"/>
    <cellStyle name="40% - Accent2 2 2 2 6 2 2" xfId="15955" xr:uid="{4D568F4E-5356-4774-836A-4A66496CEE2A}"/>
    <cellStyle name="40% - Accent2 2 2 2 6 2 2 2" xfId="34551" xr:uid="{BC2ADA75-BB90-4C57-934E-F83C9F8BA7A8}"/>
    <cellStyle name="40% - Accent2 2 2 2 6 2 3" xfId="25254" xr:uid="{805AC0C3-3419-4FB6-A244-59A4C243591E}"/>
    <cellStyle name="40% - Accent2 2 2 2 6 3" xfId="11738" xr:uid="{78088DFA-3F65-4A3F-B525-50D585B42067}"/>
    <cellStyle name="40% - Accent2 2 2 2 6 3 2" xfId="30334" xr:uid="{0444E78E-A3AA-4983-A8D8-3B0D8BC25314}"/>
    <cellStyle name="40% - Accent2 2 2 2 6 4" xfId="21037" xr:uid="{9BBD69CE-C18A-45DD-AAE8-41EA98D56B8B}"/>
    <cellStyle name="40% - Accent2 2 2 2 7" xfId="4563" xr:uid="{00000000-0005-0000-0000-000077040000}"/>
    <cellStyle name="40% - Accent2 2 2 2 7 2" xfId="13889" xr:uid="{3922B681-226F-48BA-A4FF-048C3FE80D8D}"/>
    <cellStyle name="40% - Accent2 2 2 2 7 2 2" xfId="32485" xr:uid="{7DA24A40-B6E5-4103-A729-7387DA59EC28}"/>
    <cellStyle name="40% - Accent2 2 2 2 7 3" xfId="23188" xr:uid="{34E613DC-3478-49D6-83B3-835B9BDE613B}"/>
    <cellStyle name="40% - Accent2 2 2 2 8" xfId="9109" xr:uid="{73F0012D-4386-4224-BFB0-7DB1C0E98822}"/>
    <cellStyle name="40% - Accent2 2 2 2 8 2" xfId="18433" xr:uid="{7253FE3B-4A0D-4D16-A73D-EF54D1A52A4D}"/>
    <cellStyle name="40% - Accent2 2 2 2 8 2 2" xfId="37028" xr:uid="{83588E3E-1F10-4132-92B7-C9A35C7D2007}"/>
    <cellStyle name="40% - Accent2 2 2 2 8 3" xfId="27731" xr:uid="{4DFD1182-FCFA-4432-B4B2-A60B9ED32A0C}"/>
    <cellStyle name="40% - Accent2 2 2 2 9" xfId="9672" xr:uid="{82C8F936-11FB-4BA9-BA4A-95C8B9CD0A59}"/>
    <cellStyle name="40% - Accent2 2 2 2 9 2" xfId="28268" xr:uid="{2A01237E-ABD7-41DF-A80C-7A2DE0A9994E}"/>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B02E8856-7D82-4A95-B782-2F169B4636E9}"/>
    <cellStyle name="40% - Accent2 2 2 3 2 2 2 2" xfId="35043" xr:uid="{3EBCD22C-7B6B-4444-A909-EBF85B0A2875}"/>
    <cellStyle name="40% - Accent2 2 2 3 2 2 3" xfId="25746" xr:uid="{6B83E940-4FFE-49F0-B316-0BCF5F03F1B2}"/>
    <cellStyle name="40% - Accent2 2 2 3 2 3" xfId="12230" xr:uid="{E909C683-EC3C-40C8-BF1B-FA66C1FE6150}"/>
    <cellStyle name="40% - Accent2 2 2 3 2 3 2" xfId="30826" xr:uid="{4326FDF7-1B47-473A-8016-B9AF7ADC9903}"/>
    <cellStyle name="40% - Accent2 2 2 3 2 4" xfId="21529" xr:uid="{76730DA1-2777-465C-8536-7809DCBFED60}"/>
    <cellStyle name="40% - Accent2 2 2 3 3" xfId="4976" xr:uid="{00000000-0005-0000-0000-00007B040000}"/>
    <cellStyle name="40% - Accent2 2 2 3 3 2" xfId="14302" xr:uid="{50E30425-2E60-411A-8757-9BD710BB8A24}"/>
    <cellStyle name="40% - Accent2 2 2 3 3 2 2" xfId="32898" xr:uid="{12EFFCEE-B9E3-4AB6-923B-081C84B78562}"/>
    <cellStyle name="40% - Accent2 2 2 3 3 3" xfId="23601" xr:uid="{4B094308-82A6-49D9-A75E-5013E6006501}"/>
    <cellStyle name="40% - Accent2 2 2 3 4" xfId="9327" xr:uid="{F2BC9A12-B689-4B73-B71E-77A9F0BC7FE4}"/>
    <cellStyle name="40% - Accent2 2 2 3 4 2" xfId="18642" xr:uid="{605DD283-427E-498E-86F4-BCC2A81E210B}"/>
    <cellStyle name="40% - Accent2 2 2 3 4 2 2" xfId="37236" xr:uid="{EE528BE0-C36A-41F1-95F5-C53F8ED9A822}"/>
    <cellStyle name="40% - Accent2 2 2 3 4 3" xfId="27939" xr:uid="{6D01DDB6-853F-438D-A391-7BF71621076F}"/>
    <cellStyle name="40% - Accent2 2 2 3 5" xfId="10085" xr:uid="{C0DF4675-82BF-42E4-8341-63673D7B812E}"/>
    <cellStyle name="40% - Accent2 2 2 3 5 2" xfId="28681" xr:uid="{1EB3AC50-738B-45E2-842E-CF924C35C3C6}"/>
    <cellStyle name="40% - Accent2 2 2 3 6" xfId="19384" xr:uid="{D14D2C56-EE54-450D-83E9-62D1DE43C599}"/>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76F3526E-1156-4842-96D3-A4DF784A7526}"/>
    <cellStyle name="40% - Accent2 2 2 4 2 2 2 2" xfId="35456" xr:uid="{16EA3710-2A39-4314-8DE1-A24DE77FDCB6}"/>
    <cellStyle name="40% - Accent2 2 2 4 2 2 3" xfId="26159" xr:uid="{7BE13A86-8569-4C16-986C-16CAEF86116F}"/>
    <cellStyle name="40% - Accent2 2 2 4 2 3" xfId="12643" xr:uid="{B0A5AB65-B1D5-4120-819D-2EBE1F650403}"/>
    <cellStyle name="40% - Accent2 2 2 4 2 3 2" xfId="31239" xr:uid="{ABCAB88E-456F-4FA6-BC0A-577B003431C3}"/>
    <cellStyle name="40% - Accent2 2 2 4 2 4" xfId="21942" xr:uid="{AC34844C-D948-413B-BF67-24B06894E80E}"/>
    <cellStyle name="40% - Accent2 2 2 4 3" xfId="5389" xr:uid="{00000000-0005-0000-0000-00007F040000}"/>
    <cellStyle name="40% - Accent2 2 2 4 3 2" xfId="14715" xr:uid="{275BA9B0-ECEA-4419-8A49-EB128034FC37}"/>
    <cellStyle name="40% - Accent2 2 2 4 3 2 2" xfId="33311" xr:uid="{F1C9CB68-11A2-45AC-A2A8-7A62E7A12B2D}"/>
    <cellStyle name="40% - Accent2 2 2 4 3 3" xfId="24014" xr:uid="{60C0B122-DF22-4801-8EB0-E7504A799EC7}"/>
    <cellStyle name="40% - Accent2 2 2 4 4" xfId="10498" xr:uid="{58A9E3F1-46EC-4D29-9781-FA4038F873B7}"/>
    <cellStyle name="40% - Accent2 2 2 4 4 2" xfId="29094" xr:uid="{A27C994A-D4C5-493E-8B29-91AF983C2E0B}"/>
    <cellStyle name="40% - Accent2 2 2 4 5" xfId="19797" xr:uid="{49F7177F-0DCE-4525-A790-48FDC2E65F44}"/>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38132BC2-97D3-4AAC-9D78-8F74ECBEE7DD}"/>
    <cellStyle name="40% - Accent2 2 2 5 2 2 2 2" xfId="35869" xr:uid="{D71866C0-625E-4882-A018-28A585051CA3}"/>
    <cellStyle name="40% - Accent2 2 2 5 2 2 3" xfId="26572" xr:uid="{D9E0AA16-B409-4706-BBAD-EB3C6AC8AA98}"/>
    <cellStyle name="40% - Accent2 2 2 5 2 3" xfId="13056" xr:uid="{AFE27BAF-2F0B-4329-93A5-9F5ACCDBEC4B}"/>
    <cellStyle name="40% - Accent2 2 2 5 2 3 2" xfId="31652" xr:uid="{D0D5ABD3-992D-4FBC-A28F-E53D28FD6886}"/>
    <cellStyle name="40% - Accent2 2 2 5 2 4" xfId="22355" xr:uid="{E16F19F8-B4BB-4684-8CCF-461F0D28FD6E}"/>
    <cellStyle name="40% - Accent2 2 2 5 3" xfId="5802" xr:uid="{00000000-0005-0000-0000-000083040000}"/>
    <cellStyle name="40% - Accent2 2 2 5 3 2" xfId="15128" xr:uid="{10DDEBFC-F404-4842-960E-FCDB7A19CE44}"/>
    <cellStyle name="40% - Accent2 2 2 5 3 2 2" xfId="33724" xr:uid="{249A8318-FDB1-4DE7-A8DE-242A205FF09E}"/>
    <cellStyle name="40% - Accent2 2 2 5 3 3" xfId="24427" xr:uid="{B3E6C914-2F73-4C1D-948A-21C0638B6F6F}"/>
    <cellStyle name="40% - Accent2 2 2 5 4" xfId="10911" xr:uid="{44E19B95-45C6-4988-A100-ADE781181061}"/>
    <cellStyle name="40% - Accent2 2 2 5 4 2" xfId="29507" xr:uid="{C5F8BD08-14FB-4989-A605-7759B912152E}"/>
    <cellStyle name="40% - Accent2 2 2 5 5" xfId="20210" xr:uid="{330BF5EB-C69E-4815-AA82-2B339A3F17CE}"/>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3B98EC70-F55A-4E16-9182-172066B52CAB}"/>
    <cellStyle name="40% - Accent2 2 2 6 2 2 2 2" xfId="36282" xr:uid="{909310AA-8591-45B8-BDAE-F494A506BCCE}"/>
    <cellStyle name="40% - Accent2 2 2 6 2 2 3" xfId="26985" xr:uid="{22C32D76-7972-460C-8A35-E90A158E8271}"/>
    <cellStyle name="40% - Accent2 2 2 6 2 3" xfId="13469" xr:uid="{348F5801-23C1-42DA-A454-B63061BF098F}"/>
    <cellStyle name="40% - Accent2 2 2 6 2 3 2" xfId="32065" xr:uid="{08058A8B-13FF-4757-A395-AA8E3D768D91}"/>
    <cellStyle name="40% - Accent2 2 2 6 2 4" xfId="22768" xr:uid="{AC8BFFCB-BAE5-42BD-8358-75EFB06C58D7}"/>
    <cellStyle name="40% - Accent2 2 2 6 3" xfId="6215" xr:uid="{00000000-0005-0000-0000-000087040000}"/>
    <cellStyle name="40% - Accent2 2 2 6 3 2" xfId="15541" xr:uid="{6C918597-5040-4961-A2A7-81F17709FB05}"/>
    <cellStyle name="40% - Accent2 2 2 6 3 2 2" xfId="34137" xr:uid="{33971A3F-5725-4A4A-BB3F-667BFB1C30B4}"/>
    <cellStyle name="40% - Accent2 2 2 6 3 3" xfId="24840" xr:uid="{03BFC2DE-209E-4D7A-B11E-CA32D4372A3B}"/>
    <cellStyle name="40% - Accent2 2 2 6 4" xfId="11324" xr:uid="{68C1F4C7-9860-42FC-A07E-BC66A98D6B25}"/>
    <cellStyle name="40% - Accent2 2 2 6 4 2" xfId="29920" xr:uid="{798609F0-19C9-4D97-9DE3-B95DFB50C1B1}"/>
    <cellStyle name="40% - Accent2 2 2 6 5" xfId="20623" xr:uid="{4B98C61D-3CCD-4A42-938C-8B3A87E19C05}"/>
    <cellStyle name="40% - Accent2 2 2 7" xfId="2322" xr:uid="{00000000-0005-0000-0000-000088040000}"/>
    <cellStyle name="40% - Accent2 2 2 7 2" xfId="6628" xr:uid="{00000000-0005-0000-0000-000089040000}"/>
    <cellStyle name="40% - Accent2 2 2 7 2 2" xfId="15954" xr:uid="{E10AC78B-39B8-4559-A43C-08B3412BF072}"/>
    <cellStyle name="40% - Accent2 2 2 7 2 2 2" xfId="34550" xr:uid="{E2E748AF-4386-4901-AA05-DCB1FDC7FB12}"/>
    <cellStyle name="40% - Accent2 2 2 7 2 3" xfId="25253" xr:uid="{4252F0EC-1583-4686-846D-B17988C6C3AB}"/>
    <cellStyle name="40% - Accent2 2 2 7 3" xfId="11737" xr:uid="{F12B10FA-BA7D-47F4-A6DB-4580DB5AA943}"/>
    <cellStyle name="40% - Accent2 2 2 7 3 2" xfId="30333" xr:uid="{359075B1-CBD5-4063-9717-6551B772A84F}"/>
    <cellStyle name="40% - Accent2 2 2 7 4" xfId="21036" xr:uid="{ADEC26DB-278D-4199-BF07-023B6D9D6616}"/>
    <cellStyle name="40% - Accent2 2 2 8" xfId="4562" xr:uid="{00000000-0005-0000-0000-00008A040000}"/>
    <cellStyle name="40% - Accent2 2 2 8 2" xfId="13888" xr:uid="{9CC91AE5-920C-48CB-80AE-AE806E55FFC3}"/>
    <cellStyle name="40% - Accent2 2 2 8 2 2" xfId="32484" xr:uid="{4431233E-9F72-4D16-ADE7-9DCB71502185}"/>
    <cellStyle name="40% - Accent2 2 2 8 3" xfId="23187" xr:uid="{5CE42147-ADF4-4785-8250-CED3CFBB5F3B}"/>
    <cellStyle name="40% - Accent2 2 2 9" xfId="8902" xr:uid="{5D0C2022-B7A4-4DE2-895F-9E4BE510A7B9}"/>
    <cellStyle name="40% - Accent2 2 2 9 2" xfId="18226" xr:uid="{ECEA95B8-E77B-43C3-9774-5ADF67F6CDE8}"/>
    <cellStyle name="40% - Accent2 2 2 9 2 2" xfId="36821" xr:uid="{A9542F86-CAFF-4D57-B504-FACF7D2365F3}"/>
    <cellStyle name="40% - Accent2 2 2 9 3" xfId="27524" xr:uid="{9C71A833-00FE-457B-814D-CFFDACBF2685}"/>
    <cellStyle name="40% - Accent2 2 3" xfId="61" xr:uid="{00000000-0005-0000-0000-00008B040000}"/>
    <cellStyle name="40% - Accent2 2 3 10" xfId="18972" xr:uid="{B1C8728A-2A94-4494-B431-0DAF4ECC0611}"/>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E8809A82-86A2-4538-8465-6A939D392603}"/>
    <cellStyle name="40% - Accent2 2 3 2 2 2 2 2" xfId="35045" xr:uid="{BFFFEF77-C56A-4CCE-A479-2D01447391E2}"/>
    <cellStyle name="40% - Accent2 2 3 2 2 2 3" xfId="25748" xr:uid="{2C9A6B61-22C0-4E95-BFA0-23D60CD8D4C3}"/>
    <cellStyle name="40% - Accent2 2 3 2 2 3" xfId="12232" xr:uid="{AA39771D-31AC-4E4B-9232-7E60430CCD20}"/>
    <cellStyle name="40% - Accent2 2 3 2 2 3 2" xfId="30828" xr:uid="{2C749912-06D5-43D5-9B28-83CAAE924BBE}"/>
    <cellStyle name="40% - Accent2 2 3 2 2 4" xfId="21531" xr:uid="{CD3BFD8C-B097-486F-85AF-977F147F16A5}"/>
    <cellStyle name="40% - Accent2 2 3 2 3" xfId="4978" xr:uid="{00000000-0005-0000-0000-00008F040000}"/>
    <cellStyle name="40% - Accent2 2 3 2 3 2" xfId="14304" xr:uid="{731FF516-1E4D-4B92-AD82-3EF1C32AEFE8}"/>
    <cellStyle name="40% - Accent2 2 3 2 3 2 2" xfId="32900" xr:uid="{37A76BFB-3569-4AB0-8C2A-1BF048F56448}"/>
    <cellStyle name="40% - Accent2 2 3 2 3 3" xfId="23603" xr:uid="{35C131C4-0F77-4B4A-8761-876F974133B7}"/>
    <cellStyle name="40% - Accent2 2 3 2 4" xfId="9431" xr:uid="{BD4E3561-302E-4359-AAF3-4F2E007BC697}"/>
    <cellStyle name="40% - Accent2 2 3 2 4 2" xfId="18746" xr:uid="{BA0578B5-D73A-4F39-B249-C9B946DE76A1}"/>
    <cellStyle name="40% - Accent2 2 3 2 4 2 2" xfId="37340" xr:uid="{40E2AB48-028B-460B-941B-189DA383E74A}"/>
    <cellStyle name="40% - Accent2 2 3 2 4 3" xfId="28043" xr:uid="{6FAE6BAB-75B3-46D7-BF23-20B6B7BA22A5}"/>
    <cellStyle name="40% - Accent2 2 3 2 5" xfId="10087" xr:uid="{8D621F70-CABA-45DE-8659-474EF19BD43C}"/>
    <cellStyle name="40% - Accent2 2 3 2 5 2" xfId="28683" xr:uid="{CF2AE125-7EAA-444C-BA32-95C29FBE6107}"/>
    <cellStyle name="40% - Accent2 2 3 2 6" xfId="19386" xr:uid="{3FE0BA43-F358-45F9-81FF-EA4CE4A4DE0E}"/>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DBC30211-6649-41E9-ACA6-542664D4848F}"/>
    <cellStyle name="40% - Accent2 2 3 3 2 2 2 2" xfId="35458" xr:uid="{76CF6B23-0847-48DA-983D-843594B1D9FB}"/>
    <cellStyle name="40% - Accent2 2 3 3 2 2 3" xfId="26161" xr:uid="{FFB5AA88-6089-4BCC-8C99-0F9EF47C2D46}"/>
    <cellStyle name="40% - Accent2 2 3 3 2 3" xfId="12645" xr:uid="{CF296C93-57F3-4083-9A96-8A257BC47B69}"/>
    <cellStyle name="40% - Accent2 2 3 3 2 3 2" xfId="31241" xr:uid="{640DBEDF-B33E-4661-B715-41F3D5D52C4E}"/>
    <cellStyle name="40% - Accent2 2 3 3 2 4" xfId="21944" xr:uid="{73E79EA7-DABE-4F1C-86AB-FAF305BE5915}"/>
    <cellStyle name="40% - Accent2 2 3 3 3" xfId="5391" xr:uid="{00000000-0005-0000-0000-000093040000}"/>
    <cellStyle name="40% - Accent2 2 3 3 3 2" xfId="14717" xr:uid="{898BD903-C47E-4D44-9F6D-E2C82306B568}"/>
    <cellStyle name="40% - Accent2 2 3 3 3 2 2" xfId="33313" xr:uid="{3397A7F8-B86B-4A27-8C12-53FBA0C1B76A}"/>
    <cellStyle name="40% - Accent2 2 3 3 3 3" xfId="24016" xr:uid="{6F76FCF4-C660-4C7E-A6DA-FE5EAD791060}"/>
    <cellStyle name="40% - Accent2 2 3 3 4" xfId="10500" xr:uid="{740AF68E-171E-4C02-A8A9-A44C525EDE4C}"/>
    <cellStyle name="40% - Accent2 2 3 3 4 2" xfId="29096" xr:uid="{2F8BC561-7A14-422B-8F49-BB0867CBEF94}"/>
    <cellStyle name="40% - Accent2 2 3 3 5" xfId="19799" xr:uid="{E5FFA548-9536-4136-8862-05A42B3246EC}"/>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3DC9DC57-E71F-4532-88A0-DB202965D8E4}"/>
    <cellStyle name="40% - Accent2 2 3 4 2 2 2 2" xfId="35871" xr:uid="{4B2F9F9E-F3A1-4BC7-8851-C1071EEB393B}"/>
    <cellStyle name="40% - Accent2 2 3 4 2 2 3" xfId="26574" xr:uid="{3E4B0AAB-6228-4795-831A-34856FE906AD}"/>
    <cellStyle name="40% - Accent2 2 3 4 2 3" xfId="13058" xr:uid="{53DEC083-304D-4891-9FAA-B4A61106C4B1}"/>
    <cellStyle name="40% - Accent2 2 3 4 2 3 2" xfId="31654" xr:uid="{5D54A760-8AD8-46DC-9B2E-47AA0A52AC1B}"/>
    <cellStyle name="40% - Accent2 2 3 4 2 4" xfId="22357" xr:uid="{DADAE719-99C4-4FBB-91C6-7B7D2391C2EB}"/>
    <cellStyle name="40% - Accent2 2 3 4 3" xfId="5804" xr:uid="{00000000-0005-0000-0000-000097040000}"/>
    <cellStyle name="40% - Accent2 2 3 4 3 2" xfId="15130" xr:uid="{D9B7BB62-AE2F-47AD-AD05-FE3CC7AB7EAB}"/>
    <cellStyle name="40% - Accent2 2 3 4 3 2 2" xfId="33726" xr:uid="{6659F69A-4EDB-403E-94FD-A8B4C8006EDD}"/>
    <cellStyle name="40% - Accent2 2 3 4 3 3" xfId="24429" xr:uid="{DD66F074-C085-457C-9890-CE221BFF392B}"/>
    <cellStyle name="40% - Accent2 2 3 4 4" xfId="10913" xr:uid="{990F9930-609B-4A21-9B2A-5DAB3A5CCEA1}"/>
    <cellStyle name="40% - Accent2 2 3 4 4 2" xfId="29509" xr:uid="{535D4BA9-B906-4F51-8200-C4E9AE1A766E}"/>
    <cellStyle name="40% - Accent2 2 3 4 5" xfId="20212" xr:uid="{ABC7E8FB-3244-4614-A41A-4C256751E12B}"/>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BAF3186C-2C09-4BE1-8A1B-64C32B17D21F}"/>
    <cellStyle name="40% - Accent2 2 3 5 2 2 2 2" xfId="36284" xr:uid="{09CA7A6C-FA54-4007-A095-7C7EFE75E8F5}"/>
    <cellStyle name="40% - Accent2 2 3 5 2 2 3" xfId="26987" xr:uid="{CADB7AAC-B9F6-456F-AC39-E653FEDDCC14}"/>
    <cellStyle name="40% - Accent2 2 3 5 2 3" xfId="13471" xr:uid="{ECCEA3EF-BD88-4555-AADE-259C83FD62CA}"/>
    <cellStyle name="40% - Accent2 2 3 5 2 3 2" xfId="32067" xr:uid="{9B8B4ED5-81CA-44C6-BD17-4CC96CAF25C1}"/>
    <cellStyle name="40% - Accent2 2 3 5 2 4" xfId="22770" xr:uid="{E2DC5826-AB06-4EF7-92C8-C9377F1650D0}"/>
    <cellStyle name="40% - Accent2 2 3 5 3" xfId="6217" xr:uid="{00000000-0005-0000-0000-00009B040000}"/>
    <cellStyle name="40% - Accent2 2 3 5 3 2" xfId="15543" xr:uid="{73F582CC-8C48-4130-83C9-E9F7DBF3E4CC}"/>
    <cellStyle name="40% - Accent2 2 3 5 3 2 2" xfId="34139" xr:uid="{22966FEE-31AD-4C8C-A2EA-961DF6825426}"/>
    <cellStyle name="40% - Accent2 2 3 5 3 3" xfId="24842" xr:uid="{25C941DB-81E3-4CD2-9910-4E58DA73DA66}"/>
    <cellStyle name="40% - Accent2 2 3 5 4" xfId="11326" xr:uid="{495F4E56-297B-496D-907C-03EAF97D640F}"/>
    <cellStyle name="40% - Accent2 2 3 5 4 2" xfId="29922" xr:uid="{AB052804-62BD-426F-A71E-3472CD67B411}"/>
    <cellStyle name="40% - Accent2 2 3 5 5" xfId="20625" xr:uid="{891DD817-3A69-4087-9381-0879159EB56D}"/>
    <cellStyle name="40% - Accent2 2 3 6" xfId="2324" xr:uid="{00000000-0005-0000-0000-00009C040000}"/>
    <cellStyle name="40% - Accent2 2 3 6 2" xfId="6630" xr:uid="{00000000-0005-0000-0000-00009D040000}"/>
    <cellStyle name="40% - Accent2 2 3 6 2 2" xfId="15956" xr:uid="{739E4983-9E08-41DD-853A-D1BF35012E1F}"/>
    <cellStyle name="40% - Accent2 2 3 6 2 2 2" xfId="34552" xr:uid="{F5AC2BEE-C870-4E38-8040-7911F5E36910}"/>
    <cellStyle name="40% - Accent2 2 3 6 2 3" xfId="25255" xr:uid="{D115F5FE-0FBC-43D8-83B0-55E2A8CE70A5}"/>
    <cellStyle name="40% - Accent2 2 3 6 3" xfId="11739" xr:uid="{FBC2EEFB-1821-41D4-8786-17216CB75CE8}"/>
    <cellStyle name="40% - Accent2 2 3 6 3 2" xfId="30335" xr:uid="{DE6A7F9B-786F-44F8-998B-D00E5047FC29}"/>
    <cellStyle name="40% - Accent2 2 3 6 4" xfId="21038" xr:uid="{216A9A13-FDF2-4EA1-95E9-42B3EB0DC46D}"/>
    <cellStyle name="40% - Accent2 2 3 7" xfId="4564" xr:uid="{00000000-0005-0000-0000-00009E040000}"/>
    <cellStyle name="40% - Accent2 2 3 7 2" xfId="13890" xr:uid="{747B553F-0CDF-42F0-A922-BA687473D62E}"/>
    <cellStyle name="40% - Accent2 2 3 7 2 2" xfId="32486" xr:uid="{77AA0F8B-6F00-4A7A-881E-2FED3709747F}"/>
    <cellStyle name="40% - Accent2 2 3 7 3" xfId="23189" xr:uid="{1A092450-C255-4B05-ADEF-0FFDF3D3C20D}"/>
    <cellStyle name="40% - Accent2 2 3 8" xfId="9006" xr:uid="{E6E89EA5-B76F-4FCC-89B9-DD4135B6364B}"/>
    <cellStyle name="40% - Accent2 2 3 8 2" xfId="18330" xr:uid="{A87BD29B-17CB-4799-959B-16B33FB667A9}"/>
    <cellStyle name="40% - Accent2 2 3 8 2 2" xfId="36925" xr:uid="{913B9A60-4420-4432-B01E-0E20858542CB}"/>
    <cellStyle name="40% - Accent2 2 3 8 3" xfId="27628" xr:uid="{F7C2E1A5-BA92-489E-8225-53F9DEC8745F}"/>
    <cellStyle name="40% - Accent2 2 3 9" xfId="9673" xr:uid="{3338D430-B94C-4F84-ABDE-9EDD337CE0A1}"/>
    <cellStyle name="40% - Accent2 2 3 9 2" xfId="28269" xr:uid="{1D5C5837-5BD9-4615-B3D4-FAD1F39388E2}"/>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A0F35102-A167-4F93-82F8-52522DC9D5F3}"/>
    <cellStyle name="40% - Accent2 2 4 2 2 2 2" xfId="35042" xr:uid="{C78C93B3-4A36-4DD7-BD7E-EF2DF68A71C9}"/>
    <cellStyle name="40% - Accent2 2 4 2 2 3" xfId="25745" xr:uid="{51304759-B551-4817-B9BE-46C80B6A34E9}"/>
    <cellStyle name="40% - Accent2 2 4 2 3" xfId="12229" xr:uid="{560862D3-87AA-477D-809A-05557C961B72}"/>
    <cellStyle name="40% - Accent2 2 4 2 3 2" xfId="30825" xr:uid="{1D5DC13E-CE04-4DAC-908E-FC4C8D9D591B}"/>
    <cellStyle name="40% - Accent2 2 4 2 4" xfId="21528" xr:uid="{89989958-007A-4830-A13E-24884A58DA7E}"/>
    <cellStyle name="40% - Accent2 2 4 3" xfId="4975" xr:uid="{00000000-0005-0000-0000-0000A2040000}"/>
    <cellStyle name="40% - Accent2 2 4 3 2" xfId="14301" xr:uid="{ADB6F6B1-2027-4FD8-92CF-9F460F011204}"/>
    <cellStyle name="40% - Accent2 2 4 3 2 2" xfId="32897" xr:uid="{DC666310-C65D-42B3-8574-F238110868C2}"/>
    <cellStyle name="40% - Accent2 2 4 3 3" xfId="23600" xr:uid="{F9AE6F81-6ED0-402E-8808-5CFEF2CC3DE1}"/>
    <cellStyle name="40% - Accent2 2 4 4" xfId="9223" xr:uid="{FA9890B4-781A-4E4C-81EE-BC7448559828}"/>
    <cellStyle name="40% - Accent2 2 4 4 2" xfId="18539" xr:uid="{575761C9-0A41-46EA-AD70-F81FE52D9927}"/>
    <cellStyle name="40% - Accent2 2 4 4 2 2" xfId="37133" xr:uid="{BC8C3611-CEDB-43DA-AB81-4B1F1A398260}"/>
    <cellStyle name="40% - Accent2 2 4 4 3" xfId="27836" xr:uid="{BEC3607B-9983-4753-BFCA-83BC0231B0D0}"/>
    <cellStyle name="40% - Accent2 2 4 5" xfId="10084" xr:uid="{C755DE0A-3C8F-433E-B551-E0040090B27B}"/>
    <cellStyle name="40% - Accent2 2 4 5 2" xfId="28680" xr:uid="{675AC6C3-9750-41DB-A684-1BA0AFC31AC1}"/>
    <cellStyle name="40% - Accent2 2 4 6" xfId="19383" xr:uid="{831FA84B-74A6-4F03-8685-32EA69858FBE}"/>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807247C1-F096-4E5E-A095-FCAFEBA1E373}"/>
    <cellStyle name="40% - Accent2 2 5 2 2 2 2" xfId="35455" xr:uid="{672CD5D5-FE34-4DB4-BCB3-17D4E5E9B1C2}"/>
    <cellStyle name="40% - Accent2 2 5 2 2 3" xfId="26158" xr:uid="{3CC8121D-7216-4D97-98F0-80C6BCB3B663}"/>
    <cellStyle name="40% - Accent2 2 5 2 3" xfId="12642" xr:uid="{A3A4FD1D-303E-4443-9F42-0FFAF24AEABB}"/>
    <cellStyle name="40% - Accent2 2 5 2 3 2" xfId="31238" xr:uid="{688CABC8-6CC2-40B8-8BAE-3798AD871E1C}"/>
    <cellStyle name="40% - Accent2 2 5 2 4" xfId="21941" xr:uid="{16B5B71C-0906-42A7-9117-4FF60C01A822}"/>
    <cellStyle name="40% - Accent2 2 5 3" xfId="5388" xr:uid="{00000000-0005-0000-0000-0000A6040000}"/>
    <cellStyle name="40% - Accent2 2 5 3 2" xfId="14714" xr:uid="{A726144F-B8E9-45A0-B240-1DC512CA0ECC}"/>
    <cellStyle name="40% - Accent2 2 5 3 2 2" xfId="33310" xr:uid="{CA36750B-9C3C-4FE1-B05B-8B26BB830822}"/>
    <cellStyle name="40% - Accent2 2 5 3 3" xfId="24013" xr:uid="{6511BB76-79C2-4B56-8DBF-83B017AF2A2C}"/>
    <cellStyle name="40% - Accent2 2 5 4" xfId="10497" xr:uid="{46DAE5D5-6E07-43EB-975D-8DE47E8270D2}"/>
    <cellStyle name="40% - Accent2 2 5 4 2" xfId="29093" xr:uid="{BD1FC512-9001-4546-A573-C017D40630EA}"/>
    <cellStyle name="40% - Accent2 2 5 5" xfId="19796" xr:uid="{4181A978-F609-4788-97C7-C65EE49FCF68}"/>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057093B9-EFAD-48B2-9C2E-A9C44999E7EB}"/>
    <cellStyle name="40% - Accent2 2 6 2 2 2 2" xfId="35868" xr:uid="{932E05AF-110F-42F6-9903-BD1564335C5B}"/>
    <cellStyle name="40% - Accent2 2 6 2 2 3" xfId="26571" xr:uid="{9D489449-CD5A-4F44-88AF-229BDBD4B679}"/>
    <cellStyle name="40% - Accent2 2 6 2 3" xfId="13055" xr:uid="{B69CA2CB-B6A1-4610-B4C8-708D91B72AB8}"/>
    <cellStyle name="40% - Accent2 2 6 2 3 2" xfId="31651" xr:uid="{F0E1005E-5836-4E45-AEEF-233E75F56B32}"/>
    <cellStyle name="40% - Accent2 2 6 2 4" xfId="22354" xr:uid="{1FA03764-9F49-49E8-9C4A-37822DE66F37}"/>
    <cellStyle name="40% - Accent2 2 6 3" xfId="5801" xr:uid="{00000000-0005-0000-0000-0000AA040000}"/>
    <cellStyle name="40% - Accent2 2 6 3 2" xfId="15127" xr:uid="{9C6E0ECD-158E-4C23-88D5-DD553C7227CB}"/>
    <cellStyle name="40% - Accent2 2 6 3 2 2" xfId="33723" xr:uid="{6B36C495-B13C-456A-84AA-41539EC6ED1C}"/>
    <cellStyle name="40% - Accent2 2 6 3 3" xfId="24426" xr:uid="{73CBFD52-3DD5-4C23-8E5C-831721E3E2AA}"/>
    <cellStyle name="40% - Accent2 2 6 4" xfId="10910" xr:uid="{F634415E-F2D2-408D-90D9-CBA2C91915EC}"/>
    <cellStyle name="40% - Accent2 2 6 4 2" xfId="29506" xr:uid="{0E9702D0-506B-4552-B092-5C54DC2AF169}"/>
    <cellStyle name="40% - Accent2 2 6 5" xfId="20209" xr:uid="{3977AE66-7CEE-40E7-BDF9-BE503409D277}"/>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C87B2537-1E81-4BD4-BF7C-288183033184}"/>
    <cellStyle name="40% - Accent2 2 7 2 2 2 2" xfId="36281" xr:uid="{9611409E-AFA4-4D63-8CCD-51D85B53B36F}"/>
    <cellStyle name="40% - Accent2 2 7 2 2 3" xfId="26984" xr:uid="{254E4F81-D9C6-4AB0-B1A6-A90EFEAE5AD4}"/>
    <cellStyle name="40% - Accent2 2 7 2 3" xfId="13468" xr:uid="{DEF4D347-F3D5-41CD-A6C5-E3E94006B9B3}"/>
    <cellStyle name="40% - Accent2 2 7 2 3 2" xfId="32064" xr:uid="{315596AE-A2E5-4E95-87A8-028581D9F808}"/>
    <cellStyle name="40% - Accent2 2 7 2 4" xfId="22767" xr:uid="{79045C23-8577-4680-A270-FD01BD3C4C43}"/>
    <cellStyle name="40% - Accent2 2 7 3" xfId="6214" xr:uid="{00000000-0005-0000-0000-0000AE040000}"/>
    <cellStyle name="40% - Accent2 2 7 3 2" xfId="15540" xr:uid="{FE79BD7B-9D1A-48A6-AE72-1D852EB8EF43}"/>
    <cellStyle name="40% - Accent2 2 7 3 2 2" xfId="34136" xr:uid="{3880DE47-707D-481B-AE03-2BA8F56C10EC}"/>
    <cellStyle name="40% - Accent2 2 7 3 3" xfId="24839" xr:uid="{3070570A-468A-4682-B8B1-08E7308FEF41}"/>
    <cellStyle name="40% - Accent2 2 7 4" xfId="11323" xr:uid="{CFDBCC32-B4AD-4BF2-B9D0-B0100C2C1EC4}"/>
    <cellStyle name="40% - Accent2 2 7 4 2" xfId="29919" xr:uid="{5215900E-CB66-43DF-A6CF-30C61D811374}"/>
    <cellStyle name="40% - Accent2 2 7 5" xfId="20622" xr:uid="{FB77C233-F489-48A7-A072-46B3C5231F07}"/>
    <cellStyle name="40% - Accent2 2 8" xfId="2321" xr:uid="{00000000-0005-0000-0000-0000AF040000}"/>
    <cellStyle name="40% - Accent2 2 8 2" xfId="6627" xr:uid="{00000000-0005-0000-0000-0000B0040000}"/>
    <cellStyle name="40% - Accent2 2 8 2 2" xfId="15953" xr:uid="{6A53D08B-4588-4BF7-9D5A-FD47224BEBB5}"/>
    <cellStyle name="40% - Accent2 2 8 2 2 2" xfId="34549" xr:uid="{AA265CB7-6FE7-49F9-A0E5-7B8D4CF44DB6}"/>
    <cellStyle name="40% - Accent2 2 8 2 3" xfId="25252" xr:uid="{5350D5A6-9774-47A4-B98F-E0BD94E56EA9}"/>
    <cellStyle name="40% - Accent2 2 8 3" xfId="11736" xr:uid="{6BDAA0F2-0407-4EAF-9751-87D48A82B045}"/>
    <cellStyle name="40% - Accent2 2 8 3 2" xfId="30332" xr:uid="{BDF50105-FDD3-4697-8ADE-C59D138CAF10}"/>
    <cellStyle name="40% - Accent2 2 8 4" xfId="21035" xr:uid="{70CA57C0-9C82-4019-B6CA-8FCE8224A032}"/>
    <cellStyle name="40% - Accent2 2 9" xfId="4561" xr:uid="{00000000-0005-0000-0000-0000B1040000}"/>
    <cellStyle name="40% - Accent2 2 9 2" xfId="13887" xr:uid="{535367FA-F9A2-47B5-942B-B1640C7837DD}"/>
    <cellStyle name="40% - Accent2 2 9 2 2" xfId="32483" xr:uid="{EEF91784-8E79-4B50-9D7C-3D79619A792B}"/>
    <cellStyle name="40% - Accent2 2 9 3" xfId="23186" xr:uid="{8790A257-E053-4A0D-B57B-BD4267D2F7F2}"/>
    <cellStyle name="40% - Accent2 3" xfId="62" xr:uid="{00000000-0005-0000-0000-0000B2040000}"/>
    <cellStyle name="40% - Accent2 3 10" xfId="9674" xr:uid="{E4E98A62-ACEB-4F20-B2D1-C74B6E69CEBD}"/>
    <cellStyle name="40% - Accent2 3 10 2" xfId="28270" xr:uid="{9D1FFAEE-2796-4FEE-8D26-ED42B16759D2}"/>
    <cellStyle name="40% - Accent2 3 11" xfId="18973" xr:uid="{2C1892E2-4A00-4E31-9799-0539A72D1C35}"/>
    <cellStyle name="40% - Accent2 3 2" xfId="63" xr:uid="{00000000-0005-0000-0000-0000B3040000}"/>
    <cellStyle name="40% - Accent2 3 2 10" xfId="18974" xr:uid="{01C17E4A-D85B-451B-BC36-3CBE490E1DCD}"/>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98A77370-629F-4B1B-9191-81DD81667808}"/>
    <cellStyle name="40% - Accent2 3 2 2 2 2 2 2" xfId="35047" xr:uid="{18572FC8-3277-4D3E-BA1E-9161F2CFEA22}"/>
    <cellStyle name="40% - Accent2 3 2 2 2 2 3" xfId="25750" xr:uid="{E911221A-E654-4C4C-BD3C-7035EB495743}"/>
    <cellStyle name="40% - Accent2 3 2 2 2 3" xfId="12234" xr:uid="{63E9D7DA-9635-4049-8C79-3E007F1CFB6F}"/>
    <cellStyle name="40% - Accent2 3 2 2 2 3 2" xfId="30830" xr:uid="{EF31003E-AE53-4AC7-8DE4-98706EC5EF9E}"/>
    <cellStyle name="40% - Accent2 3 2 2 2 4" xfId="21533" xr:uid="{49C1A329-DD3B-4C89-8606-140D1942665E}"/>
    <cellStyle name="40% - Accent2 3 2 2 3" xfId="4980" xr:uid="{00000000-0005-0000-0000-0000B7040000}"/>
    <cellStyle name="40% - Accent2 3 2 2 3 2" xfId="14306" xr:uid="{B709CD21-75B4-4211-A48E-66F1BE381AB0}"/>
    <cellStyle name="40% - Accent2 3 2 2 3 2 2" xfId="32902" xr:uid="{9BFF9FF6-6A24-4C79-9084-7EFE921175C6}"/>
    <cellStyle name="40% - Accent2 3 2 2 3 3" xfId="23605" xr:uid="{85D4FE94-D7C5-4314-827E-CE9F42705113}"/>
    <cellStyle name="40% - Accent2 3 2 2 4" xfId="9496" xr:uid="{700FA1AF-D943-4FDB-BFB1-F903AD1F731A}"/>
    <cellStyle name="40% - Accent2 3 2 2 4 2" xfId="18811" xr:uid="{041C0D97-8201-4E5F-9887-2D13A94E6108}"/>
    <cellStyle name="40% - Accent2 3 2 2 4 2 2" xfId="37405" xr:uid="{B885020B-B4FB-4719-8785-033E67858062}"/>
    <cellStyle name="40% - Accent2 3 2 2 4 3" xfId="28108" xr:uid="{B26F1D70-A40B-46CE-81D7-F26FA9F02503}"/>
    <cellStyle name="40% - Accent2 3 2 2 5" xfId="10089" xr:uid="{66B35FAE-51F8-4FDD-8DE5-D87A3F1F1013}"/>
    <cellStyle name="40% - Accent2 3 2 2 5 2" xfId="28685" xr:uid="{B5BBB5B7-39D3-4FD9-927A-8189B0F49194}"/>
    <cellStyle name="40% - Accent2 3 2 2 6" xfId="19388" xr:uid="{6957F5C2-5FE7-401B-B34B-94A1478AA2C2}"/>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859D0B9A-1193-4275-B6B2-1A546ED442D2}"/>
    <cellStyle name="40% - Accent2 3 2 3 2 2 2 2" xfId="35460" xr:uid="{C1FCDB14-E6E4-4C41-80C5-DADB837D2304}"/>
    <cellStyle name="40% - Accent2 3 2 3 2 2 3" xfId="26163" xr:uid="{EB3E7670-4412-4E9E-B836-76A51BC59EDF}"/>
    <cellStyle name="40% - Accent2 3 2 3 2 3" xfId="12647" xr:uid="{A19D0F15-B1F5-4E3B-A43F-E2E70D537DB4}"/>
    <cellStyle name="40% - Accent2 3 2 3 2 3 2" xfId="31243" xr:uid="{8A4D4B6D-1E98-4165-8F64-26D49462DB13}"/>
    <cellStyle name="40% - Accent2 3 2 3 2 4" xfId="21946" xr:uid="{448F3032-669D-48CD-8ED7-069E5CAC2B90}"/>
    <cellStyle name="40% - Accent2 3 2 3 3" xfId="5393" xr:uid="{00000000-0005-0000-0000-0000BB040000}"/>
    <cellStyle name="40% - Accent2 3 2 3 3 2" xfId="14719" xr:uid="{A7EF7E0E-3F2B-4294-AF98-223ECD020943}"/>
    <cellStyle name="40% - Accent2 3 2 3 3 2 2" xfId="33315" xr:uid="{9D511F1D-4D28-419C-8F2A-980D78B362E2}"/>
    <cellStyle name="40% - Accent2 3 2 3 3 3" xfId="24018" xr:uid="{85873551-CFDD-438D-A541-73C34B533F99}"/>
    <cellStyle name="40% - Accent2 3 2 3 4" xfId="10502" xr:uid="{69B5AD92-B27F-4318-91D7-ED58183E9A76}"/>
    <cellStyle name="40% - Accent2 3 2 3 4 2" xfId="29098" xr:uid="{B8CE6EC7-35F1-49F0-AAD7-53385FEAF0B4}"/>
    <cellStyle name="40% - Accent2 3 2 3 5" xfId="19801" xr:uid="{3DA1B8E0-96DA-47B7-B9C3-C825C3E75C5B}"/>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5E5DE734-1B49-4389-B174-CDBC109B71D2}"/>
    <cellStyle name="40% - Accent2 3 2 4 2 2 2 2" xfId="35873" xr:uid="{0060EEA1-07C1-401B-B9D6-32A908666E9B}"/>
    <cellStyle name="40% - Accent2 3 2 4 2 2 3" xfId="26576" xr:uid="{07078FDF-6B2B-4F0F-8B34-0AD5A144E51C}"/>
    <cellStyle name="40% - Accent2 3 2 4 2 3" xfId="13060" xr:uid="{920AFA4B-DBBC-4C78-8A28-B737FE54B794}"/>
    <cellStyle name="40% - Accent2 3 2 4 2 3 2" xfId="31656" xr:uid="{642906D7-0D28-4E45-9C4D-1447FDA5CE95}"/>
    <cellStyle name="40% - Accent2 3 2 4 2 4" xfId="22359" xr:uid="{15EAA217-375B-4E2C-9342-27A13AF50E19}"/>
    <cellStyle name="40% - Accent2 3 2 4 3" xfId="5806" xr:uid="{00000000-0005-0000-0000-0000BF040000}"/>
    <cellStyle name="40% - Accent2 3 2 4 3 2" xfId="15132" xr:uid="{27D5AE23-C8A7-42C0-955C-FCFAC2E9EC63}"/>
    <cellStyle name="40% - Accent2 3 2 4 3 2 2" xfId="33728" xr:uid="{00206768-389A-4936-B8CC-DD072107D70E}"/>
    <cellStyle name="40% - Accent2 3 2 4 3 3" xfId="24431" xr:uid="{801950EA-2819-44FA-88ED-3D9C7416FCD4}"/>
    <cellStyle name="40% - Accent2 3 2 4 4" xfId="10915" xr:uid="{E77EB630-C407-486C-AEFA-96584877495D}"/>
    <cellStyle name="40% - Accent2 3 2 4 4 2" xfId="29511" xr:uid="{4F761DD4-A779-42CD-AEE4-F873D5BBDFC7}"/>
    <cellStyle name="40% - Accent2 3 2 4 5" xfId="20214" xr:uid="{BF8071E4-1C86-4A86-9E97-CD1DF939ED60}"/>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1AC2E87B-95CB-4A38-98CA-657EB8FC12A3}"/>
    <cellStyle name="40% - Accent2 3 2 5 2 2 2 2" xfId="36286" xr:uid="{ACF759B5-6B14-4A84-8963-03241F4F6435}"/>
    <cellStyle name="40% - Accent2 3 2 5 2 2 3" xfId="26989" xr:uid="{4255D4BF-0922-41C0-8EB6-9796338AA581}"/>
    <cellStyle name="40% - Accent2 3 2 5 2 3" xfId="13473" xr:uid="{6D32091F-3AF5-46FE-A97B-93F231A8765D}"/>
    <cellStyle name="40% - Accent2 3 2 5 2 3 2" xfId="32069" xr:uid="{CF4631B9-2EC4-43E3-A502-9324B2651ED8}"/>
    <cellStyle name="40% - Accent2 3 2 5 2 4" xfId="22772" xr:uid="{9835F21E-5AB8-4883-A4F3-1659654F0BAA}"/>
    <cellStyle name="40% - Accent2 3 2 5 3" xfId="6219" xr:uid="{00000000-0005-0000-0000-0000C3040000}"/>
    <cellStyle name="40% - Accent2 3 2 5 3 2" xfId="15545" xr:uid="{6DEDBD47-E829-41C3-93B3-968B3A4C11B4}"/>
    <cellStyle name="40% - Accent2 3 2 5 3 2 2" xfId="34141" xr:uid="{788BB391-98F4-4486-BC7A-E425BF3ABE4D}"/>
    <cellStyle name="40% - Accent2 3 2 5 3 3" xfId="24844" xr:uid="{0626CB1B-88B3-40E4-8B89-D67F8B4C88D9}"/>
    <cellStyle name="40% - Accent2 3 2 5 4" xfId="11328" xr:uid="{B99DAB7F-5BC6-400A-88E6-3093CC51B791}"/>
    <cellStyle name="40% - Accent2 3 2 5 4 2" xfId="29924" xr:uid="{E8937E19-3872-4788-9FC3-74F4CD89752C}"/>
    <cellStyle name="40% - Accent2 3 2 5 5" xfId="20627" xr:uid="{A6A18906-7170-4B60-849C-EBB2E73C7BF1}"/>
    <cellStyle name="40% - Accent2 3 2 6" xfId="2326" xr:uid="{00000000-0005-0000-0000-0000C4040000}"/>
    <cellStyle name="40% - Accent2 3 2 6 2" xfId="6632" xr:uid="{00000000-0005-0000-0000-0000C5040000}"/>
    <cellStyle name="40% - Accent2 3 2 6 2 2" xfId="15958" xr:uid="{668DD52E-64C0-4B35-A1A2-4FCDE6956C5C}"/>
    <cellStyle name="40% - Accent2 3 2 6 2 2 2" xfId="34554" xr:uid="{375B6ED0-56F3-49D1-98BA-59D38C1BD401}"/>
    <cellStyle name="40% - Accent2 3 2 6 2 3" xfId="25257" xr:uid="{062AF21A-24DC-4866-814B-E0A4C38AAB69}"/>
    <cellStyle name="40% - Accent2 3 2 6 3" xfId="11741" xr:uid="{095D14E9-4567-4785-9759-E573FB4E3314}"/>
    <cellStyle name="40% - Accent2 3 2 6 3 2" xfId="30337" xr:uid="{0326189A-E491-4599-805B-A1FB90430E08}"/>
    <cellStyle name="40% - Accent2 3 2 6 4" xfId="21040" xr:uid="{9023CD4D-FF1B-4B38-A358-31B75D31E9F2}"/>
    <cellStyle name="40% - Accent2 3 2 7" xfId="4566" xr:uid="{00000000-0005-0000-0000-0000C6040000}"/>
    <cellStyle name="40% - Accent2 3 2 7 2" xfId="13892" xr:uid="{E45FAF76-FE1D-4F3B-85D3-28B0E34C1E7D}"/>
    <cellStyle name="40% - Accent2 3 2 7 2 2" xfId="32488" xr:uid="{CBE3053E-91D8-401E-9ABA-7245F550898A}"/>
    <cellStyle name="40% - Accent2 3 2 7 3" xfId="23191" xr:uid="{D5D2DFE0-8A65-4791-BAF3-76C8FC4F4410}"/>
    <cellStyle name="40% - Accent2 3 2 8" xfId="9071" xr:uid="{B5463F05-11FC-4377-B380-DDB549C63AA9}"/>
    <cellStyle name="40% - Accent2 3 2 8 2" xfId="18395" xr:uid="{7A0D4AEA-E4A8-411F-8F6B-67705558A846}"/>
    <cellStyle name="40% - Accent2 3 2 8 2 2" xfId="36990" xr:uid="{698DC144-DD98-4A0A-BB87-D88CF28E26D2}"/>
    <cellStyle name="40% - Accent2 3 2 8 3" xfId="27693" xr:uid="{9A0E52DC-9247-4C94-B510-37A0384B3DCF}"/>
    <cellStyle name="40% - Accent2 3 2 9" xfId="9675" xr:uid="{82EE419E-95C9-44B8-91FC-78648DC2470C}"/>
    <cellStyle name="40% - Accent2 3 2 9 2" xfId="28271" xr:uid="{09A64772-F989-456D-8A22-A652CD6CE6E1}"/>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F7F8DD21-82EB-4C3D-B944-009D6C414355}"/>
    <cellStyle name="40% - Accent2 3 3 2 2 2 2" xfId="35046" xr:uid="{05DA1F52-35AD-4A32-81E0-D6BFB33540E6}"/>
    <cellStyle name="40% - Accent2 3 3 2 2 3" xfId="25749" xr:uid="{6C398E29-5119-4D23-80FE-3AAC2F2764C1}"/>
    <cellStyle name="40% - Accent2 3 3 2 3" xfId="12233" xr:uid="{CBAFD733-7C58-45BB-8F15-CA7455730669}"/>
    <cellStyle name="40% - Accent2 3 3 2 3 2" xfId="30829" xr:uid="{13369B90-9FC7-4C38-A324-AC0BFD3D76CE}"/>
    <cellStyle name="40% - Accent2 3 3 2 4" xfId="21532" xr:uid="{531F115F-2D5C-4C38-A742-4B89E21DFE7B}"/>
    <cellStyle name="40% - Accent2 3 3 3" xfId="4979" xr:uid="{00000000-0005-0000-0000-0000CA040000}"/>
    <cellStyle name="40% - Accent2 3 3 3 2" xfId="14305" xr:uid="{9DCFBD36-E9D5-43E1-9C4D-6B2065755168}"/>
    <cellStyle name="40% - Accent2 3 3 3 2 2" xfId="32901" xr:uid="{06B691D8-33C6-4316-A7E8-3C62E1EA08BD}"/>
    <cellStyle name="40% - Accent2 3 3 3 3" xfId="23604" xr:uid="{D2F75D04-0F72-4F5D-9928-231B2233C7A3}"/>
    <cellStyle name="40% - Accent2 3 3 4" xfId="9289" xr:uid="{B234EB9F-4AFE-41A2-A17D-ABC1D0F80875}"/>
    <cellStyle name="40% - Accent2 3 3 4 2" xfId="18604" xr:uid="{0CBB6308-7775-40EC-BBC1-8F1F0FDADFCB}"/>
    <cellStyle name="40% - Accent2 3 3 4 2 2" xfId="37198" xr:uid="{268536C2-2B3A-4A88-BE64-7138CA2D455F}"/>
    <cellStyle name="40% - Accent2 3 3 4 3" xfId="27901" xr:uid="{6B3B9AB3-DF5B-405A-B557-36731178DC9C}"/>
    <cellStyle name="40% - Accent2 3 3 5" xfId="10088" xr:uid="{31C3AFEE-207F-4030-B519-221A82838D62}"/>
    <cellStyle name="40% - Accent2 3 3 5 2" xfId="28684" xr:uid="{DA59B46E-D974-43B0-8A46-D086374DC841}"/>
    <cellStyle name="40% - Accent2 3 3 6" xfId="19387" xr:uid="{CE7B71A2-67B5-4A9E-9486-DADDE511CACF}"/>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759C3964-E66C-411C-9BBE-F27D2947C7DE}"/>
    <cellStyle name="40% - Accent2 3 4 2 2 2 2" xfId="35459" xr:uid="{A0D8C24B-1192-4524-9B66-943676ED95EF}"/>
    <cellStyle name="40% - Accent2 3 4 2 2 3" xfId="26162" xr:uid="{82F3D4DD-53B2-4538-95A4-FA1CFC18610F}"/>
    <cellStyle name="40% - Accent2 3 4 2 3" xfId="12646" xr:uid="{6FD737A1-01B8-4488-BD55-8051A446B06C}"/>
    <cellStyle name="40% - Accent2 3 4 2 3 2" xfId="31242" xr:uid="{ABFC2A99-800B-46E0-880A-A85C3DC4DBF8}"/>
    <cellStyle name="40% - Accent2 3 4 2 4" xfId="21945" xr:uid="{3315BA29-7274-4B79-B874-9510922F88A5}"/>
    <cellStyle name="40% - Accent2 3 4 3" xfId="5392" xr:uid="{00000000-0005-0000-0000-0000CE040000}"/>
    <cellStyle name="40% - Accent2 3 4 3 2" xfId="14718" xr:uid="{F0CD5955-FA95-477A-8BCB-942F46C615D8}"/>
    <cellStyle name="40% - Accent2 3 4 3 2 2" xfId="33314" xr:uid="{C4B4C81C-C0B1-487E-9EB8-5F717C5E7132}"/>
    <cellStyle name="40% - Accent2 3 4 3 3" xfId="24017" xr:uid="{BB935C98-7CCA-46CA-AF6B-FA4F3E3AB8D6}"/>
    <cellStyle name="40% - Accent2 3 4 4" xfId="10501" xr:uid="{4A70C8E6-0FF2-4593-86A3-A2348881E6B2}"/>
    <cellStyle name="40% - Accent2 3 4 4 2" xfId="29097" xr:uid="{DB9BD425-A61E-4507-BE6B-8AA16F275D2D}"/>
    <cellStyle name="40% - Accent2 3 4 5" xfId="19800" xr:uid="{B653E26F-6ED2-4458-A72D-594A84D83BE5}"/>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E6528DD9-A960-4890-9DE2-C5EF3C0E2CB9}"/>
    <cellStyle name="40% - Accent2 3 5 2 2 2 2" xfId="35872" xr:uid="{04946D87-6C70-4D96-B855-ADE2C2EB2E92}"/>
    <cellStyle name="40% - Accent2 3 5 2 2 3" xfId="26575" xr:uid="{CC5D3C4A-86CF-4D1A-865E-B84C971D3906}"/>
    <cellStyle name="40% - Accent2 3 5 2 3" xfId="13059" xr:uid="{65925C10-5DE9-48A7-BE21-01384308F3F0}"/>
    <cellStyle name="40% - Accent2 3 5 2 3 2" xfId="31655" xr:uid="{4AC41746-F7B3-4CC8-A089-16A2BE3E4F39}"/>
    <cellStyle name="40% - Accent2 3 5 2 4" xfId="22358" xr:uid="{80D6088D-4318-41F5-892F-652A8E5C4BA5}"/>
    <cellStyle name="40% - Accent2 3 5 3" xfId="5805" xr:uid="{00000000-0005-0000-0000-0000D2040000}"/>
    <cellStyle name="40% - Accent2 3 5 3 2" xfId="15131" xr:uid="{44A4977A-2395-4F2F-976B-F30E924AC633}"/>
    <cellStyle name="40% - Accent2 3 5 3 2 2" xfId="33727" xr:uid="{584D1285-2368-4171-A6DA-3B935E933DC7}"/>
    <cellStyle name="40% - Accent2 3 5 3 3" xfId="24430" xr:uid="{60C9D593-9888-4C27-B490-522644F61283}"/>
    <cellStyle name="40% - Accent2 3 5 4" xfId="10914" xr:uid="{6433F952-F7B7-439C-96B1-5641D1C5C5E6}"/>
    <cellStyle name="40% - Accent2 3 5 4 2" xfId="29510" xr:uid="{69949FDF-17FA-4E07-96F6-6CA1945DE8BD}"/>
    <cellStyle name="40% - Accent2 3 5 5" xfId="20213" xr:uid="{54290391-0733-430B-B7F1-D394A9F86ADF}"/>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18ADF0E8-70CA-4CBB-9278-3661AD42732E}"/>
    <cellStyle name="40% - Accent2 3 6 2 2 2 2" xfId="36285" xr:uid="{3FD3BA58-C3F8-4C6C-AE4D-FB8662E0BF8B}"/>
    <cellStyle name="40% - Accent2 3 6 2 2 3" xfId="26988" xr:uid="{B962C2DB-5651-4DCD-8D0D-288890711764}"/>
    <cellStyle name="40% - Accent2 3 6 2 3" xfId="13472" xr:uid="{A40AB277-CE03-4F4B-994F-1A4A6E732434}"/>
    <cellStyle name="40% - Accent2 3 6 2 3 2" xfId="32068" xr:uid="{04E9B661-52C2-46BC-8D78-54ED48088E3A}"/>
    <cellStyle name="40% - Accent2 3 6 2 4" xfId="22771" xr:uid="{0B495BCD-1A4B-4910-8A60-50FFD4FA428F}"/>
    <cellStyle name="40% - Accent2 3 6 3" xfId="6218" xr:uid="{00000000-0005-0000-0000-0000D6040000}"/>
    <cellStyle name="40% - Accent2 3 6 3 2" xfId="15544" xr:uid="{ED9ED7C1-CB10-4310-AC05-AC863946E6CD}"/>
    <cellStyle name="40% - Accent2 3 6 3 2 2" xfId="34140" xr:uid="{8941140B-50A5-45DE-AAA2-4A7E06911467}"/>
    <cellStyle name="40% - Accent2 3 6 3 3" xfId="24843" xr:uid="{36CD510C-ECA0-4776-B166-0F1E95B89C14}"/>
    <cellStyle name="40% - Accent2 3 6 4" xfId="11327" xr:uid="{4E27BED1-6094-47EC-9EA3-B91E12BF1892}"/>
    <cellStyle name="40% - Accent2 3 6 4 2" xfId="29923" xr:uid="{683E63CC-564B-4913-BB83-970E735B34A1}"/>
    <cellStyle name="40% - Accent2 3 6 5" xfId="20626" xr:uid="{D849F1CB-A926-4E98-90C4-79B0702C2F3B}"/>
    <cellStyle name="40% - Accent2 3 7" xfId="2325" xr:uid="{00000000-0005-0000-0000-0000D7040000}"/>
    <cellStyle name="40% - Accent2 3 7 2" xfId="6631" xr:uid="{00000000-0005-0000-0000-0000D8040000}"/>
    <cellStyle name="40% - Accent2 3 7 2 2" xfId="15957" xr:uid="{467791E9-9335-4610-BA8C-15AFCA72DAC1}"/>
    <cellStyle name="40% - Accent2 3 7 2 2 2" xfId="34553" xr:uid="{713FE865-048D-4518-A63C-61F4BB360BB1}"/>
    <cellStyle name="40% - Accent2 3 7 2 3" xfId="25256" xr:uid="{AF89B018-D54E-45FA-9C20-6D410B5C1225}"/>
    <cellStyle name="40% - Accent2 3 7 3" xfId="11740" xr:uid="{38D83354-B7F6-4EC5-A3F3-E583140710A0}"/>
    <cellStyle name="40% - Accent2 3 7 3 2" xfId="30336" xr:uid="{0A92FE59-F436-46AF-B950-6EAE2CF7E1D3}"/>
    <cellStyle name="40% - Accent2 3 7 4" xfId="21039" xr:uid="{CED1BC1A-38DA-4BBB-B0A5-8963DFF05A66}"/>
    <cellStyle name="40% - Accent2 3 8" xfId="4565" xr:uid="{00000000-0005-0000-0000-0000D9040000}"/>
    <cellStyle name="40% - Accent2 3 8 2" xfId="13891" xr:uid="{815A19A6-6893-4694-B2F4-A821D757B719}"/>
    <cellStyle name="40% - Accent2 3 8 2 2" xfId="32487" xr:uid="{72A4ACE0-4720-4FC8-A077-92101B6FEE57}"/>
    <cellStyle name="40% - Accent2 3 8 3" xfId="23190" xr:uid="{C73E3188-F3A7-4150-8603-BD35F037304C}"/>
    <cellStyle name="40% - Accent2 3 9" xfId="8864" xr:uid="{311EF031-8CA9-4ACC-8705-6D408E1B50DB}"/>
    <cellStyle name="40% - Accent2 3 9 2" xfId="18188" xr:uid="{52841337-00BB-4BED-B8B0-042690D7114E}"/>
    <cellStyle name="40% - Accent2 3 9 2 2" xfId="36783" xr:uid="{0D6A4060-7FB4-451D-89AC-4ECBD7D0D0DA}"/>
    <cellStyle name="40% - Accent2 3 9 3" xfId="27486" xr:uid="{6782485B-6EF6-4004-A02B-7D02BFFBE016}"/>
    <cellStyle name="40% - Accent2 4" xfId="64" xr:uid="{00000000-0005-0000-0000-0000DA040000}"/>
    <cellStyle name="40% - Accent2 4 10" xfId="18975" xr:uid="{78C9A71A-1418-4A49-AC80-12B9B773ABDE}"/>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ABE1D9BF-E14F-4E45-8EE6-5FFD0AF9F1FB}"/>
    <cellStyle name="40% - Accent2 4 2 2 2 2 2" xfId="35048" xr:uid="{01711EE8-0822-456C-9DB1-7CCF7AAA8ADD}"/>
    <cellStyle name="40% - Accent2 4 2 2 2 3" xfId="25751" xr:uid="{D4A71E58-3CFA-4109-856F-0E78D85ABC6F}"/>
    <cellStyle name="40% - Accent2 4 2 2 3" xfId="12235" xr:uid="{3D9FEC40-D516-42F1-A536-B9DAA112DEAB}"/>
    <cellStyle name="40% - Accent2 4 2 2 3 2" xfId="30831" xr:uid="{80F581C8-A797-469A-B7BA-71FE4A4080FB}"/>
    <cellStyle name="40% - Accent2 4 2 2 4" xfId="21534" xr:uid="{178487AD-77C4-467B-B226-FE8F61CA5A4B}"/>
    <cellStyle name="40% - Accent2 4 2 3" xfId="4981" xr:uid="{00000000-0005-0000-0000-0000DE040000}"/>
    <cellStyle name="40% - Accent2 4 2 3 2" xfId="14307" xr:uid="{47F06FB8-B289-44B4-B26F-6BB0F3C0EF5E}"/>
    <cellStyle name="40% - Accent2 4 2 3 2 2" xfId="32903" xr:uid="{B898CDDF-E68B-4C30-889D-D91BB0329291}"/>
    <cellStyle name="40% - Accent2 4 2 3 3" xfId="23606" xr:uid="{981F7FAB-3BE1-461D-B51A-D4C68F8FEA5D}"/>
    <cellStyle name="40% - Accent2 4 2 4" xfId="9375" xr:uid="{E0F8B4F7-419E-40A5-89E1-F3F0DF6ADFF8}"/>
    <cellStyle name="40% - Accent2 4 2 4 2" xfId="18690" xr:uid="{EAFC20F8-AB70-4424-904A-D32A2E2449F5}"/>
    <cellStyle name="40% - Accent2 4 2 4 2 2" xfId="37284" xr:uid="{7DF7E18E-CBDE-4F2F-A9FB-A2C6FE295104}"/>
    <cellStyle name="40% - Accent2 4 2 4 3" xfId="27987" xr:uid="{FA04D720-60CB-4498-9505-AC968B1F10FC}"/>
    <cellStyle name="40% - Accent2 4 2 5" xfId="10090" xr:uid="{7F718E28-E3E5-4B5E-952E-6C6996E4EC6E}"/>
    <cellStyle name="40% - Accent2 4 2 5 2" xfId="28686" xr:uid="{9D0277AA-A502-4996-B93E-7DF2D6FF7F00}"/>
    <cellStyle name="40% - Accent2 4 2 6" xfId="19389" xr:uid="{576C22B0-9D46-4131-BDF4-4182479A6B40}"/>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564B585A-1A13-4B56-B29B-01947ECE3F2F}"/>
    <cellStyle name="40% - Accent2 4 3 2 2 2 2" xfId="35461" xr:uid="{EDB6EE09-550D-4E04-83B3-389891D11075}"/>
    <cellStyle name="40% - Accent2 4 3 2 2 3" xfId="26164" xr:uid="{BB93B4A4-E066-4D74-9F3E-DE894F2645CE}"/>
    <cellStyle name="40% - Accent2 4 3 2 3" xfId="12648" xr:uid="{DE5216D2-C1C9-4710-87A5-9FB0882AF05B}"/>
    <cellStyle name="40% - Accent2 4 3 2 3 2" xfId="31244" xr:uid="{023F2C0B-47B4-4B58-837C-04CEC52F1ADA}"/>
    <cellStyle name="40% - Accent2 4 3 2 4" xfId="21947" xr:uid="{8CB2CE7D-0EA5-41AF-97A2-C6C7B26A7B35}"/>
    <cellStyle name="40% - Accent2 4 3 3" xfId="5394" xr:uid="{00000000-0005-0000-0000-0000E2040000}"/>
    <cellStyle name="40% - Accent2 4 3 3 2" xfId="14720" xr:uid="{924FF4FB-6F0F-4625-BC7D-D5D1EE3B9A95}"/>
    <cellStyle name="40% - Accent2 4 3 3 2 2" xfId="33316" xr:uid="{5253C55E-916F-4971-9AF4-D87B4F63B1F9}"/>
    <cellStyle name="40% - Accent2 4 3 3 3" xfId="24019" xr:uid="{D161DC4F-000E-485A-8BF1-8BA62B5C4560}"/>
    <cellStyle name="40% - Accent2 4 3 4" xfId="10503" xr:uid="{80BECB6C-6E71-465D-848C-C97B4DE81D69}"/>
    <cellStyle name="40% - Accent2 4 3 4 2" xfId="29099" xr:uid="{15A8AAC5-8383-4F65-8E63-340F5FEB3B4A}"/>
    <cellStyle name="40% - Accent2 4 3 5" xfId="19802" xr:uid="{E5745B74-CA3B-4841-ABEB-6A66AA9BD369}"/>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07B67DFD-9AC4-4658-A316-630936D819B0}"/>
    <cellStyle name="40% - Accent2 4 4 2 2 2 2" xfId="35874" xr:uid="{7F586413-9CC6-419B-8309-449F9BBBD895}"/>
    <cellStyle name="40% - Accent2 4 4 2 2 3" xfId="26577" xr:uid="{A46EA058-D0AD-469F-AD01-0DA5F386489C}"/>
    <cellStyle name="40% - Accent2 4 4 2 3" xfId="13061" xr:uid="{888FB360-1EC2-42C9-9157-705AE04E090F}"/>
    <cellStyle name="40% - Accent2 4 4 2 3 2" xfId="31657" xr:uid="{9FEBD5A2-E2EE-4327-9AE9-BDFCB8145A8E}"/>
    <cellStyle name="40% - Accent2 4 4 2 4" xfId="22360" xr:uid="{4D5C60DE-4150-43DB-8C2E-8CF8CB6F4AD7}"/>
    <cellStyle name="40% - Accent2 4 4 3" xfId="5807" xr:uid="{00000000-0005-0000-0000-0000E6040000}"/>
    <cellStyle name="40% - Accent2 4 4 3 2" xfId="15133" xr:uid="{A06BC0C7-C8D2-4263-B42E-392BB5A017F5}"/>
    <cellStyle name="40% - Accent2 4 4 3 2 2" xfId="33729" xr:uid="{57A8FB77-3943-4724-8770-F05B0914D9FA}"/>
    <cellStyle name="40% - Accent2 4 4 3 3" xfId="24432" xr:uid="{F25285DD-22B2-4505-B4CB-ECCA99C2FBEA}"/>
    <cellStyle name="40% - Accent2 4 4 4" xfId="10916" xr:uid="{684FF5C4-95D6-493B-98B1-1614A530E38F}"/>
    <cellStyle name="40% - Accent2 4 4 4 2" xfId="29512" xr:uid="{2CB10C46-63CD-45ED-A244-816B6D8E6781}"/>
    <cellStyle name="40% - Accent2 4 4 5" xfId="20215" xr:uid="{84CE9BBE-FE4F-4A60-BFC0-39DB6D6675B9}"/>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DDC0D1C4-EDC0-4D3E-A606-51ABD9CBE7A4}"/>
    <cellStyle name="40% - Accent2 4 5 2 2 2 2" xfId="36287" xr:uid="{4C6B9957-C65B-4228-B19B-13E5D23049B5}"/>
    <cellStyle name="40% - Accent2 4 5 2 2 3" xfId="26990" xr:uid="{0F93CCB9-7412-49BB-9131-0292940AB0B9}"/>
    <cellStyle name="40% - Accent2 4 5 2 3" xfId="13474" xr:uid="{76EB900F-84B6-44BE-A70A-2F4832951AEE}"/>
    <cellStyle name="40% - Accent2 4 5 2 3 2" xfId="32070" xr:uid="{5EF532C9-0D89-4672-8F1F-A3CD1FCBFCB9}"/>
    <cellStyle name="40% - Accent2 4 5 2 4" xfId="22773" xr:uid="{4175DA4D-5D57-4112-8E6E-B8C876F38C6A}"/>
    <cellStyle name="40% - Accent2 4 5 3" xfId="6220" xr:uid="{00000000-0005-0000-0000-0000EA040000}"/>
    <cellStyle name="40% - Accent2 4 5 3 2" xfId="15546" xr:uid="{70259CCB-61F5-492C-819B-6199DBADD3A1}"/>
    <cellStyle name="40% - Accent2 4 5 3 2 2" xfId="34142" xr:uid="{FA98D032-5CBC-4CA3-A306-242A9410A354}"/>
    <cellStyle name="40% - Accent2 4 5 3 3" xfId="24845" xr:uid="{0EBA55C5-F9D1-4FCF-B724-68910A3F0142}"/>
    <cellStyle name="40% - Accent2 4 5 4" xfId="11329" xr:uid="{48C043CF-6FA7-4B97-AB24-61531CF5BACC}"/>
    <cellStyle name="40% - Accent2 4 5 4 2" xfId="29925" xr:uid="{127F54E5-EF7A-48C7-9D8F-43AF42F4267F}"/>
    <cellStyle name="40% - Accent2 4 5 5" xfId="20628" xr:uid="{26CBFB8C-BE91-4A78-BFD1-52AE69026A88}"/>
    <cellStyle name="40% - Accent2 4 6" xfId="2327" xr:uid="{00000000-0005-0000-0000-0000EB040000}"/>
    <cellStyle name="40% - Accent2 4 6 2" xfId="6633" xr:uid="{00000000-0005-0000-0000-0000EC040000}"/>
    <cellStyle name="40% - Accent2 4 6 2 2" xfId="15959" xr:uid="{45AC88A9-38F8-4E4E-B828-1B033CB6A411}"/>
    <cellStyle name="40% - Accent2 4 6 2 2 2" xfId="34555" xr:uid="{58FBFAE3-2EEC-4946-8CD7-B597C1C4DD79}"/>
    <cellStyle name="40% - Accent2 4 6 2 3" xfId="25258" xr:uid="{472CC716-DD19-4293-8923-9EDF054EA10A}"/>
    <cellStyle name="40% - Accent2 4 6 3" xfId="11742" xr:uid="{0A60007F-D957-46FC-93EF-3E890CEF8E2D}"/>
    <cellStyle name="40% - Accent2 4 6 3 2" xfId="30338" xr:uid="{0E4BC21B-A6E5-46B0-8025-95910B217B0C}"/>
    <cellStyle name="40% - Accent2 4 6 4" xfId="21041" xr:uid="{57046FC9-B313-4193-9E3A-2114E28F078D}"/>
    <cellStyle name="40% - Accent2 4 7" xfId="4567" xr:uid="{00000000-0005-0000-0000-0000ED040000}"/>
    <cellStyle name="40% - Accent2 4 7 2" xfId="13893" xr:uid="{367F8BE2-71B1-4B46-BDC7-B67EFE9470A2}"/>
    <cellStyle name="40% - Accent2 4 7 2 2" xfId="32489" xr:uid="{A5C73F7B-5BA2-459B-BB4A-9659DB9EE8A0}"/>
    <cellStyle name="40% - Accent2 4 7 3" xfId="23192" xr:uid="{08B1179B-B533-4BDB-AB82-9C0356A097C3}"/>
    <cellStyle name="40% - Accent2 4 8" xfId="8950" xr:uid="{02FCA414-0598-4779-8636-7B176A3552C0}"/>
    <cellStyle name="40% - Accent2 4 8 2" xfId="18274" xr:uid="{C21568C5-7F9B-47F7-8E64-497A077EE636}"/>
    <cellStyle name="40% - Accent2 4 8 2 2" xfId="36869" xr:uid="{93EC74A4-4669-46CA-922E-B7D6DB11F1C8}"/>
    <cellStyle name="40% - Accent2 4 8 3" xfId="27572" xr:uid="{388CB9DD-D15B-4799-B616-C8E19FE375DC}"/>
    <cellStyle name="40% - Accent2 4 9" xfId="9676" xr:uid="{8536325B-A57A-4E55-B66C-78375C5B9ACF}"/>
    <cellStyle name="40% - Accent2 4 9 2" xfId="28272" xr:uid="{467609D1-CE41-4393-A1CC-7F27F4F05F12}"/>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FDE924F4-82D7-445F-A308-C25FC04CCF67}"/>
    <cellStyle name="40% - Accent2 5 2 2 2 2" xfId="35041" xr:uid="{5FE123BB-B1E9-4C48-8AE9-E6D5162E5515}"/>
    <cellStyle name="40% - Accent2 5 2 2 3" xfId="25744" xr:uid="{32BE40A9-4B51-48D7-AD53-EFF815181471}"/>
    <cellStyle name="40% - Accent2 5 2 3" xfId="12228" xr:uid="{2910B44F-025C-46EF-9E9F-C1A7276AACD5}"/>
    <cellStyle name="40% - Accent2 5 2 3 2" xfId="30824" xr:uid="{39E88C2F-19EE-4A06-BDA0-5027DA8A777A}"/>
    <cellStyle name="40% - Accent2 5 2 4" xfId="21527" xr:uid="{C0F757F8-B832-4BEE-93A7-65644D4071AA}"/>
    <cellStyle name="40% - Accent2 5 3" xfId="4974" xr:uid="{00000000-0005-0000-0000-0000F1040000}"/>
    <cellStyle name="40% - Accent2 5 3 2" xfId="14300" xr:uid="{007012F1-5B3F-4DA4-ABCC-88C529314EB0}"/>
    <cellStyle name="40% - Accent2 5 3 2 2" xfId="32896" xr:uid="{21755788-E936-45C9-BB99-1F595152DE52}"/>
    <cellStyle name="40% - Accent2 5 3 3" xfId="23599" xr:uid="{121C6726-8942-414F-976C-42C6556039AA}"/>
    <cellStyle name="40% - Accent2 5 4" xfId="9183" xr:uid="{071EDB8E-9FD1-4063-BCEF-70B734E5ECF1}"/>
    <cellStyle name="40% - Accent2 5 4 2" xfId="18501" xr:uid="{71FB3295-11AF-4216-957A-B6982868ED8D}"/>
    <cellStyle name="40% - Accent2 5 4 2 2" xfId="37095" xr:uid="{98D9FC43-6611-485D-94B0-CE09650CBD03}"/>
    <cellStyle name="40% - Accent2 5 4 3" xfId="27798" xr:uid="{5C6BEF9B-62C7-41E7-B09E-44492E0777C2}"/>
    <cellStyle name="40% - Accent2 5 5" xfId="10083" xr:uid="{CC106BC3-6293-49F7-A2EC-4949DA0ED0C3}"/>
    <cellStyle name="40% - Accent2 5 5 2" xfId="28679" xr:uid="{F260934B-2605-4EFB-97F8-9B8F29F76F7A}"/>
    <cellStyle name="40% - Accent2 5 6" xfId="19382" xr:uid="{19699FF4-E97F-43D2-AEB5-29FAF90ACD83}"/>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D28FEB96-E84E-4A66-B42B-716691383E55}"/>
    <cellStyle name="40% - Accent2 6 2 2 2 2" xfId="35454" xr:uid="{4C2E5D52-A97A-45D9-880F-CC9675C57DD4}"/>
    <cellStyle name="40% - Accent2 6 2 2 3" xfId="26157" xr:uid="{89636B7B-7D3A-45EE-B7A8-CDFB66C1E7BF}"/>
    <cellStyle name="40% - Accent2 6 2 3" xfId="12641" xr:uid="{012F8686-2F66-4783-BF27-57B25EAF35DE}"/>
    <cellStyle name="40% - Accent2 6 2 3 2" xfId="31237" xr:uid="{A1989642-D8F1-4DED-9A82-55E497FE9ED7}"/>
    <cellStyle name="40% - Accent2 6 2 4" xfId="21940" xr:uid="{BDB672D2-85D4-4E7B-8BF5-A3886356C4E1}"/>
    <cellStyle name="40% - Accent2 6 3" xfId="5387" xr:uid="{00000000-0005-0000-0000-0000F5040000}"/>
    <cellStyle name="40% - Accent2 6 3 2" xfId="14713" xr:uid="{FE1E50D3-0C29-4FB9-8733-8C5D1728B8BB}"/>
    <cellStyle name="40% - Accent2 6 3 2 2" xfId="33309" xr:uid="{69E077D2-F431-4977-9F2C-65313AB582EF}"/>
    <cellStyle name="40% - Accent2 6 3 3" xfId="24012" xr:uid="{2D87168B-D90A-4FAA-B9B8-7B240539ABBD}"/>
    <cellStyle name="40% - Accent2 6 4" xfId="10496" xr:uid="{7E39687E-CF83-4849-906D-78A51E2EA532}"/>
    <cellStyle name="40% - Accent2 6 4 2" xfId="29092" xr:uid="{4EC0DEE6-AADA-4280-9955-6FC673DE2389}"/>
    <cellStyle name="40% - Accent2 6 5" xfId="19795" xr:uid="{0986365B-74C1-465E-90EC-6BA34582E4CB}"/>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72AAD99F-F3B6-4068-A551-17AB71283E76}"/>
    <cellStyle name="40% - Accent2 7 2 2 2 2" xfId="35867" xr:uid="{417DA7D1-C47A-43A0-BA39-969B0F6C780A}"/>
    <cellStyle name="40% - Accent2 7 2 2 3" xfId="26570" xr:uid="{671093CF-8CB7-459E-B17E-69F526C66138}"/>
    <cellStyle name="40% - Accent2 7 2 3" xfId="13054" xr:uid="{378A1B3B-078A-4E5D-89C8-0466EBAEC5C8}"/>
    <cellStyle name="40% - Accent2 7 2 3 2" xfId="31650" xr:uid="{F37086F0-6F5E-4C8B-BA37-74FC040143C9}"/>
    <cellStyle name="40% - Accent2 7 2 4" xfId="22353" xr:uid="{E73C46C9-22F2-4929-97CF-FBEB52E28F9D}"/>
    <cellStyle name="40% - Accent2 7 3" xfId="5800" xr:uid="{00000000-0005-0000-0000-0000F9040000}"/>
    <cellStyle name="40% - Accent2 7 3 2" xfId="15126" xr:uid="{06AE4BEE-C792-4B2D-9C58-7E6C3686D724}"/>
    <cellStyle name="40% - Accent2 7 3 2 2" xfId="33722" xr:uid="{44ED699C-87B8-495C-B59B-6B3AAD1821B5}"/>
    <cellStyle name="40% - Accent2 7 3 3" xfId="24425" xr:uid="{EF44C487-851F-4D20-B771-359406D8478C}"/>
    <cellStyle name="40% - Accent2 7 4" xfId="10909" xr:uid="{2061F47C-D567-4FC3-8CAA-99F25204AF89}"/>
    <cellStyle name="40% - Accent2 7 4 2" xfId="29505" xr:uid="{B197C2DF-3127-467B-A04F-8505671E35F2}"/>
    <cellStyle name="40% - Accent2 7 5" xfId="20208" xr:uid="{DA8A9B92-938E-4D21-A456-D26473C468E4}"/>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A23242C5-6DC6-4559-A6B4-C6E8770C3E6F}"/>
    <cellStyle name="40% - Accent2 8 2 2 2 2" xfId="36280" xr:uid="{2C0B4EE4-97B6-4CF1-95B6-B11FF682CFD8}"/>
    <cellStyle name="40% - Accent2 8 2 2 3" xfId="26983" xr:uid="{FD4F65D0-D958-44F5-B48F-58C9715CC1EC}"/>
    <cellStyle name="40% - Accent2 8 2 3" xfId="13467" xr:uid="{E01BD36A-EF16-4F16-B74A-D009F13430FB}"/>
    <cellStyle name="40% - Accent2 8 2 3 2" xfId="32063" xr:uid="{49D532A2-FF01-4BDB-A8EF-FA3F9E8EF3FC}"/>
    <cellStyle name="40% - Accent2 8 2 4" xfId="22766" xr:uid="{DE02D0B8-CF66-4E27-852B-A560C2B89C8E}"/>
    <cellStyle name="40% - Accent2 8 3" xfId="6213" xr:uid="{00000000-0005-0000-0000-0000FD040000}"/>
    <cellStyle name="40% - Accent2 8 3 2" xfId="15539" xr:uid="{0F322348-8082-4C37-8B8D-AA425E68E4CF}"/>
    <cellStyle name="40% - Accent2 8 3 2 2" xfId="34135" xr:uid="{EAB14E68-FDFB-4CC3-B070-D6098A11A76F}"/>
    <cellStyle name="40% - Accent2 8 3 3" xfId="24838" xr:uid="{DE284AEB-2A38-46AD-9C18-D04B6A72CBB6}"/>
    <cellStyle name="40% - Accent2 8 4" xfId="11322" xr:uid="{2FFBD1A9-7D11-4E19-95BE-1C45FF00D7DD}"/>
    <cellStyle name="40% - Accent2 8 4 2" xfId="29918" xr:uid="{11D2B5A3-D82D-4525-A041-8BAEBB75112A}"/>
    <cellStyle name="40% - Accent2 8 5" xfId="20621" xr:uid="{8EA0D796-8405-41F6-804E-C76EFFC5F6C6}"/>
    <cellStyle name="40% - Accent2 9" xfId="2320" xr:uid="{00000000-0005-0000-0000-0000FE040000}"/>
    <cellStyle name="40% - Accent2 9 2" xfId="6626" xr:uid="{00000000-0005-0000-0000-0000FF040000}"/>
    <cellStyle name="40% - Accent2 9 2 2" xfId="15952" xr:uid="{7414E56D-D7D1-4ECE-8054-4AD5C491242F}"/>
    <cellStyle name="40% - Accent2 9 2 2 2" xfId="34548" xr:uid="{3BF75298-714D-4074-83BB-4DC20C1EF445}"/>
    <cellStyle name="40% - Accent2 9 2 3" xfId="25251" xr:uid="{D650E4EF-9BFF-44E2-857A-FBDADDA933FA}"/>
    <cellStyle name="40% - Accent2 9 3" xfId="11735" xr:uid="{3FC0990D-8321-4A95-A68C-E6138706EE5F}"/>
    <cellStyle name="40% - Accent2 9 3 2" xfId="30331" xr:uid="{8AC8D02E-240B-4D0A-9012-5317046EF10A}"/>
    <cellStyle name="40% - Accent2 9 4" xfId="21034" xr:uid="{72294E23-A650-4CF8-A40F-DF94AA109F27}"/>
    <cellStyle name="40% - Accent3" xfId="65" builtinId="39" customBuiltin="1"/>
    <cellStyle name="40% - Accent3 10" xfId="4568" xr:uid="{00000000-0005-0000-0000-000001050000}"/>
    <cellStyle name="40% - Accent3 10 2" xfId="13894" xr:uid="{E07B46A5-CA72-4881-8B20-512A4057E5D2}"/>
    <cellStyle name="40% - Accent3 10 2 2" xfId="32490" xr:uid="{FBAECA35-A86D-435D-89D4-940C734A30D6}"/>
    <cellStyle name="40% - Accent3 10 3" xfId="23193" xr:uid="{2FAC68DF-B9FA-4B6B-A7FC-5102A016035B}"/>
    <cellStyle name="40% - Accent3 11" xfId="8763" xr:uid="{CEFBFA85-5B68-4AEB-BF0D-8E604938B05F}"/>
    <cellStyle name="40% - Accent3 11 2" xfId="18087" xr:uid="{B241351F-E303-4AEB-9038-B3EAD75BF9CE}"/>
    <cellStyle name="40% - Accent3 11 2 2" xfId="36682" xr:uid="{86C8FD26-F4E2-47C2-9235-FF876E3CC011}"/>
    <cellStyle name="40% - Accent3 11 3" xfId="27385" xr:uid="{2039F11D-0541-4E84-9D7C-03273DFAF8B5}"/>
    <cellStyle name="40% - Accent3 12" xfId="9677" xr:uid="{DE5F7069-54CC-40B7-913B-4E01A1919EE9}"/>
    <cellStyle name="40% - Accent3 12 2" xfId="28273" xr:uid="{FEDF6735-C222-43A4-8AB3-1AF9327778FB}"/>
    <cellStyle name="40% - Accent3 13" xfId="18976" xr:uid="{F2E059DE-0486-4FB1-AB6B-8F661533E0D6}"/>
    <cellStyle name="40% - Accent3 2" xfId="66" xr:uid="{00000000-0005-0000-0000-000002050000}"/>
    <cellStyle name="40% - Accent3 2 10" xfId="8800" xr:uid="{00FF2AAD-7D96-45B5-8981-0BB923A3505B}"/>
    <cellStyle name="40% - Accent3 2 10 2" xfId="18124" xr:uid="{FE64C16B-21B0-40F3-97C3-5167194CFD90}"/>
    <cellStyle name="40% - Accent3 2 10 2 2" xfId="36719" xr:uid="{0F05C6D1-3791-4159-A5FA-56DC612AD0AF}"/>
    <cellStyle name="40% - Accent3 2 10 3" xfId="27422" xr:uid="{FBCFCC03-43D7-486A-9E59-49A5ED97D94E}"/>
    <cellStyle name="40% - Accent3 2 11" xfId="9678" xr:uid="{7AB10E64-5796-41AB-910A-88B80D1D1B2F}"/>
    <cellStyle name="40% - Accent3 2 11 2" xfId="28274" xr:uid="{1DEE807E-EA0A-4741-89A2-BDB3D04C98CA}"/>
    <cellStyle name="40% - Accent3 2 12" xfId="18977" xr:uid="{8B186BD7-9FF4-4F83-9A50-D9814C93CC0D}"/>
    <cellStyle name="40% - Accent3 2 2" xfId="67" xr:uid="{00000000-0005-0000-0000-000003050000}"/>
    <cellStyle name="40% - Accent3 2 2 10" xfId="9679" xr:uid="{43E3D7EA-73C9-4437-91E3-EAF2C7893FD7}"/>
    <cellStyle name="40% - Accent3 2 2 10 2" xfId="28275" xr:uid="{F6A7A067-3E78-4C9B-88DB-A163612E6F53}"/>
    <cellStyle name="40% - Accent3 2 2 11" xfId="18978" xr:uid="{19CF4FF2-6336-4E81-9660-7E454EC64E13}"/>
    <cellStyle name="40% - Accent3 2 2 2" xfId="68" xr:uid="{00000000-0005-0000-0000-000004050000}"/>
    <cellStyle name="40% - Accent3 2 2 2 10" xfId="18979" xr:uid="{AD068970-159D-4897-8C90-2991EE481E29}"/>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39D764A4-BD37-4649-9EF9-BF8149FB535D}"/>
    <cellStyle name="40% - Accent3 2 2 2 2 2 2 2 2" xfId="35052" xr:uid="{B5F16A56-00BB-4984-AC62-09D27A418905}"/>
    <cellStyle name="40% - Accent3 2 2 2 2 2 2 3" xfId="25755" xr:uid="{D62C58AB-8139-447B-B9F4-956519D88C08}"/>
    <cellStyle name="40% - Accent3 2 2 2 2 2 3" xfId="12239" xr:uid="{8DCF269D-961F-4929-8F60-0AAA69C1AC66}"/>
    <cellStyle name="40% - Accent3 2 2 2 2 2 3 2" xfId="30835" xr:uid="{22C043D5-BD45-468A-9F6F-35892F4BF13F}"/>
    <cellStyle name="40% - Accent3 2 2 2 2 2 4" xfId="21538" xr:uid="{6F34B2BF-8729-4093-BFEB-F08C774A9825}"/>
    <cellStyle name="40% - Accent3 2 2 2 2 3" xfId="4985" xr:uid="{00000000-0005-0000-0000-000008050000}"/>
    <cellStyle name="40% - Accent3 2 2 2 2 3 2" xfId="14311" xr:uid="{46D1461D-75E2-4ABF-AC7C-9248AE6099EB}"/>
    <cellStyle name="40% - Accent3 2 2 2 2 3 2 2" xfId="32907" xr:uid="{1945E750-D4FE-43DA-8C62-62F4A6D943AB}"/>
    <cellStyle name="40% - Accent3 2 2 2 2 3 3" xfId="23610" xr:uid="{D1A7B37C-0692-4E91-8EC4-87DB8063454B}"/>
    <cellStyle name="40% - Accent3 2 2 2 2 4" xfId="9535" xr:uid="{3AC66435-D4C7-42EF-A799-3DC81A57BDF4}"/>
    <cellStyle name="40% - Accent3 2 2 2 2 4 2" xfId="18850" xr:uid="{29AB6406-E0DC-4A3B-AF0D-76CBBE263283}"/>
    <cellStyle name="40% - Accent3 2 2 2 2 4 2 2" xfId="37444" xr:uid="{CE9B8546-F567-41C8-B731-953D73DCD60E}"/>
    <cellStyle name="40% - Accent3 2 2 2 2 4 3" xfId="28147" xr:uid="{B0D69F80-339E-48C3-9CC3-55290F131C7B}"/>
    <cellStyle name="40% - Accent3 2 2 2 2 5" xfId="10094" xr:uid="{1A3DE8E0-525B-4405-8AA5-AE4266DBD1C0}"/>
    <cellStyle name="40% - Accent3 2 2 2 2 5 2" xfId="28690" xr:uid="{AF99122D-C983-4674-8B7D-F1F6115A33AE}"/>
    <cellStyle name="40% - Accent3 2 2 2 2 6" xfId="19393" xr:uid="{994413F8-CD72-45BD-86A1-619A21FE42A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B9EF5B83-0664-4A9B-A06E-EDF17446E84E}"/>
    <cellStyle name="40% - Accent3 2 2 2 3 2 2 2 2" xfId="35465" xr:uid="{63CB857B-18B9-4119-8A9A-A688D7AEE614}"/>
    <cellStyle name="40% - Accent3 2 2 2 3 2 2 3" xfId="26168" xr:uid="{18A5F1F7-9B7F-451F-8792-5B1F34DFD08A}"/>
    <cellStyle name="40% - Accent3 2 2 2 3 2 3" xfId="12652" xr:uid="{C56EC04A-B291-48CE-9C46-2FC2B64BC641}"/>
    <cellStyle name="40% - Accent3 2 2 2 3 2 3 2" xfId="31248" xr:uid="{B9C76D3A-1FFA-442B-B491-FB62523F1B94}"/>
    <cellStyle name="40% - Accent3 2 2 2 3 2 4" xfId="21951" xr:uid="{9FFF5C3F-EA53-4AD9-BF2E-204E50D4424C}"/>
    <cellStyle name="40% - Accent3 2 2 2 3 3" xfId="5398" xr:uid="{00000000-0005-0000-0000-00000C050000}"/>
    <cellStyle name="40% - Accent3 2 2 2 3 3 2" xfId="14724" xr:uid="{FCC434C9-6BB4-44D8-BB38-07B576094AD8}"/>
    <cellStyle name="40% - Accent3 2 2 2 3 3 2 2" xfId="33320" xr:uid="{8514F56F-BF4D-45CC-9554-C2A184B8B86E}"/>
    <cellStyle name="40% - Accent3 2 2 2 3 3 3" xfId="24023" xr:uid="{F68FD949-F24D-4001-AA52-867005936864}"/>
    <cellStyle name="40% - Accent3 2 2 2 3 4" xfId="10507" xr:uid="{C40C68B0-EAE8-4F60-9ABC-E30585520242}"/>
    <cellStyle name="40% - Accent3 2 2 2 3 4 2" xfId="29103" xr:uid="{2616B292-835C-45DC-811E-C2ED24B889F8}"/>
    <cellStyle name="40% - Accent3 2 2 2 3 5" xfId="19806" xr:uid="{DC402C22-DE4E-4165-A967-AB2F1C73F731}"/>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06E562FE-2B0F-4DD9-BCA7-66615196FBCD}"/>
    <cellStyle name="40% - Accent3 2 2 2 4 2 2 2 2" xfId="35878" xr:uid="{46F9DFCF-551A-4C94-93BD-87DEAC0F6EEE}"/>
    <cellStyle name="40% - Accent3 2 2 2 4 2 2 3" xfId="26581" xr:uid="{F3E20571-8C28-4107-81A4-38D8D124539A}"/>
    <cellStyle name="40% - Accent3 2 2 2 4 2 3" xfId="13065" xr:uid="{2E824CB7-D69C-487D-A8A2-52301E3D1F46}"/>
    <cellStyle name="40% - Accent3 2 2 2 4 2 3 2" xfId="31661" xr:uid="{5ACD107F-0660-4BC2-BC20-330EC365F0AB}"/>
    <cellStyle name="40% - Accent3 2 2 2 4 2 4" xfId="22364" xr:uid="{929E56D1-1415-49F4-BFB7-CEA094F47347}"/>
    <cellStyle name="40% - Accent3 2 2 2 4 3" xfId="5811" xr:uid="{00000000-0005-0000-0000-000010050000}"/>
    <cellStyle name="40% - Accent3 2 2 2 4 3 2" xfId="15137" xr:uid="{19AB891D-4E0C-481C-8CF2-C37A8707DCBE}"/>
    <cellStyle name="40% - Accent3 2 2 2 4 3 2 2" xfId="33733" xr:uid="{EFFBD6DB-9C2D-4BAB-AF8E-5372A1BD39D9}"/>
    <cellStyle name="40% - Accent3 2 2 2 4 3 3" xfId="24436" xr:uid="{D8DC3CD4-4591-41EA-BC85-E05F0D3F2C3E}"/>
    <cellStyle name="40% - Accent3 2 2 2 4 4" xfId="10920" xr:uid="{71137000-250C-4EB1-9D7E-5C3AB653683C}"/>
    <cellStyle name="40% - Accent3 2 2 2 4 4 2" xfId="29516" xr:uid="{715C3CD1-1337-4B14-9512-D27A77A092B2}"/>
    <cellStyle name="40% - Accent3 2 2 2 4 5" xfId="20219" xr:uid="{5B46C3F0-B0A5-4E33-A48A-EEA918C7B719}"/>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72963236-D1C1-4FA8-B1F8-A380F0EB2C90}"/>
    <cellStyle name="40% - Accent3 2 2 2 5 2 2 2 2" xfId="36291" xr:uid="{F0934055-DC9B-48EC-AD06-A5334167433C}"/>
    <cellStyle name="40% - Accent3 2 2 2 5 2 2 3" xfId="26994" xr:uid="{B61D6FA3-B25E-4875-B758-AAAD718F87A1}"/>
    <cellStyle name="40% - Accent3 2 2 2 5 2 3" xfId="13478" xr:uid="{E2BA1F94-9924-4DA9-B9E5-EB9C570D5C96}"/>
    <cellStyle name="40% - Accent3 2 2 2 5 2 3 2" xfId="32074" xr:uid="{DF130AC7-14CF-4786-932A-A3547A20400F}"/>
    <cellStyle name="40% - Accent3 2 2 2 5 2 4" xfId="22777" xr:uid="{F921439A-CB70-4CFE-A75F-E9F449BF580D}"/>
    <cellStyle name="40% - Accent3 2 2 2 5 3" xfId="6224" xr:uid="{00000000-0005-0000-0000-000014050000}"/>
    <cellStyle name="40% - Accent3 2 2 2 5 3 2" xfId="15550" xr:uid="{69DCDD8F-FD5D-4DD0-9DC3-E643D7B3E5AF}"/>
    <cellStyle name="40% - Accent3 2 2 2 5 3 2 2" xfId="34146" xr:uid="{448F4CAD-B1AE-4DF9-B15E-5C930B731A89}"/>
    <cellStyle name="40% - Accent3 2 2 2 5 3 3" xfId="24849" xr:uid="{1233076F-FD60-41E8-A297-AE45F09D7595}"/>
    <cellStyle name="40% - Accent3 2 2 2 5 4" xfId="11333" xr:uid="{E810978C-8E2F-4044-94DC-700755DF9302}"/>
    <cellStyle name="40% - Accent3 2 2 2 5 4 2" xfId="29929" xr:uid="{8871A7D9-4D1E-48B8-B51F-B13029D9B770}"/>
    <cellStyle name="40% - Accent3 2 2 2 5 5" xfId="20632" xr:uid="{EB054964-BF77-4270-ABFA-7D216194D0F4}"/>
    <cellStyle name="40% - Accent3 2 2 2 6" xfId="2331" xr:uid="{00000000-0005-0000-0000-000015050000}"/>
    <cellStyle name="40% - Accent3 2 2 2 6 2" xfId="6637" xr:uid="{00000000-0005-0000-0000-000016050000}"/>
    <cellStyle name="40% - Accent3 2 2 2 6 2 2" xfId="15963" xr:uid="{ADD21CAF-5071-444A-A3AD-EC55EC65CCF3}"/>
    <cellStyle name="40% - Accent3 2 2 2 6 2 2 2" xfId="34559" xr:uid="{56FB540C-9649-4F65-BFCD-3A5CE1A175C6}"/>
    <cellStyle name="40% - Accent3 2 2 2 6 2 3" xfId="25262" xr:uid="{7EABE54F-1464-46B9-99E9-B6914E477C83}"/>
    <cellStyle name="40% - Accent3 2 2 2 6 3" xfId="11746" xr:uid="{97D54547-A8FA-46C3-A236-51178D176F3C}"/>
    <cellStyle name="40% - Accent3 2 2 2 6 3 2" xfId="30342" xr:uid="{D634DB32-3783-4A46-9171-7C1C8B7FDA59}"/>
    <cellStyle name="40% - Accent3 2 2 2 6 4" xfId="21045" xr:uid="{23F2B5F8-C207-4DFA-BCF2-5807AF86A389}"/>
    <cellStyle name="40% - Accent3 2 2 2 7" xfId="4571" xr:uid="{00000000-0005-0000-0000-000017050000}"/>
    <cellStyle name="40% - Accent3 2 2 2 7 2" xfId="13897" xr:uid="{3027C5E6-3F45-41B3-8D07-D4C942C746D7}"/>
    <cellStyle name="40% - Accent3 2 2 2 7 2 2" xfId="32493" xr:uid="{5848CE00-A716-499B-8879-920B66B5DE78}"/>
    <cellStyle name="40% - Accent3 2 2 2 7 3" xfId="23196" xr:uid="{95567217-71D3-45E7-AFEF-EEBD4D0BC2FC}"/>
    <cellStyle name="40% - Accent3 2 2 2 8" xfId="9110" xr:uid="{E41CBEF9-86F8-44B9-895F-532A7BDC9A2A}"/>
    <cellStyle name="40% - Accent3 2 2 2 8 2" xfId="18434" xr:uid="{9EC1022E-8826-4434-AEE6-E2EAED99FD81}"/>
    <cellStyle name="40% - Accent3 2 2 2 8 2 2" xfId="37029" xr:uid="{F8A57CE2-5DE8-47C7-857C-62D8DE0DF136}"/>
    <cellStyle name="40% - Accent3 2 2 2 8 3" xfId="27732" xr:uid="{9CCEE8FC-9DB9-484F-A43E-A2FC752529F7}"/>
    <cellStyle name="40% - Accent3 2 2 2 9" xfId="9680" xr:uid="{D880B05A-0F5E-4373-B165-18BACA1ACF5D}"/>
    <cellStyle name="40% - Accent3 2 2 2 9 2" xfId="28276" xr:uid="{6BC9AA81-D37B-47E3-9570-E6CF57D8AAAE}"/>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D5874E67-F69D-45E8-A291-EFF1B09F3B33}"/>
    <cellStyle name="40% - Accent3 2 2 3 2 2 2 2" xfId="35051" xr:uid="{F3781C2B-0C3B-4FE0-9B8A-77DF8D19CB2E}"/>
    <cellStyle name="40% - Accent3 2 2 3 2 2 3" xfId="25754" xr:uid="{8886D174-21D6-4921-9D23-C7DC0499BAD1}"/>
    <cellStyle name="40% - Accent3 2 2 3 2 3" xfId="12238" xr:uid="{F61A9E7C-9F74-4D7A-9B6A-4CE9F732CD65}"/>
    <cellStyle name="40% - Accent3 2 2 3 2 3 2" xfId="30834" xr:uid="{629F399D-171C-44A2-BB86-41936761703B}"/>
    <cellStyle name="40% - Accent3 2 2 3 2 4" xfId="21537" xr:uid="{E0351E5D-007D-4294-96A4-6D05591E9FD4}"/>
    <cellStyle name="40% - Accent3 2 2 3 3" xfId="4984" xr:uid="{00000000-0005-0000-0000-00001B050000}"/>
    <cellStyle name="40% - Accent3 2 2 3 3 2" xfId="14310" xr:uid="{ABEB4C06-D0B2-4401-9322-5093A54C1207}"/>
    <cellStyle name="40% - Accent3 2 2 3 3 2 2" xfId="32906" xr:uid="{CFC7310F-4578-4C88-969E-EDB6F6FD4448}"/>
    <cellStyle name="40% - Accent3 2 2 3 3 3" xfId="23609" xr:uid="{8FBF1998-F039-4717-8479-8690C2C76D74}"/>
    <cellStyle name="40% - Accent3 2 2 3 4" xfId="9328" xr:uid="{1DAEB9B9-01CE-426D-A8F1-CE08999D7264}"/>
    <cellStyle name="40% - Accent3 2 2 3 4 2" xfId="18643" xr:uid="{BF3DADD2-DDAD-47CD-BAD3-4DC7A9DA3D9D}"/>
    <cellStyle name="40% - Accent3 2 2 3 4 2 2" xfId="37237" xr:uid="{9385B342-04DD-4FD9-81DB-36DB764B84A6}"/>
    <cellStyle name="40% - Accent3 2 2 3 4 3" xfId="27940" xr:uid="{DF7DFBA5-1669-4D77-A31E-975EE08F439D}"/>
    <cellStyle name="40% - Accent3 2 2 3 5" xfId="10093" xr:uid="{0B5566AB-FA2C-4E1F-879F-7DC184C82B3E}"/>
    <cellStyle name="40% - Accent3 2 2 3 5 2" xfId="28689" xr:uid="{D33E2212-C245-4832-8CB6-C43B4182FBB2}"/>
    <cellStyle name="40% - Accent3 2 2 3 6" xfId="19392" xr:uid="{4A33A804-5F3C-49E9-BEAD-A21B99268832}"/>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8E996647-6488-402A-B4C2-9181D2476D25}"/>
    <cellStyle name="40% - Accent3 2 2 4 2 2 2 2" xfId="35464" xr:uid="{359AD66E-C2AE-4995-90A2-EBEDBB4B5243}"/>
    <cellStyle name="40% - Accent3 2 2 4 2 2 3" xfId="26167" xr:uid="{7B4B2977-34A5-490A-A2F6-A68CDFC7436D}"/>
    <cellStyle name="40% - Accent3 2 2 4 2 3" xfId="12651" xr:uid="{BE97E21B-1D8F-4DC1-AC00-F3E360387380}"/>
    <cellStyle name="40% - Accent3 2 2 4 2 3 2" xfId="31247" xr:uid="{7FA7E6CC-6516-4544-A15D-858878C1737B}"/>
    <cellStyle name="40% - Accent3 2 2 4 2 4" xfId="21950" xr:uid="{99353B2E-B1B3-4FB5-AB62-E864B98AD17F}"/>
    <cellStyle name="40% - Accent3 2 2 4 3" xfId="5397" xr:uid="{00000000-0005-0000-0000-00001F050000}"/>
    <cellStyle name="40% - Accent3 2 2 4 3 2" xfId="14723" xr:uid="{7AA20ABE-202F-4D65-AF0E-68A19C323471}"/>
    <cellStyle name="40% - Accent3 2 2 4 3 2 2" xfId="33319" xr:uid="{3FF6A224-483B-4008-989B-FC321E611D9B}"/>
    <cellStyle name="40% - Accent3 2 2 4 3 3" xfId="24022" xr:uid="{C8A87A2A-5713-4812-AD35-54B91C4D93EB}"/>
    <cellStyle name="40% - Accent3 2 2 4 4" xfId="10506" xr:uid="{3A0FFC1F-9909-41F1-88A9-0AFA5A7B193D}"/>
    <cellStyle name="40% - Accent3 2 2 4 4 2" xfId="29102" xr:uid="{D18CEFD7-3A06-42C5-9A22-791DE5874198}"/>
    <cellStyle name="40% - Accent3 2 2 4 5" xfId="19805" xr:uid="{2C09CBF0-9FF2-4688-8709-F9608C4F371B}"/>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32AD1725-3318-4545-A10D-B775D790F9D7}"/>
    <cellStyle name="40% - Accent3 2 2 5 2 2 2 2" xfId="35877" xr:uid="{F59409B3-FBEE-4B03-ADED-51AF1E46B507}"/>
    <cellStyle name="40% - Accent3 2 2 5 2 2 3" xfId="26580" xr:uid="{33DA66D8-2789-4644-A15E-6DCBC09448F0}"/>
    <cellStyle name="40% - Accent3 2 2 5 2 3" xfId="13064" xr:uid="{CC1BD318-04D3-4717-A874-DC8EDD7273A2}"/>
    <cellStyle name="40% - Accent3 2 2 5 2 3 2" xfId="31660" xr:uid="{E995D720-F355-412A-9DF8-AC18C3BD202A}"/>
    <cellStyle name="40% - Accent3 2 2 5 2 4" xfId="22363" xr:uid="{321D0553-536C-4DFB-8BCE-B0F8D7A7F981}"/>
    <cellStyle name="40% - Accent3 2 2 5 3" xfId="5810" xr:uid="{00000000-0005-0000-0000-000023050000}"/>
    <cellStyle name="40% - Accent3 2 2 5 3 2" xfId="15136" xr:uid="{3E6E8099-0BA1-4388-BF95-F576F18B244F}"/>
    <cellStyle name="40% - Accent3 2 2 5 3 2 2" xfId="33732" xr:uid="{F472922C-DD25-43B2-8A63-228E11C8EC9E}"/>
    <cellStyle name="40% - Accent3 2 2 5 3 3" xfId="24435" xr:uid="{107420D1-F4CA-41C8-AF17-611257A39F1E}"/>
    <cellStyle name="40% - Accent3 2 2 5 4" xfId="10919" xr:uid="{9B9BB48F-044D-46C5-9076-6AFD88C68397}"/>
    <cellStyle name="40% - Accent3 2 2 5 4 2" xfId="29515" xr:uid="{E9388C49-436C-46A9-AB20-87218789CCD9}"/>
    <cellStyle name="40% - Accent3 2 2 5 5" xfId="20218" xr:uid="{5FE9CC69-86DC-4BF3-A572-A461C36C0158}"/>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AF573ECD-7D0A-44D4-AB0D-EBCD9AC51928}"/>
    <cellStyle name="40% - Accent3 2 2 6 2 2 2 2" xfId="36290" xr:uid="{829018D2-BF43-4219-9F84-2534915FB8D5}"/>
    <cellStyle name="40% - Accent3 2 2 6 2 2 3" xfId="26993" xr:uid="{C90F18E1-392C-46C5-8EEF-F73A31B93C80}"/>
    <cellStyle name="40% - Accent3 2 2 6 2 3" xfId="13477" xr:uid="{9B67D5A4-2830-4B70-A87D-27940267803E}"/>
    <cellStyle name="40% - Accent3 2 2 6 2 3 2" xfId="32073" xr:uid="{9F52E307-71B4-4ADA-B4FF-D00D8F8A55AB}"/>
    <cellStyle name="40% - Accent3 2 2 6 2 4" xfId="22776" xr:uid="{43956301-66F2-44BA-857B-B5844763751D}"/>
    <cellStyle name="40% - Accent3 2 2 6 3" xfId="6223" xr:uid="{00000000-0005-0000-0000-000027050000}"/>
    <cellStyle name="40% - Accent3 2 2 6 3 2" xfId="15549" xr:uid="{BBDA866E-6FD0-48D5-ADD6-162DE95FEFFE}"/>
    <cellStyle name="40% - Accent3 2 2 6 3 2 2" xfId="34145" xr:uid="{F5268CA4-AAFA-43E2-801C-DD864AEDDD8B}"/>
    <cellStyle name="40% - Accent3 2 2 6 3 3" xfId="24848" xr:uid="{C6DA37D0-DE5D-49AB-9A15-E97E49657A19}"/>
    <cellStyle name="40% - Accent3 2 2 6 4" xfId="11332" xr:uid="{EED8FA68-D393-4D31-B646-8EDF77088222}"/>
    <cellStyle name="40% - Accent3 2 2 6 4 2" xfId="29928" xr:uid="{CF9C9DA7-8B2B-4C72-9E5D-98431DCAE4D5}"/>
    <cellStyle name="40% - Accent3 2 2 6 5" xfId="20631" xr:uid="{10C9CB53-4AA0-48E0-828C-D099ECFBF141}"/>
    <cellStyle name="40% - Accent3 2 2 7" xfId="2330" xr:uid="{00000000-0005-0000-0000-000028050000}"/>
    <cellStyle name="40% - Accent3 2 2 7 2" xfId="6636" xr:uid="{00000000-0005-0000-0000-000029050000}"/>
    <cellStyle name="40% - Accent3 2 2 7 2 2" xfId="15962" xr:uid="{12E751CD-8076-4349-BBAA-6A1E5535B514}"/>
    <cellStyle name="40% - Accent3 2 2 7 2 2 2" xfId="34558" xr:uid="{6A5E7F66-39A7-4B53-92A9-056CE0495133}"/>
    <cellStyle name="40% - Accent3 2 2 7 2 3" xfId="25261" xr:uid="{C3BA0A1C-F794-4E4E-B816-A20767C67F8E}"/>
    <cellStyle name="40% - Accent3 2 2 7 3" xfId="11745" xr:uid="{B4553578-C3FC-45BF-815F-7AB42586A486}"/>
    <cellStyle name="40% - Accent3 2 2 7 3 2" xfId="30341" xr:uid="{C5AACD3F-18A6-49DF-B4C4-F846A2CF7FAE}"/>
    <cellStyle name="40% - Accent3 2 2 7 4" xfId="21044" xr:uid="{ECD2D727-3FC1-498B-9B6A-B7AF2A5141E0}"/>
    <cellStyle name="40% - Accent3 2 2 8" xfId="4570" xr:uid="{00000000-0005-0000-0000-00002A050000}"/>
    <cellStyle name="40% - Accent3 2 2 8 2" xfId="13896" xr:uid="{C4B44CB3-19A2-4B1F-AFAF-63C9142ABE99}"/>
    <cellStyle name="40% - Accent3 2 2 8 2 2" xfId="32492" xr:uid="{5AEAEC33-1EDC-4CF8-AF98-457DA1BD3FD2}"/>
    <cellStyle name="40% - Accent3 2 2 8 3" xfId="23195" xr:uid="{62BA0E01-5F13-46B4-9424-4929B13D9C67}"/>
    <cellStyle name="40% - Accent3 2 2 9" xfId="8903" xr:uid="{D9C85917-26AE-466C-8B98-905BCDA9E329}"/>
    <cellStyle name="40% - Accent3 2 2 9 2" xfId="18227" xr:uid="{892FDE29-22C1-4354-9053-A9D9A6B4FB26}"/>
    <cellStyle name="40% - Accent3 2 2 9 2 2" xfId="36822" xr:uid="{37C0642F-450D-43A2-8F4D-BB9D510EAF1C}"/>
    <cellStyle name="40% - Accent3 2 2 9 3" xfId="27525" xr:uid="{35AE863F-DD2B-4446-8F5F-339B6D1CF56A}"/>
    <cellStyle name="40% - Accent3 2 3" xfId="69" xr:uid="{00000000-0005-0000-0000-00002B050000}"/>
    <cellStyle name="40% - Accent3 2 3 10" xfId="18980" xr:uid="{283341A5-6B82-4E6C-92C7-FD4B7EA8B755}"/>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C83582DC-C057-4D6C-8F50-65DD899C193D}"/>
    <cellStyle name="40% - Accent3 2 3 2 2 2 2 2" xfId="35053" xr:uid="{D570E208-3C69-4069-B59C-14B21CBA9812}"/>
    <cellStyle name="40% - Accent3 2 3 2 2 2 3" xfId="25756" xr:uid="{627D1E4A-AE63-4C05-AC46-3FD1ADA916DB}"/>
    <cellStyle name="40% - Accent3 2 3 2 2 3" xfId="12240" xr:uid="{7C07D97F-7E8C-457B-95F6-01843A8B687F}"/>
    <cellStyle name="40% - Accent3 2 3 2 2 3 2" xfId="30836" xr:uid="{AE08B2D9-01BB-44C2-B296-3BDC2C3F4D08}"/>
    <cellStyle name="40% - Accent3 2 3 2 2 4" xfId="21539" xr:uid="{C7F96550-2F99-40B1-A207-C2E5FD9C7179}"/>
    <cellStyle name="40% - Accent3 2 3 2 3" xfId="4986" xr:uid="{00000000-0005-0000-0000-00002F050000}"/>
    <cellStyle name="40% - Accent3 2 3 2 3 2" xfId="14312" xr:uid="{28577E8E-FEEE-4583-8AB3-2750FECFC413}"/>
    <cellStyle name="40% - Accent3 2 3 2 3 2 2" xfId="32908" xr:uid="{7CA5FD47-ED48-476F-80E0-EE5497E3FF42}"/>
    <cellStyle name="40% - Accent3 2 3 2 3 3" xfId="23611" xr:uid="{053E273A-4D14-41AD-A178-EB4D11A82565}"/>
    <cellStyle name="40% - Accent3 2 3 2 4" xfId="9432" xr:uid="{54D6848B-0200-4F42-820D-262A8F9A2C0F}"/>
    <cellStyle name="40% - Accent3 2 3 2 4 2" xfId="18747" xr:uid="{53717ACE-6D2C-40E3-A25E-18597FA1A580}"/>
    <cellStyle name="40% - Accent3 2 3 2 4 2 2" xfId="37341" xr:uid="{8720BA8D-CFB0-4FCB-8574-6D754E8E9BEE}"/>
    <cellStyle name="40% - Accent3 2 3 2 4 3" xfId="28044" xr:uid="{6540CAD7-2560-4504-88B5-3979B0EBBE09}"/>
    <cellStyle name="40% - Accent3 2 3 2 5" xfId="10095" xr:uid="{8D1CDCBD-1929-47C3-B84F-9C04D8580EB6}"/>
    <cellStyle name="40% - Accent3 2 3 2 5 2" xfId="28691" xr:uid="{4E41A88F-4507-4F9C-A505-3830D476B76F}"/>
    <cellStyle name="40% - Accent3 2 3 2 6" xfId="19394" xr:uid="{D92C7009-4B99-4B6E-A850-F2266F157CB7}"/>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CAF2AE46-C4A7-4628-A932-3E8E8F7E7B51}"/>
    <cellStyle name="40% - Accent3 2 3 3 2 2 2 2" xfId="35466" xr:uid="{B6CDD6EF-B8E2-4080-A6E7-BDCF10B7C8F1}"/>
    <cellStyle name="40% - Accent3 2 3 3 2 2 3" xfId="26169" xr:uid="{72CE8497-554D-436B-8EE2-E02C22A40606}"/>
    <cellStyle name="40% - Accent3 2 3 3 2 3" xfId="12653" xr:uid="{0297FA52-A92E-482A-8E98-E91C01B182A6}"/>
    <cellStyle name="40% - Accent3 2 3 3 2 3 2" xfId="31249" xr:uid="{59446D0B-FDFF-46E8-994F-3046E554D8FA}"/>
    <cellStyle name="40% - Accent3 2 3 3 2 4" xfId="21952" xr:uid="{7989AF87-9245-409D-BA93-BC2A2B650425}"/>
    <cellStyle name="40% - Accent3 2 3 3 3" xfId="5399" xr:uid="{00000000-0005-0000-0000-000033050000}"/>
    <cellStyle name="40% - Accent3 2 3 3 3 2" xfId="14725" xr:uid="{E0F72B39-78C9-4BD7-ABF6-0D6286CE82AF}"/>
    <cellStyle name="40% - Accent3 2 3 3 3 2 2" xfId="33321" xr:uid="{256C78C8-FCA9-4E11-BF55-74C3F83971F6}"/>
    <cellStyle name="40% - Accent3 2 3 3 3 3" xfId="24024" xr:uid="{76903922-1EE1-433D-8025-F744FE67D325}"/>
    <cellStyle name="40% - Accent3 2 3 3 4" xfId="10508" xr:uid="{CF1D5FFA-80CA-47F8-AE94-1551895CD6C7}"/>
    <cellStyle name="40% - Accent3 2 3 3 4 2" xfId="29104" xr:uid="{CC602572-05B8-4D21-B33D-08CBE67FA22C}"/>
    <cellStyle name="40% - Accent3 2 3 3 5" xfId="19807" xr:uid="{AA481317-A447-41B9-82F0-5E6B6A60F12C}"/>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D7EBC706-3CAC-4CE5-8CF0-F3C3ADC6CE0C}"/>
    <cellStyle name="40% - Accent3 2 3 4 2 2 2 2" xfId="35879" xr:uid="{D253ED22-B0D0-4EFC-8F10-F3BAEBD2E916}"/>
    <cellStyle name="40% - Accent3 2 3 4 2 2 3" xfId="26582" xr:uid="{76E60E0E-CFBC-42BE-8DD3-B3E5E27D4DA2}"/>
    <cellStyle name="40% - Accent3 2 3 4 2 3" xfId="13066" xr:uid="{E8C0DB3D-98CA-4094-9A8C-30B6EF82D80F}"/>
    <cellStyle name="40% - Accent3 2 3 4 2 3 2" xfId="31662" xr:uid="{A0D3D812-6159-436B-A517-73ABBA6BB3C3}"/>
    <cellStyle name="40% - Accent3 2 3 4 2 4" xfId="22365" xr:uid="{A7A0102B-2022-4FAD-8A3D-FF66F98195BD}"/>
    <cellStyle name="40% - Accent3 2 3 4 3" xfId="5812" xr:uid="{00000000-0005-0000-0000-000037050000}"/>
    <cellStyle name="40% - Accent3 2 3 4 3 2" xfId="15138" xr:uid="{CED4825E-22B5-4E50-8949-9AE4B493F53D}"/>
    <cellStyle name="40% - Accent3 2 3 4 3 2 2" xfId="33734" xr:uid="{A698ED39-DEA6-4303-9EF7-DDECA06A536D}"/>
    <cellStyle name="40% - Accent3 2 3 4 3 3" xfId="24437" xr:uid="{10ADB3FC-FDCA-4563-B07B-7E86A91546A8}"/>
    <cellStyle name="40% - Accent3 2 3 4 4" xfId="10921" xr:uid="{2249C16E-3D4C-4530-B501-ECBF289A16C4}"/>
    <cellStyle name="40% - Accent3 2 3 4 4 2" xfId="29517" xr:uid="{CAE5075F-E5E6-4E24-87FC-DB7134E6686A}"/>
    <cellStyle name="40% - Accent3 2 3 4 5" xfId="20220" xr:uid="{20D6EA5C-2509-45DF-A746-EF7ED0361328}"/>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A18B5409-3756-4A1E-ACF1-4A09E45CB389}"/>
    <cellStyle name="40% - Accent3 2 3 5 2 2 2 2" xfId="36292" xr:uid="{1139A4C8-F13B-4720-94B2-17B6F3986233}"/>
    <cellStyle name="40% - Accent3 2 3 5 2 2 3" xfId="26995" xr:uid="{3D236D89-4440-4375-8AE7-DB87AFD3A78A}"/>
    <cellStyle name="40% - Accent3 2 3 5 2 3" xfId="13479" xr:uid="{86AD3BD5-91D4-4C25-B881-0EAA2D98E3FF}"/>
    <cellStyle name="40% - Accent3 2 3 5 2 3 2" xfId="32075" xr:uid="{4FDC357D-09BF-4767-A455-B9AE611B35EC}"/>
    <cellStyle name="40% - Accent3 2 3 5 2 4" xfId="22778" xr:uid="{9605AA0A-76B6-4F8C-A890-B8714BBAFDEC}"/>
    <cellStyle name="40% - Accent3 2 3 5 3" xfId="6225" xr:uid="{00000000-0005-0000-0000-00003B050000}"/>
    <cellStyle name="40% - Accent3 2 3 5 3 2" xfId="15551" xr:uid="{29AD889C-CAE9-4919-B5CC-5EB786AF1F89}"/>
    <cellStyle name="40% - Accent3 2 3 5 3 2 2" xfId="34147" xr:uid="{27ACC679-6AF8-48F1-A539-692BB562C451}"/>
    <cellStyle name="40% - Accent3 2 3 5 3 3" xfId="24850" xr:uid="{F9C7912D-052C-420C-8D55-0D88F73A4716}"/>
    <cellStyle name="40% - Accent3 2 3 5 4" xfId="11334" xr:uid="{D1242FF1-BB0C-4B9F-8092-179DBE1F6335}"/>
    <cellStyle name="40% - Accent3 2 3 5 4 2" xfId="29930" xr:uid="{BB0B6DF1-82BE-4DD1-86C4-5662DD7F533E}"/>
    <cellStyle name="40% - Accent3 2 3 5 5" xfId="20633" xr:uid="{CA33F992-C7BB-4148-A2E9-F1C6C821DB1B}"/>
    <cellStyle name="40% - Accent3 2 3 6" xfId="2332" xr:uid="{00000000-0005-0000-0000-00003C050000}"/>
    <cellStyle name="40% - Accent3 2 3 6 2" xfId="6638" xr:uid="{00000000-0005-0000-0000-00003D050000}"/>
    <cellStyle name="40% - Accent3 2 3 6 2 2" xfId="15964" xr:uid="{4D534A26-059B-4E66-BCD9-09A79AD525C2}"/>
    <cellStyle name="40% - Accent3 2 3 6 2 2 2" xfId="34560" xr:uid="{6AD3E8E2-42E2-4F9F-961C-2A1837C6F703}"/>
    <cellStyle name="40% - Accent3 2 3 6 2 3" xfId="25263" xr:uid="{61111B4B-1F13-4CA7-B06A-EEBCA031365F}"/>
    <cellStyle name="40% - Accent3 2 3 6 3" xfId="11747" xr:uid="{E01FEF58-D9DA-41E1-B9FD-6F6B7D8F2F1A}"/>
    <cellStyle name="40% - Accent3 2 3 6 3 2" xfId="30343" xr:uid="{D047B0F0-9599-4223-B82C-DF1ACDD95CFC}"/>
    <cellStyle name="40% - Accent3 2 3 6 4" xfId="21046" xr:uid="{D8CA8670-2A99-4FCD-8803-400D02952455}"/>
    <cellStyle name="40% - Accent3 2 3 7" xfId="4572" xr:uid="{00000000-0005-0000-0000-00003E050000}"/>
    <cellStyle name="40% - Accent3 2 3 7 2" xfId="13898" xr:uid="{068D2F57-A8E3-40CA-AEA4-0E79ECEAE9FC}"/>
    <cellStyle name="40% - Accent3 2 3 7 2 2" xfId="32494" xr:uid="{B96D147F-2B4E-4B8D-B7B7-CCBA817A90B7}"/>
    <cellStyle name="40% - Accent3 2 3 7 3" xfId="23197" xr:uid="{45B433D0-3C72-4BB8-B5AA-B5558B5C6597}"/>
    <cellStyle name="40% - Accent3 2 3 8" xfId="9007" xr:uid="{2DEFD82C-2A62-4C1E-AA8D-7F2606BD9091}"/>
    <cellStyle name="40% - Accent3 2 3 8 2" xfId="18331" xr:uid="{BB5B28C4-DEFE-4239-B140-65E9A58FCB6D}"/>
    <cellStyle name="40% - Accent3 2 3 8 2 2" xfId="36926" xr:uid="{3A5AAAD1-BA51-4044-9C6F-BC2D03393C56}"/>
    <cellStyle name="40% - Accent3 2 3 8 3" xfId="27629" xr:uid="{5E05944B-0EF2-4A10-8E38-9DE172252327}"/>
    <cellStyle name="40% - Accent3 2 3 9" xfId="9681" xr:uid="{76392DC8-162C-419F-B742-2A09118E314B}"/>
    <cellStyle name="40% - Accent3 2 3 9 2" xfId="28277" xr:uid="{A91DE76D-C239-44A6-B625-AB52BAB3C66F}"/>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94DD4595-B06C-46BD-9EF1-8B6961074893}"/>
    <cellStyle name="40% - Accent3 2 4 2 2 2 2" xfId="35050" xr:uid="{68ED66A6-52B7-4873-AD12-31BDCFD75BC7}"/>
    <cellStyle name="40% - Accent3 2 4 2 2 3" xfId="25753" xr:uid="{A2261045-5885-4460-A3F4-8A599AEA8A22}"/>
    <cellStyle name="40% - Accent3 2 4 2 3" xfId="12237" xr:uid="{6CFEE253-A0F7-4770-B1B0-B0F74C478728}"/>
    <cellStyle name="40% - Accent3 2 4 2 3 2" xfId="30833" xr:uid="{9194C389-D0CB-4C3B-8393-B66760A0C634}"/>
    <cellStyle name="40% - Accent3 2 4 2 4" xfId="21536" xr:uid="{A98CD876-0337-4268-A085-2F49A1D44CD8}"/>
    <cellStyle name="40% - Accent3 2 4 3" xfId="4983" xr:uid="{00000000-0005-0000-0000-000042050000}"/>
    <cellStyle name="40% - Accent3 2 4 3 2" xfId="14309" xr:uid="{21547B3B-49A6-45B1-88C0-3C126508A6D4}"/>
    <cellStyle name="40% - Accent3 2 4 3 2 2" xfId="32905" xr:uid="{7AB2787A-09EC-4EF9-979D-8EE24F9F85A4}"/>
    <cellStyle name="40% - Accent3 2 4 3 3" xfId="23608" xr:uid="{49461D65-7C13-461F-8222-59B1D8807985}"/>
    <cellStyle name="40% - Accent3 2 4 4" xfId="9224" xr:uid="{6B91012A-BFF2-4F1F-901C-A91F06F80031}"/>
    <cellStyle name="40% - Accent3 2 4 4 2" xfId="18540" xr:uid="{2F5BC166-747C-468F-B64E-851E8672BF38}"/>
    <cellStyle name="40% - Accent3 2 4 4 2 2" xfId="37134" xr:uid="{0D5FF102-5FC9-439F-B8F7-EB02DC1870B3}"/>
    <cellStyle name="40% - Accent3 2 4 4 3" xfId="27837" xr:uid="{81D91C46-22E5-4FA2-854E-9F6AB16E12E4}"/>
    <cellStyle name="40% - Accent3 2 4 5" xfId="10092" xr:uid="{A12701CF-B25F-4F11-8CEC-FFCB892D2516}"/>
    <cellStyle name="40% - Accent3 2 4 5 2" xfId="28688" xr:uid="{133A9392-0885-4B01-B0D6-412DB377894C}"/>
    <cellStyle name="40% - Accent3 2 4 6" xfId="19391" xr:uid="{7A319D46-1927-4715-863B-87D59B1B4AAA}"/>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E6AFA3DE-A16E-47B8-BB6D-3DEE223ADE5D}"/>
    <cellStyle name="40% - Accent3 2 5 2 2 2 2" xfId="35463" xr:uid="{C121E89A-598E-42B0-9680-6950C81A5C78}"/>
    <cellStyle name="40% - Accent3 2 5 2 2 3" xfId="26166" xr:uid="{0A681108-9AB8-4387-B132-F99CA85AB2C6}"/>
    <cellStyle name="40% - Accent3 2 5 2 3" xfId="12650" xr:uid="{D7C184FD-95E9-4BC4-ACBD-5E5011DDD8A1}"/>
    <cellStyle name="40% - Accent3 2 5 2 3 2" xfId="31246" xr:uid="{1E1C3DDC-1C91-4088-BAD2-CBD66D79ACDA}"/>
    <cellStyle name="40% - Accent3 2 5 2 4" xfId="21949" xr:uid="{701461AE-D389-4D3D-A9E5-B019C7E4AA56}"/>
    <cellStyle name="40% - Accent3 2 5 3" xfId="5396" xr:uid="{00000000-0005-0000-0000-000046050000}"/>
    <cellStyle name="40% - Accent3 2 5 3 2" xfId="14722" xr:uid="{7A1B28C4-68F6-4690-A00F-B50C68F3F751}"/>
    <cellStyle name="40% - Accent3 2 5 3 2 2" xfId="33318" xr:uid="{7A067070-506A-4270-9486-E618EF1A87D3}"/>
    <cellStyle name="40% - Accent3 2 5 3 3" xfId="24021" xr:uid="{F1FABCE7-70CC-4F02-8428-6FC026C9F118}"/>
    <cellStyle name="40% - Accent3 2 5 4" xfId="10505" xr:uid="{2B04E83F-DD64-41B0-8D2F-B62E9073B773}"/>
    <cellStyle name="40% - Accent3 2 5 4 2" xfId="29101" xr:uid="{61F32101-7C68-46D3-82BB-3BB60CBD6EE8}"/>
    <cellStyle name="40% - Accent3 2 5 5" xfId="19804" xr:uid="{20C3B953-248B-42D7-89E9-5ECB0C0D9D7A}"/>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636F6861-8E07-4FCF-8EA1-23847461BBFF}"/>
    <cellStyle name="40% - Accent3 2 6 2 2 2 2" xfId="35876" xr:uid="{361E200A-B982-4EB5-9F2E-F9F375B6FC4A}"/>
    <cellStyle name="40% - Accent3 2 6 2 2 3" xfId="26579" xr:uid="{6BA808DE-6C3C-4406-ACD5-E007DC1CD073}"/>
    <cellStyle name="40% - Accent3 2 6 2 3" xfId="13063" xr:uid="{DE39017C-5BF3-437D-8F4E-42A4B7A6E659}"/>
    <cellStyle name="40% - Accent3 2 6 2 3 2" xfId="31659" xr:uid="{816E5615-7E62-4B16-934B-54F6622C31E2}"/>
    <cellStyle name="40% - Accent3 2 6 2 4" xfId="22362" xr:uid="{D5DF0282-37B7-4766-9A0F-DFBC9BCB9998}"/>
    <cellStyle name="40% - Accent3 2 6 3" xfId="5809" xr:uid="{00000000-0005-0000-0000-00004A050000}"/>
    <cellStyle name="40% - Accent3 2 6 3 2" xfId="15135" xr:uid="{9C971DDB-E1C3-4FF4-9BFC-47724EDE2603}"/>
    <cellStyle name="40% - Accent3 2 6 3 2 2" xfId="33731" xr:uid="{633C03DF-50DE-4FCA-8A8F-ADAFE704F0E7}"/>
    <cellStyle name="40% - Accent3 2 6 3 3" xfId="24434" xr:uid="{96A8BA79-2C4A-49E0-A7CB-609D293D7CFE}"/>
    <cellStyle name="40% - Accent3 2 6 4" xfId="10918" xr:uid="{08077B99-B3B3-4999-9E3D-9B5D0A770587}"/>
    <cellStyle name="40% - Accent3 2 6 4 2" xfId="29514" xr:uid="{FD173DD2-5DCC-4671-8B2E-96A9DE37D5A9}"/>
    <cellStyle name="40% - Accent3 2 6 5" xfId="20217" xr:uid="{88555F69-67FA-4DF3-9168-8B7A85ADB9C8}"/>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B0335AF0-CF5B-448E-B5CD-2C5CEE0BE057}"/>
    <cellStyle name="40% - Accent3 2 7 2 2 2 2" xfId="36289" xr:uid="{887DCDFF-CF66-4525-91A0-DDD83AB35245}"/>
    <cellStyle name="40% - Accent3 2 7 2 2 3" xfId="26992" xr:uid="{E19104BC-3257-4E89-9DAD-04D1D15F7B63}"/>
    <cellStyle name="40% - Accent3 2 7 2 3" xfId="13476" xr:uid="{05F88352-CD52-4B06-94CB-73E0BEE1AC6F}"/>
    <cellStyle name="40% - Accent3 2 7 2 3 2" xfId="32072" xr:uid="{8C50F004-A41D-4D41-A079-8184DC71B5A5}"/>
    <cellStyle name="40% - Accent3 2 7 2 4" xfId="22775" xr:uid="{82902F8F-452A-4F12-BDD2-DBAE10188DE1}"/>
    <cellStyle name="40% - Accent3 2 7 3" xfId="6222" xr:uid="{00000000-0005-0000-0000-00004E050000}"/>
    <cellStyle name="40% - Accent3 2 7 3 2" xfId="15548" xr:uid="{C2DB81C9-4F64-4B95-9E54-3E666B10DE10}"/>
    <cellStyle name="40% - Accent3 2 7 3 2 2" xfId="34144" xr:uid="{10CE096F-9C1F-4457-BD91-7C5083555023}"/>
    <cellStyle name="40% - Accent3 2 7 3 3" xfId="24847" xr:uid="{9C38CB73-13CA-4BA1-85AC-09B5C7C4FF51}"/>
    <cellStyle name="40% - Accent3 2 7 4" xfId="11331" xr:uid="{54DF679B-87EF-462C-84D3-DB17EA920B41}"/>
    <cellStyle name="40% - Accent3 2 7 4 2" xfId="29927" xr:uid="{1DCE4AC9-C760-42B2-B5A2-1C7D67397594}"/>
    <cellStyle name="40% - Accent3 2 7 5" xfId="20630" xr:uid="{EECBB36A-52EC-4A01-8910-3B7A81A8B43F}"/>
    <cellStyle name="40% - Accent3 2 8" xfId="2329" xr:uid="{00000000-0005-0000-0000-00004F050000}"/>
    <cellStyle name="40% - Accent3 2 8 2" xfId="6635" xr:uid="{00000000-0005-0000-0000-000050050000}"/>
    <cellStyle name="40% - Accent3 2 8 2 2" xfId="15961" xr:uid="{8AF462AF-A7BA-48CE-9196-32ACC284D863}"/>
    <cellStyle name="40% - Accent3 2 8 2 2 2" xfId="34557" xr:uid="{3A10F549-E47A-496E-9D5B-7CC614ED7173}"/>
    <cellStyle name="40% - Accent3 2 8 2 3" xfId="25260" xr:uid="{50262527-A786-4FF8-A9CD-DB2B40FA6CF9}"/>
    <cellStyle name="40% - Accent3 2 8 3" xfId="11744" xr:uid="{A7E65942-7033-4554-8158-F7BE24BD2941}"/>
    <cellStyle name="40% - Accent3 2 8 3 2" xfId="30340" xr:uid="{ADA1BA31-2E76-4686-ADDD-985C0F9E748C}"/>
    <cellStyle name="40% - Accent3 2 8 4" xfId="21043" xr:uid="{20D0767C-9D63-407C-A201-9A75F2011EE1}"/>
    <cellStyle name="40% - Accent3 2 9" xfId="4569" xr:uid="{00000000-0005-0000-0000-000051050000}"/>
    <cellStyle name="40% - Accent3 2 9 2" xfId="13895" xr:uid="{6F7826B6-368B-4834-A7B9-D9B925565613}"/>
    <cellStyle name="40% - Accent3 2 9 2 2" xfId="32491" xr:uid="{2FFEC320-64C3-4D4F-AD0B-07A5F05DCB7F}"/>
    <cellStyle name="40% - Accent3 2 9 3" xfId="23194" xr:uid="{3616DA26-70EC-4975-8D83-2ED3477A00CE}"/>
    <cellStyle name="40% - Accent3 3" xfId="70" xr:uid="{00000000-0005-0000-0000-000052050000}"/>
    <cellStyle name="40% - Accent3 3 10" xfId="9682" xr:uid="{62B6AEA9-9250-4EB4-85A8-CBDB16869CEB}"/>
    <cellStyle name="40% - Accent3 3 10 2" xfId="28278" xr:uid="{DB8FC5CA-9143-4E8C-BA7D-34CD8151722F}"/>
    <cellStyle name="40% - Accent3 3 11" xfId="18981" xr:uid="{5F76B254-98A4-41F9-B776-F4FD8A311D48}"/>
    <cellStyle name="40% - Accent3 3 2" xfId="71" xr:uid="{00000000-0005-0000-0000-000053050000}"/>
    <cellStyle name="40% - Accent3 3 2 10" xfId="18982" xr:uid="{02B89B9F-4577-445C-9A7E-2849CC23CF0A}"/>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F0B49CC0-3E97-40B0-8681-46BA146A7CE7}"/>
    <cellStyle name="40% - Accent3 3 2 2 2 2 2 2" xfId="35055" xr:uid="{0BABB335-D333-41ED-80B4-6956AB3BD9B1}"/>
    <cellStyle name="40% - Accent3 3 2 2 2 2 3" xfId="25758" xr:uid="{B9CF7359-861D-4C6A-870A-A0367EDFF6DB}"/>
    <cellStyle name="40% - Accent3 3 2 2 2 3" xfId="12242" xr:uid="{B1696FB4-4300-4974-B841-226E47FA2470}"/>
    <cellStyle name="40% - Accent3 3 2 2 2 3 2" xfId="30838" xr:uid="{C0ED65B8-FA4B-461F-9D64-9A908C6C4E3A}"/>
    <cellStyle name="40% - Accent3 3 2 2 2 4" xfId="21541" xr:uid="{67F95369-7645-4901-8093-DD5C51E1C2A7}"/>
    <cellStyle name="40% - Accent3 3 2 2 3" xfId="4988" xr:uid="{00000000-0005-0000-0000-000057050000}"/>
    <cellStyle name="40% - Accent3 3 2 2 3 2" xfId="14314" xr:uid="{66CC566F-C01D-4DB9-BBA6-3D4C9E634F01}"/>
    <cellStyle name="40% - Accent3 3 2 2 3 2 2" xfId="32910" xr:uid="{B6D399A3-DED0-4D43-A7BD-11F301B69307}"/>
    <cellStyle name="40% - Accent3 3 2 2 3 3" xfId="23613" xr:uid="{EDCB5557-EA85-434D-85F2-DAFC4BA60A9E}"/>
    <cellStyle name="40% - Accent3 3 2 2 4" xfId="9498" xr:uid="{7C43CF58-5AE0-4BAA-9D2B-CAB92F3612F1}"/>
    <cellStyle name="40% - Accent3 3 2 2 4 2" xfId="18813" xr:uid="{452F4DCA-BB09-4327-877F-B1BAC91EC7F5}"/>
    <cellStyle name="40% - Accent3 3 2 2 4 2 2" xfId="37407" xr:uid="{544E75DD-17EF-4FC7-8FAD-60E8EF0E5421}"/>
    <cellStyle name="40% - Accent3 3 2 2 4 3" xfId="28110" xr:uid="{D16B45B5-E3B1-4BF6-ABBB-A9870DA4FD84}"/>
    <cellStyle name="40% - Accent3 3 2 2 5" xfId="10097" xr:uid="{81AA2CC5-EFFA-413C-A697-AD75B03251C1}"/>
    <cellStyle name="40% - Accent3 3 2 2 5 2" xfId="28693" xr:uid="{CFCD9DF3-6E50-410C-B8F6-6FF0A3E1A35A}"/>
    <cellStyle name="40% - Accent3 3 2 2 6" xfId="19396" xr:uid="{D5A24247-2058-4609-8AB4-590E385BB0FB}"/>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F1642F8A-E7BC-47CA-B4CD-B12A08B4C8DC}"/>
    <cellStyle name="40% - Accent3 3 2 3 2 2 2 2" xfId="35468" xr:uid="{0D8B79F6-F53C-47A8-A5CD-40AFB41C700C}"/>
    <cellStyle name="40% - Accent3 3 2 3 2 2 3" xfId="26171" xr:uid="{CF3CCC79-1F1A-4C6B-8719-57DEE087374A}"/>
    <cellStyle name="40% - Accent3 3 2 3 2 3" xfId="12655" xr:uid="{94B57043-B109-414C-99EB-1970218E4335}"/>
    <cellStyle name="40% - Accent3 3 2 3 2 3 2" xfId="31251" xr:uid="{C28E2099-1DE9-417E-B0AF-743898D10792}"/>
    <cellStyle name="40% - Accent3 3 2 3 2 4" xfId="21954" xr:uid="{63156456-ACF6-4B5F-8849-AD43745A10CE}"/>
    <cellStyle name="40% - Accent3 3 2 3 3" xfId="5401" xr:uid="{00000000-0005-0000-0000-00005B050000}"/>
    <cellStyle name="40% - Accent3 3 2 3 3 2" xfId="14727" xr:uid="{72573CBA-A2C1-4B65-8489-5014976345F2}"/>
    <cellStyle name="40% - Accent3 3 2 3 3 2 2" xfId="33323" xr:uid="{445D76F9-6031-4234-887C-1A815BBDE8E8}"/>
    <cellStyle name="40% - Accent3 3 2 3 3 3" xfId="24026" xr:uid="{FC983A1F-3104-4E55-AEF4-0410C234D0FA}"/>
    <cellStyle name="40% - Accent3 3 2 3 4" xfId="10510" xr:uid="{7BF07A20-5109-4C7E-9E14-506FD5150544}"/>
    <cellStyle name="40% - Accent3 3 2 3 4 2" xfId="29106" xr:uid="{B7239191-6B18-4A31-95B3-C0FA7BDCA854}"/>
    <cellStyle name="40% - Accent3 3 2 3 5" xfId="19809" xr:uid="{F1943D10-C7A8-47C1-B610-881067FC5FE8}"/>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4CAE0D0D-F733-406D-AF68-7E920277CA00}"/>
    <cellStyle name="40% - Accent3 3 2 4 2 2 2 2" xfId="35881" xr:uid="{17BD68B2-C3D7-45BA-8A21-1AAF913B72D6}"/>
    <cellStyle name="40% - Accent3 3 2 4 2 2 3" xfId="26584" xr:uid="{1F43C053-F1E6-493C-9E93-17E333BF6205}"/>
    <cellStyle name="40% - Accent3 3 2 4 2 3" xfId="13068" xr:uid="{C281ED91-B9B7-403A-B291-9F093E1A433A}"/>
    <cellStyle name="40% - Accent3 3 2 4 2 3 2" xfId="31664" xr:uid="{ED626A72-4427-4E27-92F7-E72560274712}"/>
    <cellStyle name="40% - Accent3 3 2 4 2 4" xfId="22367" xr:uid="{59ECEB47-78BE-46FD-87FD-6ED1542BA0D7}"/>
    <cellStyle name="40% - Accent3 3 2 4 3" xfId="5814" xr:uid="{00000000-0005-0000-0000-00005F050000}"/>
    <cellStyle name="40% - Accent3 3 2 4 3 2" xfId="15140" xr:uid="{439F07A2-0DFC-45C0-B762-F642D2F1DE75}"/>
    <cellStyle name="40% - Accent3 3 2 4 3 2 2" xfId="33736" xr:uid="{14BF48EE-61ED-42CE-8870-E608F24D1655}"/>
    <cellStyle name="40% - Accent3 3 2 4 3 3" xfId="24439" xr:uid="{63698CF0-6F19-4AF5-9C2B-985A16A626E5}"/>
    <cellStyle name="40% - Accent3 3 2 4 4" xfId="10923" xr:uid="{DBC4D93F-97BF-4DA4-970F-D1D8643307C8}"/>
    <cellStyle name="40% - Accent3 3 2 4 4 2" xfId="29519" xr:uid="{C27C93C4-DFC4-4ED1-A964-E36DA60D2778}"/>
    <cellStyle name="40% - Accent3 3 2 4 5" xfId="20222" xr:uid="{0F885828-8428-43E1-998C-11C7A5C62D69}"/>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2F5BA2C6-2266-4F4A-B320-A4A62A358BDF}"/>
    <cellStyle name="40% - Accent3 3 2 5 2 2 2 2" xfId="36294" xr:uid="{F6927558-00C4-45A0-B516-710712160978}"/>
    <cellStyle name="40% - Accent3 3 2 5 2 2 3" xfId="26997" xr:uid="{72AD1035-EE44-4116-B8FE-89ED34B64FE4}"/>
    <cellStyle name="40% - Accent3 3 2 5 2 3" xfId="13481" xr:uid="{67C7ABAD-B272-42F5-8741-49089E59412C}"/>
    <cellStyle name="40% - Accent3 3 2 5 2 3 2" xfId="32077" xr:uid="{DC98D5F4-2651-492B-9F9C-F863DB99A110}"/>
    <cellStyle name="40% - Accent3 3 2 5 2 4" xfId="22780" xr:uid="{C1EB01BF-3449-4DD7-B29D-F7509A09ADC7}"/>
    <cellStyle name="40% - Accent3 3 2 5 3" xfId="6227" xr:uid="{00000000-0005-0000-0000-000063050000}"/>
    <cellStyle name="40% - Accent3 3 2 5 3 2" xfId="15553" xr:uid="{0229187E-785D-4E3C-B14E-3032F130D9F8}"/>
    <cellStyle name="40% - Accent3 3 2 5 3 2 2" xfId="34149" xr:uid="{F11262CC-FB50-4A69-8F60-AF2839A830A5}"/>
    <cellStyle name="40% - Accent3 3 2 5 3 3" xfId="24852" xr:uid="{3DA39D6B-34D9-4B30-BF52-28D42E62BDA2}"/>
    <cellStyle name="40% - Accent3 3 2 5 4" xfId="11336" xr:uid="{CBE03587-30D7-4194-8ED8-F11C2A2F6170}"/>
    <cellStyle name="40% - Accent3 3 2 5 4 2" xfId="29932" xr:uid="{A80886A7-F2A8-4B00-BA9C-6B8FB322F296}"/>
    <cellStyle name="40% - Accent3 3 2 5 5" xfId="20635" xr:uid="{81EA338F-6C39-42FD-A200-F7C134A1938E}"/>
    <cellStyle name="40% - Accent3 3 2 6" xfId="2334" xr:uid="{00000000-0005-0000-0000-000064050000}"/>
    <cellStyle name="40% - Accent3 3 2 6 2" xfId="6640" xr:uid="{00000000-0005-0000-0000-000065050000}"/>
    <cellStyle name="40% - Accent3 3 2 6 2 2" xfId="15966" xr:uid="{F2B56025-A104-4A30-88A3-749698B51896}"/>
    <cellStyle name="40% - Accent3 3 2 6 2 2 2" xfId="34562" xr:uid="{EB0D1CD9-6536-4A6D-BE8B-555631E89D93}"/>
    <cellStyle name="40% - Accent3 3 2 6 2 3" xfId="25265" xr:uid="{26DA4D98-AE47-4C4A-A8D5-BF7282ADF799}"/>
    <cellStyle name="40% - Accent3 3 2 6 3" xfId="11749" xr:uid="{4007EDAF-40D0-4F70-84F4-A31EF3DFF014}"/>
    <cellStyle name="40% - Accent3 3 2 6 3 2" xfId="30345" xr:uid="{819A3B5B-D338-4F56-8A7A-58EDC426946C}"/>
    <cellStyle name="40% - Accent3 3 2 6 4" xfId="21048" xr:uid="{23B804D9-7C0D-48E2-ADFE-4DC7FCF79522}"/>
    <cellStyle name="40% - Accent3 3 2 7" xfId="4574" xr:uid="{00000000-0005-0000-0000-000066050000}"/>
    <cellStyle name="40% - Accent3 3 2 7 2" xfId="13900" xr:uid="{A7FCC6E9-F835-4566-A395-33E1E9ECFB27}"/>
    <cellStyle name="40% - Accent3 3 2 7 2 2" xfId="32496" xr:uid="{CD67FC06-C1F6-4A64-9783-4EFFA9C5FF76}"/>
    <cellStyle name="40% - Accent3 3 2 7 3" xfId="23199" xr:uid="{BDB89519-A454-41BB-9F3D-31F09A3E0830}"/>
    <cellStyle name="40% - Accent3 3 2 8" xfId="9073" xr:uid="{0E71C752-2CF0-411D-A05E-4DA4A73CFC34}"/>
    <cellStyle name="40% - Accent3 3 2 8 2" xfId="18397" xr:uid="{65537E3E-4D38-435F-AEC8-45B963264FC4}"/>
    <cellStyle name="40% - Accent3 3 2 8 2 2" xfId="36992" xr:uid="{9227CC6B-483D-40BB-88DC-78EC13C484EB}"/>
    <cellStyle name="40% - Accent3 3 2 8 3" xfId="27695" xr:uid="{110B2E7A-620C-4725-B018-966EFECCCDB2}"/>
    <cellStyle name="40% - Accent3 3 2 9" xfId="9683" xr:uid="{664C45C6-762F-427A-8F1B-71AABB9B60D4}"/>
    <cellStyle name="40% - Accent3 3 2 9 2" xfId="28279" xr:uid="{3ABB2010-1952-4BD1-800D-81B146BF9D55}"/>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95CF3ECB-82DA-41AC-9F51-611779128851}"/>
    <cellStyle name="40% - Accent3 3 3 2 2 2 2" xfId="35054" xr:uid="{1E2CB213-7877-401F-B306-DC11BFAFB12E}"/>
    <cellStyle name="40% - Accent3 3 3 2 2 3" xfId="25757" xr:uid="{6BA4A313-29C8-4C93-89A5-71B5CA10B439}"/>
    <cellStyle name="40% - Accent3 3 3 2 3" xfId="12241" xr:uid="{12119D8C-F7FC-42DC-8C1F-7F4067135BF6}"/>
    <cellStyle name="40% - Accent3 3 3 2 3 2" xfId="30837" xr:uid="{6A6A6DA7-E235-4104-9626-5AC22730B3D2}"/>
    <cellStyle name="40% - Accent3 3 3 2 4" xfId="21540" xr:uid="{6798CBDB-CD71-497E-8467-2884D1DFC160}"/>
    <cellStyle name="40% - Accent3 3 3 3" xfId="4987" xr:uid="{00000000-0005-0000-0000-00006A050000}"/>
    <cellStyle name="40% - Accent3 3 3 3 2" xfId="14313" xr:uid="{29AB6091-08AA-49CB-89A2-090E06771EBE}"/>
    <cellStyle name="40% - Accent3 3 3 3 2 2" xfId="32909" xr:uid="{E14C5905-BB6A-48DE-A762-9DAFB7DF8D3A}"/>
    <cellStyle name="40% - Accent3 3 3 3 3" xfId="23612" xr:uid="{1F772634-0B9E-44E4-A1DC-4D4E41E68511}"/>
    <cellStyle name="40% - Accent3 3 3 4" xfId="9291" xr:uid="{59AB3F6D-A8C6-4A37-A8E3-967850079A77}"/>
    <cellStyle name="40% - Accent3 3 3 4 2" xfId="18606" xr:uid="{EB04718E-3F8A-494F-B702-88C0E9BDFA7E}"/>
    <cellStyle name="40% - Accent3 3 3 4 2 2" xfId="37200" xr:uid="{5EBB4EC0-3A1D-4489-BA18-03A2D063CAC7}"/>
    <cellStyle name="40% - Accent3 3 3 4 3" xfId="27903" xr:uid="{ADB621E7-7A3C-476B-A227-F01AB2FD3B2E}"/>
    <cellStyle name="40% - Accent3 3 3 5" xfId="10096" xr:uid="{9A27AF39-D5D6-4209-A4AA-FA3F83EE98C6}"/>
    <cellStyle name="40% - Accent3 3 3 5 2" xfId="28692" xr:uid="{A9D14256-951D-48BD-BAE9-4F152763BC71}"/>
    <cellStyle name="40% - Accent3 3 3 6" xfId="19395" xr:uid="{13D02255-D953-4EDB-B9C1-8B5B41070409}"/>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E5D37DC2-E62D-4DE7-B2C5-4959FB0749FF}"/>
    <cellStyle name="40% - Accent3 3 4 2 2 2 2" xfId="35467" xr:uid="{128BAC47-838F-4581-8EEF-146A0755D9D1}"/>
    <cellStyle name="40% - Accent3 3 4 2 2 3" xfId="26170" xr:uid="{407C87EA-E6F3-45F7-99B5-709D5619D4BD}"/>
    <cellStyle name="40% - Accent3 3 4 2 3" xfId="12654" xr:uid="{1E360236-5D45-4E38-B7D8-CD4C5DA5313C}"/>
    <cellStyle name="40% - Accent3 3 4 2 3 2" xfId="31250" xr:uid="{3B564504-665B-4426-AD9B-CDED5EB5E4E6}"/>
    <cellStyle name="40% - Accent3 3 4 2 4" xfId="21953" xr:uid="{7D61B246-AE6E-41CC-83E7-1FDA798216E4}"/>
    <cellStyle name="40% - Accent3 3 4 3" xfId="5400" xr:uid="{00000000-0005-0000-0000-00006E050000}"/>
    <cellStyle name="40% - Accent3 3 4 3 2" xfId="14726" xr:uid="{3D5799F0-AFBA-40ED-9720-A0C97767CE14}"/>
    <cellStyle name="40% - Accent3 3 4 3 2 2" xfId="33322" xr:uid="{BFEFC532-A5A5-450E-AC7C-8ACC1EB38138}"/>
    <cellStyle name="40% - Accent3 3 4 3 3" xfId="24025" xr:uid="{B21D8726-32E0-47FA-ABB9-1087C673E7EB}"/>
    <cellStyle name="40% - Accent3 3 4 4" xfId="10509" xr:uid="{A43023AF-61F9-47A5-B563-71184321A0AA}"/>
    <cellStyle name="40% - Accent3 3 4 4 2" xfId="29105" xr:uid="{C7470FDE-2FAB-4864-A025-170CD7C6041C}"/>
    <cellStyle name="40% - Accent3 3 4 5" xfId="19808" xr:uid="{532E0563-09A9-4855-AE1F-A2B4964E8105}"/>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4299C5E1-942A-4CD7-95DD-DD0906C78177}"/>
    <cellStyle name="40% - Accent3 3 5 2 2 2 2" xfId="35880" xr:uid="{6417CC7A-6EB9-4BA9-8077-F37A63F07832}"/>
    <cellStyle name="40% - Accent3 3 5 2 2 3" xfId="26583" xr:uid="{914C1C1A-6F93-4C73-BCB4-F739188B4A75}"/>
    <cellStyle name="40% - Accent3 3 5 2 3" xfId="13067" xr:uid="{43AE439D-133C-4056-B10A-2043BA2CB23F}"/>
    <cellStyle name="40% - Accent3 3 5 2 3 2" xfId="31663" xr:uid="{BCF6CB00-7F81-4118-A6E4-AE87F0F3E850}"/>
    <cellStyle name="40% - Accent3 3 5 2 4" xfId="22366" xr:uid="{2301EAAB-7D82-4726-82CE-F22A46CC9F33}"/>
    <cellStyle name="40% - Accent3 3 5 3" xfId="5813" xr:uid="{00000000-0005-0000-0000-000072050000}"/>
    <cellStyle name="40% - Accent3 3 5 3 2" xfId="15139" xr:uid="{9D72EA22-D954-479C-BE70-1987E884165A}"/>
    <cellStyle name="40% - Accent3 3 5 3 2 2" xfId="33735" xr:uid="{616D0A6A-3234-4077-BC8C-0D1341982A43}"/>
    <cellStyle name="40% - Accent3 3 5 3 3" xfId="24438" xr:uid="{B4C31BAF-B08E-473E-86C8-E316A358A65C}"/>
    <cellStyle name="40% - Accent3 3 5 4" xfId="10922" xr:uid="{F2B0C784-2A00-4A43-AFFF-826145CF3E77}"/>
    <cellStyle name="40% - Accent3 3 5 4 2" xfId="29518" xr:uid="{DEE78439-1C9D-486E-A1DB-F8BF49FA208E}"/>
    <cellStyle name="40% - Accent3 3 5 5" xfId="20221" xr:uid="{DCB8B890-02F6-4653-BC5A-ED00E45DF3F7}"/>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EC2B4108-E92B-4202-B572-C5A3803E47E4}"/>
    <cellStyle name="40% - Accent3 3 6 2 2 2 2" xfId="36293" xr:uid="{8E4A1049-4F8E-49DA-A591-ED0061065333}"/>
    <cellStyle name="40% - Accent3 3 6 2 2 3" xfId="26996" xr:uid="{31CCB13B-4B7A-4A9F-B112-C50129CC1EF2}"/>
    <cellStyle name="40% - Accent3 3 6 2 3" xfId="13480" xr:uid="{A06258B9-374E-4BAD-A497-881B8C29943A}"/>
    <cellStyle name="40% - Accent3 3 6 2 3 2" xfId="32076" xr:uid="{4D3C52C5-E699-4C5F-9260-E5A4D082AAD0}"/>
    <cellStyle name="40% - Accent3 3 6 2 4" xfId="22779" xr:uid="{5DDCEE13-B61A-479E-9B10-DFAA6C73F31C}"/>
    <cellStyle name="40% - Accent3 3 6 3" xfId="6226" xr:uid="{00000000-0005-0000-0000-000076050000}"/>
    <cellStyle name="40% - Accent3 3 6 3 2" xfId="15552" xr:uid="{FF81C037-9FB6-4F1D-96B9-82F1746C2C87}"/>
    <cellStyle name="40% - Accent3 3 6 3 2 2" xfId="34148" xr:uid="{6FC4191D-BF49-4DD7-9A67-6A3E59CABAAD}"/>
    <cellStyle name="40% - Accent3 3 6 3 3" xfId="24851" xr:uid="{D41F0970-BFB5-4375-93D7-CDBAF94080BE}"/>
    <cellStyle name="40% - Accent3 3 6 4" xfId="11335" xr:uid="{937286D4-D47F-4880-9AA2-A4D800E4B4B2}"/>
    <cellStyle name="40% - Accent3 3 6 4 2" xfId="29931" xr:uid="{2C14070E-0C66-4CC1-81C4-5A014B6999C2}"/>
    <cellStyle name="40% - Accent3 3 6 5" xfId="20634" xr:uid="{D494BDF7-9787-4FA9-B67B-8B452271F41D}"/>
    <cellStyle name="40% - Accent3 3 7" xfId="2333" xr:uid="{00000000-0005-0000-0000-000077050000}"/>
    <cellStyle name="40% - Accent3 3 7 2" xfId="6639" xr:uid="{00000000-0005-0000-0000-000078050000}"/>
    <cellStyle name="40% - Accent3 3 7 2 2" xfId="15965" xr:uid="{748B1958-78B9-4EDE-8ADD-A896F08BCB61}"/>
    <cellStyle name="40% - Accent3 3 7 2 2 2" xfId="34561" xr:uid="{B3EDC898-DB59-4B12-83DD-1761793DC50A}"/>
    <cellStyle name="40% - Accent3 3 7 2 3" xfId="25264" xr:uid="{3781B284-B565-45FF-A927-9D47F722DE57}"/>
    <cellStyle name="40% - Accent3 3 7 3" xfId="11748" xr:uid="{1AB5D9C5-D11C-4270-A362-FEF3F6A09578}"/>
    <cellStyle name="40% - Accent3 3 7 3 2" xfId="30344" xr:uid="{5E97DBBE-315A-41E4-B84D-1C865853E9F6}"/>
    <cellStyle name="40% - Accent3 3 7 4" xfId="21047" xr:uid="{E0994EA3-15F7-4D38-8663-05C13A2675BE}"/>
    <cellStyle name="40% - Accent3 3 8" xfId="4573" xr:uid="{00000000-0005-0000-0000-000079050000}"/>
    <cellStyle name="40% - Accent3 3 8 2" xfId="13899" xr:uid="{CADCD5A7-FE77-4E76-8DCE-3250BF693ED1}"/>
    <cellStyle name="40% - Accent3 3 8 2 2" xfId="32495" xr:uid="{04236EDE-B04A-44C1-AFCA-88DE15A3EEBC}"/>
    <cellStyle name="40% - Accent3 3 8 3" xfId="23198" xr:uid="{BD59C971-A9BA-463A-9859-0B7F5CC98D2D}"/>
    <cellStyle name="40% - Accent3 3 9" xfId="8866" xr:uid="{1A1EF43E-4A2B-42A8-98A3-CEC34DD3B00D}"/>
    <cellStyle name="40% - Accent3 3 9 2" xfId="18190" xr:uid="{8EAFE329-8F92-4828-A222-D275E232FD71}"/>
    <cellStyle name="40% - Accent3 3 9 2 2" xfId="36785" xr:uid="{09A73556-1FA2-4947-8A6B-93B102AEE396}"/>
    <cellStyle name="40% - Accent3 3 9 3" xfId="27488" xr:uid="{1954DA24-5E9B-4EC9-84AE-6BE3D0A2D759}"/>
    <cellStyle name="40% - Accent3 4" xfId="72" xr:uid="{00000000-0005-0000-0000-00007A050000}"/>
    <cellStyle name="40% - Accent3 4 10" xfId="18983" xr:uid="{4FB5498B-9AEA-4E25-844B-285E83769D44}"/>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1FFFC62D-CB20-4748-A07D-5A1DCB2EA9E0}"/>
    <cellStyle name="40% - Accent3 4 2 2 2 2 2" xfId="35056" xr:uid="{4999B29E-DC19-41A5-8865-3096207F8C70}"/>
    <cellStyle name="40% - Accent3 4 2 2 2 3" xfId="25759" xr:uid="{A8726303-4200-46C2-AE49-039883EDAB50}"/>
    <cellStyle name="40% - Accent3 4 2 2 3" xfId="12243" xr:uid="{D2B93362-EC04-437B-B71E-698A99290CEA}"/>
    <cellStyle name="40% - Accent3 4 2 2 3 2" xfId="30839" xr:uid="{DE65D32C-07BD-460A-B6FC-74A977217E4A}"/>
    <cellStyle name="40% - Accent3 4 2 2 4" xfId="21542" xr:uid="{219F5A46-1292-4875-B788-37C092AAB519}"/>
    <cellStyle name="40% - Accent3 4 2 3" xfId="4989" xr:uid="{00000000-0005-0000-0000-00007E050000}"/>
    <cellStyle name="40% - Accent3 4 2 3 2" xfId="14315" xr:uid="{50713020-C91B-4BD3-80F8-030FC7C15718}"/>
    <cellStyle name="40% - Accent3 4 2 3 2 2" xfId="32911" xr:uid="{3EB60AF0-5CF3-4AD4-A7A9-737A5D10E234}"/>
    <cellStyle name="40% - Accent3 4 2 3 3" xfId="23614" xr:uid="{41808FEB-C192-4C4A-A7A1-DDCFF4D97566}"/>
    <cellStyle name="40% - Accent3 4 2 4" xfId="9377" xr:uid="{F4393833-4E73-4685-9332-CF918D5239A9}"/>
    <cellStyle name="40% - Accent3 4 2 4 2" xfId="18692" xr:uid="{64B21264-6D1E-4C89-9CE9-9C209553AEE1}"/>
    <cellStyle name="40% - Accent3 4 2 4 2 2" xfId="37286" xr:uid="{598A42B1-5259-49B6-98BC-D3018FB4E7E7}"/>
    <cellStyle name="40% - Accent3 4 2 4 3" xfId="27989" xr:uid="{C5E01C01-3DA9-4564-856D-D5FEA955FAEA}"/>
    <cellStyle name="40% - Accent3 4 2 5" xfId="10098" xr:uid="{9310FA98-4930-45CA-9B57-610395E2EDD2}"/>
    <cellStyle name="40% - Accent3 4 2 5 2" xfId="28694" xr:uid="{C9EA38A0-FFBF-4DAA-8668-C79B7762304F}"/>
    <cellStyle name="40% - Accent3 4 2 6" xfId="19397" xr:uid="{6BA7AD49-17C0-401A-A6C2-4CAFAC9249D9}"/>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35DD952C-A7B9-4B2B-819D-62AB32B40C41}"/>
    <cellStyle name="40% - Accent3 4 3 2 2 2 2" xfId="35469" xr:uid="{5CF3D449-6684-4B06-AE7B-F8E098A2EDDA}"/>
    <cellStyle name="40% - Accent3 4 3 2 2 3" xfId="26172" xr:uid="{F77E47B5-9EB9-4C5A-8681-E970FB1CD078}"/>
    <cellStyle name="40% - Accent3 4 3 2 3" xfId="12656" xr:uid="{F71680E7-F8A1-49AE-A418-B82079487E6A}"/>
    <cellStyle name="40% - Accent3 4 3 2 3 2" xfId="31252" xr:uid="{B0DD1A73-D27E-49DE-879D-A504D905607F}"/>
    <cellStyle name="40% - Accent3 4 3 2 4" xfId="21955" xr:uid="{C8F73CDE-2513-4F18-B11F-362B5D1DE0E1}"/>
    <cellStyle name="40% - Accent3 4 3 3" xfId="5402" xr:uid="{00000000-0005-0000-0000-000082050000}"/>
    <cellStyle name="40% - Accent3 4 3 3 2" xfId="14728" xr:uid="{15D1FACA-E557-4806-AB82-3E0444CDAE28}"/>
    <cellStyle name="40% - Accent3 4 3 3 2 2" xfId="33324" xr:uid="{38D366AA-90C3-4BF6-86CD-839F038AC53E}"/>
    <cellStyle name="40% - Accent3 4 3 3 3" xfId="24027" xr:uid="{4DA09087-5E0E-4B00-A452-06835D346E93}"/>
    <cellStyle name="40% - Accent3 4 3 4" xfId="10511" xr:uid="{20B370E8-50DA-4523-9031-CACC2AAC6373}"/>
    <cellStyle name="40% - Accent3 4 3 4 2" xfId="29107" xr:uid="{E557900B-5C20-450C-882F-A29492A626B9}"/>
    <cellStyle name="40% - Accent3 4 3 5" xfId="19810" xr:uid="{BC946E69-6820-4FE1-BCC6-A8A1A2E3C6BF}"/>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40A2B6F2-DC8D-4D54-9FE0-313ADB5AEDBF}"/>
    <cellStyle name="40% - Accent3 4 4 2 2 2 2" xfId="35882" xr:uid="{C7F22EB3-FD0F-463B-89F6-1994D3892ACD}"/>
    <cellStyle name="40% - Accent3 4 4 2 2 3" xfId="26585" xr:uid="{795E8B11-664C-463C-86F1-846AD5A3EDA6}"/>
    <cellStyle name="40% - Accent3 4 4 2 3" xfId="13069" xr:uid="{BF0AD3BA-BDE2-49F9-ACD8-0073C186EAD9}"/>
    <cellStyle name="40% - Accent3 4 4 2 3 2" xfId="31665" xr:uid="{9B5062B9-F0E1-4209-B905-E8B40BFC66B4}"/>
    <cellStyle name="40% - Accent3 4 4 2 4" xfId="22368" xr:uid="{DE6EAF86-7121-4AE2-9306-9FB0202B286B}"/>
    <cellStyle name="40% - Accent3 4 4 3" xfId="5815" xr:uid="{00000000-0005-0000-0000-000086050000}"/>
    <cellStyle name="40% - Accent3 4 4 3 2" xfId="15141" xr:uid="{A1F0A0C8-1140-4597-BD3B-8F6336615D56}"/>
    <cellStyle name="40% - Accent3 4 4 3 2 2" xfId="33737" xr:uid="{08542D65-C2A0-480A-98D1-0C8C9994104C}"/>
    <cellStyle name="40% - Accent3 4 4 3 3" xfId="24440" xr:uid="{C447386B-DE53-4FF7-9745-5B7D79135C17}"/>
    <cellStyle name="40% - Accent3 4 4 4" xfId="10924" xr:uid="{4D8717C5-D492-4A29-A74F-5D5D8A49FA5A}"/>
    <cellStyle name="40% - Accent3 4 4 4 2" xfId="29520" xr:uid="{528E8794-2818-4478-8603-D656B5B47417}"/>
    <cellStyle name="40% - Accent3 4 4 5" xfId="20223" xr:uid="{00ABF744-B2F5-48E1-B974-AC401C273721}"/>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510E9D73-2ABD-48DA-A89C-530476BDE8EA}"/>
    <cellStyle name="40% - Accent3 4 5 2 2 2 2" xfId="36295" xr:uid="{4244043E-FDA1-4566-954F-FA9FC1A8B0F3}"/>
    <cellStyle name="40% - Accent3 4 5 2 2 3" xfId="26998" xr:uid="{D33F9FDB-19B2-482C-A728-DDE7D8659F73}"/>
    <cellStyle name="40% - Accent3 4 5 2 3" xfId="13482" xr:uid="{6D735637-D0AC-483F-A652-6548E3518E82}"/>
    <cellStyle name="40% - Accent3 4 5 2 3 2" xfId="32078" xr:uid="{315C6F7A-7BCF-44D0-A519-75BA44C03162}"/>
    <cellStyle name="40% - Accent3 4 5 2 4" xfId="22781" xr:uid="{E21906E3-2B78-4CB0-805A-8AF898F747D2}"/>
    <cellStyle name="40% - Accent3 4 5 3" xfId="6228" xr:uid="{00000000-0005-0000-0000-00008A050000}"/>
    <cellStyle name="40% - Accent3 4 5 3 2" xfId="15554" xr:uid="{E43EBD5F-6F50-4FFA-9D33-5A6DE508265E}"/>
    <cellStyle name="40% - Accent3 4 5 3 2 2" xfId="34150" xr:uid="{BCC67431-3686-4BF4-A227-4E4D1493E61F}"/>
    <cellStyle name="40% - Accent3 4 5 3 3" xfId="24853" xr:uid="{DC449F8E-2EC0-4DD8-9B27-6394D5B389C9}"/>
    <cellStyle name="40% - Accent3 4 5 4" xfId="11337" xr:uid="{F749419F-5BFF-43AE-A2C9-95D8DDA6917D}"/>
    <cellStyle name="40% - Accent3 4 5 4 2" xfId="29933" xr:uid="{1F2829C8-5553-4925-9383-443D0CFE383E}"/>
    <cellStyle name="40% - Accent3 4 5 5" xfId="20636" xr:uid="{DC065517-4D04-413B-A308-B1957B7B7210}"/>
    <cellStyle name="40% - Accent3 4 6" xfId="2335" xr:uid="{00000000-0005-0000-0000-00008B050000}"/>
    <cellStyle name="40% - Accent3 4 6 2" xfId="6641" xr:uid="{00000000-0005-0000-0000-00008C050000}"/>
    <cellStyle name="40% - Accent3 4 6 2 2" xfId="15967" xr:uid="{EA4C37B3-9D49-4A56-A302-7DFC68B25AFD}"/>
    <cellStyle name="40% - Accent3 4 6 2 2 2" xfId="34563" xr:uid="{2F6B50C5-ED19-465A-B90B-E197A67F7ED5}"/>
    <cellStyle name="40% - Accent3 4 6 2 3" xfId="25266" xr:uid="{C81388FC-9B35-43A4-8ABB-DE2FAE7DD09C}"/>
    <cellStyle name="40% - Accent3 4 6 3" xfId="11750" xr:uid="{BA72B552-C2E4-4AEC-97FB-B233DF769333}"/>
    <cellStyle name="40% - Accent3 4 6 3 2" xfId="30346" xr:uid="{9ECE06A7-1D24-4684-9839-7EEBC856A113}"/>
    <cellStyle name="40% - Accent3 4 6 4" xfId="21049" xr:uid="{F5EE3ADF-451F-417B-BA4C-93FCB315E4B0}"/>
    <cellStyle name="40% - Accent3 4 7" xfId="4575" xr:uid="{00000000-0005-0000-0000-00008D050000}"/>
    <cellStyle name="40% - Accent3 4 7 2" xfId="13901" xr:uid="{2832DFF4-4319-432A-99D2-D549D2C9340D}"/>
    <cellStyle name="40% - Accent3 4 7 2 2" xfId="32497" xr:uid="{92EB9E97-6A11-4936-8986-0DACAB566375}"/>
    <cellStyle name="40% - Accent3 4 7 3" xfId="23200" xr:uid="{20CE821C-3DC5-45B2-A918-0E7FCF5A13ED}"/>
    <cellStyle name="40% - Accent3 4 8" xfId="8952" xr:uid="{74BF8F1E-4A34-4787-9BA1-0B97E446635F}"/>
    <cellStyle name="40% - Accent3 4 8 2" xfId="18276" xr:uid="{C792C56A-CE0A-4839-9231-C9851BCAE663}"/>
    <cellStyle name="40% - Accent3 4 8 2 2" xfId="36871" xr:uid="{682E6AA6-ACB2-42B5-8898-028B12B09988}"/>
    <cellStyle name="40% - Accent3 4 8 3" xfId="27574" xr:uid="{E93DF58C-CD4C-4892-892F-0415D51C4EA4}"/>
    <cellStyle name="40% - Accent3 4 9" xfId="9684" xr:uid="{DD0E9E7C-C0DD-450D-A17B-65A7504B9776}"/>
    <cellStyle name="40% - Accent3 4 9 2" xfId="28280" xr:uid="{52B45E40-257D-4922-90EA-7A6B56FFDDB9}"/>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40D99381-4FF7-4C89-BFA0-91315EB0D303}"/>
    <cellStyle name="40% - Accent3 5 2 2 2 2" xfId="35049" xr:uid="{92F68657-6B78-42C9-A530-E9A739465852}"/>
    <cellStyle name="40% - Accent3 5 2 2 3" xfId="25752" xr:uid="{BF24007C-68D2-4C0C-8515-862A54C208B3}"/>
    <cellStyle name="40% - Accent3 5 2 3" xfId="12236" xr:uid="{7E35422D-12A1-4470-A1DC-8CB584C841EC}"/>
    <cellStyle name="40% - Accent3 5 2 3 2" xfId="30832" xr:uid="{BFE2C4A7-CC8D-433B-9F20-CB5E10C366E1}"/>
    <cellStyle name="40% - Accent3 5 2 4" xfId="21535" xr:uid="{A0814F7F-7C9F-4D75-B748-D798A8CD4222}"/>
    <cellStyle name="40% - Accent3 5 3" xfId="4982" xr:uid="{00000000-0005-0000-0000-000091050000}"/>
    <cellStyle name="40% - Accent3 5 3 2" xfId="14308" xr:uid="{93D798CC-E221-4F32-BC39-3BBACC4B910F}"/>
    <cellStyle name="40% - Accent3 5 3 2 2" xfId="32904" xr:uid="{65683BE8-29B9-4442-ABFC-6A0DFBDFB2AD}"/>
    <cellStyle name="40% - Accent3 5 3 3" xfId="23607" xr:uid="{8EB3B821-FC15-4F6F-8FB0-FC9ED86899BB}"/>
    <cellStyle name="40% - Accent3 5 4" xfId="9185" xr:uid="{526F025D-EBF7-4976-9E38-4C0631A2843B}"/>
    <cellStyle name="40% - Accent3 5 4 2" xfId="18503" xr:uid="{C7792832-1900-4FB9-8137-8FFF6401F270}"/>
    <cellStyle name="40% - Accent3 5 4 2 2" xfId="37097" xr:uid="{5BB725E9-20C6-44E1-8B45-82A144FE5B33}"/>
    <cellStyle name="40% - Accent3 5 4 3" xfId="27800" xr:uid="{9F7B154E-37C9-4485-9E8E-6DD178FCF8FA}"/>
    <cellStyle name="40% - Accent3 5 5" xfId="10091" xr:uid="{16AF6DD5-0959-4793-B327-716EF1696D37}"/>
    <cellStyle name="40% - Accent3 5 5 2" xfId="28687" xr:uid="{F5CE49B6-B0A2-45D4-B7F9-E72DB0AE4B56}"/>
    <cellStyle name="40% - Accent3 5 6" xfId="19390" xr:uid="{DF71D027-9CD7-4364-BA88-30BD4F5DD7B9}"/>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4A9045B8-2146-4DA5-B66F-DFCE962DF570}"/>
    <cellStyle name="40% - Accent3 6 2 2 2 2" xfId="35462" xr:uid="{7C9A8985-5BDA-4535-901D-1EADA9322A6F}"/>
    <cellStyle name="40% - Accent3 6 2 2 3" xfId="26165" xr:uid="{DC93C988-0694-495D-898F-49FC13980344}"/>
    <cellStyle name="40% - Accent3 6 2 3" xfId="12649" xr:uid="{6980654A-6AC3-4F0D-BADF-9AF5C3E57E4A}"/>
    <cellStyle name="40% - Accent3 6 2 3 2" xfId="31245" xr:uid="{FF83046D-FA82-46D7-967F-4DBC8B2C2DAA}"/>
    <cellStyle name="40% - Accent3 6 2 4" xfId="21948" xr:uid="{22E6BB5E-0C41-4EEB-8C3D-45D0DE30C1F1}"/>
    <cellStyle name="40% - Accent3 6 3" xfId="5395" xr:uid="{00000000-0005-0000-0000-000095050000}"/>
    <cellStyle name="40% - Accent3 6 3 2" xfId="14721" xr:uid="{B8D586E0-C91B-49EA-AC9E-DA1CBBDC08F7}"/>
    <cellStyle name="40% - Accent3 6 3 2 2" xfId="33317" xr:uid="{C3B1AB88-B22E-4B63-845C-30AAF6CD7C56}"/>
    <cellStyle name="40% - Accent3 6 3 3" xfId="24020" xr:uid="{9D8680A6-7C46-4E57-AA7B-1A99659149F1}"/>
    <cellStyle name="40% - Accent3 6 4" xfId="10504" xr:uid="{21C72365-F4C6-4319-AD21-199C72A41638}"/>
    <cellStyle name="40% - Accent3 6 4 2" xfId="29100" xr:uid="{CF38CA8F-705A-4AB6-8E87-34CA0D702A76}"/>
    <cellStyle name="40% - Accent3 6 5" xfId="19803" xr:uid="{9CEB6B47-D934-4E35-9511-90EF6DE291D1}"/>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AEAF5AA4-9C1C-4DFA-BC0D-F175DB646692}"/>
    <cellStyle name="40% - Accent3 7 2 2 2 2" xfId="35875" xr:uid="{AD06D19E-DEA0-4178-A433-ACEAF16B778D}"/>
    <cellStyle name="40% - Accent3 7 2 2 3" xfId="26578" xr:uid="{07C872B9-EB88-4263-A751-E6A4BE8801C1}"/>
    <cellStyle name="40% - Accent3 7 2 3" xfId="13062" xr:uid="{678DA3CC-C058-4CE3-99A6-46EF9FD2F8E8}"/>
    <cellStyle name="40% - Accent3 7 2 3 2" xfId="31658" xr:uid="{5E435DB2-9F5E-4D8E-A9AA-85A2508BEFC5}"/>
    <cellStyle name="40% - Accent3 7 2 4" xfId="22361" xr:uid="{EED2B289-81DF-4180-B4E0-2F12B0675CBA}"/>
    <cellStyle name="40% - Accent3 7 3" xfId="5808" xr:uid="{00000000-0005-0000-0000-000099050000}"/>
    <cellStyle name="40% - Accent3 7 3 2" xfId="15134" xr:uid="{A77365BA-706D-489F-8693-3CDE4D882CDC}"/>
    <cellStyle name="40% - Accent3 7 3 2 2" xfId="33730" xr:uid="{00CFBC28-E1C0-4744-A921-D91C6F0A75C0}"/>
    <cellStyle name="40% - Accent3 7 3 3" xfId="24433" xr:uid="{EB535239-F4FD-4B1A-B888-19AAF6D52FBD}"/>
    <cellStyle name="40% - Accent3 7 4" xfId="10917" xr:uid="{4F84D798-1DC8-48B4-96C5-B0F9FBF7B2CC}"/>
    <cellStyle name="40% - Accent3 7 4 2" xfId="29513" xr:uid="{7B943646-7802-463B-8FCE-B7279E70FD1E}"/>
    <cellStyle name="40% - Accent3 7 5" xfId="20216" xr:uid="{27DD7A2F-9053-42C8-913C-DCACFCA6CDDE}"/>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79A5F75F-BA12-43DB-ACEE-74606FE19CC4}"/>
    <cellStyle name="40% - Accent3 8 2 2 2 2" xfId="36288" xr:uid="{5E119DB1-2301-4168-B0FA-90041814F1B9}"/>
    <cellStyle name="40% - Accent3 8 2 2 3" xfId="26991" xr:uid="{07933A79-0F03-4FBD-9B28-6E90FD607413}"/>
    <cellStyle name="40% - Accent3 8 2 3" xfId="13475" xr:uid="{F3847D82-4CAF-4B08-80E1-5D291DF4866C}"/>
    <cellStyle name="40% - Accent3 8 2 3 2" xfId="32071" xr:uid="{D17C218D-0599-4A03-BABB-C6F51DD8A77E}"/>
    <cellStyle name="40% - Accent3 8 2 4" xfId="22774" xr:uid="{14C6F572-4793-4C1C-9008-D37A144E7214}"/>
    <cellStyle name="40% - Accent3 8 3" xfId="6221" xr:uid="{00000000-0005-0000-0000-00009D050000}"/>
    <cellStyle name="40% - Accent3 8 3 2" xfId="15547" xr:uid="{EAAE70CD-B11B-46BA-B3A1-21DA40F71B54}"/>
    <cellStyle name="40% - Accent3 8 3 2 2" xfId="34143" xr:uid="{212AA849-D912-4F1D-B8A3-38A09DFC058D}"/>
    <cellStyle name="40% - Accent3 8 3 3" xfId="24846" xr:uid="{FA615B72-6107-4DFA-8A04-80EB6C3C36A0}"/>
    <cellStyle name="40% - Accent3 8 4" xfId="11330" xr:uid="{5322DBFE-6405-4FEE-9DF6-68D26759D41C}"/>
    <cellStyle name="40% - Accent3 8 4 2" xfId="29926" xr:uid="{C9723A55-A272-4F95-AE9A-8702E65A2E1C}"/>
    <cellStyle name="40% - Accent3 8 5" xfId="20629" xr:uid="{DA90B63A-B844-4E02-B144-DB075D3CABFF}"/>
    <cellStyle name="40% - Accent3 9" xfId="2328" xr:uid="{00000000-0005-0000-0000-00009E050000}"/>
    <cellStyle name="40% - Accent3 9 2" xfId="6634" xr:uid="{00000000-0005-0000-0000-00009F050000}"/>
    <cellStyle name="40% - Accent3 9 2 2" xfId="15960" xr:uid="{12ED141B-F217-4430-B8F8-23728DE2E636}"/>
    <cellStyle name="40% - Accent3 9 2 2 2" xfId="34556" xr:uid="{42BBE37B-F83F-4DF7-9979-6D16E7E866C1}"/>
    <cellStyle name="40% - Accent3 9 2 3" xfId="25259" xr:uid="{C18F31CE-3914-4D22-B7B9-BCF6F27793BA}"/>
    <cellStyle name="40% - Accent3 9 3" xfId="11743" xr:uid="{060C5D63-545D-4CCE-9E4E-66A7E75E24FD}"/>
    <cellStyle name="40% - Accent3 9 3 2" xfId="30339" xr:uid="{C2EECFB8-37FA-4CFD-82D9-504205E8D06C}"/>
    <cellStyle name="40% - Accent3 9 4" xfId="21042" xr:uid="{B4F8BFDC-DF83-4BA7-A60D-7E7C13117F45}"/>
    <cellStyle name="40% - Accent4" xfId="73" builtinId="43" customBuiltin="1"/>
    <cellStyle name="40% - Accent4 10" xfId="4576" xr:uid="{00000000-0005-0000-0000-0000A1050000}"/>
    <cellStyle name="40% - Accent4 10 2" xfId="13902" xr:uid="{BE89F312-E4BF-4375-9F24-A884454B6DF6}"/>
    <cellStyle name="40% - Accent4 10 2 2" xfId="32498" xr:uid="{0ED1122F-9C74-4951-BD44-EC639BA9D5E6}"/>
    <cellStyle name="40% - Accent4 10 3" xfId="23201" xr:uid="{7D06ED1D-578B-4543-AD26-BA3013B74171}"/>
    <cellStyle name="40% - Accent4 11" xfId="8765" xr:uid="{18B6B6D6-5043-43D1-BB02-3855BF7027C3}"/>
    <cellStyle name="40% - Accent4 11 2" xfId="18089" xr:uid="{BB97C044-F349-4543-9B30-A5A6A2BDCDA6}"/>
    <cellStyle name="40% - Accent4 11 2 2" xfId="36684" xr:uid="{895B4B32-8522-412C-A0DB-947B47885337}"/>
    <cellStyle name="40% - Accent4 11 3" xfId="27387" xr:uid="{5E4590CC-91FB-4F86-80FA-06137060EC82}"/>
    <cellStyle name="40% - Accent4 12" xfId="9685" xr:uid="{9236C226-7453-4A36-BC95-B69AC0C05444}"/>
    <cellStyle name="40% - Accent4 12 2" xfId="28281" xr:uid="{BC289BC3-6666-4B36-AD96-9EBFA3091B3F}"/>
    <cellStyle name="40% - Accent4 13" xfId="18984" xr:uid="{2E796AEA-B2DE-43AE-A7C9-23730AA0E6DD}"/>
    <cellStyle name="40% - Accent4 2" xfId="74" xr:uid="{00000000-0005-0000-0000-0000A2050000}"/>
    <cellStyle name="40% - Accent4 2 10" xfId="8801" xr:uid="{223FCC58-A05E-4022-8080-E75A80678FA6}"/>
    <cellStyle name="40% - Accent4 2 10 2" xfId="18125" xr:uid="{9D6DAB39-D18D-417D-BF5D-B440BDDFD244}"/>
    <cellStyle name="40% - Accent4 2 10 2 2" xfId="36720" xr:uid="{9BEC1425-B501-4F95-A468-608931B4CCAD}"/>
    <cellStyle name="40% - Accent4 2 10 3" xfId="27423" xr:uid="{0789FE57-4EB1-485F-AF95-44883F62B10A}"/>
    <cellStyle name="40% - Accent4 2 11" xfId="9686" xr:uid="{AF5C9B11-F6F4-46EC-A48C-8F163D7D2588}"/>
    <cellStyle name="40% - Accent4 2 11 2" xfId="28282" xr:uid="{E9A71928-1FE4-4C65-987B-F25CD44F04ED}"/>
    <cellStyle name="40% - Accent4 2 12" xfId="18985" xr:uid="{984F1CFC-BBD1-4C30-81B4-6358D8E28FAD}"/>
    <cellStyle name="40% - Accent4 2 2" xfId="75" xr:uid="{00000000-0005-0000-0000-0000A3050000}"/>
    <cellStyle name="40% - Accent4 2 2 10" xfId="9687" xr:uid="{F49CEF07-2694-4FB1-85CF-7828442E85C3}"/>
    <cellStyle name="40% - Accent4 2 2 10 2" xfId="28283" xr:uid="{5A1363D7-0ACA-4428-B1C6-34B0573D9227}"/>
    <cellStyle name="40% - Accent4 2 2 11" xfId="18986" xr:uid="{4637CC08-BB92-4BCD-B3F2-B296C69AD2DB}"/>
    <cellStyle name="40% - Accent4 2 2 2" xfId="76" xr:uid="{00000000-0005-0000-0000-0000A4050000}"/>
    <cellStyle name="40% - Accent4 2 2 2 10" xfId="18987" xr:uid="{EBCADBD3-BBE9-4C94-A3C1-CD24917C9ADA}"/>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63764CEB-8E25-48B0-BC77-0B52E381B4CE}"/>
    <cellStyle name="40% - Accent4 2 2 2 2 2 2 2 2" xfId="35060" xr:uid="{4532D554-CC84-477D-BEF6-942625872A2A}"/>
    <cellStyle name="40% - Accent4 2 2 2 2 2 2 3" xfId="25763" xr:uid="{1E860C7F-AD5B-475B-855B-BFFC8010024D}"/>
    <cellStyle name="40% - Accent4 2 2 2 2 2 3" xfId="12247" xr:uid="{136ED5A6-3D44-4FF4-B6FC-70D50CF11743}"/>
    <cellStyle name="40% - Accent4 2 2 2 2 2 3 2" xfId="30843" xr:uid="{AD13916E-66C3-4CD5-ADA9-BE680CDE6E09}"/>
    <cellStyle name="40% - Accent4 2 2 2 2 2 4" xfId="21546" xr:uid="{2B0F0A02-4591-458E-8C0F-F7A294D4B5D8}"/>
    <cellStyle name="40% - Accent4 2 2 2 2 3" xfId="4993" xr:uid="{00000000-0005-0000-0000-0000A8050000}"/>
    <cellStyle name="40% - Accent4 2 2 2 2 3 2" xfId="14319" xr:uid="{0BC1E19C-DD0A-4952-BEE7-B8C639B28288}"/>
    <cellStyle name="40% - Accent4 2 2 2 2 3 2 2" xfId="32915" xr:uid="{4E686C4E-DB4A-47D3-8894-B18C51283CAB}"/>
    <cellStyle name="40% - Accent4 2 2 2 2 3 3" xfId="23618" xr:uid="{C58EF9CF-535E-480E-BE46-B30C6367B6DD}"/>
    <cellStyle name="40% - Accent4 2 2 2 2 4" xfId="9536" xr:uid="{4351D24F-CE30-4CFD-968F-4B882F0FC9B5}"/>
    <cellStyle name="40% - Accent4 2 2 2 2 4 2" xfId="18851" xr:uid="{60ABAB64-FC83-4691-8B89-D8B251AEC03F}"/>
    <cellStyle name="40% - Accent4 2 2 2 2 4 2 2" xfId="37445" xr:uid="{C514A955-C1B7-49FE-866F-EF52C56DED65}"/>
    <cellStyle name="40% - Accent4 2 2 2 2 4 3" xfId="28148" xr:uid="{D4616194-8908-4005-8B3F-F3CC934F5283}"/>
    <cellStyle name="40% - Accent4 2 2 2 2 5" xfId="10102" xr:uid="{39BD6FE4-202A-459B-9F26-97A4DC402381}"/>
    <cellStyle name="40% - Accent4 2 2 2 2 5 2" xfId="28698" xr:uid="{221FE56E-8480-4AE3-A3C6-591BEF385FF0}"/>
    <cellStyle name="40% - Accent4 2 2 2 2 6" xfId="19401" xr:uid="{CF5A03E3-78FE-4768-8146-1AFE096EA8AB}"/>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19C677E0-89BB-40DB-9571-36B00ACE5646}"/>
    <cellStyle name="40% - Accent4 2 2 2 3 2 2 2 2" xfId="35473" xr:uid="{2357613C-85E4-4DDC-BA37-D05AAE391EA5}"/>
    <cellStyle name="40% - Accent4 2 2 2 3 2 2 3" xfId="26176" xr:uid="{81B0B5CD-5C19-4243-83FA-3EB9BC6DDDFB}"/>
    <cellStyle name="40% - Accent4 2 2 2 3 2 3" xfId="12660" xr:uid="{597BCA96-64A5-4CC8-B32B-3FDB38B271B6}"/>
    <cellStyle name="40% - Accent4 2 2 2 3 2 3 2" xfId="31256" xr:uid="{BAAC0B81-6E13-4E2A-8986-ED6A8F204A6D}"/>
    <cellStyle name="40% - Accent4 2 2 2 3 2 4" xfId="21959" xr:uid="{7E5CE556-AEF7-4E7E-B68D-F119035843E8}"/>
    <cellStyle name="40% - Accent4 2 2 2 3 3" xfId="5406" xr:uid="{00000000-0005-0000-0000-0000AC050000}"/>
    <cellStyle name="40% - Accent4 2 2 2 3 3 2" xfId="14732" xr:uid="{9FBB26D0-B02C-4663-8C76-A92494ADD425}"/>
    <cellStyle name="40% - Accent4 2 2 2 3 3 2 2" xfId="33328" xr:uid="{0CA781E3-9C8F-4A0C-AF0A-FF39DB6B39C2}"/>
    <cellStyle name="40% - Accent4 2 2 2 3 3 3" xfId="24031" xr:uid="{2836AE30-3AC7-498A-B69B-1EBEA344B5E0}"/>
    <cellStyle name="40% - Accent4 2 2 2 3 4" xfId="10515" xr:uid="{4BE835BD-D5BC-4C97-BE20-21AD459C77ED}"/>
    <cellStyle name="40% - Accent4 2 2 2 3 4 2" xfId="29111" xr:uid="{50BA6CCB-1877-4DF5-AC5E-12A352094567}"/>
    <cellStyle name="40% - Accent4 2 2 2 3 5" xfId="19814" xr:uid="{B50108F6-7E1D-4C56-A216-ADB03740CDBA}"/>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7E7F680A-CA43-4B5D-9481-B2EE0F5B8D82}"/>
    <cellStyle name="40% - Accent4 2 2 2 4 2 2 2 2" xfId="35886" xr:uid="{6F0CA745-F03F-4AB7-A305-EF1E0BA5D72B}"/>
    <cellStyle name="40% - Accent4 2 2 2 4 2 2 3" xfId="26589" xr:uid="{CCF71685-D218-45D2-A658-92856F28DF73}"/>
    <cellStyle name="40% - Accent4 2 2 2 4 2 3" xfId="13073" xr:uid="{C6ED7059-04FC-449C-B8FC-56A94872F07A}"/>
    <cellStyle name="40% - Accent4 2 2 2 4 2 3 2" xfId="31669" xr:uid="{2C67A2A2-AB45-4D67-B134-46CCEAC7A3FC}"/>
    <cellStyle name="40% - Accent4 2 2 2 4 2 4" xfId="22372" xr:uid="{883E9418-524E-4283-845D-10C147BE737E}"/>
    <cellStyle name="40% - Accent4 2 2 2 4 3" xfId="5819" xr:uid="{00000000-0005-0000-0000-0000B0050000}"/>
    <cellStyle name="40% - Accent4 2 2 2 4 3 2" xfId="15145" xr:uid="{0B401978-8CDF-4A29-B727-E90C50D7FE21}"/>
    <cellStyle name="40% - Accent4 2 2 2 4 3 2 2" xfId="33741" xr:uid="{2EDF2343-D351-4790-B11D-11C6385FF1E2}"/>
    <cellStyle name="40% - Accent4 2 2 2 4 3 3" xfId="24444" xr:uid="{16C4BB40-4C98-4AB9-B286-F4DDB5293839}"/>
    <cellStyle name="40% - Accent4 2 2 2 4 4" xfId="10928" xr:uid="{6D3A2B33-51ED-4EA4-9602-9635EEDC2C55}"/>
    <cellStyle name="40% - Accent4 2 2 2 4 4 2" xfId="29524" xr:uid="{7F79520E-805C-4E09-B12C-FF8379C85804}"/>
    <cellStyle name="40% - Accent4 2 2 2 4 5" xfId="20227" xr:uid="{B5862C58-7C7C-427D-B446-3140E2204523}"/>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11C92FEA-E7B8-40AF-8168-C1FE8DE66656}"/>
    <cellStyle name="40% - Accent4 2 2 2 5 2 2 2 2" xfId="36299" xr:uid="{EA13335E-29FB-4390-A64B-5E0D4CA51712}"/>
    <cellStyle name="40% - Accent4 2 2 2 5 2 2 3" xfId="27002" xr:uid="{3640BCDF-650F-4BB3-85A0-D0F0380C6EF3}"/>
    <cellStyle name="40% - Accent4 2 2 2 5 2 3" xfId="13486" xr:uid="{B84AFCE8-6E83-4820-B8F3-416F87F09E9A}"/>
    <cellStyle name="40% - Accent4 2 2 2 5 2 3 2" xfId="32082" xr:uid="{A77477DA-EB29-4012-9E84-AE12194B72E4}"/>
    <cellStyle name="40% - Accent4 2 2 2 5 2 4" xfId="22785" xr:uid="{1922396A-74B0-4EB6-B371-5E1E4CB3F5D3}"/>
    <cellStyle name="40% - Accent4 2 2 2 5 3" xfId="6232" xr:uid="{00000000-0005-0000-0000-0000B4050000}"/>
    <cellStyle name="40% - Accent4 2 2 2 5 3 2" xfId="15558" xr:uid="{864B97CB-A152-4DA4-BB46-19B997EA7537}"/>
    <cellStyle name="40% - Accent4 2 2 2 5 3 2 2" xfId="34154" xr:uid="{4AA4E061-2B2D-4851-A65B-57AD984998E3}"/>
    <cellStyle name="40% - Accent4 2 2 2 5 3 3" xfId="24857" xr:uid="{E5F1FE5C-B32E-402D-AF1E-2B074CF10398}"/>
    <cellStyle name="40% - Accent4 2 2 2 5 4" xfId="11341" xr:uid="{732361E9-B257-479A-B2FE-B9D12C35D22E}"/>
    <cellStyle name="40% - Accent4 2 2 2 5 4 2" xfId="29937" xr:uid="{A33A100D-9712-4FD3-BD8D-68C5388CDC6F}"/>
    <cellStyle name="40% - Accent4 2 2 2 5 5" xfId="20640" xr:uid="{201E8683-819B-4584-961D-CB3029F0E84B}"/>
    <cellStyle name="40% - Accent4 2 2 2 6" xfId="2339" xr:uid="{00000000-0005-0000-0000-0000B5050000}"/>
    <cellStyle name="40% - Accent4 2 2 2 6 2" xfId="6645" xr:uid="{00000000-0005-0000-0000-0000B6050000}"/>
    <cellStyle name="40% - Accent4 2 2 2 6 2 2" xfId="15971" xr:uid="{205A6FFF-3659-4FA8-A589-BCF8ACF648A7}"/>
    <cellStyle name="40% - Accent4 2 2 2 6 2 2 2" xfId="34567" xr:uid="{CFFEB0B3-BACD-42F7-AD23-FDD1965F2596}"/>
    <cellStyle name="40% - Accent4 2 2 2 6 2 3" xfId="25270" xr:uid="{9814AAA3-CBC8-4F6E-AC30-9786A6ED178B}"/>
    <cellStyle name="40% - Accent4 2 2 2 6 3" xfId="11754" xr:uid="{7441E3CB-38DE-4B16-BD9C-7FA9ECDC84E9}"/>
    <cellStyle name="40% - Accent4 2 2 2 6 3 2" xfId="30350" xr:uid="{F92147DC-6A2C-431C-BA4D-64A9327E59AF}"/>
    <cellStyle name="40% - Accent4 2 2 2 6 4" xfId="21053" xr:uid="{306C9474-361A-4AD9-BA38-78EB639CED71}"/>
    <cellStyle name="40% - Accent4 2 2 2 7" xfId="4579" xr:uid="{00000000-0005-0000-0000-0000B7050000}"/>
    <cellStyle name="40% - Accent4 2 2 2 7 2" xfId="13905" xr:uid="{1F9D2668-0E4D-45CF-A380-B64284FB9349}"/>
    <cellStyle name="40% - Accent4 2 2 2 7 2 2" xfId="32501" xr:uid="{CD2E76BF-5B30-4BA6-A7C1-85A0B243C5B4}"/>
    <cellStyle name="40% - Accent4 2 2 2 7 3" xfId="23204" xr:uid="{5B9C3C24-FC50-4F7C-BD45-552A1B986F8B}"/>
    <cellStyle name="40% - Accent4 2 2 2 8" xfId="9111" xr:uid="{1DD86F12-0D11-497C-88D9-78D90E1EF65F}"/>
    <cellStyle name="40% - Accent4 2 2 2 8 2" xfId="18435" xr:uid="{B9665D87-E81C-4541-966C-EAD3099C23FA}"/>
    <cellStyle name="40% - Accent4 2 2 2 8 2 2" xfId="37030" xr:uid="{4E49F1FB-1D5D-47C2-9F77-B4C29458B387}"/>
    <cellStyle name="40% - Accent4 2 2 2 8 3" xfId="27733" xr:uid="{F7474582-1B98-4B59-93DB-72A814B308D9}"/>
    <cellStyle name="40% - Accent4 2 2 2 9" xfId="9688" xr:uid="{D8824FB8-6FDD-41E2-B1BB-B83775E09785}"/>
    <cellStyle name="40% - Accent4 2 2 2 9 2" xfId="28284" xr:uid="{17CF66B2-F9F8-4D35-8E11-1934103AD982}"/>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CF3F4F16-58A1-4E8D-8F9D-5FF5E5489464}"/>
    <cellStyle name="40% - Accent4 2 2 3 2 2 2 2" xfId="35059" xr:uid="{6A5D361C-2902-4510-959C-AB570905C88A}"/>
    <cellStyle name="40% - Accent4 2 2 3 2 2 3" xfId="25762" xr:uid="{1D974AC7-71B5-4FFD-BCA9-55C833D8A20F}"/>
    <cellStyle name="40% - Accent4 2 2 3 2 3" xfId="12246" xr:uid="{BB92CAD3-1D4D-4E3B-8656-F79BB080E992}"/>
    <cellStyle name="40% - Accent4 2 2 3 2 3 2" xfId="30842" xr:uid="{9C7386CA-67AE-4649-B165-87997A6C648C}"/>
    <cellStyle name="40% - Accent4 2 2 3 2 4" xfId="21545" xr:uid="{DD057AFD-B34A-4D0F-B4DD-404E33A5E37C}"/>
    <cellStyle name="40% - Accent4 2 2 3 3" xfId="4992" xr:uid="{00000000-0005-0000-0000-0000BB050000}"/>
    <cellStyle name="40% - Accent4 2 2 3 3 2" xfId="14318" xr:uid="{9A7F58A0-1018-488A-BF8B-AF30323F5D9C}"/>
    <cellStyle name="40% - Accent4 2 2 3 3 2 2" xfId="32914" xr:uid="{836EC9D8-0BB3-46B3-84DD-37CC42DDF447}"/>
    <cellStyle name="40% - Accent4 2 2 3 3 3" xfId="23617" xr:uid="{DF2644BF-F6B7-4777-A00B-EF85FD7EB5DE}"/>
    <cellStyle name="40% - Accent4 2 2 3 4" xfId="9329" xr:uid="{62CB3536-9FC4-4DBF-9121-AD0025D891C9}"/>
    <cellStyle name="40% - Accent4 2 2 3 4 2" xfId="18644" xr:uid="{5C467DF0-7022-463B-A0B1-658AA3977318}"/>
    <cellStyle name="40% - Accent4 2 2 3 4 2 2" xfId="37238" xr:uid="{7A744A24-C12F-4D72-899B-25064CE12F26}"/>
    <cellStyle name="40% - Accent4 2 2 3 4 3" xfId="27941" xr:uid="{4B887310-77FF-4B45-BCFE-F5108A0395E1}"/>
    <cellStyle name="40% - Accent4 2 2 3 5" xfId="10101" xr:uid="{2CA03EF0-8EA6-4AA1-8D94-8E277425E88F}"/>
    <cellStyle name="40% - Accent4 2 2 3 5 2" xfId="28697" xr:uid="{30F0F28B-4C32-4DEE-AA49-67917458D20D}"/>
    <cellStyle name="40% - Accent4 2 2 3 6" xfId="19400" xr:uid="{2DB81053-CD23-420B-B04F-0A556B56B18F}"/>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57388A79-3C08-4D1A-B172-851C5FB230E3}"/>
    <cellStyle name="40% - Accent4 2 2 4 2 2 2 2" xfId="35472" xr:uid="{891E84B0-DC90-4074-9DE9-B25B46DA5D22}"/>
    <cellStyle name="40% - Accent4 2 2 4 2 2 3" xfId="26175" xr:uid="{A8B64003-12F3-4449-88B2-8F2D66E465D9}"/>
    <cellStyle name="40% - Accent4 2 2 4 2 3" xfId="12659" xr:uid="{141ABD23-E642-4550-A1E9-61C2DBCCAE1E}"/>
    <cellStyle name="40% - Accent4 2 2 4 2 3 2" xfId="31255" xr:uid="{E8B2E47D-5366-4AC0-AC8B-E76BBC07037A}"/>
    <cellStyle name="40% - Accent4 2 2 4 2 4" xfId="21958" xr:uid="{D6FF8510-7744-46D8-94CF-62AF59D2E9DE}"/>
    <cellStyle name="40% - Accent4 2 2 4 3" xfId="5405" xr:uid="{00000000-0005-0000-0000-0000BF050000}"/>
    <cellStyle name="40% - Accent4 2 2 4 3 2" xfId="14731" xr:uid="{47580C1C-8D3F-4278-83FE-BE21AD539DEF}"/>
    <cellStyle name="40% - Accent4 2 2 4 3 2 2" xfId="33327" xr:uid="{976F4506-490A-4FAC-B649-DCF149CFF3F5}"/>
    <cellStyle name="40% - Accent4 2 2 4 3 3" xfId="24030" xr:uid="{7BDEDF4E-AA5E-423E-8ED5-63FFB49660C2}"/>
    <cellStyle name="40% - Accent4 2 2 4 4" xfId="10514" xr:uid="{6D6A0D99-7C1D-4AEB-A60B-DDC091196A84}"/>
    <cellStyle name="40% - Accent4 2 2 4 4 2" xfId="29110" xr:uid="{D8AA8E6F-E6BD-4A8B-8025-D79E8521F760}"/>
    <cellStyle name="40% - Accent4 2 2 4 5" xfId="19813" xr:uid="{8DBF80E9-2B42-453A-AD48-675227F83451}"/>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AF466BCF-6874-4A07-BA0B-06B44041BA0E}"/>
    <cellStyle name="40% - Accent4 2 2 5 2 2 2 2" xfId="35885" xr:uid="{FF3D7C72-ADC3-40D8-964E-F98E65188081}"/>
    <cellStyle name="40% - Accent4 2 2 5 2 2 3" xfId="26588" xr:uid="{DB41C741-059D-4F1F-A6BE-CD11FAB8E0B5}"/>
    <cellStyle name="40% - Accent4 2 2 5 2 3" xfId="13072" xr:uid="{F0732C65-1B6B-4739-A2EA-0286B96D9CEA}"/>
    <cellStyle name="40% - Accent4 2 2 5 2 3 2" xfId="31668" xr:uid="{B519F875-30EA-433B-86F3-5C95D5151791}"/>
    <cellStyle name="40% - Accent4 2 2 5 2 4" xfId="22371" xr:uid="{426C9926-AF81-41B4-BFCD-F7CB46DFDF29}"/>
    <cellStyle name="40% - Accent4 2 2 5 3" xfId="5818" xr:uid="{00000000-0005-0000-0000-0000C3050000}"/>
    <cellStyle name="40% - Accent4 2 2 5 3 2" xfId="15144" xr:uid="{4560C220-7E8C-479C-84EC-663654879FA5}"/>
    <cellStyle name="40% - Accent4 2 2 5 3 2 2" xfId="33740" xr:uid="{210E8EFC-F928-4DA0-99A4-9070F367D78F}"/>
    <cellStyle name="40% - Accent4 2 2 5 3 3" xfId="24443" xr:uid="{19A8F29E-1B79-48FE-A272-898F5F891EB2}"/>
    <cellStyle name="40% - Accent4 2 2 5 4" xfId="10927" xr:uid="{7743F0A2-BB18-4CF4-8B89-963DBC4BA6DC}"/>
    <cellStyle name="40% - Accent4 2 2 5 4 2" xfId="29523" xr:uid="{C0FCA480-C889-43D1-97D4-060ABA5F189F}"/>
    <cellStyle name="40% - Accent4 2 2 5 5" xfId="20226" xr:uid="{E116F281-FBC3-44B1-8331-D794D6078BA3}"/>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8F0792C8-A4C6-44F8-80BD-3E0881246476}"/>
    <cellStyle name="40% - Accent4 2 2 6 2 2 2 2" xfId="36298" xr:uid="{EFAEBD71-E1DF-4CF6-826A-62A10120845F}"/>
    <cellStyle name="40% - Accent4 2 2 6 2 2 3" xfId="27001" xr:uid="{0F852AAF-DF5D-45B1-BDE0-5E38719ACDF7}"/>
    <cellStyle name="40% - Accent4 2 2 6 2 3" xfId="13485" xr:uid="{382093D7-3E32-49A0-8C15-AECD8CA9B081}"/>
    <cellStyle name="40% - Accent4 2 2 6 2 3 2" xfId="32081" xr:uid="{33D0A256-FB8F-440B-AEAC-A8879F814595}"/>
    <cellStyle name="40% - Accent4 2 2 6 2 4" xfId="22784" xr:uid="{DF6B1B4E-8371-4A32-9436-2B198EA05859}"/>
    <cellStyle name="40% - Accent4 2 2 6 3" xfId="6231" xr:uid="{00000000-0005-0000-0000-0000C7050000}"/>
    <cellStyle name="40% - Accent4 2 2 6 3 2" xfId="15557" xr:uid="{A061E68A-0E4F-4F37-A827-178EC2BB5F92}"/>
    <cellStyle name="40% - Accent4 2 2 6 3 2 2" xfId="34153" xr:uid="{7C11E967-52F7-40FA-B04E-CA7DCAFE206C}"/>
    <cellStyle name="40% - Accent4 2 2 6 3 3" xfId="24856" xr:uid="{ACC1E20F-3F17-4899-891E-B89372078F8C}"/>
    <cellStyle name="40% - Accent4 2 2 6 4" xfId="11340" xr:uid="{03AB3BD1-3DA3-4B74-A6FA-8F800B184613}"/>
    <cellStyle name="40% - Accent4 2 2 6 4 2" xfId="29936" xr:uid="{0803DBCC-ED33-4D55-8817-3516C23A467E}"/>
    <cellStyle name="40% - Accent4 2 2 6 5" xfId="20639" xr:uid="{470DE4AF-C57C-47D5-819D-63B8FA717677}"/>
    <cellStyle name="40% - Accent4 2 2 7" xfId="2338" xr:uid="{00000000-0005-0000-0000-0000C8050000}"/>
    <cellStyle name="40% - Accent4 2 2 7 2" xfId="6644" xr:uid="{00000000-0005-0000-0000-0000C9050000}"/>
    <cellStyle name="40% - Accent4 2 2 7 2 2" xfId="15970" xr:uid="{91AEFB17-75BC-4448-8468-0F4FD4293CFB}"/>
    <cellStyle name="40% - Accent4 2 2 7 2 2 2" xfId="34566" xr:uid="{8C16332C-6EDF-465A-BF4F-7AF22F0EAABF}"/>
    <cellStyle name="40% - Accent4 2 2 7 2 3" xfId="25269" xr:uid="{FE47BA62-4A57-490A-ACD7-FEBED6441E79}"/>
    <cellStyle name="40% - Accent4 2 2 7 3" xfId="11753" xr:uid="{C000B3B0-C73F-49C7-8C0D-8D9CC2317AD4}"/>
    <cellStyle name="40% - Accent4 2 2 7 3 2" xfId="30349" xr:uid="{17AB4656-A631-4FB6-B055-85B6626D3FBC}"/>
    <cellStyle name="40% - Accent4 2 2 7 4" xfId="21052" xr:uid="{8658DC3B-EE39-42CD-8240-67989AB4B0EB}"/>
    <cellStyle name="40% - Accent4 2 2 8" xfId="4578" xr:uid="{00000000-0005-0000-0000-0000CA050000}"/>
    <cellStyle name="40% - Accent4 2 2 8 2" xfId="13904" xr:uid="{ED3DA8B0-71EF-41E6-A189-89C4975E7058}"/>
    <cellStyle name="40% - Accent4 2 2 8 2 2" xfId="32500" xr:uid="{9DD6256C-9812-4D89-81E1-8F21D96B4991}"/>
    <cellStyle name="40% - Accent4 2 2 8 3" xfId="23203" xr:uid="{FD948A8E-DF51-4342-996B-BB91583B634B}"/>
    <cellStyle name="40% - Accent4 2 2 9" xfId="8904" xr:uid="{64C959C5-2FAF-462D-88B6-14B59CDC763B}"/>
    <cellStyle name="40% - Accent4 2 2 9 2" xfId="18228" xr:uid="{2B997CD9-9BBC-4759-AF11-A9CCC091D343}"/>
    <cellStyle name="40% - Accent4 2 2 9 2 2" xfId="36823" xr:uid="{9F2723B9-9AC0-4B43-9AC1-58FC4427AFAC}"/>
    <cellStyle name="40% - Accent4 2 2 9 3" xfId="27526" xr:uid="{5017B5D2-EF42-4788-B889-6A14D2FC6D17}"/>
    <cellStyle name="40% - Accent4 2 3" xfId="77" xr:uid="{00000000-0005-0000-0000-0000CB050000}"/>
    <cellStyle name="40% - Accent4 2 3 10" xfId="18988" xr:uid="{987E8EFE-6DDA-4D57-9355-17B98D94D0D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691EB4C8-D78C-4F60-B543-4D8057BCDC6D}"/>
    <cellStyle name="40% - Accent4 2 3 2 2 2 2 2" xfId="35061" xr:uid="{4E6C1BBA-2599-4D98-AFD5-2EDC68FE799D}"/>
    <cellStyle name="40% - Accent4 2 3 2 2 2 3" xfId="25764" xr:uid="{47DD39F4-1A61-4D81-A742-8D2D1BDF14AE}"/>
    <cellStyle name="40% - Accent4 2 3 2 2 3" xfId="12248" xr:uid="{E7C82D28-0B4E-4A92-BB44-2F15067817E2}"/>
    <cellStyle name="40% - Accent4 2 3 2 2 3 2" xfId="30844" xr:uid="{5677F43A-9961-4508-884D-86668293B254}"/>
    <cellStyle name="40% - Accent4 2 3 2 2 4" xfId="21547" xr:uid="{17055F39-5368-432A-9DBB-AD367CB2BB17}"/>
    <cellStyle name="40% - Accent4 2 3 2 3" xfId="4994" xr:uid="{00000000-0005-0000-0000-0000CF050000}"/>
    <cellStyle name="40% - Accent4 2 3 2 3 2" xfId="14320" xr:uid="{26ECDEC0-1F07-4038-8B13-7AF9746ECDF4}"/>
    <cellStyle name="40% - Accent4 2 3 2 3 2 2" xfId="32916" xr:uid="{9A6582A5-46E4-4BC7-966F-3A518A502290}"/>
    <cellStyle name="40% - Accent4 2 3 2 3 3" xfId="23619" xr:uid="{C1D0B6CB-5104-46D5-A1EE-A663719A9503}"/>
    <cellStyle name="40% - Accent4 2 3 2 4" xfId="9433" xr:uid="{058786D1-7E7D-40D9-9218-B4C7219F4E53}"/>
    <cellStyle name="40% - Accent4 2 3 2 4 2" xfId="18748" xr:uid="{11D92F47-19C7-44CD-AE17-868A5B5EACC8}"/>
    <cellStyle name="40% - Accent4 2 3 2 4 2 2" xfId="37342" xr:uid="{C26F32FF-4995-4236-9B35-C492FB0999A1}"/>
    <cellStyle name="40% - Accent4 2 3 2 4 3" xfId="28045" xr:uid="{5239B7B1-745C-4436-B504-04AB9FD822A8}"/>
    <cellStyle name="40% - Accent4 2 3 2 5" xfId="10103" xr:uid="{70705A3A-604F-4F96-AA16-ED2A5E658686}"/>
    <cellStyle name="40% - Accent4 2 3 2 5 2" xfId="28699" xr:uid="{68DB3713-836E-4FFB-AF34-ADFDA8C067F4}"/>
    <cellStyle name="40% - Accent4 2 3 2 6" xfId="19402" xr:uid="{1C9D36D5-A198-486E-8606-77DCCCB8594E}"/>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85C87C3D-30C8-48AD-A044-65D142110650}"/>
    <cellStyle name="40% - Accent4 2 3 3 2 2 2 2" xfId="35474" xr:uid="{BF21158B-E463-4D62-93EE-98095D120A71}"/>
    <cellStyle name="40% - Accent4 2 3 3 2 2 3" xfId="26177" xr:uid="{D042C0BF-31DD-474B-84D6-0EF97A0A9C09}"/>
    <cellStyle name="40% - Accent4 2 3 3 2 3" xfId="12661" xr:uid="{128B8A40-F6D6-4684-8B17-726A87F70435}"/>
    <cellStyle name="40% - Accent4 2 3 3 2 3 2" xfId="31257" xr:uid="{C6C53D5F-A4D2-45B6-82D6-8D0E7C764B5F}"/>
    <cellStyle name="40% - Accent4 2 3 3 2 4" xfId="21960" xr:uid="{2B1219E3-DF0E-423C-AFB1-477F6CBDD501}"/>
    <cellStyle name="40% - Accent4 2 3 3 3" xfId="5407" xr:uid="{00000000-0005-0000-0000-0000D3050000}"/>
    <cellStyle name="40% - Accent4 2 3 3 3 2" xfId="14733" xr:uid="{999778EB-97F3-4439-B1BC-DDFE7494A2F3}"/>
    <cellStyle name="40% - Accent4 2 3 3 3 2 2" xfId="33329" xr:uid="{844095AC-B73F-4839-9CBE-A8F4B7F62220}"/>
    <cellStyle name="40% - Accent4 2 3 3 3 3" xfId="24032" xr:uid="{61A1D3B0-881D-49AA-A2F9-AEDC20E46CC4}"/>
    <cellStyle name="40% - Accent4 2 3 3 4" xfId="10516" xr:uid="{8D749A65-BF9E-47ED-9BC1-A9AC4797AE28}"/>
    <cellStyle name="40% - Accent4 2 3 3 4 2" xfId="29112" xr:uid="{8C875238-7DA3-450B-9924-317964D9706C}"/>
    <cellStyle name="40% - Accent4 2 3 3 5" xfId="19815" xr:uid="{A69BEF98-074B-43A5-9F0D-A9A6EA60DAED}"/>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A2E09AA1-BF4D-4E13-B62F-1790E5AC47A9}"/>
    <cellStyle name="40% - Accent4 2 3 4 2 2 2 2" xfId="35887" xr:uid="{1E2F0738-8466-420F-B089-7E497588ABDF}"/>
    <cellStyle name="40% - Accent4 2 3 4 2 2 3" xfId="26590" xr:uid="{35E0A0BF-E8A5-4DAF-BD4C-EAB5C8AC928D}"/>
    <cellStyle name="40% - Accent4 2 3 4 2 3" xfId="13074" xr:uid="{66A67141-1C70-4BFC-A652-C1E909F08C92}"/>
    <cellStyle name="40% - Accent4 2 3 4 2 3 2" xfId="31670" xr:uid="{DB78FB85-4F81-4860-AE20-1C495142CD22}"/>
    <cellStyle name="40% - Accent4 2 3 4 2 4" xfId="22373" xr:uid="{E1D831F0-7744-43E8-BE86-10DF1682C8E6}"/>
    <cellStyle name="40% - Accent4 2 3 4 3" xfId="5820" xr:uid="{00000000-0005-0000-0000-0000D7050000}"/>
    <cellStyle name="40% - Accent4 2 3 4 3 2" xfId="15146" xr:uid="{4338F74E-C89C-4053-9E7A-DC7BA9E2A7DE}"/>
    <cellStyle name="40% - Accent4 2 3 4 3 2 2" xfId="33742" xr:uid="{98E5B8BC-7E30-4C27-86C8-8C6E0F7D5878}"/>
    <cellStyle name="40% - Accent4 2 3 4 3 3" xfId="24445" xr:uid="{0CCD315C-5EFC-4B66-A96F-3C8AF084839D}"/>
    <cellStyle name="40% - Accent4 2 3 4 4" xfId="10929" xr:uid="{F0499B5A-0DD7-46FF-B402-DC769025FFB0}"/>
    <cellStyle name="40% - Accent4 2 3 4 4 2" xfId="29525" xr:uid="{67CF0AC9-96AD-42A4-8C3A-5EE37C042E1D}"/>
    <cellStyle name="40% - Accent4 2 3 4 5" xfId="20228" xr:uid="{BA4118C3-247C-4992-986D-14A72411E481}"/>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65E2ACA8-1B98-4786-AFEC-A487DAAAB34F}"/>
    <cellStyle name="40% - Accent4 2 3 5 2 2 2 2" xfId="36300" xr:uid="{69CFC7EB-2C73-4803-AA87-082322F3D44A}"/>
    <cellStyle name="40% - Accent4 2 3 5 2 2 3" xfId="27003" xr:uid="{BBEBC501-4713-44AA-BB36-C6973F39C9D4}"/>
    <cellStyle name="40% - Accent4 2 3 5 2 3" xfId="13487" xr:uid="{7260EC90-A3D4-4AF3-A26B-02091BA50583}"/>
    <cellStyle name="40% - Accent4 2 3 5 2 3 2" xfId="32083" xr:uid="{4642CCE4-6C2E-4DC6-913D-DAFFE6D505F1}"/>
    <cellStyle name="40% - Accent4 2 3 5 2 4" xfId="22786" xr:uid="{BE979D02-4E34-4437-9515-AF8EE2F870DF}"/>
    <cellStyle name="40% - Accent4 2 3 5 3" xfId="6233" xr:uid="{00000000-0005-0000-0000-0000DB050000}"/>
    <cellStyle name="40% - Accent4 2 3 5 3 2" xfId="15559" xr:uid="{9639A87A-1EFB-4C31-9EF7-4496D1A5CF24}"/>
    <cellStyle name="40% - Accent4 2 3 5 3 2 2" xfId="34155" xr:uid="{15148DCB-CD86-458C-A44E-EA1E763B24CE}"/>
    <cellStyle name="40% - Accent4 2 3 5 3 3" xfId="24858" xr:uid="{FAB2005C-6528-4171-9D7A-E088DDE34E4D}"/>
    <cellStyle name="40% - Accent4 2 3 5 4" xfId="11342" xr:uid="{D410779D-7DA6-4E45-BBE2-A9EB0F8D046A}"/>
    <cellStyle name="40% - Accent4 2 3 5 4 2" xfId="29938" xr:uid="{C9C4EE40-B683-4E22-BA42-C20C5EEC5684}"/>
    <cellStyle name="40% - Accent4 2 3 5 5" xfId="20641" xr:uid="{5791AB29-4F10-498A-BC2A-F3EDE33A3940}"/>
    <cellStyle name="40% - Accent4 2 3 6" xfId="2340" xr:uid="{00000000-0005-0000-0000-0000DC050000}"/>
    <cellStyle name="40% - Accent4 2 3 6 2" xfId="6646" xr:uid="{00000000-0005-0000-0000-0000DD050000}"/>
    <cellStyle name="40% - Accent4 2 3 6 2 2" xfId="15972" xr:uid="{56EA7B84-3705-4146-81A4-D94062C36A44}"/>
    <cellStyle name="40% - Accent4 2 3 6 2 2 2" xfId="34568" xr:uid="{57A168B1-CDCB-43EB-A15E-F2B98DD8D7BC}"/>
    <cellStyle name="40% - Accent4 2 3 6 2 3" xfId="25271" xr:uid="{074B7C0C-1DC4-4783-8FE3-8C58A95737B5}"/>
    <cellStyle name="40% - Accent4 2 3 6 3" xfId="11755" xr:uid="{CE602E6F-6980-44E5-B2C4-E0A8AAACB823}"/>
    <cellStyle name="40% - Accent4 2 3 6 3 2" xfId="30351" xr:uid="{5A302B44-FAB5-42DD-A775-D7C2C1E03E6C}"/>
    <cellStyle name="40% - Accent4 2 3 6 4" xfId="21054" xr:uid="{EF0AD35D-924E-4511-B621-2B5CEE69FC73}"/>
    <cellStyle name="40% - Accent4 2 3 7" xfId="4580" xr:uid="{00000000-0005-0000-0000-0000DE050000}"/>
    <cellStyle name="40% - Accent4 2 3 7 2" xfId="13906" xr:uid="{2D9C19C3-7B15-4F0C-A782-B5E1C40B17EF}"/>
    <cellStyle name="40% - Accent4 2 3 7 2 2" xfId="32502" xr:uid="{62E6FD16-7B68-4F7B-B261-555D0F56D8A1}"/>
    <cellStyle name="40% - Accent4 2 3 7 3" xfId="23205" xr:uid="{46A72D78-5C68-4A64-8BF6-36D55A3C2989}"/>
    <cellStyle name="40% - Accent4 2 3 8" xfId="9008" xr:uid="{270F4CAB-C86F-4D9D-804F-69497913908B}"/>
    <cellStyle name="40% - Accent4 2 3 8 2" xfId="18332" xr:uid="{BEB06B4A-AADE-45C2-AFCE-FBA2A853308F}"/>
    <cellStyle name="40% - Accent4 2 3 8 2 2" xfId="36927" xr:uid="{DDAB43E0-582F-4D53-852B-F9331D265C02}"/>
    <cellStyle name="40% - Accent4 2 3 8 3" xfId="27630" xr:uid="{4E1DD5A0-06BA-49C0-A82F-C7F7F7BB5E5C}"/>
    <cellStyle name="40% - Accent4 2 3 9" xfId="9689" xr:uid="{FA4A55FC-F7D0-46F2-AF6C-68941FD16556}"/>
    <cellStyle name="40% - Accent4 2 3 9 2" xfId="28285" xr:uid="{58A577F6-ED65-4BF4-AF03-5DFB4A9F60BE}"/>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789ACF28-5FC4-4E75-B84D-DA0DDF549CE7}"/>
    <cellStyle name="40% - Accent4 2 4 2 2 2 2" xfId="35058" xr:uid="{0A6A9EDC-2305-4D81-A68F-8CACE3CD1194}"/>
    <cellStyle name="40% - Accent4 2 4 2 2 3" xfId="25761" xr:uid="{31EB110E-9F01-41A6-9CA1-11DB6CC5EEDB}"/>
    <cellStyle name="40% - Accent4 2 4 2 3" xfId="12245" xr:uid="{D1DE2241-2AF5-41F1-812D-D995FC954832}"/>
    <cellStyle name="40% - Accent4 2 4 2 3 2" xfId="30841" xr:uid="{03E589B5-705A-484C-B476-15BEFF45239C}"/>
    <cellStyle name="40% - Accent4 2 4 2 4" xfId="21544" xr:uid="{2B2F017E-9992-4CE7-AE68-E8175904B301}"/>
    <cellStyle name="40% - Accent4 2 4 3" xfId="4991" xr:uid="{00000000-0005-0000-0000-0000E2050000}"/>
    <cellStyle name="40% - Accent4 2 4 3 2" xfId="14317" xr:uid="{951C629A-695B-4E3A-A13E-94E6B84AAB89}"/>
    <cellStyle name="40% - Accent4 2 4 3 2 2" xfId="32913" xr:uid="{05A9FD17-388A-4CBB-A874-EBC93243C378}"/>
    <cellStyle name="40% - Accent4 2 4 3 3" xfId="23616" xr:uid="{660669D5-0C4B-4E23-B4B9-3E5AE9D07B9C}"/>
    <cellStyle name="40% - Accent4 2 4 4" xfId="9225" xr:uid="{40EEB981-54C4-40E4-A2F9-BCD479248D23}"/>
    <cellStyle name="40% - Accent4 2 4 4 2" xfId="18541" xr:uid="{648E27DC-FB87-44A7-A076-BBD7EE7C9F87}"/>
    <cellStyle name="40% - Accent4 2 4 4 2 2" xfId="37135" xr:uid="{6451C825-CD71-4227-8603-D4097000EF09}"/>
    <cellStyle name="40% - Accent4 2 4 4 3" xfId="27838" xr:uid="{2403D0A4-B6C1-4B6D-B950-A7F6861F12B9}"/>
    <cellStyle name="40% - Accent4 2 4 5" xfId="10100" xr:uid="{A1A6D0CB-FAAD-4305-A75F-80F765870A43}"/>
    <cellStyle name="40% - Accent4 2 4 5 2" xfId="28696" xr:uid="{91E06D78-0918-43A5-BE68-C88B6961A99F}"/>
    <cellStyle name="40% - Accent4 2 4 6" xfId="19399" xr:uid="{F7599DEA-2D90-4358-AA89-B682D0BD0462}"/>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5CF24CCD-463E-4F43-9CCA-407ED539DA9F}"/>
    <cellStyle name="40% - Accent4 2 5 2 2 2 2" xfId="35471" xr:uid="{EC0FB032-626B-40E0-A020-2739BBAC0EB8}"/>
    <cellStyle name="40% - Accent4 2 5 2 2 3" xfId="26174" xr:uid="{9EF78C3D-0376-43D6-9610-AC4DE1BF0CEB}"/>
    <cellStyle name="40% - Accent4 2 5 2 3" xfId="12658" xr:uid="{BC92F6DC-3D71-432D-A681-ABA7CF43383F}"/>
    <cellStyle name="40% - Accent4 2 5 2 3 2" xfId="31254" xr:uid="{FA0EE743-0CD9-44AD-9AA5-990CA1130B47}"/>
    <cellStyle name="40% - Accent4 2 5 2 4" xfId="21957" xr:uid="{AFA3CD45-5FAF-43CB-B7F4-88813944294A}"/>
    <cellStyle name="40% - Accent4 2 5 3" xfId="5404" xr:uid="{00000000-0005-0000-0000-0000E6050000}"/>
    <cellStyle name="40% - Accent4 2 5 3 2" xfId="14730" xr:uid="{FE88BA7A-9DA7-4C2F-B167-9CB95064C000}"/>
    <cellStyle name="40% - Accent4 2 5 3 2 2" xfId="33326" xr:uid="{9ACD6E01-C684-429D-B883-CDD5ED34511A}"/>
    <cellStyle name="40% - Accent4 2 5 3 3" xfId="24029" xr:uid="{5955C85E-640B-4FA0-BA8B-F3FB26986DA9}"/>
    <cellStyle name="40% - Accent4 2 5 4" xfId="10513" xr:uid="{2BE3B1CA-BF21-4D9D-A738-4F60E04E0C3C}"/>
    <cellStyle name="40% - Accent4 2 5 4 2" xfId="29109" xr:uid="{99599505-4EDC-4E10-9C54-0A3E49E37709}"/>
    <cellStyle name="40% - Accent4 2 5 5" xfId="19812" xr:uid="{36729D7F-06E8-41C3-9A5E-BCF81396FE5B}"/>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6437DA1C-D021-4345-B256-7136DDA9536E}"/>
    <cellStyle name="40% - Accent4 2 6 2 2 2 2" xfId="35884" xr:uid="{A06FF9F2-2666-40C9-8EAA-E3C25FB44500}"/>
    <cellStyle name="40% - Accent4 2 6 2 2 3" xfId="26587" xr:uid="{B6D49A7C-8880-40A3-B82C-C5CCF5B00E1D}"/>
    <cellStyle name="40% - Accent4 2 6 2 3" xfId="13071" xr:uid="{B35C38DD-8054-4084-8DBC-CDFC15DC973D}"/>
    <cellStyle name="40% - Accent4 2 6 2 3 2" xfId="31667" xr:uid="{11B5F71E-BF18-4BBD-9772-3C35EBF4EF56}"/>
    <cellStyle name="40% - Accent4 2 6 2 4" xfId="22370" xr:uid="{BA516E77-819C-4236-BE7A-732C31B46D7D}"/>
    <cellStyle name="40% - Accent4 2 6 3" xfId="5817" xr:uid="{00000000-0005-0000-0000-0000EA050000}"/>
    <cellStyle name="40% - Accent4 2 6 3 2" xfId="15143" xr:uid="{33566B3D-93B9-43A2-A018-573D038E186F}"/>
    <cellStyle name="40% - Accent4 2 6 3 2 2" xfId="33739" xr:uid="{BFF67A36-15C2-4E09-A9C6-EDB1C56B7D11}"/>
    <cellStyle name="40% - Accent4 2 6 3 3" xfId="24442" xr:uid="{A2F7C3A4-BB4C-429B-9738-AA55107C1EE1}"/>
    <cellStyle name="40% - Accent4 2 6 4" xfId="10926" xr:uid="{67037A26-A92B-4E72-8B79-8CC911ADB7A2}"/>
    <cellStyle name="40% - Accent4 2 6 4 2" xfId="29522" xr:uid="{29776BA6-1D48-47CE-A945-1BF853D0F440}"/>
    <cellStyle name="40% - Accent4 2 6 5" xfId="20225" xr:uid="{E8C85D9E-106C-40F0-AB0F-6555329BB514}"/>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6DDCFD2F-FF28-4737-B212-D514B466B29E}"/>
    <cellStyle name="40% - Accent4 2 7 2 2 2 2" xfId="36297" xr:uid="{93B223D8-BA04-4B57-8A52-5979E35C216E}"/>
    <cellStyle name="40% - Accent4 2 7 2 2 3" xfId="27000" xr:uid="{20BECDF5-E8E9-458E-8623-AD97CF4CCF67}"/>
    <cellStyle name="40% - Accent4 2 7 2 3" xfId="13484" xr:uid="{F5E234B8-BA47-4809-B544-A8BC83FA95BC}"/>
    <cellStyle name="40% - Accent4 2 7 2 3 2" xfId="32080" xr:uid="{3636D5C7-3DFC-4EC1-B6DF-46DBB39A0C85}"/>
    <cellStyle name="40% - Accent4 2 7 2 4" xfId="22783" xr:uid="{F0CA193B-17BA-4CA8-8666-E1D30E61F94E}"/>
    <cellStyle name="40% - Accent4 2 7 3" xfId="6230" xr:uid="{00000000-0005-0000-0000-0000EE050000}"/>
    <cellStyle name="40% - Accent4 2 7 3 2" xfId="15556" xr:uid="{D1E7E0B6-CF6E-42BC-A0FB-38ADD5A38803}"/>
    <cellStyle name="40% - Accent4 2 7 3 2 2" xfId="34152" xr:uid="{9418B421-42BB-4B9F-A892-FE5F49473A26}"/>
    <cellStyle name="40% - Accent4 2 7 3 3" xfId="24855" xr:uid="{7DDCF6B8-DEC0-4675-8A5A-C7B1CD0B8175}"/>
    <cellStyle name="40% - Accent4 2 7 4" xfId="11339" xr:uid="{F7C56CD5-2FA9-4A1C-9E82-31E9A46479F2}"/>
    <cellStyle name="40% - Accent4 2 7 4 2" xfId="29935" xr:uid="{51459317-A2E4-4BF3-AA84-2034A72182CE}"/>
    <cellStyle name="40% - Accent4 2 7 5" xfId="20638" xr:uid="{4500FCBA-06AC-4165-A4E8-E877105B8E45}"/>
    <cellStyle name="40% - Accent4 2 8" xfId="2337" xr:uid="{00000000-0005-0000-0000-0000EF050000}"/>
    <cellStyle name="40% - Accent4 2 8 2" xfId="6643" xr:uid="{00000000-0005-0000-0000-0000F0050000}"/>
    <cellStyle name="40% - Accent4 2 8 2 2" xfId="15969" xr:uid="{94C01AF7-64D2-4EE7-A4DA-BB7B577EE313}"/>
    <cellStyle name="40% - Accent4 2 8 2 2 2" xfId="34565" xr:uid="{E7993D01-BF3B-48EF-86A6-731700633EFB}"/>
    <cellStyle name="40% - Accent4 2 8 2 3" xfId="25268" xr:uid="{5828E1AA-209D-48A7-9E99-45A18096544B}"/>
    <cellStyle name="40% - Accent4 2 8 3" xfId="11752" xr:uid="{112799C1-5FC1-4743-8BE3-9F43CDC6002F}"/>
    <cellStyle name="40% - Accent4 2 8 3 2" xfId="30348" xr:uid="{5E7217DA-294A-4C9C-BBC6-661AB31E6A56}"/>
    <cellStyle name="40% - Accent4 2 8 4" xfId="21051" xr:uid="{DFCA5437-C80B-440F-B14D-0282629418D8}"/>
    <cellStyle name="40% - Accent4 2 9" xfId="4577" xr:uid="{00000000-0005-0000-0000-0000F1050000}"/>
    <cellStyle name="40% - Accent4 2 9 2" xfId="13903" xr:uid="{8F6FB047-9C81-44A3-A31D-160598F06DF3}"/>
    <cellStyle name="40% - Accent4 2 9 2 2" xfId="32499" xr:uid="{6A3C84EB-B0EC-4634-8A56-66D775052EC1}"/>
    <cellStyle name="40% - Accent4 2 9 3" xfId="23202" xr:uid="{A54CC96A-EB8F-49DE-8DD1-2A223AC9F5F6}"/>
    <cellStyle name="40% - Accent4 3" xfId="78" xr:uid="{00000000-0005-0000-0000-0000F2050000}"/>
    <cellStyle name="40% - Accent4 3 10" xfId="9690" xr:uid="{EB75BAB6-F46D-44E1-8339-0AB6A649F68A}"/>
    <cellStyle name="40% - Accent4 3 10 2" xfId="28286" xr:uid="{02FBD1F0-6757-4472-92C3-BEDC0E47272B}"/>
    <cellStyle name="40% - Accent4 3 11" xfId="18989" xr:uid="{600B121C-F973-42F7-8237-EE9538CCA301}"/>
    <cellStyle name="40% - Accent4 3 2" xfId="79" xr:uid="{00000000-0005-0000-0000-0000F3050000}"/>
    <cellStyle name="40% - Accent4 3 2 10" xfId="18990" xr:uid="{9740A329-A396-4697-B26B-F077AC86E53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4D4CA543-8B1C-4D16-8CCB-0F5C67C9C3CD}"/>
    <cellStyle name="40% - Accent4 3 2 2 2 2 2 2" xfId="35063" xr:uid="{7638F135-763E-4077-88AF-0AE0768A9A57}"/>
    <cellStyle name="40% - Accent4 3 2 2 2 2 3" xfId="25766" xr:uid="{AFB0C4C6-238F-46F9-8670-3A1D64D64D2B}"/>
    <cellStyle name="40% - Accent4 3 2 2 2 3" xfId="12250" xr:uid="{57DBC706-5559-4C97-BD95-FD5FE25F3885}"/>
    <cellStyle name="40% - Accent4 3 2 2 2 3 2" xfId="30846" xr:uid="{C39205D4-2BC9-4E13-9432-06A5163C3EDA}"/>
    <cellStyle name="40% - Accent4 3 2 2 2 4" xfId="21549" xr:uid="{22B9246F-18F3-499F-BB7F-9F542CCDBDF1}"/>
    <cellStyle name="40% - Accent4 3 2 2 3" xfId="4996" xr:uid="{00000000-0005-0000-0000-0000F7050000}"/>
    <cellStyle name="40% - Accent4 3 2 2 3 2" xfId="14322" xr:uid="{77526009-10B1-4842-BE34-5217343C7810}"/>
    <cellStyle name="40% - Accent4 3 2 2 3 2 2" xfId="32918" xr:uid="{B914D078-9B8D-4290-8E43-132FEDDD50C2}"/>
    <cellStyle name="40% - Accent4 3 2 2 3 3" xfId="23621" xr:uid="{6E8D3BE9-1325-4638-93FC-07346CD9D6C5}"/>
    <cellStyle name="40% - Accent4 3 2 2 4" xfId="9500" xr:uid="{EAAAC99F-A3A1-40FB-B78D-6862EF121B7A}"/>
    <cellStyle name="40% - Accent4 3 2 2 4 2" xfId="18815" xr:uid="{0C461C20-8F5E-422E-BE0A-C7766EA00EC4}"/>
    <cellStyle name="40% - Accent4 3 2 2 4 2 2" xfId="37409" xr:uid="{536BF84A-E09E-45C4-A4A6-270EDF254D76}"/>
    <cellStyle name="40% - Accent4 3 2 2 4 3" xfId="28112" xr:uid="{2893614F-E5C6-4891-ABFA-D978373B36AB}"/>
    <cellStyle name="40% - Accent4 3 2 2 5" xfId="10105" xr:uid="{0CDB2072-E7DA-4E7B-92BC-0BA6C5D70007}"/>
    <cellStyle name="40% - Accent4 3 2 2 5 2" xfId="28701" xr:uid="{61279A9E-B505-4E05-A657-48D6A19163E9}"/>
    <cellStyle name="40% - Accent4 3 2 2 6" xfId="19404" xr:uid="{CE2A9BCE-B737-4D77-8249-683B80652F0B}"/>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1AB54076-7F02-43A7-91F7-C7C77FDA89B3}"/>
    <cellStyle name="40% - Accent4 3 2 3 2 2 2 2" xfId="35476" xr:uid="{16A7B6C0-914A-469C-8EF8-563F727C26CE}"/>
    <cellStyle name="40% - Accent4 3 2 3 2 2 3" xfId="26179" xr:uid="{063A722F-5458-4DA4-8D4C-AAB2FE20DABC}"/>
    <cellStyle name="40% - Accent4 3 2 3 2 3" xfId="12663" xr:uid="{CE8B15A9-F1C3-4D7E-9665-3088255BA025}"/>
    <cellStyle name="40% - Accent4 3 2 3 2 3 2" xfId="31259" xr:uid="{7998F969-4D84-4112-B8F5-C5447D6466B8}"/>
    <cellStyle name="40% - Accent4 3 2 3 2 4" xfId="21962" xr:uid="{2BA9F003-DEF5-40CE-9BB1-F92FDB558CC4}"/>
    <cellStyle name="40% - Accent4 3 2 3 3" xfId="5409" xr:uid="{00000000-0005-0000-0000-0000FB050000}"/>
    <cellStyle name="40% - Accent4 3 2 3 3 2" xfId="14735" xr:uid="{D7C1BA2B-4EAB-42C7-B44B-EAE95EC78AB7}"/>
    <cellStyle name="40% - Accent4 3 2 3 3 2 2" xfId="33331" xr:uid="{857554AA-F1D9-4948-A1DD-10006E2EFD4A}"/>
    <cellStyle name="40% - Accent4 3 2 3 3 3" xfId="24034" xr:uid="{519B6503-C49C-488C-8CF9-2190F4646091}"/>
    <cellStyle name="40% - Accent4 3 2 3 4" xfId="10518" xr:uid="{DB5A1812-F31C-4564-8C55-87E1811F9874}"/>
    <cellStyle name="40% - Accent4 3 2 3 4 2" xfId="29114" xr:uid="{0700DCDF-C953-4C2C-89AF-F3CC3352E467}"/>
    <cellStyle name="40% - Accent4 3 2 3 5" xfId="19817" xr:uid="{86351D68-4D07-49B5-9DFF-5B3418C6DB36}"/>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C2EFEB49-E57A-4C91-8B2C-C775ABF81DB8}"/>
    <cellStyle name="40% - Accent4 3 2 4 2 2 2 2" xfId="35889" xr:uid="{8EAFADB1-FF31-4CB3-81EF-8C9F52EFFFE3}"/>
    <cellStyle name="40% - Accent4 3 2 4 2 2 3" xfId="26592" xr:uid="{67827D85-0207-4050-80CD-E0B53F6500B5}"/>
    <cellStyle name="40% - Accent4 3 2 4 2 3" xfId="13076" xr:uid="{C90725FC-E35B-48AC-8638-D660B3FA99E6}"/>
    <cellStyle name="40% - Accent4 3 2 4 2 3 2" xfId="31672" xr:uid="{F59A050F-AB64-4E8A-A903-A21C92A91B8E}"/>
    <cellStyle name="40% - Accent4 3 2 4 2 4" xfId="22375" xr:uid="{70A4ABCC-51A7-419E-8B84-1D5A5E5DC762}"/>
    <cellStyle name="40% - Accent4 3 2 4 3" xfId="5822" xr:uid="{00000000-0005-0000-0000-0000FF050000}"/>
    <cellStyle name="40% - Accent4 3 2 4 3 2" xfId="15148" xr:uid="{085A2993-0D7E-4E1F-B0F5-DC46C2A0321E}"/>
    <cellStyle name="40% - Accent4 3 2 4 3 2 2" xfId="33744" xr:uid="{926D62EC-8C4A-4ACC-BA93-01C4113927C9}"/>
    <cellStyle name="40% - Accent4 3 2 4 3 3" xfId="24447" xr:uid="{6F226C6F-A93E-4CC2-B988-9509FC80BA1B}"/>
    <cellStyle name="40% - Accent4 3 2 4 4" xfId="10931" xr:uid="{8C778B79-1964-47CD-B21A-E172B348269D}"/>
    <cellStyle name="40% - Accent4 3 2 4 4 2" xfId="29527" xr:uid="{0FBD55A6-D354-4E39-BED4-23FF3CF7FC5D}"/>
    <cellStyle name="40% - Accent4 3 2 4 5" xfId="20230" xr:uid="{7D7AB94E-17CD-4324-8EB6-AA630F4BE99C}"/>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C58B4D00-53F4-488E-821C-E0201BE4266E}"/>
    <cellStyle name="40% - Accent4 3 2 5 2 2 2 2" xfId="36302" xr:uid="{3C159DA8-579E-4BCB-9B7A-38EB24C68694}"/>
    <cellStyle name="40% - Accent4 3 2 5 2 2 3" xfId="27005" xr:uid="{FD3889C3-6AB5-4B4F-BE48-5EC0B62704F7}"/>
    <cellStyle name="40% - Accent4 3 2 5 2 3" xfId="13489" xr:uid="{4E9C7ACC-5B42-44B4-A053-5DA2026120CE}"/>
    <cellStyle name="40% - Accent4 3 2 5 2 3 2" xfId="32085" xr:uid="{9C4E9477-8DE5-4744-B247-DC69EB54FF4B}"/>
    <cellStyle name="40% - Accent4 3 2 5 2 4" xfId="22788" xr:uid="{C84C0E63-67D4-4B25-9108-7AD65CEB9DFE}"/>
    <cellStyle name="40% - Accent4 3 2 5 3" xfId="6235" xr:uid="{00000000-0005-0000-0000-000003060000}"/>
    <cellStyle name="40% - Accent4 3 2 5 3 2" xfId="15561" xr:uid="{73C234B0-795F-4A35-B0DA-AA911F45551A}"/>
    <cellStyle name="40% - Accent4 3 2 5 3 2 2" xfId="34157" xr:uid="{6F1D5E8B-5B25-4EEE-ACD3-C0E22B5129DB}"/>
    <cellStyle name="40% - Accent4 3 2 5 3 3" xfId="24860" xr:uid="{F4640EE6-BE22-4AD5-A29F-C45DC62D94E9}"/>
    <cellStyle name="40% - Accent4 3 2 5 4" xfId="11344" xr:uid="{EF854DBD-A15C-4EA1-857E-50940ED79660}"/>
    <cellStyle name="40% - Accent4 3 2 5 4 2" xfId="29940" xr:uid="{172EB988-4B65-4332-8D4A-1ABF497F3034}"/>
    <cellStyle name="40% - Accent4 3 2 5 5" xfId="20643" xr:uid="{E8D32017-0BA8-487D-A3E8-26D50F54F115}"/>
    <cellStyle name="40% - Accent4 3 2 6" xfId="2342" xr:uid="{00000000-0005-0000-0000-000004060000}"/>
    <cellStyle name="40% - Accent4 3 2 6 2" xfId="6648" xr:uid="{00000000-0005-0000-0000-000005060000}"/>
    <cellStyle name="40% - Accent4 3 2 6 2 2" xfId="15974" xr:uid="{B8D9E32D-AF55-4342-BDD5-523A1F9B2848}"/>
    <cellStyle name="40% - Accent4 3 2 6 2 2 2" xfId="34570" xr:uid="{2F8161DD-0FAF-4EBA-A00E-2A4D2FA341FD}"/>
    <cellStyle name="40% - Accent4 3 2 6 2 3" xfId="25273" xr:uid="{BD55C51E-F37C-4B12-B6F6-430C045E2DAC}"/>
    <cellStyle name="40% - Accent4 3 2 6 3" xfId="11757" xr:uid="{E373D8B6-FA07-499B-97D1-287F7E69C55E}"/>
    <cellStyle name="40% - Accent4 3 2 6 3 2" xfId="30353" xr:uid="{7A9171BE-132C-480D-9625-27AD591284B1}"/>
    <cellStyle name="40% - Accent4 3 2 6 4" xfId="21056" xr:uid="{680EDC42-834F-44D5-9282-260C4062E4F8}"/>
    <cellStyle name="40% - Accent4 3 2 7" xfId="4582" xr:uid="{00000000-0005-0000-0000-000006060000}"/>
    <cellStyle name="40% - Accent4 3 2 7 2" xfId="13908" xr:uid="{A197FE5E-6157-4D39-8846-A23D28B8BCAC}"/>
    <cellStyle name="40% - Accent4 3 2 7 2 2" xfId="32504" xr:uid="{5E4DC01F-9D0D-46DB-8D04-4EDDBFEB236E}"/>
    <cellStyle name="40% - Accent4 3 2 7 3" xfId="23207" xr:uid="{2067C0F5-7B1A-4E73-9D7E-EACB6AA9190D}"/>
    <cellStyle name="40% - Accent4 3 2 8" xfId="9075" xr:uid="{6C51FF47-5618-4E1E-BC97-01FFF287A6C3}"/>
    <cellStyle name="40% - Accent4 3 2 8 2" xfId="18399" xr:uid="{99DB1903-E732-481F-B93D-24D791E8CA9F}"/>
    <cellStyle name="40% - Accent4 3 2 8 2 2" xfId="36994" xr:uid="{BACFD31F-6BEA-4149-AD4E-608BCD40737B}"/>
    <cellStyle name="40% - Accent4 3 2 8 3" xfId="27697" xr:uid="{AFDC22C2-1ECE-4319-8F76-0246D1D4C902}"/>
    <cellStyle name="40% - Accent4 3 2 9" xfId="9691" xr:uid="{559CD4E4-80D0-4150-9A19-5ECFE8D4521E}"/>
    <cellStyle name="40% - Accent4 3 2 9 2" xfId="28287" xr:uid="{B1B9EC16-1D73-4FBB-950D-C10C908BA4A0}"/>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7EAD11C8-9240-4736-8DAA-347F1C12EEA3}"/>
    <cellStyle name="40% - Accent4 3 3 2 2 2 2" xfId="35062" xr:uid="{87D5EFF3-947D-499C-870E-006457A16F71}"/>
    <cellStyle name="40% - Accent4 3 3 2 2 3" xfId="25765" xr:uid="{5E476E1E-0001-40B4-AB64-1C6670891212}"/>
    <cellStyle name="40% - Accent4 3 3 2 3" xfId="12249" xr:uid="{D3637DEE-44D6-4A46-B581-6AFA234C1970}"/>
    <cellStyle name="40% - Accent4 3 3 2 3 2" xfId="30845" xr:uid="{D1E1078E-3AD3-4A75-B260-57F576C76779}"/>
    <cellStyle name="40% - Accent4 3 3 2 4" xfId="21548" xr:uid="{C331764E-5826-491F-9914-995FD826B4F9}"/>
    <cellStyle name="40% - Accent4 3 3 3" xfId="4995" xr:uid="{00000000-0005-0000-0000-00000A060000}"/>
    <cellStyle name="40% - Accent4 3 3 3 2" xfId="14321" xr:uid="{96B6530A-DA98-4287-8E62-0CD98744D55A}"/>
    <cellStyle name="40% - Accent4 3 3 3 2 2" xfId="32917" xr:uid="{5E0C60E2-9434-4317-A700-E744C8AD6DA9}"/>
    <cellStyle name="40% - Accent4 3 3 3 3" xfId="23620" xr:uid="{A49C9391-7E17-4B74-849D-F3A05BD8CA89}"/>
    <cellStyle name="40% - Accent4 3 3 4" xfId="9293" xr:uid="{4A28D7F5-3617-45DC-A350-6C6596CDA765}"/>
    <cellStyle name="40% - Accent4 3 3 4 2" xfId="18608" xr:uid="{A5E671D2-ABB6-4EE2-9178-F3B79ABB5E58}"/>
    <cellStyle name="40% - Accent4 3 3 4 2 2" xfId="37202" xr:uid="{0DC5CBAE-C5FB-4E80-B411-461F9FDB95A8}"/>
    <cellStyle name="40% - Accent4 3 3 4 3" xfId="27905" xr:uid="{CAC11C8F-F657-4419-AB01-A60F9334A0AE}"/>
    <cellStyle name="40% - Accent4 3 3 5" xfId="10104" xr:uid="{29128AC1-C924-4DC9-AC74-581D2A9A7F81}"/>
    <cellStyle name="40% - Accent4 3 3 5 2" xfId="28700" xr:uid="{8D17AFE8-EF71-4278-AD69-AF3FC148673B}"/>
    <cellStyle name="40% - Accent4 3 3 6" xfId="19403" xr:uid="{8D5F6262-072E-4CFA-9304-FC79490868C5}"/>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A6F58D60-FFB5-47D1-B27D-4A3283879C40}"/>
    <cellStyle name="40% - Accent4 3 4 2 2 2 2" xfId="35475" xr:uid="{F92D14FB-64C4-4DB7-9825-8D27D449AAB3}"/>
    <cellStyle name="40% - Accent4 3 4 2 2 3" xfId="26178" xr:uid="{2A37D555-2679-44A6-A843-2F8439FDD6B4}"/>
    <cellStyle name="40% - Accent4 3 4 2 3" xfId="12662" xr:uid="{DA6A5420-A514-4EA4-9B3B-621FE041A6E8}"/>
    <cellStyle name="40% - Accent4 3 4 2 3 2" xfId="31258" xr:uid="{F6B79F49-CAF6-4DA2-B31E-02C1C48AE0B0}"/>
    <cellStyle name="40% - Accent4 3 4 2 4" xfId="21961" xr:uid="{F710C8FB-54F5-4273-AC6D-895870CE1108}"/>
    <cellStyle name="40% - Accent4 3 4 3" xfId="5408" xr:uid="{00000000-0005-0000-0000-00000E060000}"/>
    <cellStyle name="40% - Accent4 3 4 3 2" xfId="14734" xr:uid="{84F031C3-CD31-456A-9765-D91B64197652}"/>
    <cellStyle name="40% - Accent4 3 4 3 2 2" xfId="33330" xr:uid="{51199E15-F5F7-4DF9-9D26-9D1FAB639F48}"/>
    <cellStyle name="40% - Accent4 3 4 3 3" xfId="24033" xr:uid="{5D88746F-2961-4650-8F7C-2114C3F3F7F7}"/>
    <cellStyle name="40% - Accent4 3 4 4" xfId="10517" xr:uid="{23E34C92-FA23-4A69-8811-2BEE8597AB88}"/>
    <cellStyle name="40% - Accent4 3 4 4 2" xfId="29113" xr:uid="{BB4EAB78-EE84-43C6-9E66-50DFD9800B14}"/>
    <cellStyle name="40% - Accent4 3 4 5" xfId="19816" xr:uid="{84E99880-021A-4513-B964-9A5BDEF8F261}"/>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C8D51044-4D4E-4E76-A208-8CB8817DF8CD}"/>
    <cellStyle name="40% - Accent4 3 5 2 2 2 2" xfId="35888" xr:uid="{00D074DC-B631-42DA-9DFD-D83C4E891929}"/>
    <cellStyle name="40% - Accent4 3 5 2 2 3" xfId="26591" xr:uid="{DBC38CEB-B807-4A7B-8A34-6904E627763A}"/>
    <cellStyle name="40% - Accent4 3 5 2 3" xfId="13075" xr:uid="{35085470-7E11-44C6-B2F4-1C15DFA2DA5E}"/>
    <cellStyle name="40% - Accent4 3 5 2 3 2" xfId="31671" xr:uid="{072E264A-3186-4CD5-90AC-441D8EAA63FF}"/>
    <cellStyle name="40% - Accent4 3 5 2 4" xfId="22374" xr:uid="{E20A75B3-E1EF-44AE-B5E4-6207B11DB45F}"/>
    <cellStyle name="40% - Accent4 3 5 3" xfId="5821" xr:uid="{00000000-0005-0000-0000-000012060000}"/>
    <cellStyle name="40% - Accent4 3 5 3 2" xfId="15147" xr:uid="{71A279EC-595A-48A4-9BAA-AAE40279A7F3}"/>
    <cellStyle name="40% - Accent4 3 5 3 2 2" xfId="33743" xr:uid="{63872149-B96B-41F7-932A-0E36B829FE2B}"/>
    <cellStyle name="40% - Accent4 3 5 3 3" xfId="24446" xr:uid="{B8F5A3B0-6626-4FC7-881F-13BB45A4C20B}"/>
    <cellStyle name="40% - Accent4 3 5 4" xfId="10930" xr:uid="{97870870-761E-48B9-BAEE-B4869D4B7DA1}"/>
    <cellStyle name="40% - Accent4 3 5 4 2" xfId="29526" xr:uid="{B1CBC74A-112C-4F6B-8988-C56D8CFB7239}"/>
    <cellStyle name="40% - Accent4 3 5 5" xfId="20229" xr:uid="{DFD4A71B-BCF2-4950-AE01-34DD00246887}"/>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21BAD4A8-2CB8-4A6B-A5A1-DCD6E8E498B0}"/>
    <cellStyle name="40% - Accent4 3 6 2 2 2 2" xfId="36301" xr:uid="{660D33BE-4444-4679-B2CA-53E4327C7270}"/>
    <cellStyle name="40% - Accent4 3 6 2 2 3" xfId="27004" xr:uid="{C6E09FFA-B2DE-4FDE-BE41-183ACA671930}"/>
    <cellStyle name="40% - Accent4 3 6 2 3" xfId="13488" xr:uid="{30C5AC02-01E6-41F8-8579-B5D424B5D9FC}"/>
    <cellStyle name="40% - Accent4 3 6 2 3 2" xfId="32084" xr:uid="{4AEF4D5D-7D28-464D-9AF9-A4AB8040A176}"/>
    <cellStyle name="40% - Accent4 3 6 2 4" xfId="22787" xr:uid="{02068E34-DC3F-4360-8F79-09213232B277}"/>
    <cellStyle name="40% - Accent4 3 6 3" xfId="6234" xr:uid="{00000000-0005-0000-0000-000016060000}"/>
    <cellStyle name="40% - Accent4 3 6 3 2" xfId="15560" xr:uid="{95B32629-64B4-4D9D-B12B-EEBFF272816D}"/>
    <cellStyle name="40% - Accent4 3 6 3 2 2" xfId="34156" xr:uid="{B8008887-DE3A-4F56-BCEE-C6799E7A1651}"/>
    <cellStyle name="40% - Accent4 3 6 3 3" xfId="24859" xr:uid="{ADF2D1F6-B54B-4489-88F0-6738539BD146}"/>
    <cellStyle name="40% - Accent4 3 6 4" xfId="11343" xr:uid="{C3FC198D-284C-4EF1-9717-D260901DB729}"/>
    <cellStyle name="40% - Accent4 3 6 4 2" xfId="29939" xr:uid="{45A23C25-EFFC-4AA5-B46A-836E4BF46EDE}"/>
    <cellStyle name="40% - Accent4 3 6 5" xfId="20642" xr:uid="{B652362E-2553-4EC7-A0F4-2D26EA40CEE9}"/>
    <cellStyle name="40% - Accent4 3 7" xfId="2341" xr:uid="{00000000-0005-0000-0000-000017060000}"/>
    <cellStyle name="40% - Accent4 3 7 2" xfId="6647" xr:uid="{00000000-0005-0000-0000-000018060000}"/>
    <cellStyle name="40% - Accent4 3 7 2 2" xfId="15973" xr:uid="{E840AD9B-AC1D-478D-9244-59BF2C8A11CD}"/>
    <cellStyle name="40% - Accent4 3 7 2 2 2" xfId="34569" xr:uid="{AE6927CA-7792-40CE-BB16-4675012E0EA7}"/>
    <cellStyle name="40% - Accent4 3 7 2 3" xfId="25272" xr:uid="{BF581B90-C040-45B6-83A9-FBDD2990930C}"/>
    <cellStyle name="40% - Accent4 3 7 3" xfId="11756" xr:uid="{530550FA-7528-4631-B147-5D9E7378CABD}"/>
    <cellStyle name="40% - Accent4 3 7 3 2" xfId="30352" xr:uid="{CEFA03E6-0B82-4785-9720-451E7F1F9C71}"/>
    <cellStyle name="40% - Accent4 3 7 4" xfId="21055" xr:uid="{BBC292A0-9A6D-4B19-B614-6A579C1478CF}"/>
    <cellStyle name="40% - Accent4 3 8" xfId="4581" xr:uid="{00000000-0005-0000-0000-000019060000}"/>
    <cellStyle name="40% - Accent4 3 8 2" xfId="13907" xr:uid="{3AA3BCD2-2F5E-4922-807C-54016CA8013B}"/>
    <cellStyle name="40% - Accent4 3 8 2 2" xfId="32503" xr:uid="{0313B442-A333-4EC8-B553-303A47ABC7AA}"/>
    <cellStyle name="40% - Accent4 3 8 3" xfId="23206" xr:uid="{6BE994FF-CABD-4CD3-865F-221669F7003F}"/>
    <cellStyle name="40% - Accent4 3 9" xfId="8868" xr:uid="{538D9F50-ACCA-4DB0-A3F1-A129ACFFA0BF}"/>
    <cellStyle name="40% - Accent4 3 9 2" xfId="18192" xr:uid="{B7209326-12C7-4664-83DE-C2880D509CE2}"/>
    <cellStyle name="40% - Accent4 3 9 2 2" xfId="36787" xr:uid="{70EB97C3-EADD-472C-9610-A44C25F6B252}"/>
    <cellStyle name="40% - Accent4 3 9 3" xfId="27490" xr:uid="{CF6B0398-6AFF-4490-9749-7B40D229C8A5}"/>
    <cellStyle name="40% - Accent4 4" xfId="80" xr:uid="{00000000-0005-0000-0000-00001A060000}"/>
    <cellStyle name="40% - Accent4 4 10" xfId="18991" xr:uid="{FB273AEC-FC10-4083-923D-6C7CA2DE75E4}"/>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C59AF7F0-BBF2-43E3-A044-18F49D058DD4}"/>
    <cellStyle name="40% - Accent4 4 2 2 2 2 2" xfId="35064" xr:uid="{E18AABB1-9D2E-4ACF-9E3F-9079A20121DC}"/>
    <cellStyle name="40% - Accent4 4 2 2 2 3" xfId="25767" xr:uid="{DEA161FD-46E4-42C9-8082-C85897DC87EA}"/>
    <cellStyle name="40% - Accent4 4 2 2 3" xfId="12251" xr:uid="{A12833AD-7885-4240-B8B8-EF9324046ADC}"/>
    <cellStyle name="40% - Accent4 4 2 2 3 2" xfId="30847" xr:uid="{5624922B-C2ED-40D4-BE2A-112B3FC2776C}"/>
    <cellStyle name="40% - Accent4 4 2 2 4" xfId="21550" xr:uid="{02C129D5-201E-434F-8009-5BAB24494BDF}"/>
    <cellStyle name="40% - Accent4 4 2 3" xfId="4997" xr:uid="{00000000-0005-0000-0000-00001E060000}"/>
    <cellStyle name="40% - Accent4 4 2 3 2" xfId="14323" xr:uid="{4BD0EF12-3E39-4E7F-864F-522EEB81DC79}"/>
    <cellStyle name="40% - Accent4 4 2 3 2 2" xfId="32919" xr:uid="{0C0422B5-80A5-466E-A41E-9E271C47E697}"/>
    <cellStyle name="40% - Accent4 4 2 3 3" xfId="23622" xr:uid="{1E28F685-6DA1-4DC0-B954-002BC8721641}"/>
    <cellStyle name="40% - Accent4 4 2 4" xfId="9379" xr:uid="{EE31EAE0-1741-4D6E-B7B4-C5DB59044F55}"/>
    <cellStyle name="40% - Accent4 4 2 4 2" xfId="18694" xr:uid="{BBD99960-5392-481D-8030-C2E19E22C287}"/>
    <cellStyle name="40% - Accent4 4 2 4 2 2" xfId="37288" xr:uid="{9016F141-DBB7-4D33-A4CF-46E3C245F35D}"/>
    <cellStyle name="40% - Accent4 4 2 4 3" xfId="27991" xr:uid="{C749B988-5668-4B84-BEAC-B7F29F077259}"/>
    <cellStyle name="40% - Accent4 4 2 5" xfId="10106" xr:uid="{8E64B7B3-29C7-417C-9B52-DECA69B3FC67}"/>
    <cellStyle name="40% - Accent4 4 2 5 2" xfId="28702" xr:uid="{8AEE5B16-25AC-4C47-929A-4C0C4540585D}"/>
    <cellStyle name="40% - Accent4 4 2 6" xfId="19405" xr:uid="{F4765B90-E79B-4E78-A3F2-BA4B3681A817}"/>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3A872F7D-3D1E-4C6E-B479-BBE832100842}"/>
    <cellStyle name="40% - Accent4 4 3 2 2 2 2" xfId="35477" xr:uid="{3E9FCE0D-14B1-4D3B-8422-406F173800D3}"/>
    <cellStyle name="40% - Accent4 4 3 2 2 3" xfId="26180" xr:uid="{2BAC4D80-A578-403C-BA47-A866EFB611A2}"/>
    <cellStyle name="40% - Accent4 4 3 2 3" xfId="12664" xr:uid="{F1E9C911-B51E-475A-BAC2-891FD7F55869}"/>
    <cellStyle name="40% - Accent4 4 3 2 3 2" xfId="31260" xr:uid="{B349F27C-96CA-4740-9769-B8FB93799F36}"/>
    <cellStyle name="40% - Accent4 4 3 2 4" xfId="21963" xr:uid="{BA9E8861-AAEB-436D-8A8C-F491698DF5D7}"/>
    <cellStyle name="40% - Accent4 4 3 3" xfId="5410" xr:uid="{00000000-0005-0000-0000-000022060000}"/>
    <cellStyle name="40% - Accent4 4 3 3 2" xfId="14736" xr:uid="{39628369-9DAB-43A9-AC08-78551C2E0A5D}"/>
    <cellStyle name="40% - Accent4 4 3 3 2 2" xfId="33332" xr:uid="{98FAE357-B7CE-4C52-9992-51F18930209F}"/>
    <cellStyle name="40% - Accent4 4 3 3 3" xfId="24035" xr:uid="{5C648E44-496F-45E3-90D1-698EC43F6B6D}"/>
    <cellStyle name="40% - Accent4 4 3 4" xfId="10519" xr:uid="{98E8624C-6808-4F65-B805-38F38033F950}"/>
    <cellStyle name="40% - Accent4 4 3 4 2" xfId="29115" xr:uid="{A345D0E8-B681-424B-93AF-6276114A88E2}"/>
    <cellStyle name="40% - Accent4 4 3 5" xfId="19818" xr:uid="{05FD8C4F-D12E-4EED-8E12-BAB27DE200E0}"/>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10064911-B613-43F3-8C7B-14E7E5521713}"/>
    <cellStyle name="40% - Accent4 4 4 2 2 2 2" xfId="35890" xr:uid="{21EEF1E5-EE8B-4DC2-9D50-A00BD34FD060}"/>
    <cellStyle name="40% - Accent4 4 4 2 2 3" xfId="26593" xr:uid="{387D817B-EC3B-43C7-BFF9-83EE39F147B9}"/>
    <cellStyle name="40% - Accent4 4 4 2 3" xfId="13077" xr:uid="{0B41A48D-7398-421C-A5E7-BB270A46712E}"/>
    <cellStyle name="40% - Accent4 4 4 2 3 2" xfId="31673" xr:uid="{9828BEBD-D898-4B34-AF50-EAA1B1427CD8}"/>
    <cellStyle name="40% - Accent4 4 4 2 4" xfId="22376" xr:uid="{32325F5C-3CA7-4B29-8A42-1816FE657992}"/>
    <cellStyle name="40% - Accent4 4 4 3" xfId="5823" xr:uid="{00000000-0005-0000-0000-000026060000}"/>
    <cellStyle name="40% - Accent4 4 4 3 2" xfId="15149" xr:uid="{EC316873-F8DA-4292-921C-A6B33DE438D2}"/>
    <cellStyle name="40% - Accent4 4 4 3 2 2" xfId="33745" xr:uid="{CE2B6D36-C7AC-41FC-8AA4-B3A8B6923E48}"/>
    <cellStyle name="40% - Accent4 4 4 3 3" xfId="24448" xr:uid="{BB0598D0-0352-412C-96A5-5764C28EE15E}"/>
    <cellStyle name="40% - Accent4 4 4 4" xfId="10932" xr:uid="{8A6A3901-923D-4947-BAFE-C280AB916F1D}"/>
    <cellStyle name="40% - Accent4 4 4 4 2" xfId="29528" xr:uid="{422AA5BD-C4A8-4C5C-84DD-B197E6A860E8}"/>
    <cellStyle name="40% - Accent4 4 4 5" xfId="20231" xr:uid="{F724AA50-6A59-4993-98DF-C02DC4454FE8}"/>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75BBFEBE-7EC6-4892-89A1-689C6F047666}"/>
    <cellStyle name="40% - Accent4 4 5 2 2 2 2" xfId="36303" xr:uid="{4CC97E68-54B1-4626-A8D0-BCF6C849C852}"/>
    <cellStyle name="40% - Accent4 4 5 2 2 3" xfId="27006" xr:uid="{21E863BE-6E83-4420-A8F0-6144B9F75BFB}"/>
    <cellStyle name="40% - Accent4 4 5 2 3" xfId="13490" xr:uid="{981948BA-225F-42C4-9872-0CCF92D188CD}"/>
    <cellStyle name="40% - Accent4 4 5 2 3 2" xfId="32086" xr:uid="{0E7ECB4A-B3EE-42A8-B53B-295B363CD792}"/>
    <cellStyle name="40% - Accent4 4 5 2 4" xfId="22789" xr:uid="{37BEF799-6E66-489A-B403-39BBCF4B90B0}"/>
    <cellStyle name="40% - Accent4 4 5 3" xfId="6236" xr:uid="{00000000-0005-0000-0000-00002A060000}"/>
    <cellStyle name="40% - Accent4 4 5 3 2" xfId="15562" xr:uid="{EA91B5F4-CA38-4109-85AB-C58F1E090D04}"/>
    <cellStyle name="40% - Accent4 4 5 3 2 2" xfId="34158" xr:uid="{5FB70CD5-31E5-4115-AF57-27B7BC2ADF2A}"/>
    <cellStyle name="40% - Accent4 4 5 3 3" xfId="24861" xr:uid="{AEB7818A-A330-47BC-86A3-EB79DF8A5F65}"/>
    <cellStyle name="40% - Accent4 4 5 4" xfId="11345" xr:uid="{1882EA12-811C-45BC-9D86-49FD7FA79C40}"/>
    <cellStyle name="40% - Accent4 4 5 4 2" xfId="29941" xr:uid="{9CA37E67-029C-42BF-B837-9E41032B7432}"/>
    <cellStyle name="40% - Accent4 4 5 5" xfId="20644" xr:uid="{1DD67E88-DE3F-4F32-860D-1352235FEABD}"/>
    <cellStyle name="40% - Accent4 4 6" xfId="2343" xr:uid="{00000000-0005-0000-0000-00002B060000}"/>
    <cellStyle name="40% - Accent4 4 6 2" xfId="6649" xr:uid="{00000000-0005-0000-0000-00002C060000}"/>
    <cellStyle name="40% - Accent4 4 6 2 2" xfId="15975" xr:uid="{33CD9077-2631-4C73-A30D-9B6B3D0E342F}"/>
    <cellStyle name="40% - Accent4 4 6 2 2 2" xfId="34571" xr:uid="{4E85EB51-444F-4093-BC77-AAEEF02D0D7E}"/>
    <cellStyle name="40% - Accent4 4 6 2 3" xfId="25274" xr:uid="{1E374776-ED4B-4068-A1E2-186BC8D341D8}"/>
    <cellStyle name="40% - Accent4 4 6 3" xfId="11758" xr:uid="{0662BE11-C169-4C21-B094-8DDD6ED484B1}"/>
    <cellStyle name="40% - Accent4 4 6 3 2" xfId="30354" xr:uid="{0B69F9D4-B511-4361-A005-5707AE5D80C9}"/>
    <cellStyle name="40% - Accent4 4 6 4" xfId="21057" xr:uid="{2BB01247-4099-4C43-8FE9-BB0EEA4333F8}"/>
    <cellStyle name="40% - Accent4 4 7" xfId="4583" xr:uid="{00000000-0005-0000-0000-00002D060000}"/>
    <cellStyle name="40% - Accent4 4 7 2" xfId="13909" xr:uid="{5754AD3C-82A4-49D1-A2D5-A18230E8795B}"/>
    <cellStyle name="40% - Accent4 4 7 2 2" xfId="32505" xr:uid="{B0CF5C1B-C906-48D1-9224-63207817B08E}"/>
    <cellStyle name="40% - Accent4 4 7 3" xfId="23208" xr:uid="{269A5CC0-D958-4156-97D0-A3EC4FD7D82D}"/>
    <cellStyle name="40% - Accent4 4 8" xfId="8954" xr:uid="{2C178683-58B3-4513-85E7-15FAC3AC035D}"/>
    <cellStyle name="40% - Accent4 4 8 2" xfId="18278" xr:uid="{B5124C91-C460-49FE-B119-B1518DE804D9}"/>
    <cellStyle name="40% - Accent4 4 8 2 2" xfId="36873" xr:uid="{2C2C2BF7-631E-4456-984D-AA0EBCC0A3D8}"/>
    <cellStyle name="40% - Accent4 4 8 3" xfId="27576" xr:uid="{46563E25-47E2-457B-98DB-7671618A05D6}"/>
    <cellStyle name="40% - Accent4 4 9" xfId="9692" xr:uid="{0E144BFF-B6F8-4CC1-B401-90183A64FCC3}"/>
    <cellStyle name="40% - Accent4 4 9 2" xfId="28288" xr:uid="{0C8143C2-807D-47FE-A837-D4C11D05BA8E}"/>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5322CD25-0194-4574-96EF-C3BAB22497A3}"/>
    <cellStyle name="40% - Accent4 5 2 2 2 2" xfId="35057" xr:uid="{E74CF719-EAAB-4918-93D6-763FA614D93A}"/>
    <cellStyle name="40% - Accent4 5 2 2 3" xfId="25760" xr:uid="{87EB8CEC-B95F-4044-A134-30AEDC444866}"/>
    <cellStyle name="40% - Accent4 5 2 3" xfId="12244" xr:uid="{540343E4-B6DB-4604-B561-C8C0ED74DF10}"/>
    <cellStyle name="40% - Accent4 5 2 3 2" xfId="30840" xr:uid="{9D061723-CAA4-45D5-8BFE-7F9D329FCAEC}"/>
    <cellStyle name="40% - Accent4 5 2 4" xfId="21543" xr:uid="{CB804C8E-5783-4CAB-8362-663737EC8458}"/>
    <cellStyle name="40% - Accent4 5 3" xfId="4990" xr:uid="{00000000-0005-0000-0000-000031060000}"/>
    <cellStyle name="40% - Accent4 5 3 2" xfId="14316" xr:uid="{056C844C-CAA1-4725-A6D3-E9B502035F0E}"/>
    <cellStyle name="40% - Accent4 5 3 2 2" xfId="32912" xr:uid="{EF628CBA-FFBE-4B72-919A-A6E2C942F9AA}"/>
    <cellStyle name="40% - Accent4 5 3 3" xfId="23615" xr:uid="{56A803AD-9C95-4D3C-8F54-A05CDD7FDE2F}"/>
    <cellStyle name="40% - Accent4 5 4" xfId="9187" xr:uid="{33022C89-0CDD-4091-8005-358F63FF8F46}"/>
    <cellStyle name="40% - Accent4 5 4 2" xfId="18505" xr:uid="{B82454A7-D436-4A93-A164-B43D93C0C2F7}"/>
    <cellStyle name="40% - Accent4 5 4 2 2" xfId="37099" xr:uid="{EB8313B7-9FBD-42A9-9CFC-0276A335266E}"/>
    <cellStyle name="40% - Accent4 5 4 3" xfId="27802" xr:uid="{D4F67597-4D5C-461E-99CE-DCC33B0D3C05}"/>
    <cellStyle name="40% - Accent4 5 5" xfId="10099" xr:uid="{A8B57B87-163B-476C-A4FC-91FB3E1D9E83}"/>
    <cellStyle name="40% - Accent4 5 5 2" xfId="28695" xr:uid="{02D8EE98-216C-4D85-8AA9-2E0E699A2FA5}"/>
    <cellStyle name="40% - Accent4 5 6" xfId="19398" xr:uid="{2135C424-31EB-4B4A-B833-8BE1308F7873}"/>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BC5C9CCA-38F7-4790-B8FC-8F7A34704001}"/>
    <cellStyle name="40% - Accent4 6 2 2 2 2" xfId="35470" xr:uid="{6A1BCCF8-6585-4429-926F-C3E83DABA6FD}"/>
    <cellStyle name="40% - Accent4 6 2 2 3" xfId="26173" xr:uid="{72972C1A-6E6D-4CF5-9A55-07F2EC871DB2}"/>
    <cellStyle name="40% - Accent4 6 2 3" xfId="12657" xr:uid="{8C9276CF-F845-4CD6-8F24-4726537F6CB5}"/>
    <cellStyle name="40% - Accent4 6 2 3 2" xfId="31253" xr:uid="{7F222230-F552-41AC-AEAE-70D285BFDEED}"/>
    <cellStyle name="40% - Accent4 6 2 4" xfId="21956" xr:uid="{E573007A-9DF3-490E-BCE3-991227493EA0}"/>
    <cellStyle name="40% - Accent4 6 3" xfId="5403" xr:uid="{00000000-0005-0000-0000-000035060000}"/>
    <cellStyle name="40% - Accent4 6 3 2" xfId="14729" xr:uid="{5E35BD2D-B633-4DA0-A0CD-7FAC3562BB20}"/>
    <cellStyle name="40% - Accent4 6 3 2 2" xfId="33325" xr:uid="{E5923FB4-035E-4D15-899C-45B91DCF20D2}"/>
    <cellStyle name="40% - Accent4 6 3 3" xfId="24028" xr:uid="{B3B7E603-CF08-429B-98A3-D88BDB1B7368}"/>
    <cellStyle name="40% - Accent4 6 4" xfId="10512" xr:uid="{CAA5DF0E-0342-4E55-B636-EE994A2C5FFB}"/>
    <cellStyle name="40% - Accent4 6 4 2" xfId="29108" xr:uid="{01838D25-6DC5-4037-8799-5D6CFC5E0B97}"/>
    <cellStyle name="40% - Accent4 6 5" xfId="19811" xr:uid="{71DF6D54-30FF-46B4-AAE9-0EB1C420BFB1}"/>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89DCB21D-DD9F-48C7-A1CF-92B7C3DC827A}"/>
    <cellStyle name="40% - Accent4 7 2 2 2 2" xfId="35883" xr:uid="{00E27A02-4F37-4ADF-AFF2-E33B0D345AA5}"/>
    <cellStyle name="40% - Accent4 7 2 2 3" xfId="26586" xr:uid="{12D1648C-20D0-4624-9244-A8F00AF11E1B}"/>
    <cellStyle name="40% - Accent4 7 2 3" xfId="13070" xr:uid="{92570E95-A744-4BCC-A3FB-281E5B959ADA}"/>
    <cellStyle name="40% - Accent4 7 2 3 2" xfId="31666" xr:uid="{3675B859-6C0E-4670-AF6C-D6EB0B00AE42}"/>
    <cellStyle name="40% - Accent4 7 2 4" xfId="22369" xr:uid="{096D0F18-9232-4124-8E30-F063CCD52DFC}"/>
    <cellStyle name="40% - Accent4 7 3" xfId="5816" xr:uid="{00000000-0005-0000-0000-000039060000}"/>
    <cellStyle name="40% - Accent4 7 3 2" xfId="15142" xr:uid="{661157D1-4EEF-4B3B-9111-4846CFE88A34}"/>
    <cellStyle name="40% - Accent4 7 3 2 2" xfId="33738" xr:uid="{18681470-6D53-4B72-AC00-72ED327727A6}"/>
    <cellStyle name="40% - Accent4 7 3 3" xfId="24441" xr:uid="{E465A4A7-1C58-4BAF-84EF-5B0B6B8B0B86}"/>
    <cellStyle name="40% - Accent4 7 4" xfId="10925" xr:uid="{11316A5E-713E-4557-B409-E347B099FF0C}"/>
    <cellStyle name="40% - Accent4 7 4 2" xfId="29521" xr:uid="{F88007C9-A787-425D-AA02-A44293192ED3}"/>
    <cellStyle name="40% - Accent4 7 5" xfId="20224" xr:uid="{5CA1B43F-5423-49CD-AE95-B8E587433C82}"/>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9458FABB-E6B8-4098-9953-A9EABE27B772}"/>
    <cellStyle name="40% - Accent4 8 2 2 2 2" xfId="36296" xr:uid="{6EFDA28D-F18D-4C2C-9A7B-0C43B0F5DD0F}"/>
    <cellStyle name="40% - Accent4 8 2 2 3" xfId="26999" xr:uid="{494236CD-B152-41DB-B259-BDA9A8261120}"/>
    <cellStyle name="40% - Accent4 8 2 3" xfId="13483" xr:uid="{BE30006C-37B7-4F11-ADF3-354895C7F68D}"/>
    <cellStyle name="40% - Accent4 8 2 3 2" xfId="32079" xr:uid="{2EFB1A59-1AEC-4589-B450-60B5235225CE}"/>
    <cellStyle name="40% - Accent4 8 2 4" xfId="22782" xr:uid="{65BCB2BC-A661-4D7C-8309-5A943C4CBF87}"/>
    <cellStyle name="40% - Accent4 8 3" xfId="6229" xr:uid="{00000000-0005-0000-0000-00003D060000}"/>
    <cellStyle name="40% - Accent4 8 3 2" xfId="15555" xr:uid="{9260B7A2-993A-400A-AFB7-DFFAE0C570B3}"/>
    <cellStyle name="40% - Accent4 8 3 2 2" xfId="34151" xr:uid="{EB473140-5DB7-4C33-ACFF-ABF829416426}"/>
    <cellStyle name="40% - Accent4 8 3 3" xfId="24854" xr:uid="{D9481928-E517-43B8-B6AF-1C4D3E2A5FBC}"/>
    <cellStyle name="40% - Accent4 8 4" xfId="11338" xr:uid="{4854079C-7B61-4C3E-BBFF-01A448626C7A}"/>
    <cellStyle name="40% - Accent4 8 4 2" xfId="29934" xr:uid="{1211BA43-CF80-452B-AAA6-CD8E1103AEBA}"/>
    <cellStyle name="40% - Accent4 8 5" xfId="20637" xr:uid="{11A1D831-8ED7-40B8-BE99-892B5EC03831}"/>
    <cellStyle name="40% - Accent4 9" xfId="2336" xr:uid="{00000000-0005-0000-0000-00003E060000}"/>
    <cellStyle name="40% - Accent4 9 2" xfId="6642" xr:uid="{00000000-0005-0000-0000-00003F060000}"/>
    <cellStyle name="40% - Accent4 9 2 2" xfId="15968" xr:uid="{C1B8BDF9-2ABC-4CCD-92DB-A7794A96BD75}"/>
    <cellStyle name="40% - Accent4 9 2 2 2" xfId="34564" xr:uid="{B5C58647-E485-475C-9FF5-0507B04B470C}"/>
    <cellStyle name="40% - Accent4 9 2 3" xfId="25267" xr:uid="{0FA6057B-00C1-4070-9E08-760150658927}"/>
    <cellStyle name="40% - Accent4 9 3" xfId="11751" xr:uid="{F32E05D3-008D-4B35-A8B7-02BE73346484}"/>
    <cellStyle name="40% - Accent4 9 3 2" xfId="30347" xr:uid="{AA54C7EE-AF01-46A2-9D65-2A704840DCEC}"/>
    <cellStyle name="40% - Accent4 9 4" xfId="21050" xr:uid="{C33C868A-CC5E-4D1B-82A5-2C83289F0B42}"/>
    <cellStyle name="40% - Accent5" xfId="81" builtinId="47" customBuiltin="1"/>
    <cellStyle name="40% - Accent5 10" xfId="4584" xr:uid="{00000000-0005-0000-0000-000041060000}"/>
    <cellStyle name="40% - Accent5 10 2" xfId="13910" xr:uid="{107493C0-77C7-40C3-83C5-B24716E815A2}"/>
    <cellStyle name="40% - Accent5 10 2 2" xfId="32506" xr:uid="{E8A62EB9-A94E-49E4-B423-6DBB47AEE283}"/>
    <cellStyle name="40% - Accent5 10 3" xfId="23209" xr:uid="{C17C4B62-E590-4DD7-93B0-A32A46A8F607}"/>
    <cellStyle name="40% - Accent5 11" xfId="8767" xr:uid="{7A46ADF8-3420-4D4A-A3FE-8E96F0FA38E7}"/>
    <cellStyle name="40% - Accent5 11 2" xfId="18091" xr:uid="{D5C7DE5C-16AA-47B3-857A-6BC3783D8ABE}"/>
    <cellStyle name="40% - Accent5 11 2 2" xfId="36686" xr:uid="{8583EF7A-1D31-4211-AC95-6B692F14FE0F}"/>
    <cellStyle name="40% - Accent5 11 3" xfId="27389" xr:uid="{2EE7CCF2-1322-47AD-A6C0-6E6670548124}"/>
    <cellStyle name="40% - Accent5 12" xfId="9693" xr:uid="{5729AEF7-EEF0-4534-8570-F98D71CB4E2B}"/>
    <cellStyle name="40% - Accent5 12 2" xfId="28289" xr:uid="{A8E2C44A-554C-4AB9-8F66-DB9DDDE16E78}"/>
    <cellStyle name="40% - Accent5 13" xfId="18992" xr:uid="{F45BFBEA-6B78-46DC-8F20-95211A0AF1D8}"/>
    <cellStyle name="40% - Accent5 2" xfId="82" xr:uid="{00000000-0005-0000-0000-000042060000}"/>
    <cellStyle name="40% - Accent5 2 10" xfId="8802" xr:uid="{CF9BFF45-99AC-47A3-8B01-051C55FBB24D}"/>
    <cellStyle name="40% - Accent5 2 10 2" xfId="18126" xr:uid="{704358E5-A244-424E-8F92-DEE6B907706B}"/>
    <cellStyle name="40% - Accent5 2 10 2 2" xfId="36721" xr:uid="{26B74645-50B6-4AF6-8D98-D75CB79E69CF}"/>
    <cellStyle name="40% - Accent5 2 10 3" xfId="27424" xr:uid="{7FE14618-0B2F-4B66-8967-D33B57929840}"/>
    <cellStyle name="40% - Accent5 2 11" xfId="9694" xr:uid="{ABC9FC3E-C550-4E01-A226-C15C419D9B7C}"/>
    <cellStyle name="40% - Accent5 2 11 2" xfId="28290" xr:uid="{F103445F-1C53-48ED-B366-CACB9308E4DE}"/>
    <cellStyle name="40% - Accent5 2 12" xfId="18993" xr:uid="{07DA4F2E-AC3A-4A07-9D6A-80B2BE93C661}"/>
    <cellStyle name="40% - Accent5 2 2" xfId="83" xr:uid="{00000000-0005-0000-0000-000043060000}"/>
    <cellStyle name="40% - Accent5 2 2 10" xfId="9695" xr:uid="{B2582D08-ABF0-4BD4-B798-75833CD761F4}"/>
    <cellStyle name="40% - Accent5 2 2 10 2" xfId="28291" xr:uid="{0532668E-D1CD-4A30-BA69-A6EC86A00EFF}"/>
    <cellStyle name="40% - Accent5 2 2 11" xfId="18994" xr:uid="{B013D1FC-587B-4A74-BB71-5F1E1F6CEE52}"/>
    <cellStyle name="40% - Accent5 2 2 2" xfId="84" xr:uid="{00000000-0005-0000-0000-000044060000}"/>
    <cellStyle name="40% - Accent5 2 2 2 10" xfId="18995" xr:uid="{0DC90B42-C9FD-431E-9172-CA3B8E527F97}"/>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3D902870-D6E9-42D0-8A1A-377C7C1C561D}"/>
    <cellStyle name="40% - Accent5 2 2 2 2 2 2 2 2" xfId="35068" xr:uid="{8D95105F-FFFC-4CCC-B4CB-A1C5F57FA478}"/>
    <cellStyle name="40% - Accent5 2 2 2 2 2 2 3" xfId="25771" xr:uid="{016B79D2-1C3B-4BDE-BA94-E948C4348ECF}"/>
    <cellStyle name="40% - Accent5 2 2 2 2 2 3" xfId="12255" xr:uid="{46095B64-E43C-490A-990C-8CAC63473632}"/>
    <cellStyle name="40% - Accent5 2 2 2 2 2 3 2" xfId="30851" xr:uid="{67C57659-8A27-4EDC-9506-DF1046818087}"/>
    <cellStyle name="40% - Accent5 2 2 2 2 2 4" xfId="21554" xr:uid="{6A6FDC8B-1775-4F38-BF52-19A58F1E4F3A}"/>
    <cellStyle name="40% - Accent5 2 2 2 2 3" xfId="5001" xr:uid="{00000000-0005-0000-0000-000048060000}"/>
    <cellStyle name="40% - Accent5 2 2 2 2 3 2" xfId="14327" xr:uid="{A7A23130-FF3D-427C-AD49-DAA44F3C1D7B}"/>
    <cellStyle name="40% - Accent5 2 2 2 2 3 2 2" xfId="32923" xr:uid="{47C125B6-CA48-41D5-B4CA-DB8157B5DB01}"/>
    <cellStyle name="40% - Accent5 2 2 2 2 3 3" xfId="23626" xr:uid="{DF24BC97-BDA9-4DC0-BEE2-690192142D1D}"/>
    <cellStyle name="40% - Accent5 2 2 2 2 4" xfId="9537" xr:uid="{83834145-5D3F-4083-A609-6DB90651C4CE}"/>
    <cellStyle name="40% - Accent5 2 2 2 2 4 2" xfId="18852" xr:uid="{04D08944-5B6D-482E-AABC-FD80B1C172B7}"/>
    <cellStyle name="40% - Accent5 2 2 2 2 4 2 2" xfId="37446" xr:uid="{5DE44B3B-4184-4E08-8B84-B610EE7ECE3F}"/>
    <cellStyle name="40% - Accent5 2 2 2 2 4 3" xfId="28149" xr:uid="{F7D6A064-91DE-4414-A005-5D24921C4328}"/>
    <cellStyle name="40% - Accent5 2 2 2 2 5" xfId="10110" xr:uid="{1F352D30-59B9-4E50-8459-13C20DDC20E1}"/>
    <cellStyle name="40% - Accent5 2 2 2 2 5 2" xfId="28706" xr:uid="{F72C37F7-D646-47D3-A5D6-83CDB635C1BB}"/>
    <cellStyle name="40% - Accent5 2 2 2 2 6" xfId="19409" xr:uid="{FE49F18A-1ADA-4DB3-BF9E-534D413289B1}"/>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17C676A7-DA8F-42AD-B1BD-51EF4E2AF5AD}"/>
    <cellStyle name="40% - Accent5 2 2 2 3 2 2 2 2" xfId="35481" xr:uid="{1278529D-0264-4814-99B6-7198BA80DEAF}"/>
    <cellStyle name="40% - Accent5 2 2 2 3 2 2 3" xfId="26184" xr:uid="{9BA516DC-A76F-436B-B4E2-B22F8296BAD4}"/>
    <cellStyle name="40% - Accent5 2 2 2 3 2 3" xfId="12668" xr:uid="{216D34D2-2858-48E0-9001-688FFE2BC4FF}"/>
    <cellStyle name="40% - Accent5 2 2 2 3 2 3 2" xfId="31264" xr:uid="{9B435D2D-3C3A-4FC0-B64F-B0F37016F0D7}"/>
    <cellStyle name="40% - Accent5 2 2 2 3 2 4" xfId="21967" xr:uid="{DB3E9A7F-29B8-4B0B-A3AB-6C4C696FB87F}"/>
    <cellStyle name="40% - Accent5 2 2 2 3 3" xfId="5414" xr:uid="{00000000-0005-0000-0000-00004C060000}"/>
    <cellStyle name="40% - Accent5 2 2 2 3 3 2" xfId="14740" xr:uid="{5DAE6EB4-C1BC-4742-9321-1214A536B2CA}"/>
    <cellStyle name="40% - Accent5 2 2 2 3 3 2 2" xfId="33336" xr:uid="{2372662C-A200-48EC-987F-ED5DD6976D54}"/>
    <cellStyle name="40% - Accent5 2 2 2 3 3 3" xfId="24039" xr:uid="{FB5FEA75-6263-4812-8932-729C129369B1}"/>
    <cellStyle name="40% - Accent5 2 2 2 3 4" xfId="10523" xr:uid="{94F95AB9-B89B-4F7C-B593-DB6FE301D6E1}"/>
    <cellStyle name="40% - Accent5 2 2 2 3 4 2" xfId="29119" xr:uid="{853B56B4-75BC-4F09-AB5F-93EFAEB621E5}"/>
    <cellStyle name="40% - Accent5 2 2 2 3 5" xfId="19822" xr:uid="{30DC85C3-7A06-4BC7-A622-F93775F76414}"/>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567B9EAF-EC00-4BAE-BF2C-582215D09A53}"/>
    <cellStyle name="40% - Accent5 2 2 2 4 2 2 2 2" xfId="35894" xr:uid="{01E027CA-313D-4F3A-B85F-8FE593772FA6}"/>
    <cellStyle name="40% - Accent5 2 2 2 4 2 2 3" xfId="26597" xr:uid="{177AB001-5109-4D53-9F76-A020576A6466}"/>
    <cellStyle name="40% - Accent5 2 2 2 4 2 3" xfId="13081" xr:uid="{53B1FF68-DF8F-443D-AD9C-3E9C9E4EA28D}"/>
    <cellStyle name="40% - Accent5 2 2 2 4 2 3 2" xfId="31677" xr:uid="{101DCC3A-9841-4CDC-A89A-386A48855F6F}"/>
    <cellStyle name="40% - Accent5 2 2 2 4 2 4" xfId="22380" xr:uid="{C0F8ACDD-B9F0-49D3-B965-C115FDD7E812}"/>
    <cellStyle name="40% - Accent5 2 2 2 4 3" xfId="5827" xr:uid="{00000000-0005-0000-0000-000050060000}"/>
    <cellStyle name="40% - Accent5 2 2 2 4 3 2" xfId="15153" xr:uid="{7DD5D28C-FB82-45E3-90D5-BA32883A3B0D}"/>
    <cellStyle name="40% - Accent5 2 2 2 4 3 2 2" xfId="33749" xr:uid="{EE3348FB-BBE1-442B-A73E-72E95F012048}"/>
    <cellStyle name="40% - Accent5 2 2 2 4 3 3" xfId="24452" xr:uid="{7271B50A-8C67-4004-85F0-F3F34C8C2A0C}"/>
    <cellStyle name="40% - Accent5 2 2 2 4 4" xfId="10936" xr:uid="{FE0474D2-A31A-43D5-99DE-18DF4D3947D8}"/>
    <cellStyle name="40% - Accent5 2 2 2 4 4 2" xfId="29532" xr:uid="{9360FDB7-29CC-4DD8-A4FA-CE4F88F90766}"/>
    <cellStyle name="40% - Accent5 2 2 2 4 5" xfId="20235" xr:uid="{2F75DAC8-7011-4C16-9D84-D2A123A3D769}"/>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09468B3B-326C-4BBC-9A57-665D9D48828A}"/>
    <cellStyle name="40% - Accent5 2 2 2 5 2 2 2 2" xfId="36307" xr:uid="{52142ECD-7E40-4F4C-BD10-76553BB90D83}"/>
    <cellStyle name="40% - Accent5 2 2 2 5 2 2 3" xfId="27010" xr:uid="{3AB48AC4-FBEB-4543-A88F-80C09544D6FD}"/>
    <cellStyle name="40% - Accent5 2 2 2 5 2 3" xfId="13494" xr:uid="{5C53F456-B9E6-46DE-A1FD-FE0D77E8651F}"/>
    <cellStyle name="40% - Accent5 2 2 2 5 2 3 2" xfId="32090" xr:uid="{C91869E2-D13E-4A2B-B56A-B922844D62FC}"/>
    <cellStyle name="40% - Accent5 2 2 2 5 2 4" xfId="22793" xr:uid="{CBC68F43-C656-4750-8C90-819F058D7452}"/>
    <cellStyle name="40% - Accent5 2 2 2 5 3" xfId="6240" xr:uid="{00000000-0005-0000-0000-000054060000}"/>
    <cellStyle name="40% - Accent5 2 2 2 5 3 2" xfId="15566" xr:uid="{4B94F3E6-BA13-4D99-B1EB-E7D78638B5DC}"/>
    <cellStyle name="40% - Accent5 2 2 2 5 3 2 2" xfId="34162" xr:uid="{F220C263-CE1D-4050-BAFE-7C22398B071E}"/>
    <cellStyle name="40% - Accent5 2 2 2 5 3 3" xfId="24865" xr:uid="{64128363-81FC-4D22-BC9F-2049C9EC8100}"/>
    <cellStyle name="40% - Accent5 2 2 2 5 4" xfId="11349" xr:uid="{CEB50057-F1CB-4271-AB02-4B5AD31E829F}"/>
    <cellStyle name="40% - Accent5 2 2 2 5 4 2" xfId="29945" xr:uid="{E684DBB7-8E91-4BEF-B5F8-CAD8EC85501A}"/>
    <cellStyle name="40% - Accent5 2 2 2 5 5" xfId="20648" xr:uid="{A5D50E96-FBFD-4CC5-A943-31B4AC83CBF6}"/>
    <cellStyle name="40% - Accent5 2 2 2 6" xfId="2347" xr:uid="{00000000-0005-0000-0000-000055060000}"/>
    <cellStyle name="40% - Accent5 2 2 2 6 2" xfId="6653" xr:uid="{00000000-0005-0000-0000-000056060000}"/>
    <cellStyle name="40% - Accent5 2 2 2 6 2 2" xfId="15979" xr:uid="{58EBA1AF-9252-4DED-A323-4527E1CCD311}"/>
    <cellStyle name="40% - Accent5 2 2 2 6 2 2 2" xfId="34575" xr:uid="{F2D209A2-1CD8-41B2-906C-5F1D39B3CC95}"/>
    <cellStyle name="40% - Accent5 2 2 2 6 2 3" xfId="25278" xr:uid="{4F43E410-BA72-4216-8582-35A0DEB1F7D2}"/>
    <cellStyle name="40% - Accent5 2 2 2 6 3" xfId="11762" xr:uid="{3631AD4D-8D11-4C2D-A711-28B3D87C82D5}"/>
    <cellStyle name="40% - Accent5 2 2 2 6 3 2" xfId="30358" xr:uid="{49EF043D-4BFA-4EF5-981A-059E5D78294B}"/>
    <cellStyle name="40% - Accent5 2 2 2 6 4" xfId="21061" xr:uid="{86445CC2-B41F-44A9-B55E-D0F7CD655C18}"/>
    <cellStyle name="40% - Accent5 2 2 2 7" xfId="4587" xr:uid="{00000000-0005-0000-0000-000057060000}"/>
    <cellStyle name="40% - Accent5 2 2 2 7 2" xfId="13913" xr:uid="{4C2D97BB-06D6-47D7-9193-CF1DEB121B41}"/>
    <cellStyle name="40% - Accent5 2 2 2 7 2 2" xfId="32509" xr:uid="{F74EEBA5-8556-412A-A363-ADE8CF93FAC9}"/>
    <cellStyle name="40% - Accent5 2 2 2 7 3" xfId="23212" xr:uid="{B7526F5E-A43A-48F9-8DA7-7924A0BAD14C}"/>
    <cellStyle name="40% - Accent5 2 2 2 8" xfId="9112" xr:uid="{65D0CC40-E9D0-4CE3-B684-8DE4A2C7BCD7}"/>
    <cellStyle name="40% - Accent5 2 2 2 8 2" xfId="18436" xr:uid="{6E0DAF16-8D6A-4A6F-9A5C-1EA01F13224D}"/>
    <cellStyle name="40% - Accent5 2 2 2 8 2 2" xfId="37031" xr:uid="{2C6A5C3D-67B3-41F8-B3A2-CD6C15E903D1}"/>
    <cellStyle name="40% - Accent5 2 2 2 8 3" xfId="27734" xr:uid="{01DB5A41-6A76-4A22-BC40-9DD564044370}"/>
    <cellStyle name="40% - Accent5 2 2 2 9" xfId="9696" xr:uid="{E52C5023-F910-4917-A75D-81AA0EACADB5}"/>
    <cellStyle name="40% - Accent5 2 2 2 9 2" xfId="28292" xr:uid="{45788802-D074-4556-A510-50679B110BCA}"/>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AEC198A5-C2C2-433F-B41E-AA87E979D4BC}"/>
    <cellStyle name="40% - Accent5 2 2 3 2 2 2 2" xfId="35067" xr:uid="{5EBC25C4-9762-492B-91A6-A091189BAA1D}"/>
    <cellStyle name="40% - Accent5 2 2 3 2 2 3" xfId="25770" xr:uid="{7A8F8F84-3909-4817-B92F-44605178C8EE}"/>
    <cellStyle name="40% - Accent5 2 2 3 2 3" xfId="12254" xr:uid="{D87FBCD0-3884-4654-9837-EF22F49F303E}"/>
    <cellStyle name="40% - Accent5 2 2 3 2 3 2" xfId="30850" xr:uid="{EA0B105F-2896-4799-9623-39FC9DC59AC2}"/>
    <cellStyle name="40% - Accent5 2 2 3 2 4" xfId="21553" xr:uid="{44755C87-3882-4CCF-8759-1A08650A5AF4}"/>
    <cellStyle name="40% - Accent5 2 2 3 3" xfId="5000" xr:uid="{00000000-0005-0000-0000-00005B060000}"/>
    <cellStyle name="40% - Accent5 2 2 3 3 2" xfId="14326" xr:uid="{0B0225CF-7983-45AD-8395-F89BADDF3196}"/>
    <cellStyle name="40% - Accent5 2 2 3 3 2 2" xfId="32922" xr:uid="{A5D76F7F-0C5E-4764-BD17-05EB3EA6F0D4}"/>
    <cellStyle name="40% - Accent5 2 2 3 3 3" xfId="23625" xr:uid="{54FD26E9-98AB-4580-9C5D-C59723E353C9}"/>
    <cellStyle name="40% - Accent5 2 2 3 4" xfId="9330" xr:uid="{75959B30-FD84-42A5-95AE-69048CCC8361}"/>
    <cellStyle name="40% - Accent5 2 2 3 4 2" xfId="18645" xr:uid="{A6AD2322-C9D5-4FC2-BF47-648356BE0BB0}"/>
    <cellStyle name="40% - Accent5 2 2 3 4 2 2" xfId="37239" xr:uid="{46097CA8-3A54-4547-B617-EB2D19EB84C2}"/>
    <cellStyle name="40% - Accent5 2 2 3 4 3" xfId="27942" xr:uid="{22DB1EDF-4A9C-432E-BE63-263FCBE9A507}"/>
    <cellStyle name="40% - Accent5 2 2 3 5" xfId="10109" xr:uid="{1EEE994B-5F30-4C30-A07B-60AD6A0C9D7F}"/>
    <cellStyle name="40% - Accent5 2 2 3 5 2" xfId="28705" xr:uid="{D7A6B724-D6C8-4716-88BC-458950D9BC1E}"/>
    <cellStyle name="40% - Accent5 2 2 3 6" xfId="19408" xr:uid="{7EB016CB-0CDC-4662-BE2E-8737814FBE3C}"/>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00057D82-F702-4ABA-9184-4B1137E8EE17}"/>
    <cellStyle name="40% - Accent5 2 2 4 2 2 2 2" xfId="35480" xr:uid="{9D2FA60A-F399-4362-AC53-6DB3CCFA0A66}"/>
    <cellStyle name="40% - Accent5 2 2 4 2 2 3" xfId="26183" xr:uid="{636BA244-1AE7-4E3A-923A-0E2D2956341A}"/>
    <cellStyle name="40% - Accent5 2 2 4 2 3" xfId="12667" xr:uid="{D154644B-4726-4444-A3F2-7ED0C0BF7C0B}"/>
    <cellStyle name="40% - Accent5 2 2 4 2 3 2" xfId="31263" xr:uid="{22AAB889-CBDF-4AD5-8743-E97E38273434}"/>
    <cellStyle name="40% - Accent5 2 2 4 2 4" xfId="21966" xr:uid="{8A74DA5B-1BAB-4242-BD0F-DC09181EC236}"/>
    <cellStyle name="40% - Accent5 2 2 4 3" xfId="5413" xr:uid="{00000000-0005-0000-0000-00005F060000}"/>
    <cellStyle name="40% - Accent5 2 2 4 3 2" xfId="14739" xr:uid="{3305CB3F-EAEE-4B27-802E-BAF4982CCAFA}"/>
    <cellStyle name="40% - Accent5 2 2 4 3 2 2" xfId="33335" xr:uid="{9A7DA1EC-AE33-421A-A252-17944914374D}"/>
    <cellStyle name="40% - Accent5 2 2 4 3 3" xfId="24038" xr:uid="{2FB09019-C63D-448C-A9A1-6D1967EF921E}"/>
    <cellStyle name="40% - Accent5 2 2 4 4" xfId="10522" xr:uid="{BA378A1C-3C79-4721-A040-036E343B9474}"/>
    <cellStyle name="40% - Accent5 2 2 4 4 2" xfId="29118" xr:uid="{33646EDF-83DA-4F49-9BE2-0106CE8B5C24}"/>
    <cellStyle name="40% - Accent5 2 2 4 5" xfId="19821" xr:uid="{E4BD230E-0F2E-41FF-8FE6-2F4ED898E7DA}"/>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C3C1CFC9-3C4A-4619-ABD1-8AF933A1AEE5}"/>
    <cellStyle name="40% - Accent5 2 2 5 2 2 2 2" xfId="35893" xr:uid="{835523D2-FB04-46FA-90E5-335ED6F556E3}"/>
    <cellStyle name="40% - Accent5 2 2 5 2 2 3" xfId="26596" xr:uid="{56EE0CA8-036D-4861-90D7-92DA47DD87F1}"/>
    <cellStyle name="40% - Accent5 2 2 5 2 3" xfId="13080" xr:uid="{F3F50A32-5BFA-46B1-AC52-24DA447EDBD8}"/>
    <cellStyle name="40% - Accent5 2 2 5 2 3 2" xfId="31676" xr:uid="{D5969C2E-10AE-47A2-8392-CC8BFFD2F2A3}"/>
    <cellStyle name="40% - Accent5 2 2 5 2 4" xfId="22379" xr:uid="{5A0B9361-7452-478F-BA1E-4EDFE66DC98E}"/>
    <cellStyle name="40% - Accent5 2 2 5 3" xfId="5826" xr:uid="{00000000-0005-0000-0000-000063060000}"/>
    <cellStyle name="40% - Accent5 2 2 5 3 2" xfId="15152" xr:uid="{623AAAFF-FCC3-44AD-BBF8-44CA82845B87}"/>
    <cellStyle name="40% - Accent5 2 2 5 3 2 2" xfId="33748" xr:uid="{5D70EE58-9C71-4890-BB26-448CD244788D}"/>
    <cellStyle name="40% - Accent5 2 2 5 3 3" xfId="24451" xr:uid="{1C3CA513-D090-49AC-82EA-6D94EDD057F2}"/>
    <cellStyle name="40% - Accent5 2 2 5 4" xfId="10935" xr:uid="{301386A4-BE06-42EB-91D5-5E6C0C9D2DCF}"/>
    <cellStyle name="40% - Accent5 2 2 5 4 2" xfId="29531" xr:uid="{757925D6-79DA-4200-9FE8-2FB043F83D92}"/>
    <cellStyle name="40% - Accent5 2 2 5 5" xfId="20234" xr:uid="{388198A2-3450-48E0-AE27-ED694D4A6770}"/>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B5FC31D1-6200-4D8F-8264-AB88F84931B6}"/>
    <cellStyle name="40% - Accent5 2 2 6 2 2 2 2" xfId="36306" xr:uid="{F8BB128C-8A32-4206-8062-A3DB49A60CC9}"/>
    <cellStyle name="40% - Accent5 2 2 6 2 2 3" xfId="27009" xr:uid="{A9E09DD1-F8F3-4E53-AE6E-EF360DFFB64C}"/>
    <cellStyle name="40% - Accent5 2 2 6 2 3" xfId="13493" xr:uid="{3004EB18-5E3B-4DF6-8AA0-B71494F6BC73}"/>
    <cellStyle name="40% - Accent5 2 2 6 2 3 2" xfId="32089" xr:uid="{89F866F4-92D3-4B38-91BC-69E149680C8D}"/>
    <cellStyle name="40% - Accent5 2 2 6 2 4" xfId="22792" xr:uid="{DD740331-0B8F-491F-8175-CF3AC1E193DE}"/>
    <cellStyle name="40% - Accent5 2 2 6 3" xfId="6239" xr:uid="{00000000-0005-0000-0000-000067060000}"/>
    <cellStyle name="40% - Accent5 2 2 6 3 2" xfId="15565" xr:uid="{C2721AFC-1870-40F1-8FCF-4EB33F3615AA}"/>
    <cellStyle name="40% - Accent5 2 2 6 3 2 2" xfId="34161" xr:uid="{5E169AFF-FD73-407E-8A67-AF994C4DCA6A}"/>
    <cellStyle name="40% - Accent5 2 2 6 3 3" xfId="24864" xr:uid="{BBDC820B-279A-4113-ADED-70E8B684006F}"/>
    <cellStyle name="40% - Accent5 2 2 6 4" xfId="11348" xr:uid="{6287D584-C2DD-4741-ABD4-501552237F3E}"/>
    <cellStyle name="40% - Accent5 2 2 6 4 2" xfId="29944" xr:uid="{88A02B49-D2E8-4085-90EE-2EC6660E9265}"/>
    <cellStyle name="40% - Accent5 2 2 6 5" xfId="20647" xr:uid="{D355DD35-D651-46E1-867F-C7104A268E64}"/>
    <cellStyle name="40% - Accent5 2 2 7" xfId="2346" xr:uid="{00000000-0005-0000-0000-000068060000}"/>
    <cellStyle name="40% - Accent5 2 2 7 2" xfId="6652" xr:uid="{00000000-0005-0000-0000-000069060000}"/>
    <cellStyle name="40% - Accent5 2 2 7 2 2" xfId="15978" xr:uid="{36484B22-9099-456D-A78F-9ACBD726540A}"/>
    <cellStyle name="40% - Accent5 2 2 7 2 2 2" xfId="34574" xr:uid="{B84274D3-141D-46A1-AFEC-684EBDBF3A1C}"/>
    <cellStyle name="40% - Accent5 2 2 7 2 3" xfId="25277" xr:uid="{11291B70-59F0-42DE-BD7D-CC13B93C65D5}"/>
    <cellStyle name="40% - Accent5 2 2 7 3" xfId="11761" xr:uid="{0513E154-A957-4DF5-9E9F-20FCF0326872}"/>
    <cellStyle name="40% - Accent5 2 2 7 3 2" xfId="30357" xr:uid="{2257A13C-FB60-4735-991C-45BA4DF7D6C9}"/>
    <cellStyle name="40% - Accent5 2 2 7 4" xfId="21060" xr:uid="{804D88A2-F927-481E-AD51-53768DE4794D}"/>
    <cellStyle name="40% - Accent5 2 2 8" xfId="4586" xr:uid="{00000000-0005-0000-0000-00006A060000}"/>
    <cellStyle name="40% - Accent5 2 2 8 2" xfId="13912" xr:uid="{CB6F0A69-C8FB-4133-A859-46932B796FBC}"/>
    <cellStyle name="40% - Accent5 2 2 8 2 2" xfId="32508" xr:uid="{B952FE15-D51A-44D9-981E-445C797666A2}"/>
    <cellStyle name="40% - Accent5 2 2 8 3" xfId="23211" xr:uid="{CC201380-1F28-4F6A-ADF8-FCD804D9185A}"/>
    <cellStyle name="40% - Accent5 2 2 9" xfId="8905" xr:uid="{3B48B2AE-2C2B-47FB-A8F4-43FECCDBCFEF}"/>
    <cellStyle name="40% - Accent5 2 2 9 2" xfId="18229" xr:uid="{4746C394-9012-45C2-8229-2D682FB7DAE7}"/>
    <cellStyle name="40% - Accent5 2 2 9 2 2" xfId="36824" xr:uid="{D477F0B5-F90D-4C33-BAA6-7A7718A10435}"/>
    <cellStyle name="40% - Accent5 2 2 9 3" xfId="27527" xr:uid="{17DF1953-B743-4E2A-835E-E795204077B5}"/>
    <cellStyle name="40% - Accent5 2 3" xfId="85" xr:uid="{00000000-0005-0000-0000-00006B060000}"/>
    <cellStyle name="40% - Accent5 2 3 10" xfId="18996" xr:uid="{16AC3D86-6DA0-4ADE-BA6E-CE03D160DC77}"/>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1160231A-E5BC-4A72-9F97-9ACF844E9634}"/>
    <cellStyle name="40% - Accent5 2 3 2 2 2 2 2" xfId="35069" xr:uid="{BCDCE766-6E1C-49C1-BE5A-0BC25C445C3B}"/>
    <cellStyle name="40% - Accent5 2 3 2 2 2 3" xfId="25772" xr:uid="{02DEBD5F-9F4E-452B-90AE-65057C1B2390}"/>
    <cellStyle name="40% - Accent5 2 3 2 2 3" xfId="12256" xr:uid="{44D5D664-EE27-4449-95D8-84A5F0995175}"/>
    <cellStyle name="40% - Accent5 2 3 2 2 3 2" xfId="30852" xr:uid="{89DE0677-5D51-4029-AA01-97797AD813E0}"/>
    <cellStyle name="40% - Accent5 2 3 2 2 4" xfId="21555" xr:uid="{A2AD22FC-9C0A-46B3-9669-C10F6C2AEEA2}"/>
    <cellStyle name="40% - Accent5 2 3 2 3" xfId="5002" xr:uid="{00000000-0005-0000-0000-00006F060000}"/>
    <cellStyle name="40% - Accent5 2 3 2 3 2" xfId="14328" xr:uid="{9EEB78AD-7B82-443E-BC13-8A9DF2D8C96C}"/>
    <cellStyle name="40% - Accent5 2 3 2 3 2 2" xfId="32924" xr:uid="{618BEAAE-F16C-4422-8B52-8D1BFC14F6E0}"/>
    <cellStyle name="40% - Accent5 2 3 2 3 3" xfId="23627" xr:uid="{54E68D62-854E-4850-A211-49AA20DA5FEA}"/>
    <cellStyle name="40% - Accent5 2 3 2 4" xfId="9434" xr:uid="{512EAA64-F150-4B15-8534-EB34D6D41408}"/>
    <cellStyle name="40% - Accent5 2 3 2 4 2" xfId="18749" xr:uid="{2196CB27-8278-438B-B95B-FE10C4F56B91}"/>
    <cellStyle name="40% - Accent5 2 3 2 4 2 2" xfId="37343" xr:uid="{AD6315BB-9A32-46DA-80ED-1D3E44D8BAF5}"/>
    <cellStyle name="40% - Accent5 2 3 2 4 3" xfId="28046" xr:uid="{1E77BA0F-DD3D-48F0-96CB-C7C443260DC1}"/>
    <cellStyle name="40% - Accent5 2 3 2 5" xfId="10111" xr:uid="{C2122A7C-F8B2-4EE9-9C48-32151BF245F7}"/>
    <cellStyle name="40% - Accent5 2 3 2 5 2" xfId="28707" xr:uid="{7ED602FF-6ACB-4A27-929C-249C17274369}"/>
    <cellStyle name="40% - Accent5 2 3 2 6" xfId="19410" xr:uid="{C64C599A-BFFC-4673-BB59-028AADA50CE3}"/>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6810D0F3-1D4D-4D88-93AB-6F80C9F6FA9E}"/>
    <cellStyle name="40% - Accent5 2 3 3 2 2 2 2" xfId="35482" xr:uid="{2E720F3A-E42B-43A1-96DA-9D328AE9737D}"/>
    <cellStyle name="40% - Accent5 2 3 3 2 2 3" xfId="26185" xr:uid="{1883EAC8-E6DC-413D-A5C8-C38DE64D75CE}"/>
    <cellStyle name="40% - Accent5 2 3 3 2 3" xfId="12669" xr:uid="{F2F0B117-9D4D-4FF7-94B8-314D077AC805}"/>
    <cellStyle name="40% - Accent5 2 3 3 2 3 2" xfId="31265" xr:uid="{807E8B07-7B34-423A-BEFE-F8048E790524}"/>
    <cellStyle name="40% - Accent5 2 3 3 2 4" xfId="21968" xr:uid="{6510214A-F8AB-4BF8-911D-5171E649D09B}"/>
    <cellStyle name="40% - Accent5 2 3 3 3" xfId="5415" xr:uid="{00000000-0005-0000-0000-000073060000}"/>
    <cellStyle name="40% - Accent5 2 3 3 3 2" xfId="14741" xr:uid="{AF4593F9-65F3-49F2-8FBB-E2854051D706}"/>
    <cellStyle name="40% - Accent5 2 3 3 3 2 2" xfId="33337" xr:uid="{3728B967-2A50-4421-A278-9C9983B9DA77}"/>
    <cellStyle name="40% - Accent5 2 3 3 3 3" xfId="24040" xr:uid="{E43D0B50-EEDE-43C2-BA2E-0030E2D4647D}"/>
    <cellStyle name="40% - Accent5 2 3 3 4" xfId="10524" xr:uid="{52729DF8-073D-4FDC-8142-EE252BB09991}"/>
    <cellStyle name="40% - Accent5 2 3 3 4 2" xfId="29120" xr:uid="{B05933C6-BF24-4F40-BFF4-7BD22E30C657}"/>
    <cellStyle name="40% - Accent5 2 3 3 5" xfId="19823" xr:uid="{5EF9C982-2A79-449C-8E17-D2BC0DF71C97}"/>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D4713B1D-7987-498D-AD15-9890B0BD475D}"/>
    <cellStyle name="40% - Accent5 2 3 4 2 2 2 2" xfId="35895" xr:uid="{6716300E-E03D-4F06-9BC5-8A6A493E4D48}"/>
    <cellStyle name="40% - Accent5 2 3 4 2 2 3" xfId="26598" xr:uid="{71EAE2EC-9E0E-4135-B2A5-E480DBE29DF5}"/>
    <cellStyle name="40% - Accent5 2 3 4 2 3" xfId="13082" xr:uid="{BA675A78-CD64-401E-AC4B-DBE3D215DAE5}"/>
    <cellStyle name="40% - Accent5 2 3 4 2 3 2" xfId="31678" xr:uid="{75126F6E-29B7-4427-9F2E-7315CA793FD5}"/>
    <cellStyle name="40% - Accent5 2 3 4 2 4" xfId="22381" xr:uid="{1F52DD31-C165-4493-B412-0E63D0736481}"/>
    <cellStyle name="40% - Accent5 2 3 4 3" xfId="5828" xr:uid="{00000000-0005-0000-0000-000077060000}"/>
    <cellStyle name="40% - Accent5 2 3 4 3 2" xfId="15154" xr:uid="{EA2F64DC-B2D9-4650-9B2F-430E742D2DFC}"/>
    <cellStyle name="40% - Accent5 2 3 4 3 2 2" xfId="33750" xr:uid="{22EE51E4-EADA-467B-B709-C2457F7B172A}"/>
    <cellStyle name="40% - Accent5 2 3 4 3 3" xfId="24453" xr:uid="{24DEAF8A-3196-4F42-B90F-DED6693D9C55}"/>
    <cellStyle name="40% - Accent5 2 3 4 4" xfId="10937" xr:uid="{B5FB9306-D6E4-4493-A3FB-E22B66E7DC80}"/>
    <cellStyle name="40% - Accent5 2 3 4 4 2" xfId="29533" xr:uid="{1988B5D0-0792-4C6B-AD9D-873C203D3688}"/>
    <cellStyle name="40% - Accent5 2 3 4 5" xfId="20236" xr:uid="{4039A4BF-C4C1-4AA2-BEE1-D741AC1D9609}"/>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8958FB04-BD76-4046-A1EC-712F594BCB86}"/>
    <cellStyle name="40% - Accent5 2 3 5 2 2 2 2" xfId="36308" xr:uid="{1ADC0B10-5836-424A-939F-3B379A3DBC9C}"/>
    <cellStyle name="40% - Accent5 2 3 5 2 2 3" xfId="27011" xr:uid="{BA1BA292-2E78-480F-AEA3-24204C83140D}"/>
    <cellStyle name="40% - Accent5 2 3 5 2 3" xfId="13495" xr:uid="{05311577-3CDF-4163-B03E-2F4BF5E287E0}"/>
    <cellStyle name="40% - Accent5 2 3 5 2 3 2" xfId="32091" xr:uid="{28314601-506B-43AB-9BBF-E7BE44C41E8B}"/>
    <cellStyle name="40% - Accent5 2 3 5 2 4" xfId="22794" xr:uid="{FF70A199-E409-41F5-B319-DECDD2EEF803}"/>
    <cellStyle name="40% - Accent5 2 3 5 3" xfId="6241" xr:uid="{00000000-0005-0000-0000-00007B060000}"/>
    <cellStyle name="40% - Accent5 2 3 5 3 2" xfId="15567" xr:uid="{9208D52E-66F1-43AA-AC96-5BAB6EF176C2}"/>
    <cellStyle name="40% - Accent5 2 3 5 3 2 2" xfId="34163" xr:uid="{217638DF-9D6A-4587-8DF2-0FEB0E13C9EF}"/>
    <cellStyle name="40% - Accent5 2 3 5 3 3" xfId="24866" xr:uid="{850C525D-D728-4521-82BC-BF8A618AEA81}"/>
    <cellStyle name="40% - Accent5 2 3 5 4" xfId="11350" xr:uid="{44C6ACE3-061C-46CC-AECC-E6F752253E11}"/>
    <cellStyle name="40% - Accent5 2 3 5 4 2" xfId="29946" xr:uid="{A3613341-88B3-4FE5-89B1-F77E4BCBA9D3}"/>
    <cellStyle name="40% - Accent5 2 3 5 5" xfId="20649" xr:uid="{4EF153F1-346F-4DAC-8336-9E74F83DCC9B}"/>
    <cellStyle name="40% - Accent5 2 3 6" xfId="2348" xr:uid="{00000000-0005-0000-0000-00007C060000}"/>
    <cellStyle name="40% - Accent5 2 3 6 2" xfId="6654" xr:uid="{00000000-0005-0000-0000-00007D060000}"/>
    <cellStyle name="40% - Accent5 2 3 6 2 2" xfId="15980" xr:uid="{D8F99B42-7495-4286-92B2-511C0B36CC9E}"/>
    <cellStyle name="40% - Accent5 2 3 6 2 2 2" xfId="34576" xr:uid="{AE52C506-6E14-4795-8947-4458D23CC087}"/>
    <cellStyle name="40% - Accent5 2 3 6 2 3" xfId="25279" xr:uid="{2F8ED26D-9C14-4658-B944-9E3D4A0E4162}"/>
    <cellStyle name="40% - Accent5 2 3 6 3" xfId="11763" xr:uid="{ED3EB57E-2FC9-48CD-BFF8-68BCF5EDFB25}"/>
    <cellStyle name="40% - Accent5 2 3 6 3 2" xfId="30359" xr:uid="{9465006E-D5D5-4A8C-B4C8-8F251CD84D9E}"/>
    <cellStyle name="40% - Accent5 2 3 6 4" xfId="21062" xr:uid="{A045FC72-D837-486A-864F-D3AA686A56DC}"/>
    <cellStyle name="40% - Accent5 2 3 7" xfId="4588" xr:uid="{00000000-0005-0000-0000-00007E060000}"/>
    <cellStyle name="40% - Accent5 2 3 7 2" xfId="13914" xr:uid="{2ADAEC0E-0883-483C-9B7D-C9950982074E}"/>
    <cellStyle name="40% - Accent5 2 3 7 2 2" xfId="32510" xr:uid="{C5FCC935-899B-4F42-86B0-A76F680D9E0E}"/>
    <cellStyle name="40% - Accent5 2 3 7 3" xfId="23213" xr:uid="{F0949ED3-32AB-4D02-9B66-AE430877F69B}"/>
    <cellStyle name="40% - Accent5 2 3 8" xfId="9009" xr:uid="{DE8B6E41-761F-4ED0-BA8A-00A6A898A2FC}"/>
    <cellStyle name="40% - Accent5 2 3 8 2" xfId="18333" xr:uid="{6936EB9B-617B-4B25-8454-0B81C850EB22}"/>
    <cellStyle name="40% - Accent5 2 3 8 2 2" xfId="36928" xr:uid="{48AD6752-664D-4498-9575-3C956523F7CA}"/>
    <cellStyle name="40% - Accent5 2 3 8 3" xfId="27631" xr:uid="{866768FF-26CF-471D-AB59-3FA883A1E064}"/>
    <cellStyle name="40% - Accent5 2 3 9" xfId="9697" xr:uid="{637DF8DE-ED0E-46F2-B90D-3300B7B0BFE2}"/>
    <cellStyle name="40% - Accent5 2 3 9 2" xfId="28293" xr:uid="{EC4E59AB-E6F2-4D82-9D13-E96EB9C6438A}"/>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FAF2769C-C3B9-4F5B-9754-BC34C69EE163}"/>
    <cellStyle name="40% - Accent5 2 4 2 2 2 2" xfId="35066" xr:uid="{051BEEAC-444E-45DF-8065-893088A205E1}"/>
    <cellStyle name="40% - Accent5 2 4 2 2 3" xfId="25769" xr:uid="{3427C3A9-7A1A-4ADF-994B-2F2C98738AF1}"/>
    <cellStyle name="40% - Accent5 2 4 2 3" xfId="12253" xr:uid="{543F1D18-D91E-4A43-B40A-C66C10821AD1}"/>
    <cellStyle name="40% - Accent5 2 4 2 3 2" xfId="30849" xr:uid="{497C4E67-F8FC-4686-B403-849CDBDAE7C8}"/>
    <cellStyle name="40% - Accent5 2 4 2 4" xfId="21552" xr:uid="{4FF50E1A-31B7-4462-B3CC-A1A407812A62}"/>
    <cellStyle name="40% - Accent5 2 4 3" xfId="4999" xr:uid="{00000000-0005-0000-0000-000082060000}"/>
    <cellStyle name="40% - Accent5 2 4 3 2" xfId="14325" xr:uid="{5BB1517A-3882-4AE1-93C5-858F4C2E85D6}"/>
    <cellStyle name="40% - Accent5 2 4 3 2 2" xfId="32921" xr:uid="{64447EDB-ACF1-43AE-A0E6-759B7AE14951}"/>
    <cellStyle name="40% - Accent5 2 4 3 3" xfId="23624" xr:uid="{A5B655D9-5E59-4E2F-A9A3-933D9315B8A8}"/>
    <cellStyle name="40% - Accent5 2 4 4" xfId="9226" xr:uid="{6A688709-D29B-458C-973B-231279FAFEF5}"/>
    <cellStyle name="40% - Accent5 2 4 4 2" xfId="18542" xr:uid="{B607F9B7-722B-4040-A891-261280D0DE64}"/>
    <cellStyle name="40% - Accent5 2 4 4 2 2" xfId="37136" xr:uid="{930AFA8C-BD09-42CC-91C7-1F408317964C}"/>
    <cellStyle name="40% - Accent5 2 4 4 3" xfId="27839" xr:uid="{13289043-EE66-461E-8613-D990D9AD94A2}"/>
    <cellStyle name="40% - Accent5 2 4 5" xfId="10108" xr:uid="{7CB06F18-72D6-43F1-96FE-F8EC5DF21CD3}"/>
    <cellStyle name="40% - Accent5 2 4 5 2" xfId="28704" xr:uid="{325C3E4B-526D-4546-B4DA-D0DDD565FC45}"/>
    <cellStyle name="40% - Accent5 2 4 6" xfId="19407" xr:uid="{01BCFA42-F60D-42D5-97A2-7A302F489951}"/>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1268879C-305C-4CB4-ADD3-C911B71F0E4C}"/>
    <cellStyle name="40% - Accent5 2 5 2 2 2 2" xfId="35479" xr:uid="{17F77200-559C-4956-99DA-2C6B07B0BE32}"/>
    <cellStyle name="40% - Accent5 2 5 2 2 3" xfId="26182" xr:uid="{386665D2-86BB-4CA3-9269-65856825E79F}"/>
    <cellStyle name="40% - Accent5 2 5 2 3" xfId="12666" xr:uid="{7EE14116-D218-40CE-B1CF-EC79365BB759}"/>
    <cellStyle name="40% - Accent5 2 5 2 3 2" xfId="31262" xr:uid="{239325CA-8ED9-407E-A470-82313E6970F7}"/>
    <cellStyle name="40% - Accent5 2 5 2 4" xfId="21965" xr:uid="{A3B2606E-CE3E-45C1-B3C6-958B12CB3184}"/>
    <cellStyle name="40% - Accent5 2 5 3" xfId="5412" xr:uid="{00000000-0005-0000-0000-000086060000}"/>
    <cellStyle name="40% - Accent5 2 5 3 2" xfId="14738" xr:uid="{869F8772-5BB0-4F19-8AD1-E7C56220C6E5}"/>
    <cellStyle name="40% - Accent5 2 5 3 2 2" xfId="33334" xr:uid="{F8BB9C55-3EFD-4ECF-87CC-9FCD5EB2503E}"/>
    <cellStyle name="40% - Accent5 2 5 3 3" xfId="24037" xr:uid="{7791D1A6-7DAE-4376-BAE1-70139E61E695}"/>
    <cellStyle name="40% - Accent5 2 5 4" xfId="10521" xr:uid="{DB5FEC64-61F8-434E-831B-B0779AD0CA62}"/>
    <cellStyle name="40% - Accent5 2 5 4 2" xfId="29117" xr:uid="{CD44274D-852B-4E8A-92C1-47152DAC535D}"/>
    <cellStyle name="40% - Accent5 2 5 5" xfId="19820" xr:uid="{ADE51074-93E4-4CEB-A5A3-A573B2E0E255}"/>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A6E6DA40-26F7-4A1F-8721-A18C341687A3}"/>
    <cellStyle name="40% - Accent5 2 6 2 2 2 2" xfId="35892" xr:uid="{C2FD4C5D-1F19-4417-B0FD-24F84036CB95}"/>
    <cellStyle name="40% - Accent5 2 6 2 2 3" xfId="26595" xr:uid="{354A0622-192E-4FBC-B4BD-32E8E49D474F}"/>
    <cellStyle name="40% - Accent5 2 6 2 3" xfId="13079" xr:uid="{EDBB2660-7754-4E70-80B2-19C0F60F90DF}"/>
    <cellStyle name="40% - Accent5 2 6 2 3 2" xfId="31675" xr:uid="{0A1FABC4-2D99-47C1-92C4-765B2C5001E7}"/>
    <cellStyle name="40% - Accent5 2 6 2 4" xfId="22378" xr:uid="{765B8B23-D7A1-4F16-B41D-A4098CF8AC4A}"/>
    <cellStyle name="40% - Accent5 2 6 3" xfId="5825" xr:uid="{00000000-0005-0000-0000-00008A060000}"/>
    <cellStyle name="40% - Accent5 2 6 3 2" xfId="15151" xr:uid="{C6DC94A4-2050-4219-A0E3-6B3A5ACA09E4}"/>
    <cellStyle name="40% - Accent5 2 6 3 2 2" xfId="33747" xr:uid="{68AE228C-F4C4-46AE-9B85-FE0969F5C4B4}"/>
    <cellStyle name="40% - Accent5 2 6 3 3" xfId="24450" xr:uid="{B5D6E1F3-D2A1-48F2-9037-57B5FA944905}"/>
    <cellStyle name="40% - Accent5 2 6 4" xfId="10934" xr:uid="{D2F05448-1574-44CE-8562-146DC9956A52}"/>
    <cellStyle name="40% - Accent5 2 6 4 2" xfId="29530" xr:uid="{4568789E-64E0-4643-809F-DEEF1D340103}"/>
    <cellStyle name="40% - Accent5 2 6 5" xfId="20233" xr:uid="{0DFE4795-5C6B-4BA2-88A0-AEC3EAF06FC6}"/>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65AFF6F7-721F-4F06-BD1A-4B719245DA9D}"/>
    <cellStyle name="40% - Accent5 2 7 2 2 2 2" xfId="36305" xr:uid="{E767F2CE-4422-4919-87DF-08C4E72D1A2A}"/>
    <cellStyle name="40% - Accent5 2 7 2 2 3" xfId="27008" xr:uid="{D7297FB3-1353-4661-9DA2-0C238CA281FE}"/>
    <cellStyle name="40% - Accent5 2 7 2 3" xfId="13492" xr:uid="{57B81BC1-D52D-423D-8134-303B7E55B552}"/>
    <cellStyle name="40% - Accent5 2 7 2 3 2" xfId="32088" xr:uid="{38B11421-544B-48F5-B5F1-0E68C8317295}"/>
    <cellStyle name="40% - Accent5 2 7 2 4" xfId="22791" xr:uid="{1EEBB272-0534-4732-B29F-8CF5354FAFCA}"/>
    <cellStyle name="40% - Accent5 2 7 3" xfId="6238" xr:uid="{00000000-0005-0000-0000-00008E060000}"/>
    <cellStyle name="40% - Accent5 2 7 3 2" xfId="15564" xr:uid="{96B952AE-32F5-4ACC-840E-E78813C06B68}"/>
    <cellStyle name="40% - Accent5 2 7 3 2 2" xfId="34160" xr:uid="{05D86479-5794-423B-AF41-39EFEC99517C}"/>
    <cellStyle name="40% - Accent5 2 7 3 3" xfId="24863" xr:uid="{8ECE37DB-78C9-4D73-BC3A-6E84E8EC2E7B}"/>
    <cellStyle name="40% - Accent5 2 7 4" xfId="11347" xr:uid="{AE479BE7-5BEA-4274-A7AA-F2A1FD291362}"/>
    <cellStyle name="40% - Accent5 2 7 4 2" xfId="29943" xr:uid="{088FFD85-E18D-4AD5-A332-E2B01210E342}"/>
    <cellStyle name="40% - Accent5 2 7 5" xfId="20646" xr:uid="{EF4597F9-2556-46E7-9BC2-049C4A2371B9}"/>
    <cellStyle name="40% - Accent5 2 8" xfId="2345" xr:uid="{00000000-0005-0000-0000-00008F060000}"/>
    <cellStyle name="40% - Accent5 2 8 2" xfId="6651" xr:uid="{00000000-0005-0000-0000-000090060000}"/>
    <cellStyle name="40% - Accent5 2 8 2 2" xfId="15977" xr:uid="{F01D82ED-6634-4887-8D8E-1D3A50AF6C6A}"/>
    <cellStyle name="40% - Accent5 2 8 2 2 2" xfId="34573" xr:uid="{3F10E981-50F5-4071-B7B1-E23283BDAA66}"/>
    <cellStyle name="40% - Accent5 2 8 2 3" xfId="25276" xr:uid="{6BE48BDD-CECB-4F47-8BC0-65BFBAD99377}"/>
    <cellStyle name="40% - Accent5 2 8 3" xfId="11760" xr:uid="{4655D202-02BC-4148-A49F-E7234047C3BF}"/>
    <cellStyle name="40% - Accent5 2 8 3 2" xfId="30356" xr:uid="{F6ADC95F-4B52-46B4-9C42-EAC6199AA458}"/>
    <cellStyle name="40% - Accent5 2 8 4" xfId="21059" xr:uid="{CE6CB0BE-BB06-4A12-B292-62A3777F67C6}"/>
    <cellStyle name="40% - Accent5 2 9" xfId="4585" xr:uid="{00000000-0005-0000-0000-000091060000}"/>
    <cellStyle name="40% - Accent5 2 9 2" xfId="13911" xr:uid="{2521F5BC-7DD2-4C3D-9B7A-05497287A3FF}"/>
    <cellStyle name="40% - Accent5 2 9 2 2" xfId="32507" xr:uid="{264B601D-E3B0-46A8-B8E2-95E3C8AFC9EE}"/>
    <cellStyle name="40% - Accent5 2 9 3" xfId="23210" xr:uid="{9DD791AD-9000-45A3-BAE0-0D3EDF6C7EA1}"/>
    <cellStyle name="40% - Accent5 3" xfId="86" xr:uid="{00000000-0005-0000-0000-000092060000}"/>
    <cellStyle name="40% - Accent5 3 10" xfId="9698" xr:uid="{F4174906-4CF6-4F84-9DC7-6D802E11E5A3}"/>
    <cellStyle name="40% - Accent5 3 10 2" xfId="28294" xr:uid="{177C0D17-A4A8-4369-B2C7-373533D3C6A8}"/>
    <cellStyle name="40% - Accent5 3 11" xfId="18997" xr:uid="{C20B0F94-579A-45CF-A055-B8ACB714447F}"/>
    <cellStyle name="40% - Accent5 3 2" xfId="87" xr:uid="{00000000-0005-0000-0000-000093060000}"/>
    <cellStyle name="40% - Accent5 3 2 10" xfId="18998" xr:uid="{CD587B27-36D4-4E08-9461-C97E57126014}"/>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2B55234D-05F8-4756-A388-FA71579E0941}"/>
    <cellStyle name="40% - Accent5 3 2 2 2 2 2 2" xfId="35071" xr:uid="{38D1E7B8-81DD-434C-8334-DF276FD7B3A3}"/>
    <cellStyle name="40% - Accent5 3 2 2 2 2 3" xfId="25774" xr:uid="{2D96E993-5D81-49C2-9116-D0E242DFC095}"/>
    <cellStyle name="40% - Accent5 3 2 2 2 3" xfId="12258" xr:uid="{2C1B95AF-DF80-4EDE-BD17-39BEA49FCA3E}"/>
    <cellStyle name="40% - Accent5 3 2 2 2 3 2" xfId="30854" xr:uid="{E70AA0DC-B44E-4EC3-9CB4-5891C3C9A60B}"/>
    <cellStyle name="40% - Accent5 3 2 2 2 4" xfId="21557" xr:uid="{3A6F4762-1779-4FDA-9AA1-2DB302D7FBF7}"/>
    <cellStyle name="40% - Accent5 3 2 2 3" xfId="5004" xr:uid="{00000000-0005-0000-0000-000097060000}"/>
    <cellStyle name="40% - Accent5 3 2 2 3 2" xfId="14330" xr:uid="{4C083157-662C-4824-AEB0-134E220D8919}"/>
    <cellStyle name="40% - Accent5 3 2 2 3 2 2" xfId="32926" xr:uid="{99818A10-C4D5-4667-BCD8-E74DE5E42956}"/>
    <cellStyle name="40% - Accent5 3 2 2 3 3" xfId="23629" xr:uid="{D57253A1-94FE-43D6-9157-73660C08551C}"/>
    <cellStyle name="40% - Accent5 3 2 2 4" xfId="9502" xr:uid="{96903B0D-DCFE-4149-8088-461BCB03A73B}"/>
    <cellStyle name="40% - Accent5 3 2 2 4 2" xfId="18817" xr:uid="{E094CEAB-5EF3-4C40-95C9-75B05D2A0A8B}"/>
    <cellStyle name="40% - Accent5 3 2 2 4 2 2" xfId="37411" xr:uid="{77BEFA00-5089-4768-8095-189C5F88A471}"/>
    <cellStyle name="40% - Accent5 3 2 2 4 3" xfId="28114" xr:uid="{38517417-43AC-4B9A-B45A-DEC6774863AC}"/>
    <cellStyle name="40% - Accent5 3 2 2 5" xfId="10113" xr:uid="{CAC52975-137D-47B2-A779-00FA5D2D1C0D}"/>
    <cellStyle name="40% - Accent5 3 2 2 5 2" xfId="28709" xr:uid="{1112355C-D960-427C-8553-00BE14329901}"/>
    <cellStyle name="40% - Accent5 3 2 2 6" xfId="19412" xr:uid="{ACDD1063-F369-4EC3-9CE4-B5990D0462A1}"/>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2DE3D47D-02A2-4934-AB1E-514994E33F09}"/>
    <cellStyle name="40% - Accent5 3 2 3 2 2 2 2" xfId="35484" xr:uid="{B039A0D9-AC90-408B-9B6D-46C28CEEC0CB}"/>
    <cellStyle name="40% - Accent5 3 2 3 2 2 3" xfId="26187" xr:uid="{972CDA7E-731C-4ECC-BD88-B67DD708C9F7}"/>
    <cellStyle name="40% - Accent5 3 2 3 2 3" xfId="12671" xr:uid="{A899E62B-EDCE-48BA-AE90-E330E012DCB3}"/>
    <cellStyle name="40% - Accent5 3 2 3 2 3 2" xfId="31267" xr:uid="{63024B76-4320-4BB6-9E40-78705AFC94CA}"/>
    <cellStyle name="40% - Accent5 3 2 3 2 4" xfId="21970" xr:uid="{71DC2492-F474-4155-8025-4DABB70F0CAD}"/>
    <cellStyle name="40% - Accent5 3 2 3 3" xfId="5417" xr:uid="{00000000-0005-0000-0000-00009B060000}"/>
    <cellStyle name="40% - Accent5 3 2 3 3 2" xfId="14743" xr:uid="{936FD64B-D4B6-4383-BF68-80F8EFCF50BE}"/>
    <cellStyle name="40% - Accent5 3 2 3 3 2 2" xfId="33339" xr:uid="{263A55B2-9B28-4967-B525-0AA0DCDA7589}"/>
    <cellStyle name="40% - Accent5 3 2 3 3 3" xfId="24042" xr:uid="{AE4FB13B-18F3-4D77-A658-B5CDFA1456A6}"/>
    <cellStyle name="40% - Accent5 3 2 3 4" xfId="10526" xr:uid="{09DB1C02-9DF9-43A8-B508-F8C1D7CE7E30}"/>
    <cellStyle name="40% - Accent5 3 2 3 4 2" xfId="29122" xr:uid="{E4B7E9AE-5ADC-46EE-A5B7-67A7BF6B66FB}"/>
    <cellStyle name="40% - Accent5 3 2 3 5" xfId="19825" xr:uid="{19A4BCC2-6A41-4F99-8D1D-F540B8DD8A59}"/>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F74EF6CE-1DB0-4885-A10B-7D5E6662A1FB}"/>
    <cellStyle name="40% - Accent5 3 2 4 2 2 2 2" xfId="35897" xr:uid="{8CA061E3-B60C-4F6B-B9C5-81556A406952}"/>
    <cellStyle name="40% - Accent5 3 2 4 2 2 3" xfId="26600" xr:uid="{8796DD2C-4200-4ED6-AC1C-57F6A90A12CF}"/>
    <cellStyle name="40% - Accent5 3 2 4 2 3" xfId="13084" xr:uid="{CE159CB6-4046-4935-9A43-040118CB8863}"/>
    <cellStyle name="40% - Accent5 3 2 4 2 3 2" xfId="31680" xr:uid="{FDB017BD-B1BF-40F0-BF3D-1E7EB1A1EF25}"/>
    <cellStyle name="40% - Accent5 3 2 4 2 4" xfId="22383" xr:uid="{4A7FF076-5D50-4550-9A68-9A9F0CC5F7D9}"/>
    <cellStyle name="40% - Accent5 3 2 4 3" xfId="5830" xr:uid="{00000000-0005-0000-0000-00009F060000}"/>
    <cellStyle name="40% - Accent5 3 2 4 3 2" xfId="15156" xr:uid="{E0C25D99-19FE-40A9-A89E-E57654446C85}"/>
    <cellStyle name="40% - Accent5 3 2 4 3 2 2" xfId="33752" xr:uid="{28FFB861-FD7D-46FE-AE96-69A0F3175720}"/>
    <cellStyle name="40% - Accent5 3 2 4 3 3" xfId="24455" xr:uid="{95AD9D29-0B94-4362-AD50-BAB50E453113}"/>
    <cellStyle name="40% - Accent5 3 2 4 4" xfId="10939" xr:uid="{0243497F-D3BF-4051-96A6-9312FC83BBFA}"/>
    <cellStyle name="40% - Accent5 3 2 4 4 2" xfId="29535" xr:uid="{F914BD4A-13BB-4F09-8693-61B3B951B90B}"/>
    <cellStyle name="40% - Accent5 3 2 4 5" xfId="20238" xr:uid="{B1910A81-00B2-40D8-A064-F88C20D70DBA}"/>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033BA11B-F612-45DD-915D-96B64E7F820F}"/>
    <cellStyle name="40% - Accent5 3 2 5 2 2 2 2" xfId="36310" xr:uid="{EA09959B-224C-437B-BDC8-ACDA9C546570}"/>
    <cellStyle name="40% - Accent5 3 2 5 2 2 3" xfId="27013" xr:uid="{AD1FC82D-D7A5-4034-AECE-90FA26FDA4BB}"/>
    <cellStyle name="40% - Accent5 3 2 5 2 3" xfId="13497" xr:uid="{0345A61B-2621-43EB-9AED-4869716FFCCA}"/>
    <cellStyle name="40% - Accent5 3 2 5 2 3 2" xfId="32093" xr:uid="{70946657-C85C-4722-A52E-0CE4F5B72FAD}"/>
    <cellStyle name="40% - Accent5 3 2 5 2 4" xfId="22796" xr:uid="{80EF8DD3-78CE-4F5A-8568-65F33D470225}"/>
    <cellStyle name="40% - Accent5 3 2 5 3" xfId="6243" xr:uid="{00000000-0005-0000-0000-0000A3060000}"/>
    <cellStyle name="40% - Accent5 3 2 5 3 2" xfId="15569" xr:uid="{122A1D06-874A-4228-B0E7-399BFE9B179A}"/>
    <cellStyle name="40% - Accent5 3 2 5 3 2 2" xfId="34165" xr:uid="{BC982C51-7C75-41FF-8B68-F73E84F656C2}"/>
    <cellStyle name="40% - Accent5 3 2 5 3 3" xfId="24868" xr:uid="{B8642EBF-577A-4488-B893-AB664741188F}"/>
    <cellStyle name="40% - Accent5 3 2 5 4" xfId="11352" xr:uid="{AF4C6F16-440C-4BCC-BA50-ABDDB7C2397A}"/>
    <cellStyle name="40% - Accent5 3 2 5 4 2" xfId="29948" xr:uid="{C1B4EE85-0D85-47CE-9EC7-206665F4D549}"/>
    <cellStyle name="40% - Accent5 3 2 5 5" xfId="20651" xr:uid="{BCCA4D9D-A537-4C4B-A547-3D21136B9790}"/>
    <cellStyle name="40% - Accent5 3 2 6" xfId="2350" xr:uid="{00000000-0005-0000-0000-0000A4060000}"/>
    <cellStyle name="40% - Accent5 3 2 6 2" xfId="6656" xr:uid="{00000000-0005-0000-0000-0000A5060000}"/>
    <cellStyle name="40% - Accent5 3 2 6 2 2" xfId="15982" xr:uid="{B3E31614-7CE3-4531-922C-7C400EC7877E}"/>
    <cellStyle name="40% - Accent5 3 2 6 2 2 2" xfId="34578" xr:uid="{C2A408C1-4748-460D-AE02-561216A6C321}"/>
    <cellStyle name="40% - Accent5 3 2 6 2 3" xfId="25281" xr:uid="{8A330DF1-0ACE-450A-B2EF-4D1DE089A326}"/>
    <cellStyle name="40% - Accent5 3 2 6 3" xfId="11765" xr:uid="{4574EEB5-538D-4C95-881A-DE418C55D1F3}"/>
    <cellStyle name="40% - Accent5 3 2 6 3 2" xfId="30361" xr:uid="{E6A103A2-1B85-4F23-AB2E-C252F4F241C3}"/>
    <cellStyle name="40% - Accent5 3 2 6 4" xfId="21064" xr:uid="{994559DC-E690-4C3F-A6A3-0A1D458D64EA}"/>
    <cellStyle name="40% - Accent5 3 2 7" xfId="4590" xr:uid="{00000000-0005-0000-0000-0000A6060000}"/>
    <cellStyle name="40% - Accent5 3 2 7 2" xfId="13916" xr:uid="{F6D1F970-EADA-4165-98B2-EF0A9FCB047F}"/>
    <cellStyle name="40% - Accent5 3 2 7 2 2" xfId="32512" xr:uid="{DFA4FBA4-008E-4B30-B4BB-75F88A1E4957}"/>
    <cellStyle name="40% - Accent5 3 2 7 3" xfId="23215" xr:uid="{DF7869EC-6D60-49BE-B31A-3C618D27FD9E}"/>
    <cellStyle name="40% - Accent5 3 2 8" xfId="9077" xr:uid="{8842DD15-54E4-487D-B492-3A505722387C}"/>
    <cellStyle name="40% - Accent5 3 2 8 2" xfId="18401" xr:uid="{A4E33DF4-38DD-4EC4-8AD8-0D65EB37C9A8}"/>
    <cellStyle name="40% - Accent5 3 2 8 2 2" xfId="36996" xr:uid="{7FF44C1A-5990-4D9E-A1EE-298BBC407286}"/>
    <cellStyle name="40% - Accent5 3 2 8 3" xfId="27699" xr:uid="{2D66FF16-8761-4767-BA34-776865EF8256}"/>
    <cellStyle name="40% - Accent5 3 2 9" xfId="9699" xr:uid="{45C47E52-E1E9-426C-BB65-83AAB95C06E1}"/>
    <cellStyle name="40% - Accent5 3 2 9 2" xfId="28295" xr:uid="{B70440A6-E24B-4A4F-93DC-BC64DDEE423E}"/>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D62B8D27-E7A3-4B43-86BA-AD3F595C8798}"/>
    <cellStyle name="40% - Accent5 3 3 2 2 2 2" xfId="35070" xr:uid="{89F2E3E8-FEE0-4E79-A221-1F3DC52DB192}"/>
    <cellStyle name="40% - Accent5 3 3 2 2 3" xfId="25773" xr:uid="{164B7F7C-299D-42EF-8144-E91F08127948}"/>
    <cellStyle name="40% - Accent5 3 3 2 3" xfId="12257" xr:uid="{32F3D333-7250-4C11-BFAB-294B13C034E7}"/>
    <cellStyle name="40% - Accent5 3 3 2 3 2" xfId="30853" xr:uid="{E6DBD9E5-5BDB-4AB0-9E49-60D3D1F08AC9}"/>
    <cellStyle name="40% - Accent5 3 3 2 4" xfId="21556" xr:uid="{443B2CD7-2993-4268-8F75-9C04969E6202}"/>
    <cellStyle name="40% - Accent5 3 3 3" xfId="5003" xr:uid="{00000000-0005-0000-0000-0000AA060000}"/>
    <cellStyle name="40% - Accent5 3 3 3 2" xfId="14329" xr:uid="{D10EA382-53A4-4018-8C59-4D1EF234CD4B}"/>
    <cellStyle name="40% - Accent5 3 3 3 2 2" xfId="32925" xr:uid="{99AD6F1A-8E3C-4558-B88B-A9A5343256B1}"/>
    <cellStyle name="40% - Accent5 3 3 3 3" xfId="23628" xr:uid="{6F2A2C6A-6808-485E-8206-9C791030D1D2}"/>
    <cellStyle name="40% - Accent5 3 3 4" xfId="9295" xr:uid="{0D42C89E-252E-426A-8E1F-7D3AD6B9FE55}"/>
    <cellStyle name="40% - Accent5 3 3 4 2" xfId="18610" xr:uid="{0A600759-F081-47ED-9EB8-310FE81EDCFF}"/>
    <cellStyle name="40% - Accent5 3 3 4 2 2" xfId="37204" xr:uid="{D72B1238-8FC1-45B3-BECD-64F7CBFB5460}"/>
    <cellStyle name="40% - Accent5 3 3 4 3" xfId="27907" xr:uid="{50B027E3-8228-4B42-97DC-FA1491332F27}"/>
    <cellStyle name="40% - Accent5 3 3 5" xfId="10112" xr:uid="{5D732D3F-109E-42BE-B4C9-5ADCA3F7A2C3}"/>
    <cellStyle name="40% - Accent5 3 3 5 2" xfId="28708" xr:uid="{1EFFC6B8-64D6-4004-B853-BCCF84C838E1}"/>
    <cellStyle name="40% - Accent5 3 3 6" xfId="19411" xr:uid="{1346F35C-B541-46F1-8913-EB9BDD391321}"/>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100F05FF-A277-423B-A719-9ED6C26BA737}"/>
    <cellStyle name="40% - Accent5 3 4 2 2 2 2" xfId="35483" xr:uid="{07CA568B-B2E9-42D6-A592-A705AC81EC7D}"/>
    <cellStyle name="40% - Accent5 3 4 2 2 3" xfId="26186" xr:uid="{1903CBE6-4622-416B-B628-E852E95CE4CD}"/>
    <cellStyle name="40% - Accent5 3 4 2 3" xfId="12670" xr:uid="{13283B18-0436-4727-BCFF-E430A6D27FE2}"/>
    <cellStyle name="40% - Accent5 3 4 2 3 2" xfId="31266" xr:uid="{EA3A29CC-E91E-44B0-ACFF-75DF75E3975F}"/>
    <cellStyle name="40% - Accent5 3 4 2 4" xfId="21969" xr:uid="{5019F2EE-7D87-4B20-B5C3-8B8B494154D0}"/>
    <cellStyle name="40% - Accent5 3 4 3" xfId="5416" xr:uid="{00000000-0005-0000-0000-0000AE060000}"/>
    <cellStyle name="40% - Accent5 3 4 3 2" xfId="14742" xr:uid="{04F74A90-ACD5-4677-A5B6-6E98E5858995}"/>
    <cellStyle name="40% - Accent5 3 4 3 2 2" xfId="33338" xr:uid="{54BA5AB2-05E9-4CE7-9BD8-9F4F892AC808}"/>
    <cellStyle name="40% - Accent5 3 4 3 3" xfId="24041" xr:uid="{3C437C64-6A7A-4FC6-9169-F2E0A2E2B338}"/>
    <cellStyle name="40% - Accent5 3 4 4" xfId="10525" xr:uid="{FE0B4A13-F991-4D25-892A-21F3DF7FA562}"/>
    <cellStyle name="40% - Accent5 3 4 4 2" xfId="29121" xr:uid="{A794FB7B-9049-48A5-B7B0-15DE083C49F7}"/>
    <cellStyle name="40% - Accent5 3 4 5" xfId="19824" xr:uid="{99451FF0-AE23-4243-85D6-02BF1AA2EA9E}"/>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50D62826-2B08-4055-A446-510974CAD42E}"/>
    <cellStyle name="40% - Accent5 3 5 2 2 2 2" xfId="35896" xr:uid="{BE68843B-DD8E-43C9-901F-0F7357438AE1}"/>
    <cellStyle name="40% - Accent5 3 5 2 2 3" xfId="26599" xr:uid="{D8D32C53-2267-4B4A-9B1F-C0FE02CB49EA}"/>
    <cellStyle name="40% - Accent5 3 5 2 3" xfId="13083" xr:uid="{634BFFB9-F4AD-42CE-B8F7-25D078C923E4}"/>
    <cellStyle name="40% - Accent5 3 5 2 3 2" xfId="31679" xr:uid="{15EA710D-5955-41A1-A3AF-8B7E413A9014}"/>
    <cellStyle name="40% - Accent5 3 5 2 4" xfId="22382" xr:uid="{350749B0-C4E3-4106-95A3-6A68266A189D}"/>
    <cellStyle name="40% - Accent5 3 5 3" xfId="5829" xr:uid="{00000000-0005-0000-0000-0000B2060000}"/>
    <cellStyle name="40% - Accent5 3 5 3 2" xfId="15155" xr:uid="{21754DE5-F86A-4888-A748-F1D0E89A4A07}"/>
    <cellStyle name="40% - Accent5 3 5 3 2 2" xfId="33751" xr:uid="{E6AF35F7-ABDF-475F-BAEE-BBA249C2774D}"/>
    <cellStyle name="40% - Accent5 3 5 3 3" xfId="24454" xr:uid="{346DC51B-470E-46FD-AC54-0D1B2B577365}"/>
    <cellStyle name="40% - Accent5 3 5 4" xfId="10938" xr:uid="{960B33CD-66A4-4016-9308-D5C082DD241D}"/>
    <cellStyle name="40% - Accent5 3 5 4 2" xfId="29534" xr:uid="{8F69EF0D-2761-475A-9A28-87FC13456027}"/>
    <cellStyle name="40% - Accent5 3 5 5" xfId="20237" xr:uid="{1AE41C08-600F-4506-9188-D6160929A836}"/>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64C3B95A-CC5B-453C-BF76-A0A8FDAB1908}"/>
    <cellStyle name="40% - Accent5 3 6 2 2 2 2" xfId="36309" xr:uid="{2E6BAF01-31B6-4070-9F6A-EE7E31D204B0}"/>
    <cellStyle name="40% - Accent5 3 6 2 2 3" xfId="27012" xr:uid="{E353A42E-0CAD-4C85-B552-FFB0D9B87031}"/>
    <cellStyle name="40% - Accent5 3 6 2 3" xfId="13496" xr:uid="{934CD660-4102-48BD-AB7E-7084948A4360}"/>
    <cellStyle name="40% - Accent5 3 6 2 3 2" xfId="32092" xr:uid="{F25AD853-A4FF-4B84-B314-A7488EB4F50C}"/>
    <cellStyle name="40% - Accent5 3 6 2 4" xfId="22795" xr:uid="{28F6F7AF-65B3-4A49-B4D1-F125241141C4}"/>
    <cellStyle name="40% - Accent5 3 6 3" xfId="6242" xr:uid="{00000000-0005-0000-0000-0000B6060000}"/>
    <cellStyle name="40% - Accent5 3 6 3 2" xfId="15568" xr:uid="{76405C71-6610-42F5-AD07-FA64CC2D1863}"/>
    <cellStyle name="40% - Accent5 3 6 3 2 2" xfId="34164" xr:uid="{0071B41A-EC3B-42D1-ACB7-3C211BE49142}"/>
    <cellStyle name="40% - Accent5 3 6 3 3" xfId="24867" xr:uid="{4EF455D2-78F5-45C7-8439-900734B80AEF}"/>
    <cellStyle name="40% - Accent5 3 6 4" xfId="11351" xr:uid="{00628EF4-8DF9-4CA7-A7F3-D0A2EBCBA936}"/>
    <cellStyle name="40% - Accent5 3 6 4 2" xfId="29947" xr:uid="{D0FE5D98-0D0F-43C7-9D7D-F43C6650DA38}"/>
    <cellStyle name="40% - Accent5 3 6 5" xfId="20650" xr:uid="{D36A167F-CA6E-4D73-A3C9-E5292A54C274}"/>
    <cellStyle name="40% - Accent5 3 7" xfId="2349" xr:uid="{00000000-0005-0000-0000-0000B7060000}"/>
    <cellStyle name="40% - Accent5 3 7 2" xfId="6655" xr:uid="{00000000-0005-0000-0000-0000B8060000}"/>
    <cellStyle name="40% - Accent5 3 7 2 2" xfId="15981" xr:uid="{42252A19-E808-4AE4-A8E7-390865A3FB74}"/>
    <cellStyle name="40% - Accent5 3 7 2 2 2" xfId="34577" xr:uid="{8BFE37B0-7E61-4B6B-A39B-69A458B95E30}"/>
    <cellStyle name="40% - Accent5 3 7 2 3" xfId="25280" xr:uid="{0F9A719E-316B-4848-A095-3EFE220CDAC6}"/>
    <cellStyle name="40% - Accent5 3 7 3" xfId="11764" xr:uid="{824F9F33-8A94-441B-9A31-A7335581D5F3}"/>
    <cellStyle name="40% - Accent5 3 7 3 2" xfId="30360" xr:uid="{ACD27D12-6746-4D49-9552-D11CF59410BE}"/>
    <cellStyle name="40% - Accent5 3 7 4" xfId="21063" xr:uid="{379FDC57-E8A5-44DA-ABE0-17A923E0ACAB}"/>
    <cellStyle name="40% - Accent5 3 8" xfId="4589" xr:uid="{00000000-0005-0000-0000-0000B9060000}"/>
    <cellStyle name="40% - Accent5 3 8 2" xfId="13915" xr:uid="{9502BC13-9273-4D8F-8AD2-DC4855777AD6}"/>
    <cellStyle name="40% - Accent5 3 8 2 2" xfId="32511" xr:uid="{9976E4B5-DE26-481A-874F-6D9B9069FB66}"/>
    <cellStyle name="40% - Accent5 3 8 3" xfId="23214" xr:uid="{0672DA46-43C4-48D1-92D7-CB80502E5ACB}"/>
    <cellStyle name="40% - Accent5 3 9" xfId="8870" xr:uid="{F7DB5D96-1272-4D48-B3B6-48053CFCBA44}"/>
    <cellStyle name="40% - Accent5 3 9 2" xfId="18194" xr:uid="{60ECEB6E-FAC7-47AE-8F6C-F7614E041586}"/>
    <cellStyle name="40% - Accent5 3 9 2 2" xfId="36789" xr:uid="{50D59350-065B-4EB0-9781-261A1978FA0C}"/>
    <cellStyle name="40% - Accent5 3 9 3" xfId="27492" xr:uid="{D1928AC8-807F-4D2F-975A-AE4D82418987}"/>
    <cellStyle name="40% - Accent5 4" xfId="88" xr:uid="{00000000-0005-0000-0000-0000BA060000}"/>
    <cellStyle name="40% - Accent5 4 10" xfId="18999" xr:uid="{356CB9DF-8D05-4DA9-A860-321F6B294D2A}"/>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C9AF86FA-DB1E-4A35-B087-B37FD0F27E21}"/>
    <cellStyle name="40% - Accent5 4 2 2 2 2 2" xfId="35072" xr:uid="{95921537-E55E-429F-926F-5FC9F35EBAA5}"/>
    <cellStyle name="40% - Accent5 4 2 2 2 3" xfId="25775" xr:uid="{E9427B58-9F32-40C6-94C7-77D814BC63D1}"/>
    <cellStyle name="40% - Accent5 4 2 2 3" xfId="12259" xr:uid="{9E13E8F2-AC18-4A34-B1F1-8452532C259D}"/>
    <cellStyle name="40% - Accent5 4 2 2 3 2" xfId="30855" xr:uid="{4B7F0B65-8942-4D73-843C-0D13215A0EF6}"/>
    <cellStyle name="40% - Accent5 4 2 2 4" xfId="21558" xr:uid="{072AFF0F-494A-45D3-B921-9F379AE867E2}"/>
    <cellStyle name="40% - Accent5 4 2 3" xfId="5005" xr:uid="{00000000-0005-0000-0000-0000BE060000}"/>
    <cellStyle name="40% - Accent5 4 2 3 2" xfId="14331" xr:uid="{BC94407A-5906-4BB6-B85C-B9EC02696260}"/>
    <cellStyle name="40% - Accent5 4 2 3 2 2" xfId="32927" xr:uid="{C1217489-593A-481A-BBA4-D45899BE2813}"/>
    <cellStyle name="40% - Accent5 4 2 3 3" xfId="23630" xr:uid="{DC99C30E-07BA-4C2C-A778-BFA4795ABBA2}"/>
    <cellStyle name="40% - Accent5 4 2 4" xfId="9381" xr:uid="{6D86932C-AFC4-4FF0-967D-0F56E90E02E1}"/>
    <cellStyle name="40% - Accent5 4 2 4 2" xfId="18696" xr:uid="{4647ECDE-528D-40CB-A186-B2CE54982DB5}"/>
    <cellStyle name="40% - Accent5 4 2 4 2 2" xfId="37290" xr:uid="{62BADE1F-5AE7-45A1-8A90-CE18464E7AC6}"/>
    <cellStyle name="40% - Accent5 4 2 4 3" xfId="27993" xr:uid="{50F023B5-FC20-4A80-A66D-A9BB1A1CDE4D}"/>
    <cellStyle name="40% - Accent5 4 2 5" xfId="10114" xr:uid="{E9E27B08-0D50-4E27-A2C9-46A2EAC5FCD9}"/>
    <cellStyle name="40% - Accent5 4 2 5 2" xfId="28710" xr:uid="{125F6F22-2B32-4DCA-BB15-ED2B99655A2B}"/>
    <cellStyle name="40% - Accent5 4 2 6" xfId="19413" xr:uid="{BCB5A2FC-F53F-4BFD-8359-707B34B0545C}"/>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D076D855-3157-4922-BBF6-5434B6C5DA7C}"/>
    <cellStyle name="40% - Accent5 4 3 2 2 2 2" xfId="35485" xr:uid="{92B115F6-1305-4E4F-920E-DB415FEF961D}"/>
    <cellStyle name="40% - Accent5 4 3 2 2 3" xfId="26188" xr:uid="{4CC7CCF7-2644-494B-94D6-CE090F70B26E}"/>
    <cellStyle name="40% - Accent5 4 3 2 3" xfId="12672" xr:uid="{4AC2E98F-921A-488F-9DCE-EB3496BCED09}"/>
    <cellStyle name="40% - Accent5 4 3 2 3 2" xfId="31268" xr:uid="{E20073F5-8C5A-499C-86AF-C4B54FAACE05}"/>
    <cellStyle name="40% - Accent5 4 3 2 4" xfId="21971" xr:uid="{C75ABBA7-97FA-4D9E-A289-33A4CA02FDA9}"/>
    <cellStyle name="40% - Accent5 4 3 3" xfId="5418" xr:uid="{00000000-0005-0000-0000-0000C2060000}"/>
    <cellStyle name="40% - Accent5 4 3 3 2" xfId="14744" xr:uid="{300927D6-D0C5-4C2D-830A-F158D027B6F0}"/>
    <cellStyle name="40% - Accent5 4 3 3 2 2" xfId="33340" xr:uid="{313FAB74-8341-4370-84E6-4820BF07FB21}"/>
    <cellStyle name="40% - Accent5 4 3 3 3" xfId="24043" xr:uid="{FAF13E54-34EB-40C6-9EA0-2268E9115710}"/>
    <cellStyle name="40% - Accent5 4 3 4" xfId="10527" xr:uid="{2C757438-5C0C-4CC8-A6E7-DD6F0B5B952B}"/>
    <cellStyle name="40% - Accent5 4 3 4 2" xfId="29123" xr:uid="{BC4C11F4-CC24-4569-8BF4-F8A2BAF6B6CA}"/>
    <cellStyle name="40% - Accent5 4 3 5" xfId="19826" xr:uid="{9C31D199-9040-4C7B-9FFF-9E6B16F3430C}"/>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E51B57DC-91A9-4C7D-83C8-8107E3CA4B8C}"/>
    <cellStyle name="40% - Accent5 4 4 2 2 2 2" xfId="35898" xr:uid="{C034C8AC-13A7-4AD5-8AF1-334EE1E1042F}"/>
    <cellStyle name="40% - Accent5 4 4 2 2 3" xfId="26601" xr:uid="{A2D48D8C-C8B1-47AB-A6B3-B99BD61E3610}"/>
    <cellStyle name="40% - Accent5 4 4 2 3" xfId="13085" xr:uid="{EEE54B3D-1885-4B1A-8FD4-2158ACAC3ADE}"/>
    <cellStyle name="40% - Accent5 4 4 2 3 2" xfId="31681" xr:uid="{A9A7DE35-28F0-450B-8D33-B3DA6691D7AD}"/>
    <cellStyle name="40% - Accent5 4 4 2 4" xfId="22384" xr:uid="{DAB40A60-3499-46F9-9BC6-55628B8FB51B}"/>
    <cellStyle name="40% - Accent5 4 4 3" xfId="5831" xr:uid="{00000000-0005-0000-0000-0000C6060000}"/>
    <cellStyle name="40% - Accent5 4 4 3 2" xfId="15157" xr:uid="{8D0EC91C-2822-4159-B3A0-9B9F5015328B}"/>
    <cellStyle name="40% - Accent5 4 4 3 2 2" xfId="33753" xr:uid="{1E983110-1A69-4856-9AE6-E3CE4DB73B47}"/>
    <cellStyle name="40% - Accent5 4 4 3 3" xfId="24456" xr:uid="{ADA72A2B-CBDA-475F-B7A1-61D316FBF39E}"/>
    <cellStyle name="40% - Accent5 4 4 4" xfId="10940" xr:uid="{F008ACC2-1933-4FBF-8EC5-5EB73817FFF9}"/>
    <cellStyle name="40% - Accent5 4 4 4 2" xfId="29536" xr:uid="{43327409-13E5-4669-B449-35F1C4D2404A}"/>
    <cellStyle name="40% - Accent5 4 4 5" xfId="20239" xr:uid="{7107EC9D-854F-42BD-AA86-466D5E4DEF0C}"/>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C2BE0D4E-C330-49A0-8B14-860BC85F96F9}"/>
    <cellStyle name="40% - Accent5 4 5 2 2 2 2" xfId="36311" xr:uid="{7020F59D-D3DB-49F2-B5D0-733735E84331}"/>
    <cellStyle name="40% - Accent5 4 5 2 2 3" xfId="27014" xr:uid="{17DB0AF0-7A5A-427C-A91B-333E7DC93464}"/>
    <cellStyle name="40% - Accent5 4 5 2 3" xfId="13498" xr:uid="{BC0F0A40-0FF0-4E0E-872C-B33F12C2C6D7}"/>
    <cellStyle name="40% - Accent5 4 5 2 3 2" xfId="32094" xr:uid="{C8A3C698-5DB9-4134-9859-7FD9EF8B566E}"/>
    <cellStyle name="40% - Accent5 4 5 2 4" xfId="22797" xr:uid="{309B1C72-6D44-4073-83D6-3B321BBF77D4}"/>
    <cellStyle name="40% - Accent5 4 5 3" xfId="6244" xr:uid="{00000000-0005-0000-0000-0000CA060000}"/>
    <cellStyle name="40% - Accent5 4 5 3 2" xfId="15570" xr:uid="{080A5A8C-7B85-4B28-9961-BC388AF5F850}"/>
    <cellStyle name="40% - Accent5 4 5 3 2 2" xfId="34166" xr:uid="{827B179F-BCA1-43BF-A5A2-D56801C719B2}"/>
    <cellStyle name="40% - Accent5 4 5 3 3" xfId="24869" xr:uid="{3D636BF3-13B8-49D2-8749-76A2A05C645D}"/>
    <cellStyle name="40% - Accent5 4 5 4" xfId="11353" xr:uid="{01AB6926-5060-4B9F-B9D8-68F1DF408F11}"/>
    <cellStyle name="40% - Accent5 4 5 4 2" xfId="29949" xr:uid="{8F47C954-4476-40E4-ABC3-D59FD95FB61A}"/>
    <cellStyle name="40% - Accent5 4 5 5" xfId="20652" xr:uid="{1A491896-C437-464E-88BE-F96D81AF7088}"/>
    <cellStyle name="40% - Accent5 4 6" xfId="2351" xr:uid="{00000000-0005-0000-0000-0000CB060000}"/>
    <cellStyle name="40% - Accent5 4 6 2" xfId="6657" xr:uid="{00000000-0005-0000-0000-0000CC060000}"/>
    <cellStyle name="40% - Accent5 4 6 2 2" xfId="15983" xr:uid="{4D39E03A-1A6A-4B22-84F7-3AC54906E565}"/>
    <cellStyle name="40% - Accent5 4 6 2 2 2" xfId="34579" xr:uid="{ED3CB9A1-B865-404F-9ABF-26DFC4003818}"/>
    <cellStyle name="40% - Accent5 4 6 2 3" xfId="25282" xr:uid="{6CBE7046-C3B3-4264-88AC-027BFAAA4E57}"/>
    <cellStyle name="40% - Accent5 4 6 3" xfId="11766" xr:uid="{43BB213D-A335-411F-B09B-00887CD3533B}"/>
    <cellStyle name="40% - Accent5 4 6 3 2" xfId="30362" xr:uid="{4125582F-1E9F-47C2-ABD7-C8208BE75E3D}"/>
    <cellStyle name="40% - Accent5 4 6 4" xfId="21065" xr:uid="{1280CEE9-5C4E-4E39-8929-448D1F41400D}"/>
    <cellStyle name="40% - Accent5 4 7" xfId="4591" xr:uid="{00000000-0005-0000-0000-0000CD060000}"/>
    <cellStyle name="40% - Accent5 4 7 2" xfId="13917" xr:uid="{558D76FC-17A4-4B1D-A134-7695612317F5}"/>
    <cellStyle name="40% - Accent5 4 7 2 2" xfId="32513" xr:uid="{D9D2E455-28ED-4416-8398-7363996743AE}"/>
    <cellStyle name="40% - Accent5 4 7 3" xfId="23216" xr:uid="{DF36A0F7-30EC-47EF-A387-FBE0402F371B}"/>
    <cellStyle name="40% - Accent5 4 8" xfId="8956" xr:uid="{20EBAEFE-DF5E-4B38-878B-CDA5BD3DABC1}"/>
    <cellStyle name="40% - Accent5 4 8 2" xfId="18280" xr:uid="{46465BC2-AD38-4409-B09B-90F4CE0AE10C}"/>
    <cellStyle name="40% - Accent5 4 8 2 2" xfId="36875" xr:uid="{0ED1F5B9-F455-400E-88A0-E4B245A83B30}"/>
    <cellStyle name="40% - Accent5 4 8 3" xfId="27578" xr:uid="{BE35B6D3-BEA0-45BD-AD51-B475EC4348C6}"/>
    <cellStyle name="40% - Accent5 4 9" xfId="9700" xr:uid="{1F99EFF2-0286-4FAE-84F3-1B33A34DABD2}"/>
    <cellStyle name="40% - Accent5 4 9 2" xfId="28296" xr:uid="{4A685476-73A8-4926-9FE8-F0081743B954}"/>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0A538176-E4AC-46C6-BB56-2B2829B5CDC7}"/>
    <cellStyle name="40% - Accent5 5 2 2 2 2" xfId="35065" xr:uid="{5577CEB8-0869-4D1B-9F66-0CC2395B6310}"/>
    <cellStyle name="40% - Accent5 5 2 2 3" xfId="25768" xr:uid="{7F567D0C-44C7-4957-8CD6-0450A4790129}"/>
    <cellStyle name="40% - Accent5 5 2 3" xfId="12252" xr:uid="{6FF316C4-62E2-4735-980F-17F76DC8D5DA}"/>
    <cellStyle name="40% - Accent5 5 2 3 2" xfId="30848" xr:uid="{8B871CBE-6CB5-4AC6-9238-7519178C91D5}"/>
    <cellStyle name="40% - Accent5 5 2 4" xfId="21551" xr:uid="{A47CC53F-2D87-4E6C-8DB7-1EC47D9E159E}"/>
    <cellStyle name="40% - Accent5 5 3" xfId="4998" xr:uid="{00000000-0005-0000-0000-0000D1060000}"/>
    <cellStyle name="40% - Accent5 5 3 2" xfId="14324" xr:uid="{4C3CA5AC-D7AC-4A2E-9E9C-8906EEA191E7}"/>
    <cellStyle name="40% - Accent5 5 3 2 2" xfId="32920" xr:uid="{F3BCF901-1B43-41CC-A4A7-7185F3C951EB}"/>
    <cellStyle name="40% - Accent5 5 3 3" xfId="23623" xr:uid="{773F1686-1479-4010-BA02-68124C230A7E}"/>
    <cellStyle name="40% - Accent5 5 4" xfId="9189" xr:uid="{AE9A155E-B06B-4FF1-8984-8F7810581B15}"/>
    <cellStyle name="40% - Accent5 5 4 2" xfId="18507" xr:uid="{D540458F-B81A-4C55-A063-62E510097D83}"/>
    <cellStyle name="40% - Accent5 5 4 2 2" xfId="37101" xr:uid="{D2DBE3F2-7CD7-4ED3-A870-D48E032F5A18}"/>
    <cellStyle name="40% - Accent5 5 4 3" xfId="27804" xr:uid="{FA16F4EE-1315-4F17-B48D-BDDAD27D1357}"/>
    <cellStyle name="40% - Accent5 5 5" xfId="10107" xr:uid="{F09ABCFC-D4F0-4F83-8940-F63A02FB9A2F}"/>
    <cellStyle name="40% - Accent5 5 5 2" xfId="28703" xr:uid="{94967388-E273-4847-A24C-1CF5D26C1D6B}"/>
    <cellStyle name="40% - Accent5 5 6" xfId="19406" xr:uid="{F3E26427-1888-4B7E-868D-5A939B25E23A}"/>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FA3BC412-026F-4FEC-881D-EE0E54EC30E9}"/>
    <cellStyle name="40% - Accent5 6 2 2 2 2" xfId="35478" xr:uid="{178852F3-21EA-4C54-B5A2-38751E48569D}"/>
    <cellStyle name="40% - Accent5 6 2 2 3" xfId="26181" xr:uid="{39F4ABE4-5D60-4F2E-A997-0128DB722526}"/>
    <cellStyle name="40% - Accent5 6 2 3" xfId="12665" xr:uid="{F5BFFF06-96A5-4B1D-A633-62FA96377D97}"/>
    <cellStyle name="40% - Accent5 6 2 3 2" xfId="31261" xr:uid="{0B34357E-0707-4AEA-AFA6-F3A6BB62A548}"/>
    <cellStyle name="40% - Accent5 6 2 4" xfId="21964" xr:uid="{60E580CC-DE16-4A3E-8EB4-B9078EA62EC9}"/>
    <cellStyle name="40% - Accent5 6 3" xfId="5411" xr:uid="{00000000-0005-0000-0000-0000D5060000}"/>
    <cellStyle name="40% - Accent5 6 3 2" xfId="14737" xr:uid="{F92FC906-EBFD-4ED3-9C00-E22E7D20A70A}"/>
    <cellStyle name="40% - Accent5 6 3 2 2" xfId="33333" xr:uid="{DA75FB70-4B77-4240-8F5F-3BAED590ECC5}"/>
    <cellStyle name="40% - Accent5 6 3 3" xfId="24036" xr:uid="{87574536-0801-4903-8148-C888CB61C181}"/>
    <cellStyle name="40% - Accent5 6 4" xfId="10520" xr:uid="{73B31686-8D76-465E-AB3C-CAD0346A21D7}"/>
    <cellStyle name="40% - Accent5 6 4 2" xfId="29116" xr:uid="{CFC10654-270F-4688-AB19-D2373D34DE64}"/>
    <cellStyle name="40% - Accent5 6 5" xfId="19819" xr:uid="{B37AEA53-62EE-4C0E-938E-4495A6CD7EE5}"/>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A17F9ED0-0477-4F92-90EE-D9B16D194A8D}"/>
    <cellStyle name="40% - Accent5 7 2 2 2 2" xfId="35891" xr:uid="{6A41BA44-3B69-4C64-8271-E6498A772385}"/>
    <cellStyle name="40% - Accent5 7 2 2 3" xfId="26594" xr:uid="{49BE3B3B-5C68-46F5-9983-C754D875A455}"/>
    <cellStyle name="40% - Accent5 7 2 3" xfId="13078" xr:uid="{407F9773-DBC1-4631-84DB-F183D6EEE182}"/>
    <cellStyle name="40% - Accent5 7 2 3 2" xfId="31674" xr:uid="{8B0A8B21-B555-4F2C-A952-3D6E3B30ABF7}"/>
    <cellStyle name="40% - Accent5 7 2 4" xfId="22377" xr:uid="{5FA66255-FA37-4F95-9F65-C4BEB8FADF3C}"/>
    <cellStyle name="40% - Accent5 7 3" xfId="5824" xr:uid="{00000000-0005-0000-0000-0000D9060000}"/>
    <cellStyle name="40% - Accent5 7 3 2" xfId="15150" xr:uid="{4F942575-109A-473F-8B3C-163BD927C59A}"/>
    <cellStyle name="40% - Accent5 7 3 2 2" xfId="33746" xr:uid="{0421387B-804D-4D56-ACE5-A61448BA0EFE}"/>
    <cellStyle name="40% - Accent5 7 3 3" xfId="24449" xr:uid="{2F16604A-4E49-4101-BF13-EF1C413992AF}"/>
    <cellStyle name="40% - Accent5 7 4" xfId="10933" xr:uid="{2DE65513-BC2B-4CE3-ADC1-2EAD1965EB6F}"/>
    <cellStyle name="40% - Accent5 7 4 2" xfId="29529" xr:uid="{47C458BA-4CAD-45DC-8AE4-DC3987E8D63B}"/>
    <cellStyle name="40% - Accent5 7 5" xfId="20232" xr:uid="{03AAC301-6E40-4ACF-BD4A-03E4561A2F1A}"/>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1475B40C-0207-43CF-99FA-EE5BA8AEF46B}"/>
    <cellStyle name="40% - Accent5 8 2 2 2 2" xfId="36304" xr:uid="{C6C9B5C7-063A-4C70-9EC8-76092D9D00D6}"/>
    <cellStyle name="40% - Accent5 8 2 2 3" xfId="27007" xr:uid="{BF033090-7D8D-4187-A0C1-21246D439BC4}"/>
    <cellStyle name="40% - Accent5 8 2 3" xfId="13491" xr:uid="{18C11ABC-3EBA-48A3-853E-68CD5C3BAD22}"/>
    <cellStyle name="40% - Accent5 8 2 3 2" xfId="32087" xr:uid="{3446BA6F-057D-4673-AF68-3A33B2544DBC}"/>
    <cellStyle name="40% - Accent5 8 2 4" xfId="22790" xr:uid="{DD112E08-5BC7-4792-BF76-F440A44D006D}"/>
    <cellStyle name="40% - Accent5 8 3" xfId="6237" xr:uid="{00000000-0005-0000-0000-0000DD060000}"/>
    <cellStyle name="40% - Accent5 8 3 2" xfId="15563" xr:uid="{F15E7B26-091B-49CE-AD0E-70082107B9E2}"/>
    <cellStyle name="40% - Accent5 8 3 2 2" xfId="34159" xr:uid="{3AA9F5B4-7EBB-410E-9284-AC67552AFF87}"/>
    <cellStyle name="40% - Accent5 8 3 3" xfId="24862" xr:uid="{BE4B5735-8237-4268-A9E1-E34BC91563E4}"/>
    <cellStyle name="40% - Accent5 8 4" xfId="11346" xr:uid="{F8C4EB01-D0F1-4671-8A2A-4103233CC2D1}"/>
    <cellStyle name="40% - Accent5 8 4 2" xfId="29942" xr:uid="{123DB599-FC3A-44CB-88F9-11E13B064016}"/>
    <cellStyle name="40% - Accent5 8 5" xfId="20645" xr:uid="{ED367B7F-1552-4F46-97C1-E21419384C6C}"/>
    <cellStyle name="40% - Accent5 9" xfId="2344" xr:uid="{00000000-0005-0000-0000-0000DE060000}"/>
    <cellStyle name="40% - Accent5 9 2" xfId="6650" xr:uid="{00000000-0005-0000-0000-0000DF060000}"/>
    <cellStyle name="40% - Accent5 9 2 2" xfId="15976" xr:uid="{14373F15-768C-4A52-B1BD-AE96A3FF157F}"/>
    <cellStyle name="40% - Accent5 9 2 2 2" xfId="34572" xr:uid="{9FF8B139-A117-41D8-8EA4-98F2C7C566CE}"/>
    <cellStyle name="40% - Accent5 9 2 3" xfId="25275" xr:uid="{D9450E39-6383-4896-991E-CE61C3CD680F}"/>
    <cellStyle name="40% - Accent5 9 3" xfId="11759" xr:uid="{D6DC0609-CD95-4B71-8638-A223563750CB}"/>
    <cellStyle name="40% - Accent5 9 3 2" xfId="30355" xr:uid="{E3AECAC6-6859-4689-9D2E-CFF1A62831E2}"/>
    <cellStyle name="40% - Accent5 9 4" xfId="21058" xr:uid="{F5A08E28-38D6-4DBD-B3AA-B8CC416F60CE}"/>
    <cellStyle name="40% - Accent6" xfId="89" builtinId="51" customBuiltin="1"/>
    <cellStyle name="40% - Accent6 10" xfId="4592" xr:uid="{00000000-0005-0000-0000-0000E1060000}"/>
    <cellStyle name="40% - Accent6 10 2" xfId="13918" xr:uid="{AA63DE00-6506-4B73-B902-156A95B89521}"/>
    <cellStyle name="40% - Accent6 10 2 2" xfId="32514" xr:uid="{5D9001B7-64EC-4050-BC09-AC22D138E217}"/>
    <cellStyle name="40% - Accent6 10 3" xfId="23217" xr:uid="{6C1382F1-E3DB-4185-9A7E-4D9358512B83}"/>
    <cellStyle name="40% - Accent6 11" xfId="8769" xr:uid="{8369FE49-3815-490F-BF3A-3BEB88E35DFA}"/>
    <cellStyle name="40% - Accent6 11 2" xfId="18093" xr:uid="{DCDA126F-18B8-4FF8-B32D-B3CB5DAE5B0E}"/>
    <cellStyle name="40% - Accent6 11 2 2" xfId="36688" xr:uid="{F63F6741-BECF-48EB-B00D-BD6034B8D94D}"/>
    <cellStyle name="40% - Accent6 11 3" xfId="27391" xr:uid="{B4AE36B5-18AE-4FC6-BE68-A2AE3791C67E}"/>
    <cellStyle name="40% - Accent6 12" xfId="9701" xr:uid="{41F6A3F2-B4DF-4F7C-848E-9DAB234E1A2E}"/>
    <cellStyle name="40% - Accent6 12 2" xfId="28297" xr:uid="{BDD21912-5FC5-46CD-9136-A97819EAF2CC}"/>
    <cellStyle name="40% - Accent6 13" xfId="19000" xr:uid="{3694BDF2-4439-4651-BBC2-4D5A0701DC77}"/>
    <cellStyle name="40% - Accent6 2" xfId="90" xr:uid="{00000000-0005-0000-0000-0000E2060000}"/>
    <cellStyle name="40% - Accent6 2 10" xfId="8803" xr:uid="{3530B69D-EB1D-41EA-A6FB-440FE4FE29AB}"/>
    <cellStyle name="40% - Accent6 2 10 2" xfId="18127" xr:uid="{53155F4F-1802-417A-9F14-F9CE443D2AB1}"/>
    <cellStyle name="40% - Accent6 2 10 2 2" xfId="36722" xr:uid="{D8747395-A171-4406-A550-7253FD1F09D0}"/>
    <cellStyle name="40% - Accent6 2 10 3" xfId="27425" xr:uid="{9ACBCE99-3A6E-4AC9-A5A1-4384F325364F}"/>
    <cellStyle name="40% - Accent6 2 11" xfId="9702" xr:uid="{2624F861-70F4-493B-83BD-70D482738D41}"/>
    <cellStyle name="40% - Accent6 2 11 2" xfId="28298" xr:uid="{CEBD3398-F623-472D-A831-67D4EBFE9D41}"/>
    <cellStyle name="40% - Accent6 2 12" xfId="19001" xr:uid="{5A313788-34D7-487B-911C-A5D13C6FC2D8}"/>
    <cellStyle name="40% - Accent6 2 2" xfId="91" xr:uid="{00000000-0005-0000-0000-0000E3060000}"/>
    <cellStyle name="40% - Accent6 2 2 10" xfId="9703" xr:uid="{5822F221-39B3-44ED-8E1E-91DEAF3B4700}"/>
    <cellStyle name="40% - Accent6 2 2 10 2" xfId="28299" xr:uid="{451273EC-A964-47A4-B2C9-FFE978B67B67}"/>
    <cellStyle name="40% - Accent6 2 2 11" xfId="19002" xr:uid="{284D4250-B4E2-40C3-8D92-703A30EB444E}"/>
    <cellStyle name="40% - Accent6 2 2 2" xfId="92" xr:uid="{00000000-0005-0000-0000-0000E4060000}"/>
    <cellStyle name="40% - Accent6 2 2 2 10" xfId="19003" xr:uid="{51509E40-2612-4402-B887-E5DE3A671137}"/>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F3CDC822-BBE9-469C-986B-CE330C3A5940}"/>
    <cellStyle name="40% - Accent6 2 2 2 2 2 2 2 2" xfId="35076" xr:uid="{764E29C9-9E1C-4FD2-9BBE-1CF99A3E25CA}"/>
    <cellStyle name="40% - Accent6 2 2 2 2 2 2 3" xfId="25779" xr:uid="{406F0961-3C6B-43B5-B3CC-347F1921D380}"/>
    <cellStyle name="40% - Accent6 2 2 2 2 2 3" xfId="12263" xr:uid="{5BB8B17E-AAB1-4EDE-8BD0-E467E34E6D55}"/>
    <cellStyle name="40% - Accent6 2 2 2 2 2 3 2" xfId="30859" xr:uid="{D0EE135D-C686-4781-BFDF-05A2F3CFE93D}"/>
    <cellStyle name="40% - Accent6 2 2 2 2 2 4" xfId="21562" xr:uid="{487F91FA-11DC-4F34-8A98-35906B1BEC3C}"/>
    <cellStyle name="40% - Accent6 2 2 2 2 3" xfId="5009" xr:uid="{00000000-0005-0000-0000-0000E8060000}"/>
    <cellStyle name="40% - Accent6 2 2 2 2 3 2" xfId="14335" xr:uid="{A0EB2E79-7D66-4328-97A2-91F1A7C019B2}"/>
    <cellStyle name="40% - Accent6 2 2 2 2 3 2 2" xfId="32931" xr:uid="{6BE8587E-8265-4B5A-AC32-753694BA006E}"/>
    <cellStyle name="40% - Accent6 2 2 2 2 3 3" xfId="23634" xr:uid="{E262EA91-ADD9-42D8-B049-71C9C1FAC725}"/>
    <cellStyle name="40% - Accent6 2 2 2 2 4" xfId="9538" xr:uid="{D1801D0B-FDF1-4C59-8DE2-DEC53081BC5D}"/>
    <cellStyle name="40% - Accent6 2 2 2 2 4 2" xfId="18853" xr:uid="{A540698B-091D-4A73-AC10-E43485752D1D}"/>
    <cellStyle name="40% - Accent6 2 2 2 2 4 2 2" xfId="37447" xr:uid="{275BCD91-3080-4D80-A099-C44279F2FA68}"/>
    <cellStyle name="40% - Accent6 2 2 2 2 4 3" xfId="28150" xr:uid="{E16BBCA7-AFA7-4D3B-9633-33C7A36C0884}"/>
    <cellStyle name="40% - Accent6 2 2 2 2 5" xfId="10118" xr:uid="{E50F529B-AF1C-47B6-8908-CB6A1D0EE1C5}"/>
    <cellStyle name="40% - Accent6 2 2 2 2 5 2" xfId="28714" xr:uid="{AB5E2FD4-CE77-4052-9A82-643C1BE36377}"/>
    <cellStyle name="40% - Accent6 2 2 2 2 6" xfId="19417" xr:uid="{343BA8C6-B994-4FA3-9FCE-B33536275B9C}"/>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94F03A68-579B-489D-B4FE-FD5BAA298A03}"/>
    <cellStyle name="40% - Accent6 2 2 2 3 2 2 2 2" xfId="35489" xr:uid="{FDF7D684-25E3-4A5C-BB20-D0CACA41D21C}"/>
    <cellStyle name="40% - Accent6 2 2 2 3 2 2 3" xfId="26192" xr:uid="{187A7474-DC30-4E69-9BB7-237F01A26112}"/>
    <cellStyle name="40% - Accent6 2 2 2 3 2 3" xfId="12676" xr:uid="{5C05492B-9246-4698-99EA-5C5654A48FD4}"/>
    <cellStyle name="40% - Accent6 2 2 2 3 2 3 2" xfId="31272" xr:uid="{1A00E85E-C86A-4270-A724-2362EB6C9442}"/>
    <cellStyle name="40% - Accent6 2 2 2 3 2 4" xfId="21975" xr:uid="{C2AD02CF-4267-42FD-9949-15566CEC12D4}"/>
    <cellStyle name="40% - Accent6 2 2 2 3 3" xfId="5422" xr:uid="{00000000-0005-0000-0000-0000EC060000}"/>
    <cellStyle name="40% - Accent6 2 2 2 3 3 2" xfId="14748" xr:uid="{F61B1033-4E47-4D4F-93DE-21743885FB15}"/>
    <cellStyle name="40% - Accent6 2 2 2 3 3 2 2" xfId="33344" xr:uid="{0167C986-8BA7-4907-8F5C-2BFE48AC6BAF}"/>
    <cellStyle name="40% - Accent6 2 2 2 3 3 3" xfId="24047" xr:uid="{E8E63E43-EFF6-4CF6-B63A-4C87729E3812}"/>
    <cellStyle name="40% - Accent6 2 2 2 3 4" xfId="10531" xr:uid="{D90B08D1-55CB-469D-8487-C7B4ABBD69B6}"/>
    <cellStyle name="40% - Accent6 2 2 2 3 4 2" xfId="29127" xr:uid="{CB3F547E-8AD9-444A-A026-62EDCAA3A545}"/>
    <cellStyle name="40% - Accent6 2 2 2 3 5" xfId="19830" xr:uid="{33376EAC-41B1-422A-98E8-AE8CEA9DE607}"/>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15DF1ACF-BBF1-4C7B-ACC6-20AE84D53F0F}"/>
    <cellStyle name="40% - Accent6 2 2 2 4 2 2 2 2" xfId="35902" xr:uid="{37B9B897-D763-48C1-BF10-0A8462DA5D05}"/>
    <cellStyle name="40% - Accent6 2 2 2 4 2 2 3" xfId="26605" xr:uid="{13581F38-F71F-4933-965A-9F76EC45D9C6}"/>
    <cellStyle name="40% - Accent6 2 2 2 4 2 3" xfId="13089" xr:uid="{8568AC04-49DB-48DB-8A62-7F82C620E37C}"/>
    <cellStyle name="40% - Accent6 2 2 2 4 2 3 2" xfId="31685" xr:uid="{0AC8FEC4-71B7-40DF-88C6-A5C203199CE8}"/>
    <cellStyle name="40% - Accent6 2 2 2 4 2 4" xfId="22388" xr:uid="{BA93763D-E397-4EA4-AE03-7A3FCD53D9DB}"/>
    <cellStyle name="40% - Accent6 2 2 2 4 3" xfId="5835" xr:uid="{00000000-0005-0000-0000-0000F0060000}"/>
    <cellStyle name="40% - Accent6 2 2 2 4 3 2" xfId="15161" xr:uid="{95D4C401-41F6-48A4-9E47-1D4A15B988A1}"/>
    <cellStyle name="40% - Accent6 2 2 2 4 3 2 2" xfId="33757" xr:uid="{81B6B1FC-6C57-4F51-AC70-B8785C2214C3}"/>
    <cellStyle name="40% - Accent6 2 2 2 4 3 3" xfId="24460" xr:uid="{907B18EB-0E94-4F72-A814-F9AD56BE4E8D}"/>
    <cellStyle name="40% - Accent6 2 2 2 4 4" xfId="10944" xr:uid="{AECE0516-8485-4E6E-A524-704DD935014B}"/>
    <cellStyle name="40% - Accent6 2 2 2 4 4 2" xfId="29540" xr:uid="{4CD60683-F53D-4BF1-BB0B-E24344B9DC5D}"/>
    <cellStyle name="40% - Accent6 2 2 2 4 5" xfId="20243" xr:uid="{7E9F98B3-28B5-4835-8FCD-5C4882308FE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947C2946-9D45-42DA-9357-15C4099B2FF9}"/>
    <cellStyle name="40% - Accent6 2 2 2 5 2 2 2 2" xfId="36315" xr:uid="{9C8AA580-5BEB-4A35-9200-3EA1D9DBC29D}"/>
    <cellStyle name="40% - Accent6 2 2 2 5 2 2 3" xfId="27018" xr:uid="{97029F97-67F8-454F-995E-9B5BD12A11A8}"/>
    <cellStyle name="40% - Accent6 2 2 2 5 2 3" xfId="13502" xr:uid="{403BC06D-A85D-4498-99AC-4DB0518DCB6A}"/>
    <cellStyle name="40% - Accent6 2 2 2 5 2 3 2" xfId="32098" xr:uid="{FC0218ED-BC5B-481A-BF7A-4C2D13DC5862}"/>
    <cellStyle name="40% - Accent6 2 2 2 5 2 4" xfId="22801" xr:uid="{F3939E26-350E-41CF-98D8-DFBDD784DF0D}"/>
    <cellStyle name="40% - Accent6 2 2 2 5 3" xfId="6248" xr:uid="{00000000-0005-0000-0000-0000F4060000}"/>
    <cellStyle name="40% - Accent6 2 2 2 5 3 2" xfId="15574" xr:uid="{AD203D7C-D2F4-4E85-BDD0-3CBE733835BE}"/>
    <cellStyle name="40% - Accent6 2 2 2 5 3 2 2" xfId="34170" xr:uid="{5FE0C885-F958-4C35-99F7-F0FCC212A409}"/>
    <cellStyle name="40% - Accent6 2 2 2 5 3 3" xfId="24873" xr:uid="{D0DD3E09-AEBA-48E7-81B1-317400CBE48C}"/>
    <cellStyle name="40% - Accent6 2 2 2 5 4" xfId="11357" xr:uid="{B53D266B-19B9-4BE3-9E81-20CA568BB443}"/>
    <cellStyle name="40% - Accent6 2 2 2 5 4 2" xfId="29953" xr:uid="{09501EA1-23F0-4E75-A84E-4E5292FA6871}"/>
    <cellStyle name="40% - Accent6 2 2 2 5 5" xfId="20656" xr:uid="{CFE4F1C4-6494-420C-8B4A-E82B09AB7B1C}"/>
    <cellStyle name="40% - Accent6 2 2 2 6" xfId="2355" xr:uid="{00000000-0005-0000-0000-0000F5060000}"/>
    <cellStyle name="40% - Accent6 2 2 2 6 2" xfId="6661" xr:uid="{00000000-0005-0000-0000-0000F6060000}"/>
    <cellStyle name="40% - Accent6 2 2 2 6 2 2" xfId="15987" xr:uid="{A43C245B-A50C-4246-9637-44BCA753C535}"/>
    <cellStyle name="40% - Accent6 2 2 2 6 2 2 2" xfId="34583" xr:uid="{97CA790A-20DA-4925-82CC-0EC86DD7FEFB}"/>
    <cellStyle name="40% - Accent6 2 2 2 6 2 3" xfId="25286" xr:uid="{CA2374D1-3268-45CC-84AD-93E6739E34E5}"/>
    <cellStyle name="40% - Accent6 2 2 2 6 3" xfId="11770" xr:uid="{6DFFC7B0-4C32-4710-80AE-E9CA40FCFB88}"/>
    <cellStyle name="40% - Accent6 2 2 2 6 3 2" xfId="30366" xr:uid="{6527F28D-F71F-4FFF-AD1A-7B556D57E28F}"/>
    <cellStyle name="40% - Accent6 2 2 2 6 4" xfId="21069" xr:uid="{3CEEEC86-1796-48F1-9B73-2B5F47178C54}"/>
    <cellStyle name="40% - Accent6 2 2 2 7" xfId="4595" xr:uid="{00000000-0005-0000-0000-0000F7060000}"/>
    <cellStyle name="40% - Accent6 2 2 2 7 2" xfId="13921" xr:uid="{BB813C1C-7D4B-48F9-9770-440294DCE401}"/>
    <cellStyle name="40% - Accent6 2 2 2 7 2 2" xfId="32517" xr:uid="{64A388FD-E66B-43BC-BBEF-7C9C17F73460}"/>
    <cellStyle name="40% - Accent6 2 2 2 7 3" xfId="23220" xr:uid="{8C2049C5-0F98-4AF8-B7DA-8DD0C5BA4DEF}"/>
    <cellStyle name="40% - Accent6 2 2 2 8" xfId="9113" xr:uid="{D9373B4A-E1DA-437A-874A-FCE4D00708EB}"/>
    <cellStyle name="40% - Accent6 2 2 2 8 2" xfId="18437" xr:uid="{B16C0498-CB72-4E6D-BDB5-B0B86AAF7783}"/>
    <cellStyle name="40% - Accent6 2 2 2 8 2 2" xfId="37032" xr:uid="{8660142B-3859-40CF-AE0E-ADD972E52EE5}"/>
    <cellStyle name="40% - Accent6 2 2 2 8 3" xfId="27735" xr:uid="{D0D6E836-E512-4994-8C24-C6665D8D8F63}"/>
    <cellStyle name="40% - Accent6 2 2 2 9" xfId="9704" xr:uid="{2D70BF7E-6FF2-4325-96B2-A6250544BBE3}"/>
    <cellStyle name="40% - Accent6 2 2 2 9 2" xfId="28300" xr:uid="{565D0B5E-F043-4E15-B2ED-EEB874719C6C}"/>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EAC2695F-508C-4AA9-9FF6-2C2D14BDEC8E}"/>
    <cellStyle name="40% - Accent6 2 2 3 2 2 2 2" xfId="35075" xr:uid="{0278081E-4D01-4FAC-B75B-7997C4EECA68}"/>
    <cellStyle name="40% - Accent6 2 2 3 2 2 3" xfId="25778" xr:uid="{F20745F6-C34C-4104-8C7F-C4B6D3B8D07C}"/>
    <cellStyle name="40% - Accent6 2 2 3 2 3" xfId="12262" xr:uid="{78C35B1B-B8F3-460A-990C-5443FA385630}"/>
    <cellStyle name="40% - Accent6 2 2 3 2 3 2" xfId="30858" xr:uid="{E14B635E-7235-4100-86A4-B2547B450AED}"/>
    <cellStyle name="40% - Accent6 2 2 3 2 4" xfId="21561" xr:uid="{A4F1C584-078A-4C6A-93E9-78AABE90F48D}"/>
    <cellStyle name="40% - Accent6 2 2 3 3" xfId="5008" xr:uid="{00000000-0005-0000-0000-0000FB060000}"/>
    <cellStyle name="40% - Accent6 2 2 3 3 2" xfId="14334" xr:uid="{F6EF6ED3-B8F3-4C5A-996F-9CDCC0F2ECC3}"/>
    <cellStyle name="40% - Accent6 2 2 3 3 2 2" xfId="32930" xr:uid="{38151DD7-5223-4719-9F5B-B632C4E1DD35}"/>
    <cellStyle name="40% - Accent6 2 2 3 3 3" xfId="23633" xr:uid="{58AE773D-32CF-4E5B-BE5C-77366F229C3A}"/>
    <cellStyle name="40% - Accent6 2 2 3 4" xfId="9331" xr:uid="{223B62DA-AA8A-4703-B6D5-D6AA8918B034}"/>
    <cellStyle name="40% - Accent6 2 2 3 4 2" xfId="18646" xr:uid="{8C412418-BE92-46A4-A78B-27B3D0F56A8C}"/>
    <cellStyle name="40% - Accent6 2 2 3 4 2 2" xfId="37240" xr:uid="{49CA2ADF-69B9-422D-857E-662473656A8C}"/>
    <cellStyle name="40% - Accent6 2 2 3 4 3" xfId="27943" xr:uid="{9ADF74A4-E303-4533-81B1-F5A6B692A018}"/>
    <cellStyle name="40% - Accent6 2 2 3 5" xfId="10117" xr:uid="{C2FC3A52-061C-4FE8-B255-D9CB1E5F5E03}"/>
    <cellStyle name="40% - Accent6 2 2 3 5 2" xfId="28713" xr:uid="{B64C36C3-AF11-48C9-AD7D-51B99616FC95}"/>
    <cellStyle name="40% - Accent6 2 2 3 6" xfId="19416" xr:uid="{B9F5C3A2-3D9D-4997-BF4D-9C7E44A1AB71}"/>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0E353E49-327A-4233-940B-86EA555BD1CA}"/>
    <cellStyle name="40% - Accent6 2 2 4 2 2 2 2" xfId="35488" xr:uid="{AEF17DF3-D6C0-4741-A18E-B86420918DED}"/>
    <cellStyle name="40% - Accent6 2 2 4 2 2 3" xfId="26191" xr:uid="{DE20D055-9C85-43E9-8E73-D2AD3D4C27D7}"/>
    <cellStyle name="40% - Accent6 2 2 4 2 3" xfId="12675" xr:uid="{313DBCFA-8864-41DA-9406-D060065D510E}"/>
    <cellStyle name="40% - Accent6 2 2 4 2 3 2" xfId="31271" xr:uid="{CB62D324-68D5-4C41-B458-3A1EAFC808C6}"/>
    <cellStyle name="40% - Accent6 2 2 4 2 4" xfId="21974" xr:uid="{4009D47B-C604-4215-8C68-669B91430646}"/>
    <cellStyle name="40% - Accent6 2 2 4 3" xfId="5421" xr:uid="{00000000-0005-0000-0000-0000FF060000}"/>
    <cellStyle name="40% - Accent6 2 2 4 3 2" xfId="14747" xr:uid="{AC32EB57-2382-47B0-AF7A-E8497CAA229D}"/>
    <cellStyle name="40% - Accent6 2 2 4 3 2 2" xfId="33343" xr:uid="{D3C7E16E-D1FE-4FF8-B613-83035F92B5FB}"/>
    <cellStyle name="40% - Accent6 2 2 4 3 3" xfId="24046" xr:uid="{5386A792-295D-4E81-95AE-D9331C2CEE51}"/>
    <cellStyle name="40% - Accent6 2 2 4 4" xfId="10530" xr:uid="{014D9FAD-4BC0-4343-AF77-B9C7AE090B5F}"/>
    <cellStyle name="40% - Accent6 2 2 4 4 2" xfId="29126" xr:uid="{0EBD0C99-CC8C-4910-A337-370B9DACC442}"/>
    <cellStyle name="40% - Accent6 2 2 4 5" xfId="19829" xr:uid="{DAE45F1F-620B-4B94-857C-5C59A5866DAB}"/>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4DDB5052-6168-4030-8596-7FF0A067092E}"/>
    <cellStyle name="40% - Accent6 2 2 5 2 2 2 2" xfId="35901" xr:uid="{BBA17008-715D-40CD-B37E-2ECB98CB0465}"/>
    <cellStyle name="40% - Accent6 2 2 5 2 2 3" xfId="26604" xr:uid="{2DE7CB5F-60EE-455D-9533-D547BFFB3311}"/>
    <cellStyle name="40% - Accent6 2 2 5 2 3" xfId="13088" xr:uid="{DF49CED7-8DC5-4B24-BBFA-96D007F680C9}"/>
    <cellStyle name="40% - Accent6 2 2 5 2 3 2" xfId="31684" xr:uid="{1427A633-2F22-4240-A3EE-AA2784D055AF}"/>
    <cellStyle name="40% - Accent6 2 2 5 2 4" xfId="22387" xr:uid="{C5CC5B87-795B-4095-B48C-CCC0C08BF745}"/>
    <cellStyle name="40% - Accent6 2 2 5 3" xfId="5834" xr:uid="{00000000-0005-0000-0000-000003070000}"/>
    <cellStyle name="40% - Accent6 2 2 5 3 2" xfId="15160" xr:uid="{25519736-06EE-4204-AB1A-30E33A72923B}"/>
    <cellStyle name="40% - Accent6 2 2 5 3 2 2" xfId="33756" xr:uid="{95BD1CB8-13BD-465E-A31E-679E3E802504}"/>
    <cellStyle name="40% - Accent6 2 2 5 3 3" xfId="24459" xr:uid="{673DCE2D-93D4-4E3B-A400-02F7E1F3560B}"/>
    <cellStyle name="40% - Accent6 2 2 5 4" xfId="10943" xr:uid="{4C5CA7AB-F377-4F9C-B65F-758E770EFE2A}"/>
    <cellStyle name="40% - Accent6 2 2 5 4 2" xfId="29539" xr:uid="{FBDA665E-E8EC-482D-B7AE-863924345B7C}"/>
    <cellStyle name="40% - Accent6 2 2 5 5" xfId="20242" xr:uid="{FB272129-5409-4EE0-B1F1-D03B4D2E4F61}"/>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57F8BA77-DCFA-46E6-9F8C-16CE7705AA7E}"/>
    <cellStyle name="40% - Accent6 2 2 6 2 2 2 2" xfId="36314" xr:uid="{A1A3DF6F-E1B7-4EB9-B27F-5284E2055D00}"/>
    <cellStyle name="40% - Accent6 2 2 6 2 2 3" xfId="27017" xr:uid="{3BF228B4-C5B1-49F1-A691-1A31ED60982B}"/>
    <cellStyle name="40% - Accent6 2 2 6 2 3" xfId="13501" xr:uid="{9073BB53-E9FC-4498-9C9A-E992C1FEC4DB}"/>
    <cellStyle name="40% - Accent6 2 2 6 2 3 2" xfId="32097" xr:uid="{2E4EAF5D-B303-4A59-97F0-ADAB294D5C94}"/>
    <cellStyle name="40% - Accent6 2 2 6 2 4" xfId="22800" xr:uid="{2AC998DB-1310-4816-BF23-93A30E3579F1}"/>
    <cellStyle name="40% - Accent6 2 2 6 3" xfId="6247" xr:uid="{00000000-0005-0000-0000-000007070000}"/>
    <cellStyle name="40% - Accent6 2 2 6 3 2" xfId="15573" xr:uid="{54243853-A9CB-4E37-B0D3-A8DE49EFEA68}"/>
    <cellStyle name="40% - Accent6 2 2 6 3 2 2" xfId="34169" xr:uid="{165CECBE-3699-4DBD-A9DE-DAC31129F8D2}"/>
    <cellStyle name="40% - Accent6 2 2 6 3 3" xfId="24872" xr:uid="{ADA6AA3D-AF26-4691-AC96-B043CAE1BEBA}"/>
    <cellStyle name="40% - Accent6 2 2 6 4" xfId="11356" xr:uid="{3AD3B4C8-E915-400A-B316-8D3B344ECA72}"/>
    <cellStyle name="40% - Accent6 2 2 6 4 2" xfId="29952" xr:uid="{09794617-F08D-4450-A0FC-0281ACAE76CB}"/>
    <cellStyle name="40% - Accent6 2 2 6 5" xfId="20655" xr:uid="{DB41086E-6B31-45C0-B45D-BFBEA3CB84CB}"/>
    <cellStyle name="40% - Accent6 2 2 7" xfId="2354" xr:uid="{00000000-0005-0000-0000-000008070000}"/>
    <cellStyle name="40% - Accent6 2 2 7 2" xfId="6660" xr:uid="{00000000-0005-0000-0000-000009070000}"/>
    <cellStyle name="40% - Accent6 2 2 7 2 2" xfId="15986" xr:uid="{1FEAF832-0739-4015-8E4B-6C37E6534496}"/>
    <cellStyle name="40% - Accent6 2 2 7 2 2 2" xfId="34582" xr:uid="{CC99292E-F5B7-4648-BC45-14E0DF44E127}"/>
    <cellStyle name="40% - Accent6 2 2 7 2 3" xfId="25285" xr:uid="{992ADE3C-8B48-4F08-97C2-A06ABC9192E0}"/>
    <cellStyle name="40% - Accent6 2 2 7 3" xfId="11769" xr:uid="{90FF034F-EB51-4029-868C-8D430C687EF4}"/>
    <cellStyle name="40% - Accent6 2 2 7 3 2" xfId="30365" xr:uid="{E84DE1BB-AF79-4E5B-A428-242EAD2B1E6D}"/>
    <cellStyle name="40% - Accent6 2 2 7 4" xfId="21068" xr:uid="{9BBB5041-A1E0-4BAF-8470-B3921116B619}"/>
    <cellStyle name="40% - Accent6 2 2 8" xfId="4594" xr:uid="{00000000-0005-0000-0000-00000A070000}"/>
    <cellStyle name="40% - Accent6 2 2 8 2" xfId="13920" xr:uid="{2D78568C-451E-4F6F-8718-6F60D0B34CCA}"/>
    <cellStyle name="40% - Accent6 2 2 8 2 2" xfId="32516" xr:uid="{B90056AB-E686-4010-AA0F-0259E23CB8F6}"/>
    <cellStyle name="40% - Accent6 2 2 8 3" xfId="23219" xr:uid="{12A6AE17-033C-490C-A508-65BA2DAC5BB4}"/>
    <cellStyle name="40% - Accent6 2 2 9" xfId="8906" xr:uid="{C30FCA09-BA1A-4F54-9397-4FC676425C46}"/>
    <cellStyle name="40% - Accent6 2 2 9 2" xfId="18230" xr:uid="{5DA36660-B232-4D8F-9070-3DF3D5211FAA}"/>
    <cellStyle name="40% - Accent6 2 2 9 2 2" xfId="36825" xr:uid="{B2EC50FF-B067-4757-9CD8-5A2D7646C0D4}"/>
    <cellStyle name="40% - Accent6 2 2 9 3" xfId="27528" xr:uid="{ECDA7CDB-3F51-4068-AACB-B0D7EF8FF394}"/>
    <cellStyle name="40% - Accent6 2 3" xfId="93" xr:uid="{00000000-0005-0000-0000-00000B070000}"/>
    <cellStyle name="40% - Accent6 2 3 10" xfId="19004" xr:uid="{35E874A1-A41D-40E7-BC60-BD92E9358475}"/>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CF01C770-D088-436D-ADFC-DCBBDDF91FCD}"/>
    <cellStyle name="40% - Accent6 2 3 2 2 2 2 2" xfId="35077" xr:uid="{B538FAD7-49EC-4D39-826E-B176CDDE67CD}"/>
    <cellStyle name="40% - Accent6 2 3 2 2 2 3" xfId="25780" xr:uid="{1C275889-A1DF-4276-B535-ED5FBA2380F2}"/>
    <cellStyle name="40% - Accent6 2 3 2 2 3" xfId="12264" xr:uid="{A2D5BA31-1345-4747-8945-045F263E7EBA}"/>
    <cellStyle name="40% - Accent6 2 3 2 2 3 2" xfId="30860" xr:uid="{D2ACB605-B8A0-462E-895F-43133A2A7F51}"/>
    <cellStyle name="40% - Accent6 2 3 2 2 4" xfId="21563" xr:uid="{DA1DCEF1-64A8-4657-AEA6-9215DDA0CC23}"/>
    <cellStyle name="40% - Accent6 2 3 2 3" xfId="5010" xr:uid="{00000000-0005-0000-0000-00000F070000}"/>
    <cellStyle name="40% - Accent6 2 3 2 3 2" xfId="14336" xr:uid="{DCB0DB2C-AB53-4965-8618-7B6E9491659F}"/>
    <cellStyle name="40% - Accent6 2 3 2 3 2 2" xfId="32932" xr:uid="{5CCFEA7D-E5B0-4784-BEC8-774246D06833}"/>
    <cellStyle name="40% - Accent6 2 3 2 3 3" xfId="23635" xr:uid="{8A8D7DD7-45FA-4AA9-9F6D-90907C1FE27F}"/>
    <cellStyle name="40% - Accent6 2 3 2 4" xfId="9435" xr:uid="{36535681-1736-4584-8CB6-F8F38C9E0E5B}"/>
    <cellStyle name="40% - Accent6 2 3 2 4 2" xfId="18750" xr:uid="{D80856FB-6913-4946-A455-3930E9A3BBF4}"/>
    <cellStyle name="40% - Accent6 2 3 2 4 2 2" xfId="37344" xr:uid="{D0B85CF1-47EB-4179-A28B-4926B4D0F680}"/>
    <cellStyle name="40% - Accent6 2 3 2 4 3" xfId="28047" xr:uid="{1AB8FCCD-AA37-4D0A-BBEB-8B980EC2532F}"/>
    <cellStyle name="40% - Accent6 2 3 2 5" xfId="10119" xr:uid="{5AB3C457-010D-484C-B1A1-689FB89C028E}"/>
    <cellStyle name="40% - Accent6 2 3 2 5 2" xfId="28715" xr:uid="{1C049868-6556-4B64-89AD-5A4F68C3E0CC}"/>
    <cellStyle name="40% - Accent6 2 3 2 6" xfId="19418" xr:uid="{1D0EBC6F-9CF3-423C-AB1E-5CE3EAAFC589}"/>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106F06B5-80E8-48B9-9255-E06AAEAB176C}"/>
    <cellStyle name="40% - Accent6 2 3 3 2 2 2 2" xfId="35490" xr:uid="{41A93946-18EE-44CC-943B-E7BA2B7BF4CF}"/>
    <cellStyle name="40% - Accent6 2 3 3 2 2 3" xfId="26193" xr:uid="{6B49742C-7B02-4019-8A1F-D7DC4B818D04}"/>
    <cellStyle name="40% - Accent6 2 3 3 2 3" xfId="12677" xr:uid="{0C39531B-DC2A-4EB2-8A04-5DDCF8215412}"/>
    <cellStyle name="40% - Accent6 2 3 3 2 3 2" xfId="31273" xr:uid="{B64791BE-F36F-4A31-A433-FF6EE27E0F25}"/>
    <cellStyle name="40% - Accent6 2 3 3 2 4" xfId="21976" xr:uid="{F6CDBAB3-CEEC-45D5-AAC0-CA645877249F}"/>
    <cellStyle name="40% - Accent6 2 3 3 3" xfId="5423" xr:uid="{00000000-0005-0000-0000-000013070000}"/>
    <cellStyle name="40% - Accent6 2 3 3 3 2" xfId="14749" xr:uid="{606CDFDF-005D-4E58-A6F0-BAF67E398A0F}"/>
    <cellStyle name="40% - Accent6 2 3 3 3 2 2" xfId="33345" xr:uid="{C9145530-E6AF-4176-8AC7-BE59FE18D03B}"/>
    <cellStyle name="40% - Accent6 2 3 3 3 3" xfId="24048" xr:uid="{70DA86F3-EA74-4805-ADD8-19D7FD0060D4}"/>
    <cellStyle name="40% - Accent6 2 3 3 4" xfId="10532" xr:uid="{F69B43B4-7285-4AF9-B499-85AE172C64BF}"/>
    <cellStyle name="40% - Accent6 2 3 3 4 2" xfId="29128" xr:uid="{9C80B5CF-598F-40B0-9222-169ACB5E0F14}"/>
    <cellStyle name="40% - Accent6 2 3 3 5" xfId="19831" xr:uid="{C7FD6561-A89D-45B6-9C7E-0917AFA48C53}"/>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D683BC30-1965-424E-837F-414701E0FFF3}"/>
    <cellStyle name="40% - Accent6 2 3 4 2 2 2 2" xfId="35903" xr:uid="{7319C276-35F7-4809-8776-05937655C219}"/>
    <cellStyle name="40% - Accent6 2 3 4 2 2 3" xfId="26606" xr:uid="{FA7E368E-7EDE-485C-931F-6DC908A9D561}"/>
    <cellStyle name="40% - Accent6 2 3 4 2 3" xfId="13090" xr:uid="{860D3D78-E4AA-4C2E-862C-D362F0AE688E}"/>
    <cellStyle name="40% - Accent6 2 3 4 2 3 2" xfId="31686" xr:uid="{8A9D1530-53B3-40D4-AEA6-0E2C78A76D01}"/>
    <cellStyle name="40% - Accent6 2 3 4 2 4" xfId="22389" xr:uid="{244D4FB9-055A-4AA4-8852-68AAFC09C65B}"/>
    <cellStyle name="40% - Accent6 2 3 4 3" xfId="5836" xr:uid="{00000000-0005-0000-0000-000017070000}"/>
    <cellStyle name="40% - Accent6 2 3 4 3 2" xfId="15162" xr:uid="{E96DE548-7202-4BF9-9E47-D4494081D5F1}"/>
    <cellStyle name="40% - Accent6 2 3 4 3 2 2" xfId="33758" xr:uid="{9D8767E7-D5E0-4914-BA7F-BD7991C82689}"/>
    <cellStyle name="40% - Accent6 2 3 4 3 3" xfId="24461" xr:uid="{4E0DE5A8-81AB-4D6F-A28C-7CE6006DFEE7}"/>
    <cellStyle name="40% - Accent6 2 3 4 4" xfId="10945" xr:uid="{BD6D58E2-45EA-4AB2-B15B-6CD20360C7F1}"/>
    <cellStyle name="40% - Accent6 2 3 4 4 2" xfId="29541" xr:uid="{D5813096-697D-4696-AE30-5ED9F882D5DA}"/>
    <cellStyle name="40% - Accent6 2 3 4 5" xfId="20244" xr:uid="{CBBC5251-0741-4EC7-8890-523C8BE1F481}"/>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1E89410C-7A0F-423B-AC68-2168B3A404CC}"/>
    <cellStyle name="40% - Accent6 2 3 5 2 2 2 2" xfId="36316" xr:uid="{0B90D274-9A66-4D9F-B2BD-78C8F9E2E913}"/>
    <cellStyle name="40% - Accent6 2 3 5 2 2 3" xfId="27019" xr:uid="{1CDC9B28-4F28-4CC3-B079-4B7E2B4E8FFB}"/>
    <cellStyle name="40% - Accent6 2 3 5 2 3" xfId="13503" xr:uid="{D734A93D-0404-497F-8BB6-35CAE935F85A}"/>
    <cellStyle name="40% - Accent6 2 3 5 2 3 2" xfId="32099" xr:uid="{DAD55E3A-C6B0-4EDD-A11D-153E68D8B33F}"/>
    <cellStyle name="40% - Accent6 2 3 5 2 4" xfId="22802" xr:uid="{8F11076B-3D05-46BE-AC78-E5A659F36983}"/>
    <cellStyle name="40% - Accent6 2 3 5 3" xfId="6249" xr:uid="{00000000-0005-0000-0000-00001B070000}"/>
    <cellStyle name="40% - Accent6 2 3 5 3 2" xfId="15575" xr:uid="{D4D60D46-DC12-42B1-BBEB-3E4C6936497F}"/>
    <cellStyle name="40% - Accent6 2 3 5 3 2 2" xfId="34171" xr:uid="{0B05520C-9C93-4B5A-9781-23DECA919377}"/>
    <cellStyle name="40% - Accent6 2 3 5 3 3" xfId="24874" xr:uid="{82C650BA-732B-42D4-8477-F761D1567B61}"/>
    <cellStyle name="40% - Accent6 2 3 5 4" xfId="11358" xr:uid="{D05199ED-80A7-4BB7-BFB9-43BACD976411}"/>
    <cellStyle name="40% - Accent6 2 3 5 4 2" xfId="29954" xr:uid="{1EBB8714-2215-4812-8F00-EECA8AA7477B}"/>
    <cellStyle name="40% - Accent6 2 3 5 5" xfId="20657" xr:uid="{A9C511C6-2BDF-460C-B38D-27823CA0656E}"/>
    <cellStyle name="40% - Accent6 2 3 6" xfId="2356" xr:uid="{00000000-0005-0000-0000-00001C070000}"/>
    <cellStyle name="40% - Accent6 2 3 6 2" xfId="6662" xr:uid="{00000000-0005-0000-0000-00001D070000}"/>
    <cellStyle name="40% - Accent6 2 3 6 2 2" xfId="15988" xr:uid="{22383139-4EA5-42DA-8296-507B9300867D}"/>
    <cellStyle name="40% - Accent6 2 3 6 2 2 2" xfId="34584" xr:uid="{9266A106-5617-45FD-9759-F005A5BFA200}"/>
    <cellStyle name="40% - Accent6 2 3 6 2 3" xfId="25287" xr:uid="{42A5EBE8-942B-4D7A-910E-152BF27E8746}"/>
    <cellStyle name="40% - Accent6 2 3 6 3" xfId="11771" xr:uid="{9ADCFF98-6CB3-4E76-9B0C-7423AA9083DF}"/>
    <cellStyle name="40% - Accent6 2 3 6 3 2" xfId="30367" xr:uid="{DD01FCF8-0CDE-4A54-A780-A437D95E47AA}"/>
    <cellStyle name="40% - Accent6 2 3 6 4" xfId="21070" xr:uid="{D8412911-7652-4DDE-9621-09E0E9067237}"/>
    <cellStyle name="40% - Accent6 2 3 7" xfId="4596" xr:uid="{00000000-0005-0000-0000-00001E070000}"/>
    <cellStyle name="40% - Accent6 2 3 7 2" xfId="13922" xr:uid="{5D90AF74-8CB5-4A43-B2CA-1CDC48E86074}"/>
    <cellStyle name="40% - Accent6 2 3 7 2 2" xfId="32518" xr:uid="{7F0B0F7B-1D09-4FDD-916A-4E033351E364}"/>
    <cellStyle name="40% - Accent6 2 3 7 3" xfId="23221" xr:uid="{4A3BA404-956B-46C9-9A05-75B40148411C}"/>
    <cellStyle name="40% - Accent6 2 3 8" xfId="9010" xr:uid="{63E1B5F8-FE5F-441F-B768-94B1D98CB2B1}"/>
    <cellStyle name="40% - Accent6 2 3 8 2" xfId="18334" xr:uid="{2DB93648-99A8-4D6A-87FE-EED4945BD987}"/>
    <cellStyle name="40% - Accent6 2 3 8 2 2" xfId="36929" xr:uid="{91986FC0-D6AE-4023-9AA9-CC03B0DB9FE4}"/>
    <cellStyle name="40% - Accent6 2 3 8 3" xfId="27632" xr:uid="{856C9B0E-9A0E-4789-9743-83BD987B3EEE}"/>
    <cellStyle name="40% - Accent6 2 3 9" xfId="9705" xr:uid="{849FDE5E-AB40-4E99-A5D9-75521ABB238A}"/>
    <cellStyle name="40% - Accent6 2 3 9 2" xfId="28301" xr:uid="{A692A1A4-5FEC-4BD0-A366-8011A8AB2D04}"/>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2CE3D332-863C-4DCE-9477-5363F079BEF9}"/>
    <cellStyle name="40% - Accent6 2 4 2 2 2 2" xfId="35074" xr:uid="{AF8CEC72-6418-43BC-A13F-55C684246C13}"/>
    <cellStyle name="40% - Accent6 2 4 2 2 3" xfId="25777" xr:uid="{6EA75749-6907-4621-A5D1-AEBB38E778F6}"/>
    <cellStyle name="40% - Accent6 2 4 2 3" xfId="12261" xr:uid="{C58A3583-4300-4CC2-97A0-6BD1EF8E2D20}"/>
    <cellStyle name="40% - Accent6 2 4 2 3 2" xfId="30857" xr:uid="{4572B19A-C557-45B2-9603-E65ED06DEE69}"/>
    <cellStyle name="40% - Accent6 2 4 2 4" xfId="21560" xr:uid="{C1B6DFE4-71B3-4AC1-86E2-152BB3EB466D}"/>
    <cellStyle name="40% - Accent6 2 4 3" xfId="5007" xr:uid="{00000000-0005-0000-0000-000022070000}"/>
    <cellStyle name="40% - Accent6 2 4 3 2" xfId="14333" xr:uid="{BB0CB256-8CCC-4668-A88B-B9C1FA5E0BFF}"/>
    <cellStyle name="40% - Accent6 2 4 3 2 2" xfId="32929" xr:uid="{C7D34F00-D690-4515-901C-85A27247EF72}"/>
    <cellStyle name="40% - Accent6 2 4 3 3" xfId="23632" xr:uid="{BC205A23-F233-4A9B-AACD-54D6FC7F7FE5}"/>
    <cellStyle name="40% - Accent6 2 4 4" xfId="9227" xr:uid="{61BC3AC1-FAE9-47DF-8143-7EECE05FF8D3}"/>
    <cellStyle name="40% - Accent6 2 4 4 2" xfId="18543" xr:uid="{6B6A7CD8-78AB-47C2-AEBD-FD8626FE3067}"/>
    <cellStyle name="40% - Accent6 2 4 4 2 2" xfId="37137" xr:uid="{EB60538C-D3F3-4ED5-87A2-E2A0143D9268}"/>
    <cellStyle name="40% - Accent6 2 4 4 3" xfId="27840" xr:uid="{E1A52D9B-D267-4A7F-89DA-20806F3139CB}"/>
    <cellStyle name="40% - Accent6 2 4 5" xfId="10116" xr:uid="{D55D2ABC-5C77-4831-978C-BA240FB202D9}"/>
    <cellStyle name="40% - Accent6 2 4 5 2" xfId="28712" xr:uid="{B6E909B9-EA7A-47BE-A5C4-371772F5C0DB}"/>
    <cellStyle name="40% - Accent6 2 4 6" xfId="19415" xr:uid="{29CD2657-D43B-492D-BDB4-0EC92B41280F}"/>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CCF09441-2A24-4B4C-9448-88799F9918DE}"/>
    <cellStyle name="40% - Accent6 2 5 2 2 2 2" xfId="35487" xr:uid="{33E5596A-6182-4165-AD59-98A73986552F}"/>
    <cellStyle name="40% - Accent6 2 5 2 2 3" xfId="26190" xr:uid="{5BC3CFAF-7B7B-42C2-90B4-5255AADA89E8}"/>
    <cellStyle name="40% - Accent6 2 5 2 3" xfId="12674" xr:uid="{AAA1A268-651E-4FC8-8F3D-A725F381CB48}"/>
    <cellStyle name="40% - Accent6 2 5 2 3 2" xfId="31270" xr:uid="{B37313F6-CA3B-4654-A146-428E1894A4D1}"/>
    <cellStyle name="40% - Accent6 2 5 2 4" xfId="21973" xr:uid="{0B353545-B1D9-477B-B602-FDD8B022B7EE}"/>
    <cellStyle name="40% - Accent6 2 5 3" xfId="5420" xr:uid="{00000000-0005-0000-0000-000026070000}"/>
    <cellStyle name="40% - Accent6 2 5 3 2" xfId="14746" xr:uid="{D4EB6569-852C-4BBF-8A5E-303492EF3EBB}"/>
    <cellStyle name="40% - Accent6 2 5 3 2 2" xfId="33342" xr:uid="{132E065C-911F-4AE8-A617-A05C744978FD}"/>
    <cellStyle name="40% - Accent6 2 5 3 3" xfId="24045" xr:uid="{4B6AA544-EBFD-4EC7-9161-7159304B14DC}"/>
    <cellStyle name="40% - Accent6 2 5 4" xfId="10529" xr:uid="{E295A5D1-7A68-4D10-921B-20250AE08A4E}"/>
    <cellStyle name="40% - Accent6 2 5 4 2" xfId="29125" xr:uid="{6D45DD55-5D85-4DBC-9ACA-AA3839FD3070}"/>
    <cellStyle name="40% - Accent6 2 5 5" xfId="19828" xr:uid="{B1A8FF10-7D2D-4E14-A2B7-AB8536E98D38}"/>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AB22B03A-C8FA-45BE-9C7D-45EA0A72F5AA}"/>
    <cellStyle name="40% - Accent6 2 6 2 2 2 2" xfId="35900" xr:uid="{6DA30449-2E9D-423D-9BC1-D11D4C9035EA}"/>
    <cellStyle name="40% - Accent6 2 6 2 2 3" xfId="26603" xr:uid="{484865B8-1111-4AE3-BB6D-A4D2E983AEB7}"/>
    <cellStyle name="40% - Accent6 2 6 2 3" xfId="13087" xr:uid="{08F39BEC-3CB6-4C18-AD95-7121DEAE3377}"/>
    <cellStyle name="40% - Accent6 2 6 2 3 2" xfId="31683" xr:uid="{DA6D9DCC-DCB4-411A-B425-76CEE6BEA0D4}"/>
    <cellStyle name="40% - Accent6 2 6 2 4" xfId="22386" xr:uid="{FE4EE304-3105-4399-8D0F-31A7DE75B8AF}"/>
    <cellStyle name="40% - Accent6 2 6 3" xfId="5833" xr:uid="{00000000-0005-0000-0000-00002A070000}"/>
    <cellStyle name="40% - Accent6 2 6 3 2" xfId="15159" xr:uid="{E97231D2-C74F-48AB-9444-2E98CEBC2C45}"/>
    <cellStyle name="40% - Accent6 2 6 3 2 2" xfId="33755" xr:uid="{4BFC02AC-9B21-459F-9F46-F7B33E8948BB}"/>
    <cellStyle name="40% - Accent6 2 6 3 3" xfId="24458" xr:uid="{EE8F4582-4CC6-447C-A53A-7180D62654F6}"/>
    <cellStyle name="40% - Accent6 2 6 4" xfId="10942" xr:uid="{9D59190D-5969-4436-8BE5-5D39033C8CFB}"/>
    <cellStyle name="40% - Accent6 2 6 4 2" xfId="29538" xr:uid="{5F1F4567-04F5-47A4-A7D2-5836007C917D}"/>
    <cellStyle name="40% - Accent6 2 6 5" xfId="20241" xr:uid="{06BD41BC-3106-441B-A344-816AFFC20998}"/>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5F4C26DF-EC66-4A4C-90DE-713230FD54B9}"/>
    <cellStyle name="40% - Accent6 2 7 2 2 2 2" xfId="36313" xr:uid="{60F68B7C-E6F8-47A0-A6D3-B4BA18F596A4}"/>
    <cellStyle name="40% - Accent6 2 7 2 2 3" xfId="27016" xr:uid="{00B58167-D36D-49AB-B6FC-3A77D76207D3}"/>
    <cellStyle name="40% - Accent6 2 7 2 3" xfId="13500" xr:uid="{5BBACD74-3248-4CA0-86F6-86D4B91798F2}"/>
    <cellStyle name="40% - Accent6 2 7 2 3 2" xfId="32096" xr:uid="{787AFA0B-8FD0-45ED-8003-CBE8177083EA}"/>
    <cellStyle name="40% - Accent6 2 7 2 4" xfId="22799" xr:uid="{E3D3297C-37BD-477B-9396-13D5EEE29614}"/>
    <cellStyle name="40% - Accent6 2 7 3" xfId="6246" xr:uid="{00000000-0005-0000-0000-00002E070000}"/>
    <cellStyle name="40% - Accent6 2 7 3 2" xfId="15572" xr:uid="{CDE00B70-F903-406C-9CCF-80ADD0B2519E}"/>
    <cellStyle name="40% - Accent6 2 7 3 2 2" xfId="34168" xr:uid="{0D342385-23CE-40BB-9118-6B6423AA2309}"/>
    <cellStyle name="40% - Accent6 2 7 3 3" xfId="24871" xr:uid="{55D80D04-2A87-4E2A-9CDE-D2EBEA00F5BB}"/>
    <cellStyle name="40% - Accent6 2 7 4" xfId="11355" xr:uid="{4DF0B41D-FBE6-45E6-81AC-435281124734}"/>
    <cellStyle name="40% - Accent6 2 7 4 2" xfId="29951" xr:uid="{9E9E8FE5-97EB-457C-B017-BC1369D9452D}"/>
    <cellStyle name="40% - Accent6 2 7 5" xfId="20654" xr:uid="{72B5B468-4721-4692-8617-697DB764F67A}"/>
    <cellStyle name="40% - Accent6 2 8" xfId="2353" xr:uid="{00000000-0005-0000-0000-00002F070000}"/>
    <cellStyle name="40% - Accent6 2 8 2" xfId="6659" xr:uid="{00000000-0005-0000-0000-000030070000}"/>
    <cellStyle name="40% - Accent6 2 8 2 2" xfId="15985" xr:uid="{DFC88579-58F8-45F1-97C7-B46B5859A8E6}"/>
    <cellStyle name="40% - Accent6 2 8 2 2 2" xfId="34581" xr:uid="{7C3AB2AB-1CCE-46FF-A293-FAF1AF23B1B5}"/>
    <cellStyle name="40% - Accent6 2 8 2 3" xfId="25284" xr:uid="{51FC4521-C8B5-401F-AAF9-D251ACC76C07}"/>
    <cellStyle name="40% - Accent6 2 8 3" xfId="11768" xr:uid="{0B24F026-9882-41CE-A735-EFAEEB849873}"/>
    <cellStyle name="40% - Accent6 2 8 3 2" xfId="30364" xr:uid="{CDC51157-2F7D-4278-98E1-0085FDE20386}"/>
    <cellStyle name="40% - Accent6 2 8 4" xfId="21067" xr:uid="{1D652C99-6C33-4C62-8019-DE16CC857ADD}"/>
    <cellStyle name="40% - Accent6 2 9" xfId="4593" xr:uid="{00000000-0005-0000-0000-000031070000}"/>
    <cellStyle name="40% - Accent6 2 9 2" xfId="13919" xr:uid="{AD167018-E586-4547-9487-12BA4094D51B}"/>
    <cellStyle name="40% - Accent6 2 9 2 2" xfId="32515" xr:uid="{DE2833F0-BBE0-4164-8F5A-F0B2B15FA185}"/>
    <cellStyle name="40% - Accent6 2 9 3" xfId="23218" xr:uid="{7148D576-4257-4F46-AE4A-AD9EDD3B2E80}"/>
    <cellStyle name="40% - Accent6 3" xfId="94" xr:uid="{00000000-0005-0000-0000-000032070000}"/>
    <cellStyle name="40% - Accent6 3 10" xfId="9706" xr:uid="{A7E48FE1-08B7-4C7F-8FF8-06C00DEDA5ED}"/>
    <cellStyle name="40% - Accent6 3 10 2" xfId="28302" xr:uid="{AFFA5736-9FF7-4652-89C0-92553D42C8F5}"/>
    <cellStyle name="40% - Accent6 3 11" xfId="19005" xr:uid="{C0B55980-0E14-4006-B788-29C8E850B580}"/>
    <cellStyle name="40% - Accent6 3 2" xfId="95" xr:uid="{00000000-0005-0000-0000-000033070000}"/>
    <cellStyle name="40% - Accent6 3 2 10" xfId="19006" xr:uid="{9D57DA59-EB38-4E7C-B585-4A1862894B4A}"/>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5CA94739-1279-4A87-9CD8-38E92565C3C1}"/>
    <cellStyle name="40% - Accent6 3 2 2 2 2 2 2" xfId="35079" xr:uid="{2F2EC363-A040-4154-8562-DFA969D47AB4}"/>
    <cellStyle name="40% - Accent6 3 2 2 2 2 3" xfId="25782" xr:uid="{58DC09C8-32C8-4880-BDE9-A70869A903A6}"/>
    <cellStyle name="40% - Accent6 3 2 2 2 3" xfId="12266" xr:uid="{D3AF438C-60DC-428E-A9FD-067F46780C6A}"/>
    <cellStyle name="40% - Accent6 3 2 2 2 3 2" xfId="30862" xr:uid="{ECE9D609-91FD-4DF8-ABBD-4E56C5335330}"/>
    <cellStyle name="40% - Accent6 3 2 2 2 4" xfId="21565" xr:uid="{6FF317F5-C919-4E30-B60A-829048590F4B}"/>
    <cellStyle name="40% - Accent6 3 2 2 3" xfId="5012" xr:uid="{00000000-0005-0000-0000-000037070000}"/>
    <cellStyle name="40% - Accent6 3 2 2 3 2" xfId="14338" xr:uid="{3F9E8E65-7F47-40EE-AF16-275C9248F89E}"/>
    <cellStyle name="40% - Accent6 3 2 2 3 2 2" xfId="32934" xr:uid="{12227FB1-29CB-42DC-9688-B6C370D16206}"/>
    <cellStyle name="40% - Accent6 3 2 2 3 3" xfId="23637" xr:uid="{5DA6C779-0BD6-4FCC-9751-9713DC7251BE}"/>
    <cellStyle name="40% - Accent6 3 2 2 4" xfId="9504" xr:uid="{23E46585-FD8F-4BA3-8B65-284D6884E4FD}"/>
    <cellStyle name="40% - Accent6 3 2 2 4 2" xfId="18819" xr:uid="{ADF0962D-5E90-47DB-B19A-CFB5D7A1AC13}"/>
    <cellStyle name="40% - Accent6 3 2 2 4 2 2" xfId="37413" xr:uid="{E96E00E6-BBEF-4759-958F-F1B6B2F27C47}"/>
    <cellStyle name="40% - Accent6 3 2 2 4 3" xfId="28116" xr:uid="{307CB64D-1C12-4816-AAC1-B67B90EC0116}"/>
    <cellStyle name="40% - Accent6 3 2 2 5" xfId="10121" xr:uid="{8346C607-0996-455A-B930-83BF36E029A2}"/>
    <cellStyle name="40% - Accent6 3 2 2 5 2" xfId="28717" xr:uid="{8B42EA43-307C-4355-AB84-A9C782BAE442}"/>
    <cellStyle name="40% - Accent6 3 2 2 6" xfId="19420" xr:uid="{F1E67D76-83E4-4632-ABD8-80B55B4FCC79}"/>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AE236506-66D9-41D0-B23D-CCED3BECD2EE}"/>
    <cellStyle name="40% - Accent6 3 2 3 2 2 2 2" xfId="35492" xr:uid="{55B48C84-FC23-4B09-AAB8-A0F6C67FCA68}"/>
    <cellStyle name="40% - Accent6 3 2 3 2 2 3" xfId="26195" xr:uid="{C4850141-9ADE-4564-835E-890D7C05B649}"/>
    <cellStyle name="40% - Accent6 3 2 3 2 3" xfId="12679" xr:uid="{FF268598-4ED8-4736-AB34-B580B4032FC3}"/>
    <cellStyle name="40% - Accent6 3 2 3 2 3 2" xfId="31275" xr:uid="{516E0CD3-1A3B-4E91-9C81-DCF5574C86B0}"/>
    <cellStyle name="40% - Accent6 3 2 3 2 4" xfId="21978" xr:uid="{BC98E676-A67E-4E2C-8E07-1FEE7CA2A1CB}"/>
    <cellStyle name="40% - Accent6 3 2 3 3" xfId="5425" xr:uid="{00000000-0005-0000-0000-00003B070000}"/>
    <cellStyle name="40% - Accent6 3 2 3 3 2" xfId="14751" xr:uid="{96A0FE29-CD83-4730-91DC-B3ED276950F9}"/>
    <cellStyle name="40% - Accent6 3 2 3 3 2 2" xfId="33347" xr:uid="{26A2A9A8-9882-4952-A8F6-D5CE92842A77}"/>
    <cellStyle name="40% - Accent6 3 2 3 3 3" xfId="24050" xr:uid="{6DD6B447-0483-4D5D-A9D2-2B5CC7283BA4}"/>
    <cellStyle name="40% - Accent6 3 2 3 4" xfId="10534" xr:uid="{7C77798B-3AF3-47BB-993B-16E85C9B0D28}"/>
    <cellStyle name="40% - Accent6 3 2 3 4 2" xfId="29130" xr:uid="{B826BE3F-7A63-4A64-9694-7BED172939DF}"/>
    <cellStyle name="40% - Accent6 3 2 3 5" xfId="19833" xr:uid="{400E93F9-F033-4AF4-887C-351B142281AA}"/>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EE1FDF67-F8CB-44BF-A8AA-EDEA47D72C83}"/>
    <cellStyle name="40% - Accent6 3 2 4 2 2 2 2" xfId="35905" xr:uid="{3926DC75-1C37-4A20-B4BE-9EF4E11FD46C}"/>
    <cellStyle name="40% - Accent6 3 2 4 2 2 3" xfId="26608" xr:uid="{F90AAE75-6382-41B5-A8DA-62D1A6663BFE}"/>
    <cellStyle name="40% - Accent6 3 2 4 2 3" xfId="13092" xr:uid="{68D6D0DF-0289-49FC-81E1-E75ED14BFC26}"/>
    <cellStyle name="40% - Accent6 3 2 4 2 3 2" xfId="31688" xr:uid="{866C313C-7F51-498A-ACA0-8723341036E6}"/>
    <cellStyle name="40% - Accent6 3 2 4 2 4" xfId="22391" xr:uid="{EF53C2D3-F426-4D92-85A1-14CD789C5839}"/>
    <cellStyle name="40% - Accent6 3 2 4 3" xfId="5838" xr:uid="{00000000-0005-0000-0000-00003F070000}"/>
    <cellStyle name="40% - Accent6 3 2 4 3 2" xfId="15164" xr:uid="{F7C784E2-AB02-4DF8-B057-82560B888A44}"/>
    <cellStyle name="40% - Accent6 3 2 4 3 2 2" xfId="33760" xr:uid="{E11BC44C-4828-4918-B303-6311A69419A2}"/>
    <cellStyle name="40% - Accent6 3 2 4 3 3" xfId="24463" xr:uid="{06879DA5-466F-427F-8F3B-7529504890C1}"/>
    <cellStyle name="40% - Accent6 3 2 4 4" xfId="10947" xr:uid="{DF72A96F-7F07-46FE-8162-2266A3CC75C4}"/>
    <cellStyle name="40% - Accent6 3 2 4 4 2" xfId="29543" xr:uid="{1B6A192D-E75E-48BB-A75B-C70C9A62374F}"/>
    <cellStyle name="40% - Accent6 3 2 4 5" xfId="20246" xr:uid="{33F9382E-262E-49D6-A605-AED15C699E1E}"/>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88D6E1F5-F23A-4D68-A8AF-87878969D8F6}"/>
    <cellStyle name="40% - Accent6 3 2 5 2 2 2 2" xfId="36318" xr:uid="{6095A645-319E-4296-B61F-E765ACFD7D52}"/>
    <cellStyle name="40% - Accent6 3 2 5 2 2 3" xfId="27021" xr:uid="{270D333B-E5F2-4D29-BBD0-28120156AB5F}"/>
    <cellStyle name="40% - Accent6 3 2 5 2 3" xfId="13505" xr:uid="{F5FA29D4-B8AE-4E1B-8E36-C899CA9214DA}"/>
    <cellStyle name="40% - Accent6 3 2 5 2 3 2" xfId="32101" xr:uid="{257EDAF3-C9BE-4319-B663-C3B3DA374139}"/>
    <cellStyle name="40% - Accent6 3 2 5 2 4" xfId="22804" xr:uid="{12EBF1EB-EA43-415E-96D5-22135AE08739}"/>
    <cellStyle name="40% - Accent6 3 2 5 3" xfId="6251" xr:uid="{00000000-0005-0000-0000-000043070000}"/>
    <cellStyle name="40% - Accent6 3 2 5 3 2" xfId="15577" xr:uid="{EDBC0565-5C1C-4A0B-9923-4A65FA2AEE0D}"/>
    <cellStyle name="40% - Accent6 3 2 5 3 2 2" xfId="34173" xr:uid="{C7FB2293-FCB1-453A-BD23-51E04FFD698B}"/>
    <cellStyle name="40% - Accent6 3 2 5 3 3" xfId="24876" xr:uid="{A295F4D1-C0C1-4D10-968F-A475091A3072}"/>
    <cellStyle name="40% - Accent6 3 2 5 4" xfId="11360" xr:uid="{493DA2C5-FA35-4E83-A222-BDBD8648CF6F}"/>
    <cellStyle name="40% - Accent6 3 2 5 4 2" xfId="29956" xr:uid="{33E7E734-63AD-4FDE-8B8C-7F95C36EF741}"/>
    <cellStyle name="40% - Accent6 3 2 5 5" xfId="20659" xr:uid="{88277127-419A-4444-8624-04FE22ECF6F5}"/>
    <cellStyle name="40% - Accent6 3 2 6" xfId="2358" xr:uid="{00000000-0005-0000-0000-000044070000}"/>
    <cellStyle name="40% - Accent6 3 2 6 2" xfId="6664" xr:uid="{00000000-0005-0000-0000-000045070000}"/>
    <cellStyle name="40% - Accent6 3 2 6 2 2" xfId="15990" xr:uid="{DEE52A38-3EDD-4B62-8173-DBCB610F6FB2}"/>
    <cellStyle name="40% - Accent6 3 2 6 2 2 2" xfId="34586" xr:uid="{5C997CC6-A7E0-457E-9B36-39D92E71289F}"/>
    <cellStyle name="40% - Accent6 3 2 6 2 3" xfId="25289" xr:uid="{B0E263AB-3A29-4F96-A99E-233CAA95A4C4}"/>
    <cellStyle name="40% - Accent6 3 2 6 3" xfId="11773" xr:uid="{365A7C2B-E44D-4B56-B391-2B8B1EBE027D}"/>
    <cellStyle name="40% - Accent6 3 2 6 3 2" xfId="30369" xr:uid="{D4E98A4F-8D50-466D-A4E1-E4831A0CBFAA}"/>
    <cellStyle name="40% - Accent6 3 2 6 4" xfId="21072" xr:uid="{EC89CDE5-EAA5-4412-B149-D15C51705699}"/>
    <cellStyle name="40% - Accent6 3 2 7" xfId="4598" xr:uid="{00000000-0005-0000-0000-000046070000}"/>
    <cellStyle name="40% - Accent6 3 2 7 2" xfId="13924" xr:uid="{0D9CFABE-8D8B-4E0B-99C1-ED55DD615A9D}"/>
    <cellStyle name="40% - Accent6 3 2 7 2 2" xfId="32520" xr:uid="{C05D4A48-4760-463A-8DEC-316F22DB27EF}"/>
    <cellStyle name="40% - Accent6 3 2 7 3" xfId="23223" xr:uid="{32AC0ACF-17EE-4F20-ADEF-AAA4999444E9}"/>
    <cellStyle name="40% - Accent6 3 2 8" xfId="9079" xr:uid="{7FA93E2E-699F-4676-8533-A3CC5F80D807}"/>
    <cellStyle name="40% - Accent6 3 2 8 2" xfId="18403" xr:uid="{F83A6252-49DB-41B4-8EA8-5BFA8AA79FB7}"/>
    <cellStyle name="40% - Accent6 3 2 8 2 2" xfId="36998" xr:uid="{C11FCB80-AD75-4ADC-9E72-553781A2AC0F}"/>
    <cellStyle name="40% - Accent6 3 2 8 3" xfId="27701" xr:uid="{2916CAF8-0787-4767-AEF4-AE7D72F6F37C}"/>
    <cellStyle name="40% - Accent6 3 2 9" xfId="9707" xr:uid="{7A68BBE3-C787-443F-B75C-52C8CC13A90A}"/>
    <cellStyle name="40% - Accent6 3 2 9 2" xfId="28303" xr:uid="{82176F28-3DD5-43EB-B4C2-2A33A9D9EB53}"/>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A53EE3F6-5652-4ED0-9F6E-67E4D1BAD813}"/>
    <cellStyle name="40% - Accent6 3 3 2 2 2 2" xfId="35078" xr:uid="{7CAE4340-260A-47ED-B7DC-97244EA141B4}"/>
    <cellStyle name="40% - Accent6 3 3 2 2 3" xfId="25781" xr:uid="{67AA621A-1971-4D50-9591-3B1095D027FB}"/>
    <cellStyle name="40% - Accent6 3 3 2 3" xfId="12265" xr:uid="{64CA5B4F-A58E-4C4A-92C0-FAFD1FD7733E}"/>
    <cellStyle name="40% - Accent6 3 3 2 3 2" xfId="30861" xr:uid="{690A2346-B182-4850-9701-A818F3E97107}"/>
    <cellStyle name="40% - Accent6 3 3 2 4" xfId="21564" xr:uid="{1C295426-4FCC-4E47-A22F-11CFC395CA2D}"/>
    <cellStyle name="40% - Accent6 3 3 3" xfId="5011" xr:uid="{00000000-0005-0000-0000-00004A070000}"/>
    <cellStyle name="40% - Accent6 3 3 3 2" xfId="14337" xr:uid="{24CDDF1F-B60E-4C8D-BE16-F378519ABE50}"/>
    <cellStyle name="40% - Accent6 3 3 3 2 2" xfId="32933" xr:uid="{026E4C01-81FB-4789-967F-F40DF8FB77B3}"/>
    <cellStyle name="40% - Accent6 3 3 3 3" xfId="23636" xr:uid="{B0900014-AC40-46DB-A8A3-7C96364B8178}"/>
    <cellStyle name="40% - Accent6 3 3 4" xfId="9297" xr:uid="{1226E28F-09E7-4580-8D19-7F14AC1CB4B3}"/>
    <cellStyle name="40% - Accent6 3 3 4 2" xfId="18612" xr:uid="{C0F4AD0B-7F44-4912-BE7C-D3C5EE0557BD}"/>
    <cellStyle name="40% - Accent6 3 3 4 2 2" xfId="37206" xr:uid="{F24EF7FA-93BF-491E-9D5D-A4A5E8BED842}"/>
    <cellStyle name="40% - Accent6 3 3 4 3" xfId="27909" xr:uid="{E9C7046F-C064-4516-9851-65C8BCA6874F}"/>
    <cellStyle name="40% - Accent6 3 3 5" xfId="10120" xr:uid="{94745721-7FE0-4170-90CD-A86AEF075204}"/>
    <cellStyle name="40% - Accent6 3 3 5 2" xfId="28716" xr:uid="{7D2E8F57-8995-44EC-AB21-4E421851CD97}"/>
    <cellStyle name="40% - Accent6 3 3 6" xfId="19419" xr:uid="{B8D28BCA-A8C9-421F-ADCD-705D511158C2}"/>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47AC1E9A-882E-44A4-B27B-7AE84A1802D1}"/>
    <cellStyle name="40% - Accent6 3 4 2 2 2 2" xfId="35491" xr:uid="{F62EE1AA-F7FD-414A-B9D6-19E8716F4765}"/>
    <cellStyle name="40% - Accent6 3 4 2 2 3" xfId="26194" xr:uid="{286BF80A-FD11-4442-B417-2B4866276522}"/>
    <cellStyle name="40% - Accent6 3 4 2 3" xfId="12678" xr:uid="{0D335B07-C6EB-483D-94CF-DD955B2B3CB5}"/>
    <cellStyle name="40% - Accent6 3 4 2 3 2" xfId="31274" xr:uid="{E7B53A78-CBB1-4C3E-95FB-D8B473998065}"/>
    <cellStyle name="40% - Accent6 3 4 2 4" xfId="21977" xr:uid="{A323176A-A73F-4AA3-95BC-889F346FAF41}"/>
    <cellStyle name="40% - Accent6 3 4 3" xfId="5424" xr:uid="{00000000-0005-0000-0000-00004E070000}"/>
    <cellStyle name="40% - Accent6 3 4 3 2" xfId="14750" xr:uid="{E24DA81B-7DB5-4699-9911-AD6161D1E69E}"/>
    <cellStyle name="40% - Accent6 3 4 3 2 2" xfId="33346" xr:uid="{2233BE3D-DB19-416C-A48E-952F0FA08EEA}"/>
    <cellStyle name="40% - Accent6 3 4 3 3" xfId="24049" xr:uid="{6511D16E-77D0-4B9B-B15B-B6481F87FC9C}"/>
    <cellStyle name="40% - Accent6 3 4 4" xfId="10533" xr:uid="{F6B20E7C-CC8A-4E9D-9C4D-047D76AE94EF}"/>
    <cellStyle name="40% - Accent6 3 4 4 2" xfId="29129" xr:uid="{2C88FF92-2D62-4393-B977-C1CEFC739660}"/>
    <cellStyle name="40% - Accent6 3 4 5" xfId="19832" xr:uid="{B5B89DFA-D2F7-40C3-8C51-2846FBDE08CC}"/>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7BD31D61-09E7-4420-B9ED-CD3ACF52F322}"/>
    <cellStyle name="40% - Accent6 3 5 2 2 2 2" xfId="35904" xr:uid="{58898970-4E2D-4047-AFA5-85458AB80C4A}"/>
    <cellStyle name="40% - Accent6 3 5 2 2 3" xfId="26607" xr:uid="{0F7818D2-2BC5-4F31-B026-7FAE1B784D40}"/>
    <cellStyle name="40% - Accent6 3 5 2 3" xfId="13091" xr:uid="{0403D641-E310-48F7-8DAA-25B60D67B9E7}"/>
    <cellStyle name="40% - Accent6 3 5 2 3 2" xfId="31687" xr:uid="{410266F7-8AD4-4B8E-A36B-EDA5B6F15815}"/>
    <cellStyle name="40% - Accent6 3 5 2 4" xfId="22390" xr:uid="{A649DE59-5EE8-4782-B7F4-4C15C8864C7F}"/>
    <cellStyle name="40% - Accent6 3 5 3" xfId="5837" xr:uid="{00000000-0005-0000-0000-000052070000}"/>
    <cellStyle name="40% - Accent6 3 5 3 2" xfId="15163" xr:uid="{941FCC93-4C4E-4E04-AF59-36DC2619F275}"/>
    <cellStyle name="40% - Accent6 3 5 3 2 2" xfId="33759" xr:uid="{F8811C69-8032-4B19-9752-895A9025517E}"/>
    <cellStyle name="40% - Accent6 3 5 3 3" xfId="24462" xr:uid="{F0C6C847-432F-499E-A3DA-D5384295F8BE}"/>
    <cellStyle name="40% - Accent6 3 5 4" xfId="10946" xr:uid="{EDA08B39-0218-45C2-BA39-DED4E820A8BF}"/>
    <cellStyle name="40% - Accent6 3 5 4 2" xfId="29542" xr:uid="{B5247C50-B238-4491-8598-3A22EE2F9854}"/>
    <cellStyle name="40% - Accent6 3 5 5" xfId="20245" xr:uid="{97BDE766-42B8-4007-8997-AD4FDD337DF7}"/>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2F8682DC-FE22-40F4-9A62-A1A2A2B3926A}"/>
    <cellStyle name="40% - Accent6 3 6 2 2 2 2" xfId="36317" xr:uid="{831D393A-E8BA-42BE-AEE0-6F116E0EDF83}"/>
    <cellStyle name="40% - Accent6 3 6 2 2 3" xfId="27020" xr:uid="{92F9B52A-52B0-495A-B874-0EE8D228224C}"/>
    <cellStyle name="40% - Accent6 3 6 2 3" xfId="13504" xr:uid="{9CE19EAA-3F9E-45D8-8168-0C65AAE1754C}"/>
    <cellStyle name="40% - Accent6 3 6 2 3 2" xfId="32100" xr:uid="{8EA9F7EF-E715-4C5E-A99E-28FE4AEB888A}"/>
    <cellStyle name="40% - Accent6 3 6 2 4" xfId="22803" xr:uid="{FBA831E5-0582-4FEF-B4EA-65D7E75004D0}"/>
    <cellStyle name="40% - Accent6 3 6 3" xfId="6250" xr:uid="{00000000-0005-0000-0000-000056070000}"/>
    <cellStyle name="40% - Accent6 3 6 3 2" xfId="15576" xr:uid="{4ACB47CB-6659-41AA-B1C2-660855B17A6A}"/>
    <cellStyle name="40% - Accent6 3 6 3 2 2" xfId="34172" xr:uid="{8EB3CB8E-44C4-43E9-89A0-04D9B7690FE8}"/>
    <cellStyle name="40% - Accent6 3 6 3 3" xfId="24875" xr:uid="{31B74747-9CAC-4373-B8D2-671F79E75320}"/>
    <cellStyle name="40% - Accent6 3 6 4" xfId="11359" xr:uid="{1880FF17-E978-4D39-81F4-4CFA057EA81E}"/>
    <cellStyle name="40% - Accent6 3 6 4 2" xfId="29955" xr:uid="{CD656EEB-C2D1-418B-BED3-A6A341CEEBA2}"/>
    <cellStyle name="40% - Accent6 3 6 5" xfId="20658" xr:uid="{F1AD7BD4-CB04-4A92-A927-AD88E0CF4F8D}"/>
    <cellStyle name="40% - Accent6 3 7" xfId="2357" xr:uid="{00000000-0005-0000-0000-000057070000}"/>
    <cellStyle name="40% - Accent6 3 7 2" xfId="6663" xr:uid="{00000000-0005-0000-0000-000058070000}"/>
    <cellStyle name="40% - Accent6 3 7 2 2" xfId="15989" xr:uid="{70473C72-C74C-41EC-8DE2-A247355348EE}"/>
    <cellStyle name="40% - Accent6 3 7 2 2 2" xfId="34585" xr:uid="{703266FC-517C-4A77-BD51-84612F1C600B}"/>
    <cellStyle name="40% - Accent6 3 7 2 3" xfId="25288" xr:uid="{BF27FDAA-8997-4DBD-ACBB-CA525601ED3D}"/>
    <cellStyle name="40% - Accent6 3 7 3" xfId="11772" xr:uid="{E1E653CD-4274-4C50-BEC6-8AEAD39F968C}"/>
    <cellStyle name="40% - Accent6 3 7 3 2" xfId="30368" xr:uid="{E6EE1920-2509-43F9-B564-B36A0A7BCDF1}"/>
    <cellStyle name="40% - Accent6 3 7 4" xfId="21071" xr:uid="{8C79C58C-29CE-4D06-8914-D38BEA369682}"/>
    <cellStyle name="40% - Accent6 3 8" xfId="4597" xr:uid="{00000000-0005-0000-0000-000059070000}"/>
    <cellStyle name="40% - Accent6 3 8 2" xfId="13923" xr:uid="{D9D5634C-836F-42B0-A7DF-A61D3E49CB8A}"/>
    <cellStyle name="40% - Accent6 3 8 2 2" xfId="32519" xr:uid="{CFABB803-D4E1-437E-8ADE-60B4D04081D7}"/>
    <cellStyle name="40% - Accent6 3 8 3" xfId="23222" xr:uid="{59893231-8159-4F45-8ADB-69B836596652}"/>
    <cellStyle name="40% - Accent6 3 9" xfId="8872" xr:uid="{E018AF0F-504E-4DED-BF70-CC97997D74E9}"/>
    <cellStyle name="40% - Accent6 3 9 2" xfId="18196" xr:uid="{1C514FA6-34CB-4847-A83B-5F148A612CB3}"/>
    <cellStyle name="40% - Accent6 3 9 2 2" xfId="36791" xr:uid="{8F8832B9-E193-432F-8F32-DC947430D24B}"/>
    <cellStyle name="40% - Accent6 3 9 3" xfId="27494" xr:uid="{330EE14F-C978-407D-9039-4DF9CC7844DC}"/>
    <cellStyle name="40% - Accent6 4" xfId="96" xr:uid="{00000000-0005-0000-0000-00005A070000}"/>
    <cellStyle name="40% - Accent6 4 10" xfId="19007" xr:uid="{05A75533-C592-4645-9B26-E74CA32E6059}"/>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951A6860-BA46-4E97-A5DC-47928845C22B}"/>
    <cellStyle name="40% - Accent6 4 2 2 2 2 2" xfId="35080" xr:uid="{BB2212FD-27C1-4EFC-A73B-0B921606317B}"/>
    <cellStyle name="40% - Accent6 4 2 2 2 3" xfId="25783" xr:uid="{1CDE4CA0-1DF1-4F14-B24D-7EA2DCB95BFE}"/>
    <cellStyle name="40% - Accent6 4 2 2 3" xfId="12267" xr:uid="{5CA853F3-59A3-4CAC-AF8B-5D6D9F6B0E01}"/>
    <cellStyle name="40% - Accent6 4 2 2 3 2" xfId="30863" xr:uid="{F4485535-A806-4ABB-8381-3070965BD540}"/>
    <cellStyle name="40% - Accent6 4 2 2 4" xfId="21566" xr:uid="{BF85049A-E5AC-4413-A978-28962ACE50BF}"/>
    <cellStyle name="40% - Accent6 4 2 3" xfId="5013" xr:uid="{00000000-0005-0000-0000-00005E070000}"/>
    <cellStyle name="40% - Accent6 4 2 3 2" xfId="14339" xr:uid="{4B3BD4A2-CF37-4A67-AC38-866EB8EA8447}"/>
    <cellStyle name="40% - Accent6 4 2 3 2 2" xfId="32935" xr:uid="{A0576523-F9F2-4365-B65B-297E2184CCF8}"/>
    <cellStyle name="40% - Accent6 4 2 3 3" xfId="23638" xr:uid="{5D2398CE-BBDA-44E0-BA0B-34AB3CF9C289}"/>
    <cellStyle name="40% - Accent6 4 2 4" xfId="9383" xr:uid="{07C7426F-B517-4815-A0BF-2BAE02B26B53}"/>
    <cellStyle name="40% - Accent6 4 2 4 2" xfId="18698" xr:uid="{FC28B4A5-7A53-4F16-89E6-ABDB0AFF1032}"/>
    <cellStyle name="40% - Accent6 4 2 4 2 2" xfId="37292" xr:uid="{08A17B74-DC1C-4B8F-B170-11B26FFFD40B}"/>
    <cellStyle name="40% - Accent6 4 2 4 3" xfId="27995" xr:uid="{F83E0D77-A38B-4BD1-BFD5-4781A5784563}"/>
    <cellStyle name="40% - Accent6 4 2 5" xfId="10122" xr:uid="{F6DD0D17-BF93-4AE9-8198-768E1B8B2050}"/>
    <cellStyle name="40% - Accent6 4 2 5 2" xfId="28718" xr:uid="{14510849-F610-4E24-90B9-9457DD5E62EC}"/>
    <cellStyle name="40% - Accent6 4 2 6" xfId="19421" xr:uid="{D2FDC4F1-DD1D-42DE-B318-BD6284729EF1}"/>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5AA7DCD5-CD78-4A7E-9A39-EF06237DF565}"/>
    <cellStyle name="40% - Accent6 4 3 2 2 2 2" xfId="35493" xr:uid="{B7C0224D-CE74-48B8-871E-A3A990F8018A}"/>
    <cellStyle name="40% - Accent6 4 3 2 2 3" xfId="26196" xr:uid="{42F553DB-77B3-4AE8-BA4F-1763E9481B93}"/>
    <cellStyle name="40% - Accent6 4 3 2 3" xfId="12680" xr:uid="{81BB96A7-2D6C-4691-8958-FF71AF1244E5}"/>
    <cellStyle name="40% - Accent6 4 3 2 3 2" xfId="31276" xr:uid="{281EB62F-512C-4D11-904B-E2A5612DE6AF}"/>
    <cellStyle name="40% - Accent6 4 3 2 4" xfId="21979" xr:uid="{D61EBC3A-6D97-485D-8196-2456E90FFE05}"/>
    <cellStyle name="40% - Accent6 4 3 3" xfId="5426" xr:uid="{00000000-0005-0000-0000-000062070000}"/>
    <cellStyle name="40% - Accent6 4 3 3 2" xfId="14752" xr:uid="{3A18F136-D00A-4AB8-9118-BBEEA5CB12F9}"/>
    <cellStyle name="40% - Accent6 4 3 3 2 2" xfId="33348" xr:uid="{762C0463-C6F6-47C7-B659-5065144606B1}"/>
    <cellStyle name="40% - Accent6 4 3 3 3" xfId="24051" xr:uid="{951DBCFC-014D-49FA-AA78-5C9EAEDCA7E0}"/>
    <cellStyle name="40% - Accent6 4 3 4" xfId="10535" xr:uid="{2B5A02A8-C0F4-41B6-A788-69878F503147}"/>
    <cellStyle name="40% - Accent6 4 3 4 2" xfId="29131" xr:uid="{EAE4EF13-5326-42F0-9783-C178D2E60078}"/>
    <cellStyle name="40% - Accent6 4 3 5" xfId="19834" xr:uid="{DEA0892B-215F-4B3B-9BD8-0D2AA5B9A663}"/>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E424A54E-7744-4E23-97EE-07E2FF2A8D7C}"/>
    <cellStyle name="40% - Accent6 4 4 2 2 2 2" xfId="35906" xr:uid="{5637E7EF-8EE8-4DC0-98A6-D211044646A4}"/>
    <cellStyle name="40% - Accent6 4 4 2 2 3" xfId="26609" xr:uid="{B2A78E83-A964-4F3A-8F66-1029856941A1}"/>
    <cellStyle name="40% - Accent6 4 4 2 3" xfId="13093" xr:uid="{40F91ABF-512E-4387-AFED-69F4CD4A086B}"/>
    <cellStyle name="40% - Accent6 4 4 2 3 2" xfId="31689" xr:uid="{84E5AF4C-3D19-4C79-A2C3-56DA0E726C3C}"/>
    <cellStyle name="40% - Accent6 4 4 2 4" xfId="22392" xr:uid="{3CBC1A22-6FD3-48DF-9719-F7CA84568BD9}"/>
    <cellStyle name="40% - Accent6 4 4 3" xfId="5839" xr:uid="{00000000-0005-0000-0000-000066070000}"/>
    <cellStyle name="40% - Accent6 4 4 3 2" xfId="15165" xr:uid="{B89BECC0-A4E0-4A8C-83BF-2534BFE0AEA9}"/>
    <cellStyle name="40% - Accent6 4 4 3 2 2" xfId="33761" xr:uid="{487FABF4-CE3E-4DBB-8C51-13BB10BFC5ED}"/>
    <cellStyle name="40% - Accent6 4 4 3 3" xfId="24464" xr:uid="{77B5CDC7-1626-4FAB-935F-646EB31E7AA1}"/>
    <cellStyle name="40% - Accent6 4 4 4" xfId="10948" xr:uid="{35EE3FBF-152C-4892-B325-B110087D36F1}"/>
    <cellStyle name="40% - Accent6 4 4 4 2" xfId="29544" xr:uid="{32A6AECA-DF1C-4B77-BEF6-1FC140BC2774}"/>
    <cellStyle name="40% - Accent6 4 4 5" xfId="20247" xr:uid="{51E954F4-F095-4184-B244-D313E5A7990E}"/>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172FF6A1-CB61-4C35-B881-968C188B1C23}"/>
    <cellStyle name="40% - Accent6 4 5 2 2 2 2" xfId="36319" xr:uid="{FC083EF3-4C44-44DF-A2AB-A95FB1B16411}"/>
    <cellStyle name="40% - Accent6 4 5 2 2 3" xfId="27022" xr:uid="{C4438DC7-B62A-4EEE-BC98-8356656D4676}"/>
    <cellStyle name="40% - Accent6 4 5 2 3" xfId="13506" xr:uid="{A5C0FC62-BDC1-448A-8656-CC6A6716516F}"/>
    <cellStyle name="40% - Accent6 4 5 2 3 2" xfId="32102" xr:uid="{45CE4B75-0E18-44DD-9496-AC23A4CF30CA}"/>
    <cellStyle name="40% - Accent6 4 5 2 4" xfId="22805" xr:uid="{B5970353-4E00-4CD2-B224-EE58C7F5F05F}"/>
    <cellStyle name="40% - Accent6 4 5 3" xfId="6252" xr:uid="{00000000-0005-0000-0000-00006A070000}"/>
    <cellStyle name="40% - Accent6 4 5 3 2" xfId="15578" xr:uid="{1726216D-4D7F-4239-BEE5-AF4C524B4136}"/>
    <cellStyle name="40% - Accent6 4 5 3 2 2" xfId="34174" xr:uid="{66821B21-6C08-446A-BF32-79A1FFA8CFC1}"/>
    <cellStyle name="40% - Accent6 4 5 3 3" xfId="24877" xr:uid="{8FA62F62-F15D-4714-886B-6460DBC7034B}"/>
    <cellStyle name="40% - Accent6 4 5 4" xfId="11361" xr:uid="{808B2BFE-838E-4762-A207-CCD4A4F9E875}"/>
    <cellStyle name="40% - Accent6 4 5 4 2" xfId="29957" xr:uid="{32434B54-3091-4371-A6ED-40D09EDCD6F5}"/>
    <cellStyle name="40% - Accent6 4 5 5" xfId="20660" xr:uid="{F507676C-F70F-43FC-A9E4-4A39EF24C53C}"/>
    <cellStyle name="40% - Accent6 4 6" xfId="2359" xr:uid="{00000000-0005-0000-0000-00006B070000}"/>
    <cellStyle name="40% - Accent6 4 6 2" xfId="6665" xr:uid="{00000000-0005-0000-0000-00006C070000}"/>
    <cellStyle name="40% - Accent6 4 6 2 2" xfId="15991" xr:uid="{105169C9-0314-4C24-B146-75A2C144ABED}"/>
    <cellStyle name="40% - Accent6 4 6 2 2 2" xfId="34587" xr:uid="{DA042B38-1A4F-4CBA-9821-A5BF83164AF3}"/>
    <cellStyle name="40% - Accent6 4 6 2 3" xfId="25290" xr:uid="{F8E1AC60-1685-4D9B-B9E4-40EA3B57FABC}"/>
    <cellStyle name="40% - Accent6 4 6 3" xfId="11774" xr:uid="{4F927571-17B8-4AD9-8710-F83787DEA7F2}"/>
    <cellStyle name="40% - Accent6 4 6 3 2" xfId="30370" xr:uid="{15C60587-0F6C-4B52-A0D4-F1A22F7BF58F}"/>
    <cellStyle name="40% - Accent6 4 6 4" xfId="21073" xr:uid="{69A58015-700D-474B-BD15-4453F69FAF5C}"/>
    <cellStyle name="40% - Accent6 4 7" xfId="4599" xr:uid="{00000000-0005-0000-0000-00006D070000}"/>
    <cellStyle name="40% - Accent6 4 7 2" xfId="13925" xr:uid="{8CEFC439-A765-43B4-A5CB-26A531950134}"/>
    <cellStyle name="40% - Accent6 4 7 2 2" xfId="32521" xr:uid="{B2F6D4D7-AED6-47B4-A2C5-B7681FE3EE75}"/>
    <cellStyle name="40% - Accent6 4 7 3" xfId="23224" xr:uid="{BDC07AE6-700E-420B-A7BD-4B80FC9DA562}"/>
    <cellStyle name="40% - Accent6 4 8" xfId="8958" xr:uid="{058203D5-6D6D-4106-8D68-93F66B236239}"/>
    <cellStyle name="40% - Accent6 4 8 2" xfId="18282" xr:uid="{FA586DD2-294D-48FA-9290-34995C2C813F}"/>
    <cellStyle name="40% - Accent6 4 8 2 2" xfId="36877" xr:uid="{3FE0A7B3-2D84-47B8-85FB-2B7C48D31FB2}"/>
    <cellStyle name="40% - Accent6 4 8 3" xfId="27580" xr:uid="{23F3A86E-7FE8-4319-BC20-7E9EEE85DF19}"/>
    <cellStyle name="40% - Accent6 4 9" xfId="9708" xr:uid="{A2337FFD-B579-46F0-99B4-D5AC2BCF9626}"/>
    <cellStyle name="40% - Accent6 4 9 2" xfId="28304" xr:uid="{73A1F2D2-073A-4EDC-B8BE-8D654B25B6FD}"/>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0BA51489-C1DF-4EEB-AF66-811E40E8AD93}"/>
    <cellStyle name="40% - Accent6 5 2 2 2 2" xfId="35073" xr:uid="{70898363-2AF9-4BCA-8825-9342EF7AF53C}"/>
    <cellStyle name="40% - Accent6 5 2 2 3" xfId="25776" xr:uid="{1E571B51-F2F5-49B4-B3E3-27234A629593}"/>
    <cellStyle name="40% - Accent6 5 2 3" xfId="12260" xr:uid="{2E1CDCB4-8192-443A-8806-12369B970A62}"/>
    <cellStyle name="40% - Accent6 5 2 3 2" xfId="30856" xr:uid="{9BDFE29B-4FA9-43B1-9171-C2DDE56B23BC}"/>
    <cellStyle name="40% - Accent6 5 2 4" xfId="21559" xr:uid="{813DFC49-BA40-4276-A029-D4D3B25A9D97}"/>
    <cellStyle name="40% - Accent6 5 3" xfId="5006" xr:uid="{00000000-0005-0000-0000-000071070000}"/>
    <cellStyle name="40% - Accent6 5 3 2" xfId="14332" xr:uid="{458C4821-F65A-4290-A259-A64CB65B9B49}"/>
    <cellStyle name="40% - Accent6 5 3 2 2" xfId="32928" xr:uid="{10A52085-D810-4218-9A90-248F3F615E39}"/>
    <cellStyle name="40% - Accent6 5 3 3" xfId="23631" xr:uid="{A5089549-9EF7-4773-B19E-7994F7DD1508}"/>
    <cellStyle name="40% - Accent6 5 4" xfId="9192" xr:uid="{19661A88-B46A-4EF9-A9F3-4BCF8E242108}"/>
    <cellStyle name="40% - Accent6 5 4 2" xfId="18509" xr:uid="{4A06FDB3-3EA5-4516-8F32-5E6F71CF92FA}"/>
    <cellStyle name="40% - Accent6 5 4 2 2" xfId="37103" xr:uid="{D46D4DF1-52E9-491C-A02F-739FA4100CCD}"/>
    <cellStyle name="40% - Accent6 5 4 3" xfId="27806" xr:uid="{E062913D-D9E7-43B6-B510-73EBEA815BEC}"/>
    <cellStyle name="40% - Accent6 5 5" xfId="10115" xr:uid="{24553D6A-65F4-428C-B412-CCAA23041DE6}"/>
    <cellStyle name="40% - Accent6 5 5 2" xfId="28711" xr:uid="{E8228B5C-6EBB-413E-BD07-C4B4C119DB27}"/>
    <cellStyle name="40% - Accent6 5 6" xfId="19414" xr:uid="{A664839F-7484-4F99-B531-5C8FE1E2A96A}"/>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BF2B65D3-13E8-4A45-B41D-DF11E7864CE6}"/>
    <cellStyle name="40% - Accent6 6 2 2 2 2" xfId="35486" xr:uid="{73780CC3-23AA-432C-B6B6-0BAB76DC8E12}"/>
    <cellStyle name="40% - Accent6 6 2 2 3" xfId="26189" xr:uid="{658ABD37-3E29-4508-8842-6B038D4B27A7}"/>
    <cellStyle name="40% - Accent6 6 2 3" xfId="12673" xr:uid="{8222ADC8-1A0F-41CB-939D-2A39FB9E318B}"/>
    <cellStyle name="40% - Accent6 6 2 3 2" xfId="31269" xr:uid="{A5EDDD39-EB54-4378-AE22-E0D70A200D70}"/>
    <cellStyle name="40% - Accent6 6 2 4" xfId="21972" xr:uid="{74C7C6A5-535F-4F18-A793-FA6DC6785E0B}"/>
    <cellStyle name="40% - Accent6 6 3" xfId="5419" xr:uid="{00000000-0005-0000-0000-000075070000}"/>
    <cellStyle name="40% - Accent6 6 3 2" xfId="14745" xr:uid="{4D4E1D20-589A-43C0-A235-5B71DFA561B5}"/>
    <cellStyle name="40% - Accent6 6 3 2 2" xfId="33341" xr:uid="{9A30FDCB-0D85-4FBC-8189-0746040FA718}"/>
    <cellStyle name="40% - Accent6 6 3 3" xfId="24044" xr:uid="{0DE8B035-3AEE-42D6-A297-268036379DBD}"/>
    <cellStyle name="40% - Accent6 6 4" xfId="10528" xr:uid="{B3AB8AF5-C80D-4702-B34D-0CFB640B65AD}"/>
    <cellStyle name="40% - Accent6 6 4 2" xfId="29124" xr:uid="{03B564A3-4709-4AE4-BC9F-797EC35C20C0}"/>
    <cellStyle name="40% - Accent6 6 5" xfId="19827" xr:uid="{E32222BA-C0D4-4D88-A12E-C4EC76F8816D}"/>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1CB2C511-9B42-43F5-9CBF-FF9132CF5BA2}"/>
    <cellStyle name="40% - Accent6 7 2 2 2 2" xfId="35899" xr:uid="{83D31EC1-B1FF-42C5-8F96-B45A1B87F012}"/>
    <cellStyle name="40% - Accent6 7 2 2 3" xfId="26602" xr:uid="{0F644637-DEA9-4BDC-85EA-7FD3DF83DEBC}"/>
    <cellStyle name="40% - Accent6 7 2 3" xfId="13086" xr:uid="{9C2C9C4B-89B6-4967-9779-BB8B0E63A7F0}"/>
    <cellStyle name="40% - Accent6 7 2 3 2" xfId="31682" xr:uid="{C9E38ABD-1332-493F-9FA6-502B67902A69}"/>
    <cellStyle name="40% - Accent6 7 2 4" xfId="22385" xr:uid="{E6CF6EDD-E8EE-4860-8236-FBDFDE865BB5}"/>
    <cellStyle name="40% - Accent6 7 3" xfId="5832" xr:uid="{00000000-0005-0000-0000-000079070000}"/>
    <cellStyle name="40% - Accent6 7 3 2" xfId="15158" xr:uid="{5F5705B2-6BBB-45E9-92E9-2F7ED6B87FAF}"/>
    <cellStyle name="40% - Accent6 7 3 2 2" xfId="33754" xr:uid="{469A2B44-BD58-4DC9-8282-2DAFA22CE978}"/>
    <cellStyle name="40% - Accent6 7 3 3" xfId="24457" xr:uid="{F105E0AF-D8EC-4087-A3E4-4C00674215B8}"/>
    <cellStyle name="40% - Accent6 7 4" xfId="10941" xr:uid="{88611E26-D6CB-48C6-A811-C908C46B9BD3}"/>
    <cellStyle name="40% - Accent6 7 4 2" xfId="29537" xr:uid="{8127CDE8-6CCA-44F0-95D4-B87D1C711803}"/>
    <cellStyle name="40% - Accent6 7 5" xfId="20240" xr:uid="{A0DEEC89-92DC-4311-AA0A-60A96EAB4FDB}"/>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60DAED4C-9634-43ED-BBC9-F065E625CABF}"/>
    <cellStyle name="40% - Accent6 8 2 2 2 2" xfId="36312" xr:uid="{92130E75-60CF-468F-9601-5BA053228349}"/>
    <cellStyle name="40% - Accent6 8 2 2 3" xfId="27015" xr:uid="{1BB448FF-809F-4522-ABC7-4EC226DEFAE1}"/>
    <cellStyle name="40% - Accent6 8 2 3" xfId="13499" xr:uid="{0BFA6ACD-6632-474D-935D-BC33F483085E}"/>
    <cellStyle name="40% - Accent6 8 2 3 2" xfId="32095" xr:uid="{8BD5C8CF-91DB-4058-A610-0878B1AA6A24}"/>
    <cellStyle name="40% - Accent6 8 2 4" xfId="22798" xr:uid="{E8DD6911-D4A5-41C6-A1C8-56DBA4F5B228}"/>
    <cellStyle name="40% - Accent6 8 3" xfId="6245" xr:uid="{00000000-0005-0000-0000-00007D070000}"/>
    <cellStyle name="40% - Accent6 8 3 2" xfId="15571" xr:uid="{35B07DFB-E258-40AE-AD5C-9D518B299215}"/>
    <cellStyle name="40% - Accent6 8 3 2 2" xfId="34167" xr:uid="{F25F7CC8-40CD-43F8-80F8-27EFC46B748F}"/>
    <cellStyle name="40% - Accent6 8 3 3" xfId="24870" xr:uid="{F2B8D38A-FF6F-4A29-AA16-580499A8B475}"/>
    <cellStyle name="40% - Accent6 8 4" xfId="11354" xr:uid="{62AE3CB9-3376-4EBB-896A-5D62D63BDFFA}"/>
    <cellStyle name="40% - Accent6 8 4 2" xfId="29950" xr:uid="{F306178A-F1AA-4CDC-AA5D-567A7FA9F93E}"/>
    <cellStyle name="40% - Accent6 8 5" xfId="20653" xr:uid="{47DB3ED4-C0E2-454B-8025-67414F912402}"/>
    <cellStyle name="40% - Accent6 9" xfId="2352" xr:uid="{00000000-0005-0000-0000-00007E070000}"/>
    <cellStyle name="40% - Accent6 9 2" xfId="6658" xr:uid="{00000000-0005-0000-0000-00007F070000}"/>
    <cellStyle name="40% - Accent6 9 2 2" xfId="15984" xr:uid="{6A3BCE83-330E-43B0-9F4C-EB67F51369FA}"/>
    <cellStyle name="40% - Accent6 9 2 2 2" xfId="34580" xr:uid="{AF5971E9-E767-44CF-8F0B-F366F4D4F3F0}"/>
    <cellStyle name="40% - Accent6 9 2 3" xfId="25283" xr:uid="{24E00EEF-96D7-41A3-9282-CA8C9CF80B5C}"/>
    <cellStyle name="40% - Accent6 9 3" xfId="11767" xr:uid="{DD1B0909-EF53-4451-BC1C-6CFE0A41DE7F}"/>
    <cellStyle name="40% - Accent6 9 3 2" xfId="30363" xr:uid="{8B2790DF-4124-4CB4-84E1-3D8889E71763}"/>
    <cellStyle name="40% - Accent6 9 4" xfId="21066" xr:uid="{D35878B7-C4C7-4618-829B-F600A03D4F97}"/>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63AEDB30-245A-4934-9EAE-64A121233921}"/>
    <cellStyle name="Comma 4 2 2 2 10 2 2 2" xfId="34905" xr:uid="{280BB3CD-79AA-4B89-8CAC-13340F17FFE6}"/>
    <cellStyle name="Comma 4 2 2 2 10 2 3" xfId="25608" xr:uid="{8745FFB4-174B-45E8-AD41-A95745E2F34D}"/>
    <cellStyle name="Comma 4 2 2 2 10 3" xfId="12092" xr:uid="{5C32065E-C30F-457C-9570-CE7DD4286147}"/>
    <cellStyle name="Comma 4 2 2 2 10 3 2" xfId="30688" xr:uid="{406EB591-7E2F-4B39-93A5-DA92B9DF8620}"/>
    <cellStyle name="Comma 4 2 2 2 10 4" xfId="21391" xr:uid="{9F7F761B-A869-4021-9D96-E990D114D255}"/>
    <cellStyle name="Comma 4 2 2 2 11" xfId="4600" xr:uid="{00000000-0005-0000-0000-0000A3070000}"/>
    <cellStyle name="Comma 4 2 2 2 11 2" xfId="13926" xr:uid="{B14F33B5-C830-4828-8B12-F3BACAE7E574}"/>
    <cellStyle name="Comma 4 2 2 2 11 2 2" xfId="32522" xr:uid="{E2E32D0C-3E2F-456A-B7A5-32700CBC65F7}"/>
    <cellStyle name="Comma 4 2 2 2 11 3" xfId="23225" xr:uid="{430975C7-EFA6-4F1D-BE76-67785CB5B298}"/>
    <cellStyle name="Comma 4 2 2 2 12" xfId="8806" xr:uid="{6C773D0B-D2E3-4A8C-B041-8DA2843B9E25}"/>
    <cellStyle name="Comma 4 2 2 2 12 2" xfId="18130" xr:uid="{40616E87-1357-42DA-BB23-418D3769483A}"/>
    <cellStyle name="Comma 4 2 2 2 12 2 2" xfId="36725" xr:uid="{84253F65-9517-414E-A40A-8F083A109E8F}"/>
    <cellStyle name="Comma 4 2 2 2 12 3" xfId="27428" xr:uid="{D5DA24F7-A8BA-40FE-BD6C-DDAC37B4A9CE}"/>
    <cellStyle name="Comma 4 2 2 2 13" xfId="9709" xr:uid="{50247DE7-06E9-478E-A006-113B169930A1}"/>
    <cellStyle name="Comma 4 2 2 2 13 2" xfId="28305" xr:uid="{1A49B3D4-B883-4AD0-AF0E-50FF61B0AA63}"/>
    <cellStyle name="Comma 4 2 2 2 14" xfId="19008" xr:uid="{AFB21945-3B27-4519-8C21-A97340F6F8EB}"/>
    <cellStyle name="Comma 4 2 2 2 2" xfId="129" xr:uid="{00000000-0005-0000-0000-0000A4070000}"/>
    <cellStyle name="Comma 4 2 2 2 2 10" xfId="4601" xr:uid="{00000000-0005-0000-0000-0000A5070000}"/>
    <cellStyle name="Comma 4 2 2 2 2 10 2" xfId="13927" xr:uid="{96114F59-D928-4AF5-8A1A-BA500E4EAC7B}"/>
    <cellStyle name="Comma 4 2 2 2 2 10 2 2" xfId="32523" xr:uid="{29AEEF52-7F98-48D6-8A9D-512728EDEC3E}"/>
    <cellStyle name="Comma 4 2 2 2 2 10 3" xfId="23226" xr:uid="{DC6499D5-8876-4600-B48D-170BAAEAD808}"/>
    <cellStyle name="Comma 4 2 2 2 2 11" xfId="8909" xr:uid="{477FCE05-1F49-4658-A03C-A8A5E7983C47}"/>
    <cellStyle name="Comma 4 2 2 2 2 11 2" xfId="18233" xr:uid="{FEF07089-970E-448A-9531-35F758433ED2}"/>
    <cellStyle name="Comma 4 2 2 2 2 11 2 2" xfId="36828" xr:uid="{1C9676B3-145B-4CDA-9EBF-93823AA74B45}"/>
    <cellStyle name="Comma 4 2 2 2 2 11 3" xfId="27531" xr:uid="{821DE782-9846-4C9E-9A22-C5DEF5C59F40}"/>
    <cellStyle name="Comma 4 2 2 2 2 12" xfId="9710" xr:uid="{FB44D678-0475-4B1A-9ED7-01B7A986A989}"/>
    <cellStyle name="Comma 4 2 2 2 2 12 2" xfId="28306" xr:uid="{34EAEC6D-3E5D-461B-871B-01606D3196F8}"/>
    <cellStyle name="Comma 4 2 2 2 2 13" xfId="19009" xr:uid="{98F33DC4-4A05-4F07-ABC0-967801DB5A80}"/>
    <cellStyle name="Comma 4 2 2 2 2 2" xfId="130" xr:uid="{00000000-0005-0000-0000-0000A6070000}"/>
    <cellStyle name="Comma 4 2 2 2 2 2 10" xfId="9116" xr:uid="{7A07505D-6B4C-4086-90B5-B5D345FB7611}"/>
    <cellStyle name="Comma 4 2 2 2 2 2 10 2" xfId="18440" xr:uid="{EADBB6EF-7451-4AD0-911E-E880A499C319}"/>
    <cellStyle name="Comma 4 2 2 2 2 2 10 2 2" xfId="37035" xr:uid="{AB766765-6A36-4441-9C85-CD525A5310BA}"/>
    <cellStyle name="Comma 4 2 2 2 2 2 10 3" xfId="27738" xr:uid="{15C13846-C683-47C2-AD21-01637E2E2AEB}"/>
    <cellStyle name="Comma 4 2 2 2 2 2 11" xfId="9711" xr:uid="{FF875B0E-6B1F-42F2-B2A2-74455A0617BB}"/>
    <cellStyle name="Comma 4 2 2 2 2 2 11 2" xfId="28307" xr:uid="{F110F807-1580-4B19-B934-6B7CDF409651}"/>
    <cellStyle name="Comma 4 2 2 2 2 2 12" xfId="19010" xr:uid="{5222E014-8419-43D2-82FE-2C8CCF6036D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16B3A90A-7486-4285-9E6F-DFEC3C13CEE9}"/>
    <cellStyle name="Comma 4 2 2 2 2 2 2 2 2 2 2" xfId="35083" xr:uid="{FBA0CB58-F1A0-4EE6-B5E5-8301064899F2}"/>
    <cellStyle name="Comma 4 2 2 2 2 2 2 2 2 3" xfId="25786" xr:uid="{703272C3-CFCA-4CC5-A4EC-4CA36187D4BE}"/>
    <cellStyle name="Comma 4 2 2 2 2 2 2 2 3" xfId="12270" xr:uid="{9655964A-07F9-4221-AFFF-54CAFA89AFAF}"/>
    <cellStyle name="Comma 4 2 2 2 2 2 2 2 3 2" xfId="30866" xr:uid="{8C27CE00-C916-4DB0-997E-6906977C6226}"/>
    <cellStyle name="Comma 4 2 2 2 2 2 2 2 4" xfId="21569" xr:uid="{4BA263F8-6066-4914-AB5B-58E9DE11C428}"/>
    <cellStyle name="Comma 4 2 2 2 2 2 2 3" xfId="5016" xr:uid="{00000000-0005-0000-0000-0000AA070000}"/>
    <cellStyle name="Comma 4 2 2 2 2 2 2 3 2" xfId="14342" xr:uid="{F2BA08B5-1ED1-49AB-8898-25F432E20601}"/>
    <cellStyle name="Comma 4 2 2 2 2 2 2 3 2 2" xfId="32938" xr:uid="{ACC6E449-0F6E-4939-B572-D4F03CA87A0C}"/>
    <cellStyle name="Comma 4 2 2 2 2 2 2 3 3" xfId="23641" xr:uid="{D3B728B4-24A6-48CB-84CA-02EC944E4440}"/>
    <cellStyle name="Comma 4 2 2 2 2 2 2 4" xfId="9541" xr:uid="{21DC771E-83A2-48BA-BE40-3E9E8454DE28}"/>
    <cellStyle name="Comma 4 2 2 2 2 2 2 4 2" xfId="18856" xr:uid="{8885715E-4218-4406-98F1-33C9CD29FB8E}"/>
    <cellStyle name="Comma 4 2 2 2 2 2 2 4 2 2" xfId="37450" xr:uid="{80575710-F575-4950-8EB7-7ED1BB94BB50}"/>
    <cellStyle name="Comma 4 2 2 2 2 2 2 4 3" xfId="28153" xr:uid="{DBD4E2B2-39D6-4819-BDF7-F12A07B82A96}"/>
    <cellStyle name="Comma 4 2 2 2 2 2 2 5" xfId="10125" xr:uid="{6753E6FA-5BF3-4BDC-B727-6557277DFAE7}"/>
    <cellStyle name="Comma 4 2 2 2 2 2 2 5 2" xfId="28721" xr:uid="{FC14C8BA-EF44-46CC-9C1A-1BF082320371}"/>
    <cellStyle name="Comma 4 2 2 2 2 2 2 6" xfId="19424" xr:uid="{BFED2C69-3090-405E-B594-A38FB209D33E}"/>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D131DD8A-1905-4285-9655-4937ACB83FB1}"/>
    <cellStyle name="Comma 4 2 2 2 2 2 3 2 2 2 2" xfId="35496" xr:uid="{342481DA-0CF0-4242-B8A2-5DF30764DC7B}"/>
    <cellStyle name="Comma 4 2 2 2 2 2 3 2 2 3" xfId="26199" xr:uid="{D1D605EB-A43F-42E4-B0EE-FF8AE31EF23E}"/>
    <cellStyle name="Comma 4 2 2 2 2 2 3 2 3" xfId="12683" xr:uid="{6885F72C-B490-4C34-8A45-C07151F29296}"/>
    <cellStyle name="Comma 4 2 2 2 2 2 3 2 3 2" xfId="31279" xr:uid="{5ADD0823-A919-4C1D-B52A-44C77F51F88E}"/>
    <cellStyle name="Comma 4 2 2 2 2 2 3 2 4" xfId="21982" xr:uid="{2F5A95B9-833B-4054-9780-E91A918C6C17}"/>
    <cellStyle name="Comma 4 2 2 2 2 2 3 3" xfId="5429" xr:uid="{00000000-0005-0000-0000-0000AE070000}"/>
    <cellStyle name="Comma 4 2 2 2 2 2 3 3 2" xfId="14755" xr:uid="{2D23AD03-D897-4532-AB5D-6D7A15E2ED54}"/>
    <cellStyle name="Comma 4 2 2 2 2 2 3 3 2 2" xfId="33351" xr:uid="{F011EEDD-03C1-437A-B7AB-6F5C2BDE022F}"/>
    <cellStyle name="Comma 4 2 2 2 2 2 3 3 3" xfId="24054" xr:uid="{8ADCE417-D293-4D34-BF3D-EF81641307AA}"/>
    <cellStyle name="Comma 4 2 2 2 2 2 3 4" xfId="10538" xr:uid="{4EF5CFBD-7745-4CEC-987F-EBAEFD377C9E}"/>
    <cellStyle name="Comma 4 2 2 2 2 2 3 4 2" xfId="29134" xr:uid="{A711CDC8-CA7A-4C28-998D-CA81A74978EF}"/>
    <cellStyle name="Comma 4 2 2 2 2 2 3 5" xfId="19837" xr:uid="{06EFEE42-DE8E-4B88-A11C-07B73275314B}"/>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0C70EFBA-80C6-46A4-86CE-70D907F89E10}"/>
    <cellStyle name="Comma 4 2 2 2 2 2 4 2 2 2 2" xfId="35909" xr:uid="{6C9F2926-B5CE-4F2A-9DB0-8FCB26253B49}"/>
    <cellStyle name="Comma 4 2 2 2 2 2 4 2 2 3" xfId="26612" xr:uid="{D0A2FF35-96D3-4BA5-905E-A24089AF2B5B}"/>
    <cellStyle name="Comma 4 2 2 2 2 2 4 2 3" xfId="13096" xr:uid="{20283CB3-F65E-423E-B439-D158122E1167}"/>
    <cellStyle name="Comma 4 2 2 2 2 2 4 2 3 2" xfId="31692" xr:uid="{6893255A-6021-4237-84C5-29F85138E851}"/>
    <cellStyle name="Comma 4 2 2 2 2 2 4 2 4" xfId="22395" xr:uid="{18404464-8673-494D-A589-033BC7CA6D8F}"/>
    <cellStyle name="Comma 4 2 2 2 2 2 4 3" xfId="5842" xr:uid="{00000000-0005-0000-0000-0000B2070000}"/>
    <cellStyle name="Comma 4 2 2 2 2 2 4 3 2" xfId="15168" xr:uid="{44FEB1AA-E2DA-4025-86A9-EA86C2DEC130}"/>
    <cellStyle name="Comma 4 2 2 2 2 2 4 3 2 2" xfId="33764" xr:uid="{F19D26C5-0873-4E5E-BD95-3B6313C3438B}"/>
    <cellStyle name="Comma 4 2 2 2 2 2 4 3 3" xfId="24467" xr:uid="{6BA729D0-987D-4621-BAC6-A265095E5464}"/>
    <cellStyle name="Comma 4 2 2 2 2 2 4 4" xfId="10951" xr:uid="{2C615D87-E9B9-4D54-B6A3-948A731BF6CB}"/>
    <cellStyle name="Comma 4 2 2 2 2 2 4 4 2" xfId="29547" xr:uid="{9F477A92-1893-4E77-9E47-54A7F0B68BF2}"/>
    <cellStyle name="Comma 4 2 2 2 2 2 4 5" xfId="20250" xr:uid="{C6AC5CDD-7BFF-41CC-9CA4-89FF8C1CC42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EAF23598-F957-4E43-BEFB-08616635C239}"/>
    <cellStyle name="Comma 4 2 2 2 2 2 5 2 2 2 2" xfId="36322" xr:uid="{DBF5CA04-B5E2-420D-9FDB-DBCC5158924F}"/>
    <cellStyle name="Comma 4 2 2 2 2 2 5 2 2 3" xfId="27025" xr:uid="{53A07A51-29C9-45A2-A864-588ADB38D0BF}"/>
    <cellStyle name="Comma 4 2 2 2 2 2 5 2 3" xfId="13509" xr:uid="{20937B30-A62A-45D6-AFA4-ADE83422CB82}"/>
    <cellStyle name="Comma 4 2 2 2 2 2 5 2 3 2" xfId="32105" xr:uid="{D659B7D6-27CC-4FDD-8BF7-8A0FE5D9153C}"/>
    <cellStyle name="Comma 4 2 2 2 2 2 5 2 4" xfId="22808" xr:uid="{E64208C0-2901-407E-8D44-6EED307BB547}"/>
    <cellStyle name="Comma 4 2 2 2 2 2 5 3" xfId="6255" xr:uid="{00000000-0005-0000-0000-0000B6070000}"/>
    <cellStyle name="Comma 4 2 2 2 2 2 5 3 2" xfId="15581" xr:uid="{D3CEF372-7DAA-42BA-866E-15A19F7E170D}"/>
    <cellStyle name="Comma 4 2 2 2 2 2 5 3 2 2" xfId="34177" xr:uid="{023DBB52-C858-4322-B5F2-746CAD503FB9}"/>
    <cellStyle name="Comma 4 2 2 2 2 2 5 3 3" xfId="24880" xr:uid="{3523CF09-1950-4B7F-9E46-43E8C72401D2}"/>
    <cellStyle name="Comma 4 2 2 2 2 2 5 4" xfId="11364" xr:uid="{CFC5AC57-EB7D-40EE-BF7E-73592EFEE70B}"/>
    <cellStyle name="Comma 4 2 2 2 2 2 5 4 2" xfId="29960" xr:uid="{0EB83B07-9C19-4F52-879B-AB44A847C411}"/>
    <cellStyle name="Comma 4 2 2 2 2 2 5 5" xfId="20663" xr:uid="{96A2021D-FB7E-48F7-8E61-37900A67FF19}"/>
    <cellStyle name="Comma 4 2 2 2 2 2 6" xfId="2384" xr:uid="{00000000-0005-0000-0000-0000B7070000}"/>
    <cellStyle name="Comma 4 2 2 2 2 2 6 2" xfId="6668" xr:uid="{00000000-0005-0000-0000-0000B8070000}"/>
    <cellStyle name="Comma 4 2 2 2 2 2 6 2 2" xfId="15994" xr:uid="{65D7A10F-A856-46EE-942E-213E0AAB41DA}"/>
    <cellStyle name="Comma 4 2 2 2 2 2 6 2 2 2" xfId="34590" xr:uid="{321CB138-6FFB-4D76-B8BF-7001F2140843}"/>
    <cellStyle name="Comma 4 2 2 2 2 2 6 2 3" xfId="25293" xr:uid="{EB705909-B8AD-44CC-B56D-5448BB0FE4FE}"/>
    <cellStyle name="Comma 4 2 2 2 2 2 6 3" xfId="11777" xr:uid="{BCBA3DCE-7FFA-423D-A602-E5218E0C46A0}"/>
    <cellStyle name="Comma 4 2 2 2 2 2 6 3 2" xfId="30373" xr:uid="{25F572B5-1E16-41B4-B77E-5E52530ED2E3}"/>
    <cellStyle name="Comma 4 2 2 2 2 2 6 4" xfId="21076" xr:uid="{22BA8CA8-D786-4656-9666-372F75DCC8E6}"/>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00B03F9B-B6E2-4D6A-888D-6EC8BA7BEB9C}"/>
    <cellStyle name="Comma 4 2 2 2 2 2 8 2 2 2" xfId="34907" xr:uid="{884FFA00-3738-401C-9029-C35A60CF8633}"/>
    <cellStyle name="Comma 4 2 2 2 2 2 8 2 3" xfId="25610" xr:uid="{08280A9D-F1FF-4D91-A28A-BB01862A96EC}"/>
    <cellStyle name="Comma 4 2 2 2 2 2 8 3" xfId="12094" xr:uid="{5CE20D49-1931-4B7E-BE5E-F9A98C05BDDE}"/>
    <cellStyle name="Comma 4 2 2 2 2 2 8 3 2" xfId="30690" xr:uid="{29F67CC7-3EE3-40B0-AF9F-3AF4148D3F60}"/>
    <cellStyle name="Comma 4 2 2 2 2 2 8 4" xfId="21393" xr:uid="{DFA56386-AD19-49CD-89BD-CCF2D1C6E406}"/>
    <cellStyle name="Comma 4 2 2 2 2 2 9" xfId="4602" xr:uid="{00000000-0005-0000-0000-0000BC070000}"/>
    <cellStyle name="Comma 4 2 2 2 2 2 9 2" xfId="13928" xr:uid="{F69626CB-E5D6-4CB7-AB3D-C193F56B7565}"/>
    <cellStyle name="Comma 4 2 2 2 2 2 9 2 2" xfId="32524" xr:uid="{624F1DCA-79EE-4A58-BB21-CD0E3E55AC5D}"/>
    <cellStyle name="Comma 4 2 2 2 2 2 9 3" xfId="23227" xr:uid="{BD34DC3F-0E98-4B3E-B1BC-5A325B485925}"/>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1FDD5FD8-35EA-498E-B1DA-19C473EE1E84}"/>
    <cellStyle name="Comma 4 2 2 2 2 3 2 2 2 2" xfId="35082" xr:uid="{4A3AD388-3237-49BB-BEDD-D57F95273DA4}"/>
    <cellStyle name="Comma 4 2 2 2 2 3 2 2 3" xfId="25785" xr:uid="{09E83378-86F5-4AAB-B9B1-383005077FC1}"/>
    <cellStyle name="Comma 4 2 2 2 2 3 2 3" xfId="12269" xr:uid="{82D371F4-D34B-4703-8AA0-31DF2D97704D}"/>
    <cellStyle name="Comma 4 2 2 2 2 3 2 3 2" xfId="30865" xr:uid="{BFC1A7E6-B9E4-40AE-B6BB-7BC29BE5F77E}"/>
    <cellStyle name="Comma 4 2 2 2 2 3 2 4" xfId="21568" xr:uid="{40319688-AF9F-4123-9FE7-A0A9B06FADFB}"/>
    <cellStyle name="Comma 4 2 2 2 2 3 3" xfId="5015" xr:uid="{00000000-0005-0000-0000-0000C0070000}"/>
    <cellStyle name="Comma 4 2 2 2 2 3 3 2" xfId="14341" xr:uid="{53320172-78C4-49D4-A922-B4CE2E0BF60F}"/>
    <cellStyle name="Comma 4 2 2 2 2 3 3 2 2" xfId="32937" xr:uid="{91A45DFD-E52A-4B9D-B014-C989DA02AB87}"/>
    <cellStyle name="Comma 4 2 2 2 2 3 3 3" xfId="23640" xr:uid="{56D7A66E-D369-4CD6-8B02-4A98E41C97ED}"/>
    <cellStyle name="Comma 4 2 2 2 2 3 4" xfId="9334" xr:uid="{50E8807F-6450-4082-BD30-0A86C2E78D0E}"/>
    <cellStyle name="Comma 4 2 2 2 2 3 4 2" xfId="18649" xr:uid="{BD72C0C8-4DF5-4B78-AF69-DA8AE19E2104}"/>
    <cellStyle name="Comma 4 2 2 2 2 3 4 2 2" xfId="37243" xr:uid="{B5629FB5-3E5B-484F-99E9-0110BED0DC77}"/>
    <cellStyle name="Comma 4 2 2 2 2 3 4 3" xfId="27946" xr:uid="{D9153FC0-CB39-452F-B59A-2F4881D232D8}"/>
    <cellStyle name="Comma 4 2 2 2 2 3 5" xfId="10124" xr:uid="{E916DEEF-8D43-48C3-BBFA-6F75177CF1F7}"/>
    <cellStyle name="Comma 4 2 2 2 2 3 5 2" xfId="28720" xr:uid="{D604E687-E7D6-463C-823C-9508EA7FA29C}"/>
    <cellStyle name="Comma 4 2 2 2 2 3 6" xfId="19423" xr:uid="{39FBE79D-4607-4913-A38E-B7362FED38D2}"/>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644978F8-1F1A-412A-8167-378032995F1C}"/>
    <cellStyle name="Comma 4 2 2 2 2 4 2 2 2 2" xfId="35495" xr:uid="{D796234F-826B-49AF-9478-D21C99EC3FE2}"/>
    <cellStyle name="Comma 4 2 2 2 2 4 2 2 3" xfId="26198" xr:uid="{4413361D-C4E1-4909-8DE3-DFB7015B5415}"/>
    <cellStyle name="Comma 4 2 2 2 2 4 2 3" xfId="12682" xr:uid="{FFD7C4F6-32E5-4CD0-B1D6-CFC550BC6892}"/>
    <cellStyle name="Comma 4 2 2 2 2 4 2 3 2" xfId="31278" xr:uid="{DE36D84C-5FB4-4008-BCD9-57D2D616F49F}"/>
    <cellStyle name="Comma 4 2 2 2 2 4 2 4" xfId="21981" xr:uid="{6C133473-9D77-42F7-9D07-2410F639BC52}"/>
    <cellStyle name="Comma 4 2 2 2 2 4 3" xfId="5428" xr:uid="{00000000-0005-0000-0000-0000C4070000}"/>
    <cellStyle name="Comma 4 2 2 2 2 4 3 2" xfId="14754" xr:uid="{708325E8-32E0-468F-B923-6D5A8D011AFD}"/>
    <cellStyle name="Comma 4 2 2 2 2 4 3 2 2" xfId="33350" xr:uid="{4E8EBD82-7BA2-4C2C-8A0C-66C6AA455776}"/>
    <cellStyle name="Comma 4 2 2 2 2 4 3 3" xfId="24053" xr:uid="{8536BB1E-C10E-4BA0-9046-A39D86A2515E}"/>
    <cellStyle name="Comma 4 2 2 2 2 4 4" xfId="10537" xr:uid="{41A33BD1-9264-41C0-A1ED-A31A8FA599B9}"/>
    <cellStyle name="Comma 4 2 2 2 2 4 4 2" xfId="29133" xr:uid="{44CD9649-D0EA-4D9D-967C-510A8BF76EDE}"/>
    <cellStyle name="Comma 4 2 2 2 2 4 5" xfId="19836" xr:uid="{CD68E907-C4CC-4B8C-8FB6-57C385F2401F}"/>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B20DDD72-C644-4F02-9F08-9DF8E8882467}"/>
    <cellStyle name="Comma 4 2 2 2 2 5 2 2 2 2" xfId="35908" xr:uid="{49FCB1F4-2322-423E-9D08-7F0559068350}"/>
    <cellStyle name="Comma 4 2 2 2 2 5 2 2 3" xfId="26611" xr:uid="{02BFCD6A-1667-4908-BB51-37109F9451ED}"/>
    <cellStyle name="Comma 4 2 2 2 2 5 2 3" xfId="13095" xr:uid="{43962820-B15A-4414-8228-A821A749E766}"/>
    <cellStyle name="Comma 4 2 2 2 2 5 2 3 2" xfId="31691" xr:uid="{9E6BD8B8-132E-41F9-ACCC-A2254DE9D87C}"/>
    <cellStyle name="Comma 4 2 2 2 2 5 2 4" xfId="22394" xr:uid="{52D2BB01-1F5F-458E-AEE3-A9313D2F028B}"/>
    <cellStyle name="Comma 4 2 2 2 2 5 3" xfId="5841" xr:uid="{00000000-0005-0000-0000-0000C8070000}"/>
    <cellStyle name="Comma 4 2 2 2 2 5 3 2" xfId="15167" xr:uid="{82CAE3EB-5759-4E8E-AA76-FF14E4DA234C}"/>
    <cellStyle name="Comma 4 2 2 2 2 5 3 2 2" xfId="33763" xr:uid="{A54AB74E-C7E5-458C-ACAD-64AE3BEA9D9E}"/>
    <cellStyle name="Comma 4 2 2 2 2 5 3 3" xfId="24466" xr:uid="{5573D489-0C4F-4A2C-A426-5EAE88699237}"/>
    <cellStyle name="Comma 4 2 2 2 2 5 4" xfId="10950" xr:uid="{C3408D19-8E00-4E21-9F3B-9C3974C264E3}"/>
    <cellStyle name="Comma 4 2 2 2 2 5 4 2" xfId="29546" xr:uid="{CFA70CC2-DC8F-4F7C-A58B-BDB1564FD6AD}"/>
    <cellStyle name="Comma 4 2 2 2 2 5 5" xfId="20249" xr:uid="{21133A43-7F50-421A-B7DE-2EFFC7C16B43}"/>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92379D86-B84F-4DCB-AF0F-4A66AE2AE7D0}"/>
    <cellStyle name="Comma 4 2 2 2 2 6 2 2 2 2" xfId="36321" xr:uid="{CC200396-8017-47F9-B53F-86299A28F3FA}"/>
    <cellStyle name="Comma 4 2 2 2 2 6 2 2 3" xfId="27024" xr:uid="{160467F5-6BB7-4A22-9C77-A667CDC740CD}"/>
    <cellStyle name="Comma 4 2 2 2 2 6 2 3" xfId="13508" xr:uid="{4CB14134-7EAC-4240-A7DA-5FC5F948980E}"/>
    <cellStyle name="Comma 4 2 2 2 2 6 2 3 2" xfId="32104" xr:uid="{20C675A6-1839-4D57-AF61-C2DADF10FE6F}"/>
    <cellStyle name="Comma 4 2 2 2 2 6 2 4" xfId="22807" xr:uid="{7ACE730A-3B69-47FB-BB8C-A01359E9E1B9}"/>
    <cellStyle name="Comma 4 2 2 2 2 6 3" xfId="6254" xr:uid="{00000000-0005-0000-0000-0000CC070000}"/>
    <cellStyle name="Comma 4 2 2 2 2 6 3 2" xfId="15580" xr:uid="{F1D88BC4-9750-4221-B4BD-B36AE4C79CDC}"/>
    <cellStyle name="Comma 4 2 2 2 2 6 3 2 2" xfId="34176" xr:uid="{F79F322E-3DCE-4885-9380-30F483372A0D}"/>
    <cellStyle name="Comma 4 2 2 2 2 6 3 3" xfId="24879" xr:uid="{9DFE325A-7477-4FF1-9CC9-C9D9E56E8FD7}"/>
    <cellStyle name="Comma 4 2 2 2 2 6 4" xfId="11363" xr:uid="{95403AEF-22FF-4B2D-B5F5-582C1AB72D2D}"/>
    <cellStyle name="Comma 4 2 2 2 2 6 4 2" xfId="29959" xr:uid="{2E5BE704-9AAE-4E0F-B0EA-41711B0440F5}"/>
    <cellStyle name="Comma 4 2 2 2 2 6 5" xfId="20662" xr:uid="{535C0080-412F-4894-86C8-08E5E43525CD}"/>
    <cellStyle name="Comma 4 2 2 2 2 7" xfId="2383" xr:uid="{00000000-0005-0000-0000-0000CD070000}"/>
    <cellStyle name="Comma 4 2 2 2 2 7 2" xfId="6667" xr:uid="{00000000-0005-0000-0000-0000CE070000}"/>
    <cellStyle name="Comma 4 2 2 2 2 7 2 2" xfId="15993" xr:uid="{06B7F115-7E20-4A37-8EA1-D332799E34C3}"/>
    <cellStyle name="Comma 4 2 2 2 2 7 2 2 2" xfId="34589" xr:uid="{04C07B7C-96D0-46D9-A716-FE923C93A0B3}"/>
    <cellStyle name="Comma 4 2 2 2 2 7 2 3" xfId="25292" xr:uid="{FCC360B8-316B-4431-97FC-39E936DA922B}"/>
    <cellStyle name="Comma 4 2 2 2 2 7 3" xfId="11776" xr:uid="{014CAC99-F5FD-4C13-A856-372FDF4F4332}"/>
    <cellStyle name="Comma 4 2 2 2 2 7 3 2" xfId="30372" xr:uid="{6EF24E72-F3CC-4CE1-A590-9F6A70D1E12B}"/>
    <cellStyle name="Comma 4 2 2 2 2 7 4" xfId="21075" xr:uid="{EBD04831-9DC4-4DEE-85BF-DCEE34ED3EAE}"/>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8A95C3BD-405E-45BD-8BB4-A46A02ECA439}"/>
    <cellStyle name="Comma 4 2 2 2 2 9 2 2 2" xfId="34906" xr:uid="{95D0AEFB-169A-462A-B14E-98724D6C1C9F}"/>
    <cellStyle name="Comma 4 2 2 2 2 9 2 3" xfId="25609" xr:uid="{8E355ECF-555D-44EE-BA23-456A4FF3A48A}"/>
    <cellStyle name="Comma 4 2 2 2 2 9 3" xfId="12093" xr:uid="{CE60A860-3553-49F4-83D0-D648FAD680D3}"/>
    <cellStyle name="Comma 4 2 2 2 2 9 3 2" xfId="30689" xr:uid="{D92F8DC8-1BFC-41C5-B52D-FC13C7C9AD60}"/>
    <cellStyle name="Comma 4 2 2 2 2 9 4" xfId="21392" xr:uid="{3769A0CD-76EC-4A2D-B193-6927014E440F}"/>
    <cellStyle name="Comma 4 2 2 2 3" xfId="131" xr:uid="{00000000-0005-0000-0000-0000D2070000}"/>
    <cellStyle name="Comma 4 2 2 2 3 10" xfId="9013" xr:uid="{D7491CA1-A7A0-4099-A659-9FB418CDDACA}"/>
    <cellStyle name="Comma 4 2 2 2 3 10 2" xfId="18337" xr:uid="{A40BA70A-187F-47B8-8DC9-EA335CB6395B}"/>
    <cellStyle name="Comma 4 2 2 2 3 10 2 2" xfId="36932" xr:uid="{B5DCC839-920F-4AE1-83A3-2604E1729DDC}"/>
    <cellStyle name="Comma 4 2 2 2 3 10 3" xfId="27635" xr:uid="{A1E281C0-B349-40F9-A98D-10D42770F32E}"/>
    <cellStyle name="Comma 4 2 2 2 3 11" xfId="9712" xr:uid="{94105CB1-4953-4DF6-847F-EA44D3E90050}"/>
    <cellStyle name="Comma 4 2 2 2 3 11 2" xfId="28308" xr:uid="{F1DB329B-22BD-455A-BFB1-BF01BCAEB62B}"/>
    <cellStyle name="Comma 4 2 2 2 3 12" xfId="19011" xr:uid="{94D079C8-753F-4969-8687-85D5B776BC5F}"/>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9DE98DF8-E77B-4BAD-9720-1825892EA01A}"/>
    <cellStyle name="Comma 4 2 2 2 3 2 2 2 2 2" xfId="35084" xr:uid="{EE6DEE6B-E854-4ED0-AD90-620C17CCC83B}"/>
    <cellStyle name="Comma 4 2 2 2 3 2 2 2 3" xfId="25787" xr:uid="{12F40F5D-275D-4A3B-ABB2-EC285D866204}"/>
    <cellStyle name="Comma 4 2 2 2 3 2 2 3" xfId="12271" xr:uid="{6175B811-FDFF-4538-B4A3-8B3994E78C76}"/>
    <cellStyle name="Comma 4 2 2 2 3 2 2 3 2" xfId="30867" xr:uid="{3967AEC3-9431-4B45-9AD8-C58294216488}"/>
    <cellStyle name="Comma 4 2 2 2 3 2 2 4" xfId="21570" xr:uid="{1C466B6F-A74D-44E5-998E-709343B5398A}"/>
    <cellStyle name="Comma 4 2 2 2 3 2 3" xfId="5017" xr:uid="{00000000-0005-0000-0000-0000D6070000}"/>
    <cellStyle name="Comma 4 2 2 2 3 2 3 2" xfId="14343" xr:uid="{8BE7481E-260D-4C1B-B599-55A14F418767}"/>
    <cellStyle name="Comma 4 2 2 2 3 2 3 2 2" xfId="32939" xr:uid="{27C56637-600C-46F2-944C-C5A141C78EEE}"/>
    <cellStyle name="Comma 4 2 2 2 3 2 3 3" xfId="23642" xr:uid="{E4C4A8FD-618E-43C5-8FA0-00E77DB0D977}"/>
    <cellStyle name="Comma 4 2 2 2 3 2 4" xfId="9438" xr:uid="{8E9C4341-814A-43D1-8D35-8CCC512A2E32}"/>
    <cellStyle name="Comma 4 2 2 2 3 2 4 2" xfId="18753" xr:uid="{512BE686-42E0-4C38-9FDE-6A0604347316}"/>
    <cellStyle name="Comma 4 2 2 2 3 2 4 2 2" xfId="37347" xr:uid="{C2025D9D-1DC4-4991-B2BF-0150CEB955C1}"/>
    <cellStyle name="Comma 4 2 2 2 3 2 4 3" xfId="28050" xr:uid="{BC87F67B-489C-442A-B0CA-4EF4C2331293}"/>
    <cellStyle name="Comma 4 2 2 2 3 2 5" xfId="10126" xr:uid="{6FAD23CD-84E2-4FE5-AC51-4845D3D6A303}"/>
    <cellStyle name="Comma 4 2 2 2 3 2 5 2" xfId="28722" xr:uid="{C6728C74-B1AE-4E6F-B3A2-7EE908528D59}"/>
    <cellStyle name="Comma 4 2 2 2 3 2 6" xfId="19425" xr:uid="{7456978D-C6FE-4C79-A96F-EF6259D83FF9}"/>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54359785-355A-4500-87B2-7A1A230694DF}"/>
    <cellStyle name="Comma 4 2 2 2 3 3 2 2 2 2" xfId="35497" xr:uid="{B6B69A0F-4895-4116-A0FC-24CB875EE728}"/>
    <cellStyle name="Comma 4 2 2 2 3 3 2 2 3" xfId="26200" xr:uid="{6D0A5DD9-A32C-4F40-9A1A-FC8D4FECAA54}"/>
    <cellStyle name="Comma 4 2 2 2 3 3 2 3" xfId="12684" xr:uid="{D3313EF3-CD63-4262-AD12-C058A7DD66F1}"/>
    <cellStyle name="Comma 4 2 2 2 3 3 2 3 2" xfId="31280" xr:uid="{90231BA7-22B2-4E64-8605-FC283E643209}"/>
    <cellStyle name="Comma 4 2 2 2 3 3 2 4" xfId="21983" xr:uid="{FDB9F4AA-1FA3-449B-A015-4398E6512AC7}"/>
    <cellStyle name="Comma 4 2 2 2 3 3 3" xfId="5430" xr:uid="{00000000-0005-0000-0000-0000DA070000}"/>
    <cellStyle name="Comma 4 2 2 2 3 3 3 2" xfId="14756" xr:uid="{5ED19125-7720-4EB9-A8B1-FF716D462E78}"/>
    <cellStyle name="Comma 4 2 2 2 3 3 3 2 2" xfId="33352" xr:uid="{1266E36F-EBB0-4F65-8B30-50E85BCC8EBE}"/>
    <cellStyle name="Comma 4 2 2 2 3 3 3 3" xfId="24055" xr:uid="{8EA1B82E-54C6-4E26-AAA9-41F394040446}"/>
    <cellStyle name="Comma 4 2 2 2 3 3 4" xfId="10539" xr:uid="{280D063B-4347-4B4D-AB0A-C4505FBF9207}"/>
    <cellStyle name="Comma 4 2 2 2 3 3 4 2" xfId="29135" xr:uid="{8E345F79-FF4D-4E97-BACE-D5FD6B19AC50}"/>
    <cellStyle name="Comma 4 2 2 2 3 3 5" xfId="19838" xr:uid="{A0610817-DBB6-447D-9C01-9DC5994989C6}"/>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34E4B876-987E-4D54-BEFB-A4292B8D19BE}"/>
    <cellStyle name="Comma 4 2 2 2 3 4 2 2 2 2" xfId="35910" xr:uid="{7953EA7A-455C-48A6-9DE5-C0F3B610138E}"/>
    <cellStyle name="Comma 4 2 2 2 3 4 2 2 3" xfId="26613" xr:uid="{7A56FECC-98D6-4FC2-B4F6-8EC352010148}"/>
    <cellStyle name="Comma 4 2 2 2 3 4 2 3" xfId="13097" xr:uid="{FE476311-C672-4FF8-9945-54B58BA84A5A}"/>
    <cellStyle name="Comma 4 2 2 2 3 4 2 3 2" xfId="31693" xr:uid="{3DECBAA7-7104-4C89-8B1D-7655AB1A8448}"/>
    <cellStyle name="Comma 4 2 2 2 3 4 2 4" xfId="22396" xr:uid="{384492C3-AE14-484D-82A9-DE242679FEB8}"/>
    <cellStyle name="Comma 4 2 2 2 3 4 3" xfId="5843" xr:uid="{00000000-0005-0000-0000-0000DE070000}"/>
    <cellStyle name="Comma 4 2 2 2 3 4 3 2" xfId="15169" xr:uid="{B6DB86B2-D05C-49CB-8588-22DB41AEEF00}"/>
    <cellStyle name="Comma 4 2 2 2 3 4 3 2 2" xfId="33765" xr:uid="{5B465FF9-42C1-4BF7-B3D4-8B062698C22B}"/>
    <cellStyle name="Comma 4 2 2 2 3 4 3 3" xfId="24468" xr:uid="{859AC43E-C476-4B23-B10F-E0E3A0C576A2}"/>
    <cellStyle name="Comma 4 2 2 2 3 4 4" xfId="10952" xr:uid="{DEC03E6C-6E54-4E93-9D56-56175B4AA217}"/>
    <cellStyle name="Comma 4 2 2 2 3 4 4 2" xfId="29548" xr:uid="{61DD5032-35D6-4574-8CCA-9E82C87F5835}"/>
    <cellStyle name="Comma 4 2 2 2 3 4 5" xfId="20251" xr:uid="{A11DE702-A953-4510-8BEE-B30F243F44D1}"/>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80B497EC-A62D-48D3-9620-02F04E928BF9}"/>
    <cellStyle name="Comma 4 2 2 2 3 5 2 2 2 2" xfId="36323" xr:uid="{72821965-8025-470D-A77E-6DBD1BC9E873}"/>
    <cellStyle name="Comma 4 2 2 2 3 5 2 2 3" xfId="27026" xr:uid="{1AC85920-D7A5-4C6E-91F4-4C46F86568D4}"/>
    <cellStyle name="Comma 4 2 2 2 3 5 2 3" xfId="13510" xr:uid="{3620EBD5-5132-42EA-A79E-FCC5974E1769}"/>
    <cellStyle name="Comma 4 2 2 2 3 5 2 3 2" xfId="32106" xr:uid="{0F80FA3B-6EE0-4F46-A118-D67826603AD9}"/>
    <cellStyle name="Comma 4 2 2 2 3 5 2 4" xfId="22809" xr:uid="{2512DAE1-EDBD-444B-999C-099EEF3497BF}"/>
    <cellStyle name="Comma 4 2 2 2 3 5 3" xfId="6256" xr:uid="{00000000-0005-0000-0000-0000E2070000}"/>
    <cellStyle name="Comma 4 2 2 2 3 5 3 2" xfId="15582" xr:uid="{05C5E5BD-0831-4ABB-B419-EE82919D26B4}"/>
    <cellStyle name="Comma 4 2 2 2 3 5 3 2 2" xfId="34178" xr:uid="{0A132D4A-ADAA-4A90-8113-3A7CFBE77540}"/>
    <cellStyle name="Comma 4 2 2 2 3 5 3 3" xfId="24881" xr:uid="{582C62CD-C289-4810-BA8C-A68D9D61AF9C}"/>
    <cellStyle name="Comma 4 2 2 2 3 5 4" xfId="11365" xr:uid="{C1817DEC-F3EA-4C51-B2A2-96126547AC9F}"/>
    <cellStyle name="Comma 4 2 2 2 3 5 4 2" xfId="29961" xr:uid="{9DD92852-4767-47C3-8D8C-6DF30D4097F9}"/>
    <cellStyle name="Comma 4 2 2 2 3 5 5" xfId="20664" xr:uid="{86A96840-D9A7-4166-9FE7-67C55304E08A}"/>
    <cellStyle name="Comma 4 2 2 2 3 6" xfId="2385" xr:uid="{00000000-0005-0000-0000-0000E3070000}"/>
    <cellStyle name="Comma 4 2 2 2 3 6 2" xfId="6669" xr:uid="{00000000-0005-0000-0000-0000E4070000}"/>
    <cellStyle name="Comma 4 2 2 2 3 6 2 2" xfId="15995" xr:uid="{21709C3E-B119-4077-8D2B-56840E478C08}"/>
    <cellStyle name="Comma 4 2 2 2 3 6 2 2 2" xfId="34591" xr:uid="{FF906812-7A59-454C-9602-7EDF8F1CE810}"/>
    <cellStyle name="Comma 4 2 2 2 3 6 2 3" xfId="25294" xr:uid="{9FAE9B69-A68F-4D10-9641-6E12515E216F}"/>
    <cellStyle name="Comma 4 2 2 2 3 6 3" xfId="11778" xr:uid="{6AB6D540-5954-4F44-9188-7984168B6273}"/>
    <cellStyle name="Comma 4 2 2 2 3 6 3 2" xfId="30374" xr:uid="{0CC6C812-0205-48DD-A35D-8F7C5E0419C3}"/>
    <cellStyle name="Comma 4 2 2 2 3 6 4" xfId="21077" xr:uid="{F4172747-D16A-407B-945D-1C9FF707F4C0}"/>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B1912956-787E-4FBD-9056-D98C0BAEFFE7}"/>
    <cellStyle name="Comma 4 2 2 2 3 8 2 2 2" xfId="34908" xr:uid="{A6086ABE-C8FF-4E46-B284-5B54769DB485}"/>
    <cellStyle name="Comma 4 2 2 2 3 8 2 3" xfId="25611" xr:uid="{225B1178-E66C-41B8-9C4C-B31B2084120E}"/>
    <cellStyle name="Comma 4 2 2 2 3 8 3" xfId="12095" xr:uid="{547EF925-AC5A-4A37-9C32-2116CF23A78A}"/>
    <cellStyle name="Comma 4 2 2 2 3 8 3 2" xfId="30691" xr:uid="{5EC0B83D-225B-42E6-9315-80824491179E}"/>
    <cellStyle name="Comma 4 2 2 2 3 8 4" xfId="21394" xr:uid="{7BE6416E-F58B-4849-A6C2-885037D13DF1}"/>
    <cellStyle name="Comma 4 2 2 2 3 9" xfId="4603" xr:uid="{00000000-0005-0000-0000-0000E8070000}"/>
    <cellStyle name="Comma 4 2 2 2 3 9 2" xfId="13929" xr:uid="{85AFFD9D-6021-4FA0-BB2C-3C7132002CA9}"/>
    <cellStyle name="Comma 4 2 2 2 3 9 2 2" xfId="32525" xr:uid="{27C9B606-1360-449D-9D9D-77E7329E78A6}"/>
    <cellStyle name="Comma 4 2 2 2 3 9 3" xfId="23228" xr:uid="{07488D97-1FBA-4942-946F-C71B688B76D0}"/>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41608FCF-0122-4E8F-8800-FFF70072E6AC}"/>
    <cellStyle name="Comma 4 2 2 2 4 2 2 2 2" xfId="35081" xr:uid="{EC7BCFE9-6037-49CA-98F2-4FEA3C1B1F43}"/>
    <cellStyle name="Comma 4 2 2 2 4 2 2 3" xfId="25784" xr:uid="{62EC4A58-B047-4A13-B518-F333FABD9E28}"/>
    <cellStyle name="Comma 4 2 2 2 4 2 3" xfId="12268" xr:uid="{22FC0FCC-AD91-4F1F-A37C-066B3BEB8C79}"/>
    <cellStyle name="Comma 4 2 2 2 4 2 3 2" xfId="30864" xr:uid="{A2CFF20E-EFC1-4A96-813D-64CA488C0E5E}"/>
    <cellStyle name="Comma 4 2 2 2 4 2 4" xfId="21567" xr:uid="{4E20EB13-21C3-45E4-AC82-B2C1062F97B4}"/>
    <cellStyle name="Comma 4 2 2 2 4 3" xfId="5014" xr:uid="{00000000-0005-0000-0000-0000EC070000}"/>
    <cellStyle name="Comma 4 2 2 2 4 3 2" xfId="14340" xr:uid="{AA9D2D2A-5014-418C-963C-3F3E2E0D3D3B}"/>
    <cellStyle name="Comma 4 2 2 2 4 3 2 2" xfId="32936" xr:uid="{C66839B8-FC5C-4F4C-8450-ED582683D265}"/>
    <cellStyle name="Comma 4 2 2 2 4 3 3" xfId="23639" xr:uid="{5A8BB7AE-0486-49C6-B793-C916FE529B93}"/>
    <cellStyle name="Comma 4 2 2 2 4 4" xfId="9231" xr:uid="{31DAC97A-9492-467B-9850-183797A56FBE}"/>
    <cellStyle name="Comma 4 2 2 2 4 4 2" xfId="18546" xr:uid="{5445FC7D-DDC6-40A0-882F-CDBAF9FF5E94}"/>
    <cellStyle name="Comma 4 2 2 2 4 4 2 2" xfId="37140" xr:uid="{FCD47356-F758-4E47-BFC5-C2A54EA5F289}"/>
    <cellStyle name="Comma 4 2 2 2 4 4 3" xfId="27843" xr:uid="{50FB0F00-6B1B-4EF1-9FBD-967F7234E9A9}"/>
    <cellStyle name="Comma 4 2 2 2 4 5" xfId="10123" xr:uid="{B0261C07-3E90-443A-A63C-B7E72D849778}"/>
    <cellStyle name="Comma 4 2 2 2 4 5 2" xfId="28719" xr:uid="{727C2F79-A801-4240-A3AD-3A8A17A7282E}"/>
    <cellStyle name="Comma 4 2 2 2 4 6" xfId="19422" xr:uid="{7960DB17-C854-455F-91E6-5036B29C5557}"/>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8B6FFBCC-092B-4259-A256-464602ACE098}"/>
    <cellStyle name="Comma 4 2 2 2 5 2 2 2 2" xfId="35494" xr:uid="{C18AC369-561E-4253-9576-002DF999DADF}"/>
    <cellStyle name="Comma 4 2 2 2 5 2 2 3" xfId="26197" xr:uid="{17ABF16D-5D1F-45DD-B530-3BAF52B90216}"/>
    <cellStyle name="Comma 4 2 2 2 5 2 3" xfId="12681" xr:uid="{A8D9F6EB-8A94-4E87-9722-B76D090B6B0C}"/>
    <cellStyle name="Comma 4 2 2 2 5 2 3 2" xfId="31277" xr:uid="{6E14EB0F-043D-46DE-8499-3D3C1DEE265A}"/>
    <cellStyle name="Comma 4 2 2 2 5 2 4" xfId="21980" xr:uid="{2F06073C-A4CC-4DF9-ACF8-5121B00ED820}"/>
    <cellStyle name="Comma 4 2 2 2 5 3" xfId="5427" xr:uid="{00000000-0005-0000-0000-0000F0070000}"/>
    <cellStyle name="Comma 4 2 2 2 5 3 2" xfId="14753" xr:uid="{B690C333-9DDF-48E9-A1D0-5251DA84CB57}"/>
    <cellStyle name="Comma 4 2 2 2 5 3 2 2" xfId="33349" xr:uid="{9ACE73BA-38BF-4B3B-A3DB-604A1FC41E8F}"/>
    <cellStyle name="Comma 4 2 2 2 5 3 3" xfId="24052" xr:uid="{7B41DE62-9387-40CE-A62A-4B46E21583C8}"/>
    <cellStyle name="Comma 4 2 2 2 5 4" xfId="10536" xr:uid="{CDCF3F77-CED8-4322-A2EB-1EB58D980B0F}"/>
    <cellStyle name="Comma 4 2 2 2 5 4 2" xfId="29132" xr:uid="{451CE18E-7738-4B58-8F24-01EE6CF112B2}"/>
    <cellStyle name="Comma 4 2 2 2 5 5" xfId="19835" xr:uid="{B47BE4F6-9235-4213-89B4-41F53771D809}"/>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DBFCB2A2-29C8-41AE-BD97-6A338153EFFC}"/>
    <cellStyle name="Comma 4 2 2 2 6 2 2 2 2" xfId="35907" xr:uid="{C24D42DF-075D-44C5-B674-28A72852B403}"/>
    <cellStyle name="Comma 4 2 2 2 6 2 2 3" xfId="26610" xr:uid="{F23F1A94-962C-4C7E-B4A4-C0E8801A6117}"/>
    <cellStyle name="Comma 4 2 2 2 6 2 3" xfId="13094" xr:uid="{7AA3BBBB-EA66-4C7E-BC56-3ED3544215B7}"/>
    <cellStyle name="Comma 4 2 2 2 6 2 3 2" xfId="31690" xr:uid="{DFE1B2DF-5BFA-42C5-BB48-9D03C16B660B}"/>
    <cellStyle name="Comma 4 2 2 2 6 2 4" xfId="22393" xr:uid="{9DF8E699-2FF0-478A-9BB9-A5EC58F35EBA}"/>
    <cellStyle name="Comma 4 2 2 2 6 3" xfId="5840" xr:uid="{00000000-0005-0000-0000-0000F4070000}"/>
    <cellStyle name="Comma 4 2 2 2 6 3 2" xfId="15166" xr:uid="{84D5BA51-3981-4B03-8616-8E329003CEDB}"/>
    <cellStyle name="Comma 4 2 2 2 6 3 2 2" xfId="33762" xr:uid="{E79A29E5-8F59-48ED-B5E0-9CEC3546A282}"/>
    <cellStyle name="Comma 4 2 2 2 6 3 3" xfId="24465" xr:uid="{CF69F7CA-B359-402C-ADCB-06E1AD590AA5}"/>
    <cellStyle name="Comma 4 2 2 2 6 4" xfId="10949" xr:uid="{5FDB9A01-EB50-40B3-8E0A-9AF5BAF6A452}"/>
    <cellStyle name="Comma 4 2 2 2 6 4 2" xfId="29545" xr:uid="{ABA87D85-4CA7-4430-A4E6-E08FB29061EF}"/>
    <cellStyle name="Comma 4 2 2 2 6 5" xfId="20248" xr:uid="{D000B981-B3BB-406F-88D4-A84548970A32}"/>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BB3C44E9-6E4C-4A22-BF52-0B62BFF5D82E}"/>
    <cellStyle name="Comma 4 2 2 2 7 2 2 2 2" xfId="36320" xr:uid="{D1BE3C15-AF32-4F6A-B2CE-9050387B8449}"/>
    <cellStyle name="Comma 4 2 2 2 7 2 2 3" xfId="27023" xr:uid="{3F4E110F-96D8-41A2-9D16-FB8DBBFF48E4}"/>
    <cellStyle name="Comma 4 2 2 2 7 2 3" xfId="13507" xr:uid="{DB93971C-F15F-4C09-A4B5-BF3A1882BB78}"/>
    <cellStyle name="Comma 4 2 2 2 7 2 3 2" xfId="32103" xr:uid="{246FAF1F-9B64-4F4B-8032-C3F49AE1BB23}"/>
    <cellStyle name="Comma 4 2 2 2 7 2 4" xfId="22806" xr:uid="{BDBCC14C-8D42-44AF-BD57-87C6086B20DA}"/>
    <cellStyle name="Comma 4 2 2 2 7 3" xfId="6253" xr:uid="{00000000-0005-0000-0000-0000F8070000}"/>
    <cellStyle name="Comma 4 2 2 2 7 3 2" xfId="15579" xr:uid="{417896B1-16F1-4E54-AB82-E3AB8CA99D1B}"/>
    <cellStyle name="Comma 4 2 2 2 7 3 2 2" xfId="34175" xr:uid="{3E2CAC5D-266A-4DBA-BBF9-E2A3EA8ABFC8}"/>
    <cellStyle name="Comma 4 2 2 2 7 3 3" xfId="24878" xr:uid="{EB823216-CEF0-4BA3-A4BF-DCC952250F84}"/>
    <cellStyle name="Comma 4 2 2 2 7 4" xfId="11362" xr:uid="{061B89AC-2BA9-4A05-B709-3B0FBA52613E}"/>
    <cellStyle name="Comma 4 2 2 2 7 4 2" xfId="29958" xr:uid="{ACE796A8-2672-402A-A325-870EE861C3F0}"/>
    <cellStyle name="Comma 4 2 2 2 7 5" xfId="20661" xr:uid="{4CAF56AF-A23E-4676-9986-86F6119D8EED}"/>
    <cellStyle name="Comma 4 2 2 2 8" xfId="2382" xr:uid="{00000000-0005-0000-0000-0000F9070000}"/>
    <cellStyle name="Comma 4 2 2 2 8 2" xfId="6666" xr:uid="{00000000-0005-0000-0000-0000FA070000}"/>
    <cellStyle name="Comma 4 2 2 2 8 2 2" xfId="15992" xr:uid="{CD397DCE-A5A0-4FA2-AF6B-0E0B45792491}"/>
    <cellStyle name="Comma 4 2 2 2 8 2 2 2" xfId="34588" xr:uid="{CFA228F5-7EAD-4568-A242-2FD916154B4B}"/>
    <cellStyle name="Comma 4 2 2 2 8 2 3" xfId="25291" xr:uid="{DE50481C-1FF0-4C2F-9A6E-7055D68D8437}"/>
    <cellStyle name="Comma 4 2 2 2 8 3" xfId="11775" xr:uid="{DB7965D8-26E0-4E1F-850A-A77EE0C2C8A9}"/>
    <cellStyle name="Comma 4 2 2 2 8 3 2" xfId="30371" xr:uid="{58C7607E-E6AC-4C8D-ABD8-C0ABFF4239D9}"/>
    <cellStyle name="Comma 4 2 2 2 8 4" xfId="21074" xr:uid="{F92AB83D-FD2F-441A-BD0A-F02151D21339}"/>
    <cellStyle name="Comma 4 2 2 2 9" xfId="2381" xr:uid="{00000000-0005-0000-0000-0000FB070000}"/>
    <cellStyle name="Comma 4 2 2 3" xfId="132" xr:uid="{00000000-0005-0000-0000-0000FC070000}"/>
    <cellStyle name="Comma 4 2 2 3 10" xfId="4604" xr:uid="{00000000-0005-0000-0000-0000FD070000}"/>
    <cellStyle name="Comma 4 2 2 3 10 2" xfId="13930" xr:uid="{091435F7-075C-48B0-9078-52A99B9D868D}"/>
    <cellStyle name="Comma 4 2 2 3 10 2 2" xfId="32526" xr:uid="{BC3448AC-DEA1-416E-81DC-2A369CD84C29}"/>
    <cellStyle name="Comma 4 2 2 3 10 3" xfId="23229" xr:uid="{9D055AA0-A461-47B1-BE85-DD2CCB15246C}"/>
    <cellStyle name="Comma 4 2 2 3 11" xfId="8889" xr:uid="{93813409-C042-4436-8561-B0237A135E7D}"/>
    <cellStyle name="Comma 4 2 2 3 11 2" xfId="18213" xr:uid="{481CD2C4-7E89-493D-BF4F-08967637A078}"/>
    <cellStyle name="Comma 4 2 2 3 11 2 2" xfId="36808" xr:uid="{25616B80-C9FD-44BC-A9E2-424C5F2E01BD}"/>
    <cellStyle name="Comma 4 2 2 3 11 3" xfId="27511" xr:uid="{7C0587D0-8C4B-4BF2-AB2B-2E0F71FAB6C7}"/>
    <cellStyle name="Comma 4 2 2 3 12" xfId="9713" xr:uid="{86E93DE0-56D6-4F35-9276-10C126F8CA34}"/>
    <cellStyle name="Comma 4 2 2 3 12 2" xfId="28309" xr:uid="{A8C1D627-AA3E-4252-AC47-C0C2ADF999C5}"/>
    <cellStyle name="Comma 4 2 2 3 13" xfId="19012" xr:uid="{6616D996-592F-4A7B-9F69-6AAFB764FABB}"/>
    <cellStyle name="Comma 4 2 2 3 2" xfId="133" xr:uid="{00000000-0005-0000-0000-0000FE070000}"/>
    <cellStyle name="Comma 4 2 2 3 2 10" xfId="9096" xr:uid="{C395B6CC-7E3E-452B-B5AB-BBF992A45CEB}"/>
    <cellStyle name="Comma 4 2 2 3 2 10 2" xfId="18420" xr:uid="{E8B45A58-8171-49FA-B41A-02016D409804}"/>
    <cellStyle name="Comma 4 2 2 3 2 10 2 2" xfId="37015" xr:uid="{E775F070-F672-499A-8288-7B676AA5AC4D}"/>
    <cellStyle name="Comma 4 2 2 3 2 10 3" xfId="27718" xr:uid="{2714B5E1-71D1-44B3-8801-AD243452BF89}"/>
    <cellStyle name="Comma 4 2 2 3 2 11" xfId="9714" xr:uid="{3F492A98-8543-42C8-95FF-9D0D2F038123}"/>
    <cellStyle name="Comma 4 2 2 3 2 11 2" xfId="28310" xr:uid="{73A3006A-C10D-48C5-B99B-F1F7B6A4B042}"/>
    <cellStyle name="Comma 4 2 2 3 2 12" xfId="19013" xr:uid="{12B4817D-B24D-40E8-B2CD-6F6590D6FB62}"/>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2767FDF3-7568-46DE-80DD-EC37D0713369}"/>
    <cellStyle name="Comma 4 2 2 3 2 2 2 2 2 2" xfId="35086" xr:uid="{B997DAE3-9004-4287-8656-0710854009C9}"/>
    <cellStyle name="Comma 4 2 2 3 2 2 2 2 3" xfId="25789" xr:uid="{1CA1CEDE-DF60-4FCF-8005-4CC37530308C}"/>
    <cellStyle name="Comma 4 2 2 3 2 2 2 3" xfId="12273" xr:uid="{9F8DC992-4E07-469D-A247-E97C733794D3}"/>
    <cellStyle name="Comma 4 2 2 3 2 2 2 3 2" xfId="30869" xr:uid="{C947362F-31D7-415B-9C21-5042C5AA2262}"/>
    <cellStyle name="Comma 4 2 2 3 2 2 2 4" xfId="21572" xr:uid="{1DB83CE7-0CF6-4A56-9AFE-D3F76A08FBF4}"/>
    <cellStyle name="Comma 4 2 2 3 2 2 3" xfId="5019" xr:uid="{00000000-0005-0000-0000-000002080000}"/>
    <cellStyle name="Comma 4 2 2 3 2 2 3 2" xfId="14345" xr:uid="{939D9C5C-699F-472D-8AA4-99C1097117E3}"/>
    <cellStyle name="Comma 4 2 2 3 2 2 3 2 2" xfId="32941" xr:uid="{3B03656A-2FE8-425C-8C4D-3569C1B4BEA4}"/>
    <cellStyle name="Comma 4 2 2 3 2 2 3 3" xfId="23644" xr:uid="{62B38F09-B19A-4401-80D9-E2C147265A04}"/>
    <cellStyle name="Comma 4 2 2 3 2 2 4" xfId="9521" xr:uid="{8F14F654-C711-4E70-8A06-71F68E70E2E0}"/>
    <cellStyle name="Comma 4 2 2 3 2 2 4 2" xfId="18836" xr:uid="{2383699C-1A57-423B-AD92-3CDE968FEB95}"/>
    <cellStyle name="Comma 4 2 2 3 2 2 4 2 2" xfId="37430" xr:uid="{C13F6D35-4FF2-4829-B2A1-026812602F7F}"/>
    <cellStyle name="Comma 4 2 2 3 2 2 4 3" xfId="28133" xr:uid="{06CF2EE6-537A-4FE6-86BB-8EBB3BA6FFBA}"/>
    <cellStyle name="Comma 4 2 2 3 2 2 5" xfId="10128" xr:uid="{8C5840A8-7720-4FD0-AB4D-5F1FA44E1F16}"/>
    <cellStyle name="Comma 4 2 2 3 2 2 5 2" xfId="28724" xr:uid="{3CFFC31E-2D02-414F-8081-84EF3C7BFCD9}"/>
    <cellStyle name="Comma 4 2 2 3 2 2 6" xfId="19427" xr:uid="{21FEDB4E-83B9-4B69-A11B-44A08BD62A42}"/>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5F1D15CC-B7AA-43CF-888F-54593D189A66}"/>
    <cellStyle name="Comma 4 2 2 3 2 3 2 2 2 2" xfId="35499" xr:uid="{BD89FD5A-D3C8-421C-BA2E-738033ABD844}"/>
    <cellStyle name="Comma 4 2 2 3 2 3 2 2 3" xfId="26202" xr:uid="{D0D4C3C7-4781-46C0-B0B5-A6526FA7789B}"/>
    <cellStyle name="Comma 4 2 2 3 2 3 2 3" xfId="12686" xr:uid="{6EB3F7D7-B7E8-41C7-A31F-8F538B292D33}"/>
    <cellStyle name="Comma 4 2 2 3 2 3 2 3 2" xfId="31282" xr:uid="{4E5B736D-A411-4FA3-8EDC-9E571298331E}"/>
    <cellStyle name="Comma 4 2 2 3 2 3 2 4" xfId="21985" xr:uid="{91DF7BAE-5E5C-4844-B2D4-4E307BE8A1DE}"/>
    <cellStyle name="Comma 4 2 2 3 2 3 3" xfId="5432" xr:uid="{00000000-0005-0000-0000-000006080000}"/>
    <cellStyle name="Comma 4 2 2 3 2 3 3 2" xfId="14758" xr:uid="{A70F4489-5829-4030-82F8-5F88933B64C3}"/>
    <cellStyle name="Comma 4 2 2 3 2 3 3 2 2" xfId="33354" xr:uid="{E0E42357-4956-482F-BE3F-5E48835E2FCD}"/>
    <cellStyle name="Comma 4 2 2 3 2 3 3 3" xfId="24057" xr:uid="{BACB8C6F-73A5-41C5-B34D-C6697CCF1942}"/>
    <cellStyle name="Comma 4 2 2 3 2 3 4" xfId="10541" xr:uid="{59CD2E25-5D44-43F6-AB71-45BCD224B95E}"/>
    <cellStyle name="Comma 4 2 2 3 2 3 4 2" xfId="29137" xr:uid="{FDE4D90D-474F-47F9-A83F-9B2E02783FD7}"/>
    <cellStyle name="Comma 4 2 2 3 2 3 5" xfId="19840" xr:uid="{64408728-08C2-4399-AF2A-4C14BB3A8E3F}"/>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566D5C41-B075-4BFF-8431-E042EE36F319}"/>
    <cellStyle name="Comma 4 2 2 3 2 4 2 2 2 2" xfId="35912" xr:uid="{275A0124-5525-41E7-AE12-19FFDC4DA892}"/>
    <cellStyle name="Comma 4 2 2 3 2 4 2 2 3" xfId="26615" xr:uid="{59A6CCCF-7988-4460-B5BA-A622F0D2E8A4}"/>
    <cellStyle name="Comma 4 2 2 3 2 4 2 3" xfId="13099" xr:uid="{68A94C04-347E-4796-BA01-2B9E04004E41}"/>
    <cellStyle name="Comma 4 2 2 3 2 4 2 3 2" xfId="31695" xr:uid="{6EC981FC-47C5-4D90-AF24-E2816EA2F746}"/>
    <cellStyle name="Comma 4 2 2 3 2 4 2 4" xfId="22398" xr:uid="{63CE6072-607E-4108-950D-57CDDA0133BA}"/>
    <cellStyle name="Comma 4 2 2 3 2 4 3" xfId="5845" xr:uid="{00000000-0005-0000-0000-00000A080000}"/>
    <cellStyle name="Comma 4 2 2 3 2 4 3 2" xfId="15171" xr:uid="{02C0294E-911A-4203-BE4D-20D0D0DC6E39}"/>
    <cellStyle name="Comma 4 2 2 3 2 4 3 2 2" xfId="33767" xr:uid="{C90C3EF8-2F2B-4684-BD92-90B56FE3161E}"/>
    <cellStyle name="Comma 4 2 2 3 2 4 3 3" xfId="24470" xr:uid="{434FAB08-02F4-45C0-8F69-3BF12DD34A21}"/>
    <cellStyle name="Comma 4 2 2 3 2 4 4" xfId="10954" xr:uid="{33FFC17E-1F38-4263-93F8-02AB616F08D2}"/>
    <cellStyle name="Comma 4 2 2 3 2 4 4 2" xfId="29550" xr:uid="{D052BEAF-394E-4244-A494-0855CEBCACB0}"/>
    <cellStyle name="Comma 4 2 2 3 2 4 5" xfId="20253" xr:uid="{A50C2D1D-E419-484C-A3C2-1AC4CECD3B24}"/>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BB35551A-AAC9-4AC7-915F-286BD5486FAC}"/>
    <cellStyle name="Comma 4 2 2 3 2 5 2 2 2 2" xfId="36325" xr:uid="{805E3B61-3847-4B97-BEAE-2D3865D1F7CE}"/>
    <cellStyle name="Comma 4 2 2 3 2 5 2 2 3" xfId="27028" xr:uid="{BF28C547-72BC-4ED2-8F31-1C04678CB17A}"/>
    <cellStyle name="Comma 4 2 2 3 2 5 2 3" xfId="13512" xr:uid="{7E96D9E5-5FF8-4861-827F-32DD57DD0D73}"/>
    <cellStyle name="Comma 4 2 2 3 2 5 2 3 2" xfId="32108" xr:uid="{E7C7BAAC-52A5-4383-AE00-8BA8F31EDB3A}"/>
    <cellStyle name="Comma 4 2 2 3 2 5 2 4" xfId="22811" xr:uid="{07519BD0-D62A-435F-B4F3-20C89B0388FD}"/>
    <cellStyle name="Comma 4 2 2 3 2 5 3" xfId="6258" xr:uid="{00000000-0005-0000-0000-00000E080000}"/>
    <cellStyle name="Comma 4 2 2 3 2 5 3 2" xfId="15584" xr:uid="{24D781A8-9B02-4256-A3A6-A4B3D5BA1CBE}"/>
    <cellStyle name="Comma 4 2 2 3 2 5 3 2 2" xfId="34180" xr:uid="{4904BE16-1F47-4F23-B45E-6B50CA8B2D16}"/>
    <cellStyle name="Comma 4 2 2 3 2 5 3 3" xfId="24883" xr:uid="{24BC1863-1F3E-47EE-8D11-C36B0360C6A7}"/>
    <cellStyle name="Comma 4 2 2 3 2 5 4" xfId="11367" xr:uid="{86C8DE33-8AA9-4157-8CBC-626BF0B27AF6}"/>
    <cellStyle name="Comma 4 2 2 3 2 5 4 2" xfId="29963" xr:uid="{D89A3DC8-B739-4558-A529-EE00F5A191E2}"/>
    <cellStyle name="Comma 4 2 2 3 2 5 5" xfId="20666" xr:uid="{3082A20D-A403-458B-890C-8892C0BB29E3}"/>
    <cellStyle name="Comma 4 2 2 3 2 6" xfId="2387" xr:uid="{00000000-0005-0000-0000-00000F080000}"/>
    <cellStyle name="Comma 4 2 2 3 2 6 2" xfId="6671" xr:uid="{00000000-0005-0000-0000-000010080000}"/>
    <cellStyle name="Comma 4 2 2 3 2 6 2 2" xfId="15997" xr:uid="{98FD6052-C83C-4CCC-A582-6798A8D922DF}"/>
    <cellStyle name="Comma 4 2 2 3 2 6 2 2 2" xfId="34593" xr:uid="{33CD2839-4F21-432C-94A9-6FF2610EB203}"/>
    <cellStyle name="Comma 4 2 2 3 2 6 2 3" xfId="25296" xr:uid="{48964B20-61DF-4D73-A3F9-A8871D85A3EF}"/>
    <cellStyle name="Comma 4 2 2 3 2 6 3" xfId="11780" xr:uid="{190BED9E-DF7E-4B3C-974F-900ED6EF2684}"/>
    <cellStyle name="Comma 4 2 2 3 2 6 3 2" xfId="30376" xr:uid="{7F096DA8-8C0D-4BDB-A5FB-F86F0C4E94A6}"/>
    <cellStyle name="Comma 4 2 2 3 2 6 4" xfId="21079" xr:uid="{D35C656E-8E33-4DCE-8A8C-858FDA150BBF}"/>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C43A9962-19CD-4886-967E-312066615AB5}"/>
    <cellStyle name="Comma 4 2 2 3 2 8 2 2 2" xfId="34910" xr:uid="{D82B926B-1074-47BF-9B30-0D61371902B6}"/>
    <cellStyle name="Comma 4 2 2 3 2 8 2 3" xfId="25613" xr:uid="{F3FBB3EA-A7C9-4BEC-83F2-15FB79BBB062}"/>
    <cellStyle name="Comma 4 2 2 3 2 8 3" xfId="12097" xr:uid="{2560A779-F40B-4B2D-A136-AC9CF77306D9}"/>
    <cellStyle name="Comma 4 2 2 3 2 8 3 2" xfId="30693" xr:uid="{0609BC7B-218A-4E81-B74A-58C12CFC1699}"/>
    <cellStyle name="Comma 4 2 2 3 2 8 4" xfId="21396" xr:uid="{8165DD77-E2AB-4411-B980-5F89C701D1CE}"/>
    <cellStyle name="Comma 4 2 2 3 2 9" xfId="4605" xr:uid="{00000000-0005-0000-0000-000014080000}"/>
    <cellStyle name="Comma 4 2 2 3 2 9 2" xfId="13931" xr:uid="{412374EB-9D54-41AE-BE81-DC6CD12D2D31}"/>
    <cellStyle name="Comma 4 2 2 3 2 9 2 2" xfId="32527" xr:uid="{52898DAC-071B-41A6-85A3-BB325A30AB4E}"/>
    <cellStyle name="Comma 4 2 2 3 2 9 3" xfId="23230" xr:uid="{1A4A04FA-027B-4C79-B75C-0C9EDEB02CB5}"/>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F880B020-D26A-44CE-96A6-B52F3804AD44}"/>
    <cellStyle name="Comma 4 2 2 3 3 2 2 2 2" xfId="35085" xr:uid="{B72FB623-5050-41BF-B2A2-77FE85332EC1}"/>
    <cellStyle name="Comma 4 2 2 3 3 2 2 3" xfId="25788" xr:uid="{28D08164-6EED-4E2E-A8EB-C6FBB6188D37}"/>
    <cellStyle name="Comma 4 2 2 3 3 2 3" xfId="12272" xr:uid="{0F59C0A3-DB1C-460B-84CB-E538F180D680}"/>
    <cellStyle name="Comma 4 2 2 3 3 2 3 2" xfId="30868" xr:uid="{11EAF510-5035-42A5-BF37-2E46A8C2B834}"/>
    <cellStyle name="Comma 4 2 2 3 3 2 4" xfId="21571" xr:uid="{66E67DB6-103B-4624-99F4-AC1618554742}"/>
    <cellStyle name="Comma 4 2 2 3 3 3" xfId="5018" xr:uid="{00000000-0005-0000-0000-000018080000}"/>
    <cellStyle name="Comma 4 2 2 3 3 3 2" xfId="14344" xr:uid="{71E8CD31-AF17-4DB8-AC02-CD8F7ED87AEE}"/>
    <cellStyle name="Comma 4 2 2 3 3 3 2 2" xfId="32940" xr:uid="{9FDC489F-0BDD-4CDD-A4E1-E3E44525B9B2}"/>
    <cellStyle name="Comma 4 2 2 3 3 3 3" xfId="23643" xr:uid="{C5CD6664-4169-4E5F-BA5B-8EAEE1999AC6}"/>
    <cellStyle name="Comma 4 2 2 3 3 4" xfId="9314" xr:uid="{A74197AE-1229-40FC-8212-8FB289D74FF6}"/>
    <cellStyle name="Comma 4 2 2 3 3 4 2" xfId="18629" xr:uid="{2B59A1C0-6348-4A7D-9FBD-498868059FF2}"/>
    <cellStyle name="Comma 4 2 2 3 3 4 2 2" xfId="37223" xr:uid="{1D3576CA-5F9B-4405-A620-AB7570CCB1E5}"/>
    <cellStyle name="Comma 4 2 2 3 3 4 3" xfId="27926" xr:uid="{ED068C46-BFBD-4EB4-B572-9C12B4643629}"/>
    <cellStyle name="Comma 4 2 2 3 3 5" xfId="10127" xr:uid="{1D1C577A-7B0C-4E8E-B238-EAE8D0E17482}"/>
    <cellStyle name="Comma 4 2 2 3 3 5 2" xfId="28723" xr:uid="{158B45A6-FC7C-441D-8338-6F9334EC9070}"/>
    <cellStyle name="Comma 4 2 2 3 3 6" xfId="19426" xr:uid="{D707968D-7F9A-4F58-9825-E216D7C9C29D}"/>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E92608D7-609B-4069-8DC4-BFF26C0B873E}"/>
    <cellStyle name="Comma 4 2 2 3 4 2 2 2 2" xfId="35498" xr:uid="{F9B1F931-A304-450D-8B92-E05090B32A6F}"/>
    <cellStyle name="Comma 4 2 2 3 4 2 2 3" xfId="26201" xr:uid="{61390A56-B6B7-4A7D-83F0-4732CBC36A9A}"/>
    <cellStyle name="Comma 4 2 2 3 4 2 3" xfId="12685" xr:uid="{A5CE6772-C21D-4E94-814B-74A3A4591DBC}"/>
    <cellStyle name="Comma 4 2 2 3 4 2 3 2" xfId="31281" xr:uid="{70783902-CCDC-4B09-9894-083978717EB4}"/>
    <cellStyle name="Comma 4 2 2 3 4 2 4" xfId="21984" xr:uid="{119C19EC-60A7-45D5-BC08-F7B552E72E46}"/>
    <cellStyle name="Comma 4 2 2 3 4 3" xfId="5431" xr:uid="{00000000-0005-0000-0000-00001C080000}"/>
    <cellStyle name="Comma 4 2 2 3 4 3 2" xfId="14757" xr:uid="{A9E5CA50-2DFF-4311-A87B-3E8853AC892F}"/>
    <cellStyle name="Comma 4 2 2 3 4 3 2 2" xfId="33353" xr:uid="{A6DD6B3C-7485-4934-A439-54F5BBB7C293}"/>
    <cellStyle name="Comma 4 2 2 3 4 3 3" xfId="24056" xr:uid="{E6F61446-105F-45A3-BA59-28C6F2DEB261}"/>
    <cellStyle name="Comma 4 2 2 3 4 4" xfId="10540" xr:uid="{6CE13192-EC45-4375-97FC-A4D7575A4DE5}"/>
    <cellStyle name="Comma 4 2 2 3 4 4 2" xfId="29136" xr:uid="{F13C5E2A-96D0-45DF-AA97-5F398AE5BF48}"/>
    <cellStyle name="Comma 4 2 2 3 4 5" xfId="19839" xr:uid="{30EB9FA6-7E8C-4FDC-84BB-3546C273892E}"/>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19F61A4B-B432-4006-8A08-31329E2719E5}"/>
    <cellStyle name="Comma 4 2 2 3 5 2 2 2 2" xfId="35911" xr:uid="{04FFF9B9-AC47-48A3-9AA4-DE183203A326}"/>
    <cellStyle name="Comma 4 2 2 3 5 2 2 3" xfId="26614" xr:uid="{D7490CC9-6441-4A48-99EE-D5212B442E49}"/>
    <cellStyle name="Comma 4 2 2 3 5 2 3" xfId="13098" xr:uid="{9E0A5E5C-97AB-4405-9C71-2734365AF457}"/>
    <cellStyle name="Comma 4 2 2 3 5 2 3 2" xfId="31694" xr:uid="{7A2255AC-FB05-4D71-BD54-06CE14054A38}"/>
    <cellStyle name="Comma 4 2 2 3 5 2 4" xfId="22397" xr:uid="{A767C798-0628-4D86-B57F-D61ECE2D4317}"/>
    <cellStyle name="Comma 4 2 2 3 5 3" xfId="5844" xr:uid="{00000000-0005-0000-0000-000020080000}"/>
    <cellStyle name="Comma 4 2 2 3 5 3 2" xfId="15170" xr:uid="{E1F96F75-F154-4C5B-B038-1040F0B8C506}"/>
    <cellStyle name="Comma 4 2 2 3 5 3 2 2" xfId="33766" xr:uid="{5213143E-44E4-4CFD-88E7-C1C8DE7DB4F0}"/>
    <cellStyle name="Comma 4 2 2 3 5 3 3" xfId="24469" xr:uid="{3732F807-7DF1-454E-8E0E-1931F98E09C5}"/>
    <cellStyle name="Comma 4 2 2 3 5 4" xfId="10953" xr:uid="{3707BF2A-EB0A-448E-A1C9-DDA741A95386}"/>
    <cellStyle name="Comma 4 2 2 3 5 4 2" xfId="29549" xr:uid="{BCBBA3AD-9053-4A8A-847E-20A29E3296CE}"/>
    <cellStyle name="Comma 4 2 2 3 5 5" xfId="20252" xr:uid="{F7D5F9D1-DA95-4FAF-BCD5-C811A651AEBB}"/>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D6E97B39-064A-41D0-8F37-FCD87632C35B}"/>
    <cellStyle name="Comma 4 2 2 3 6 2 2 2 2" xfId="36324" xr:uid="{B1AB2D94-1EE9-4A32-8C07-AC5F6B0FBDC3}"/>
    <cellStyle name="Comma 4 2 2 3 6 2 2 3" xfId="27027" xr:uid="{B0CD2D3A-6823-4B5E-9F60-F481107A151E}"/>
    <cellStyle name="Comma 4 2 2 3 6 2 3" xfId="13511" xr:uid="{2AA23BFA-592A-43C8-9511-21EBB1BC0C7D}"/>
    <cellStyle name="Comma 4 2 2 3 6 2 3 2" xfId="32107" xr:uid="{DC9D0D00-798B-4D6D-A6E2-F9F6B47A897B}"/>
    <cellStyle name="Comma 4 2 2 3 6 2 4" xfId="22810" xr:uid="{3EB83D7B-F2A6-4851-BB8E-C728C28CEF02}"/>
    <cellStyle name="Comma 4 2 2 3 6 3" xfId="6257" xr:uid="{00000000-0005-0000-0000-000024080000}"/>
    <cellStyle name="Comma 4 2 2 3 6 3 2" xfId="15583" xr:uid="{C128672E-C8C6-4937-852A-4D41869293EC}"/>
    <cellStyle name="Comma 4 2 2 3 6 3 2 2" xfId="34179" xr:uid="{A474E563-6960-44B3-B4CF-C9F4F6882EF7}"/>
    <cellStyle name="Comma 4 2 2 3 6 3 3" xfId="24882" xr:uid="{51F3A95A-3FE5-4794-9FBD-BDCA1CAF6E3B}"/>
    <cellStyle name="Comma 4 2 2 3 6 4" xfId="11366" xr:uid="{5119E17A-ED72-4EDB-921D-604C74A85F7B}"/>
    <cellStyle name="Comma 4 2 2 3 6 4 2" xfId="29962" xr:uid="{D4D248FD-8966-425B-8A35-D52B876AD6B5}"/>
    <cellStyle name="Comma 4 2 2 3 6 5" xfId="20665" xr:uid="{182ACCF4-F3F7-4D85-B460-C93386AFE1EB}"/>
    <cellStyle name="Comma 4 2 2 3 7" xfId="2386" xr:uid="{00000000-0005-0000-0000-000025080000}"/>
    <cellStyle name="Comma 4 2 2 3 7 2" xfId="6670" xr:uid="{00000000-0005-0000-0000-000026080000}"/>
    <cellStyle name="Comma 4 2 2 3 7 2 2" xfId="15996" xr:uid="{69369299-F197-4947-8471-217AB4432D1B}"/>
    <cellStyle name="Comma 4 2 2 3 7 2 2 2" xfId="34592" xr:uid="{977119A3-08B2-47D4-BE23-CCB43554CE9A}"/>
    <cellStyle name="Comma 4 2 2 3 7 2 3" xfId="25295" xr:uid="{45B93576-27F4-440E-B294-F944650FC82F}"/>
    <cellStyle name="Comma 4 2 2 3 7 3" xfId="11779" xr:uid="{9CEE0CEB-3393-4A40-BB90-95E955CFD82C}"/>
    <cellStyle name="Comma 4 2 2 3 7 3 2" xfId="30375" xr:uid="{340EB19A-FF57-4524-A2D9-E70955CB9720}"/>
    <cellStyle name="Comma 4 2 2 3 7 4" xfId="21078" xr:uid="{6721092B-981E-43D5-A2E4-CE8BC02E5890}"/>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090FC94F-2447-4C99-8034-0B5DC9E343AC}"/>
    <cellStyle name="Comma 4 2 2 3 9 2 2 2" xfId="34909" xr:uid="{1405EF53-EE83-46E0-9047-3BD0B95A32D0}"/>
    <cellStyle name="Comma 4 2 2 3 9 2 3" xfId="25612" xr:uid="{E00F9013-C3EF-4367-8938-EA1E01FC6205}"/>
    <cellStyle name="Comma 4 2 2 3 9 3" xfId="12096" xr:uid="{D15A742A-0ED6-4846-89F9-56AEC55171D5}"/>
    <cellStyle name="Comma 4 2 2 3 9 3 2" xfId="30692" xr:uid="{62CCC656-84BA-4086-9185-39957F8F9713}"/>
    <cellStyle name="Comma 4 2 2 3 9 4" xfId="21395" xr:uid="{A2B5B4A5-B831-46DE-8B56-4D0C06B13E89}"/>
    <cellStyle name="Comma 4 2 2 4" xfId="134" xr:uid="{00000000-0005-0000-0000-00002A080000}"/>
    <cellStyle name="Comma 4 2 2 4 10" xfId="8993" xr:uid="{2969CB69-37C4-4C43-BC9D-87F92556F829}"/>
    <cellStyle name="Comma 4 2 2 4 10 2" xfId="18317" xr:uid="{F3AD2406-7AA4-4136-BECC-71870B00153F}"/>
    <cellStyle name="Comma 4 2 2 4 10 2 2" xfId="36912" xr:uid="{82C710D5-21E6-4BCB-A6A6-C7078CC57558}"/>
    <cellStyle name="Comma 4 2 2 4 10 3" xfId="27615" xr:uid="{0A3B2DF3-EC33-4697-B425-EFB46DFB88EB}"/>
    <cellStyle name="Comma 4 2 2 4 11" xfId="9715" xr:uid="{866CC8EE-813C-4EF4-8551-856CEB0775B2}"/>
    <cellStyle name="Comma 4 2 2 4 11 2" xfId="28311" xr:uid="{7EF82524-39F0-464D-922F-4FA957DA2C55}"/>
    <cellStyle name="Comma 4 2 2 4 12" xfId="19014" xr:uid="{69D1DA50-DDCB-434C-9DB9-BFF6FEAA6176}"/>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89EC57A1-7215-4A81-A140-C6E7BCFFB6EE}"/>
    <cellStyle name="Comma 4 2 2 4 2 2 2 2 2" xfId="35087" xr:uid="{5F22FFA8-CDFD-4C02-B024-AC19A409EC9D}"/>
    <cellStyle name="Comma 4 2 2 4 2 2 2 3" xfId="25790" xr:uid="{F742A6C9-77D3-492D-BFD8-1E2FA3D364F7}"/>
    <cellStyle name="Comma 4 2 2 4 2 2 3" xfId="12274" xr:uid="{6C6C6568-E781-4F0A-8C58-C0EB4F6F5C3F}"/>
    <cellStyle name="Comma 4 2 2 4 2 2 3 2" xfId="30870" xr:uid="{CE1D8063-6BEA-4EE5-B33C-8F7151D15F01}"/>
    <cellStyle name="Comma 4 2 2 4 2 2 4" xfId="21573" xr:uid="{0D06F719-935E-4362-8596-9CC6CB733B0A}"/>
    <cellStyle name="Comma 4 2 2 4 2 3" xfId="5020" xr:uid="{00000000-0005-0000-0000-00002E080000}"/>
    <cellStyle name="Comma 4 2 2 4 2 3 2" xfId="14346" xr:uid="{7B75C592-F74F-4CE9-BCBE-73113EFF99C6}"/>
    <cellStyle name="Comma 4 2 2 4 2 3 2 2" xfId="32942" xr:uid="{028892AF-2CB6-4049-BE4B-369FC2814322}"/>
    <cellStyle name="Comma 4 2 2 4 2 3 3" xfId="23645" xr:uid="{D07AADA6-8A31-4532-BA04-829C08B9A6A6}"/>
    <cellStyle name="Comma 4 2 2 4 2 4" xfId="9418" xr:uid="{F2EB07B7-2227-485D-9411-A8F75EC2F9DA}"/>
    <cellStyle name="Comma 4 2 2 4 2 4 2" xfId="18733" xr:uid="{AC74C6C1-D6C0-4DF7-B779-B684F3FEC456}"/>
    <cellStyle name="Comma 4 2 2 4 2 4 2 2" xfId="37327" xr:uid="{B60262AB-CFCB-41E7-BC1A-8009781EF929}"/>
    <cellStyle name="Comma 4 2 2 4 2 4 3" xfId="28030" xr:uid="{0B5D5805-A2BB-481E-87BA-2ADB5FEFFA6C}"/>
    <cellStyle name="Comma 4 2 2 4 2 5" xfId="10129" xr:uid="{ACBCF30A-BCCE-4C3D-B87A-D947E63D5827}"/>
    <cellStyle name="Comma 4 2 2 4 2 5 2" xfId="28725" xr:uid="{40E8B65A-16AA-498B-B093-BA3A2C8D26D0}"/>
    <cellStyle name="Comma 4 2 2 4 2 6" xfId="19428" xr:uid="{D4EB395F-5242-4AAD-A01F-AA259CFDFDFB}"/>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1E014283-25FA-4EE9-8D58-3636D02CB9E5}"/>
    <cellStyle name="Comma 4 2 2 4 3 2 2 2 2" xfId="35500" xr:uid="{7C07B7F3-87AA-49E0-AE89-5835FAEB3536}"/>
    <cellStyle name="Comma 4 2 2 4 3 2 2 3" xfId="26203" xr:uid="{DBF33AB7-5469-48D8-9C88-3ED9F770EC4A}"/>
    <cellStyle name="Comma 4 2 2 4 3 2 3" xfId="12687" xr:uid="{9328A48E-33CE-4112-93F9-EA1A5405E8B8}"/>
    <cellStyle name="Comma 4 2 2 4 3 2 3 2" xfId="31283" xr:uid="{81493A82-D654-4BE0-AB84-487FFD05F783}"/>
    <cellStyle name="Comma 4 2 2 4 3 2 4" xfId="21986" xr:uid="{D44EBE7D-1E1D-44EA-A48E-E50127B8B591}"/>
    <cellStyle name="Comma 4 2 2 4 3 3" xfId="5433" xr:uid="{00000000-0005-0000-0000-000032080000}"/>
    <cellStyle name="Comma 4 2 2 4 3 3 2" xfId="14759" xr:uid="{28393489-9D4C-423A-8EFF-772EB801DFB8}"/>
    <cellStyle name="Comma 4 2 2 4 3 3 2 2" xfId="33355" xr:uid="{B236A64D-CEBD-4FF4-AB59-471F59C02105}"/>
    <cellStyle name="Comma 4 2 2 4 3 3 3" xfId="24058" xr:uid="{DDF2CA3D-CF85-4A24-B7DF-E6A77AFA27D5}"/>
    <cellStyle name="Comma 4 2 2 4 3 4" xfId="10542" xr:uid="{CBA355D0-A696-4DED-9C7C-18D5478197B0}"/>
    <cellStyle name="Comma 4 2 2 4 3 4 2" xfId="29138" xr:uid="{6B0FDACF-B71C-4602-9A7E-97D9F75C176C}"/>
    <cellStyle name="Comma 4 2 2 4 3 5" xfId="19841" xr:uid="{F35B6BE0-70C4-42A0-B089-1A0F0950535C}"/>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5699A0E5-6BFA-40DB-A1C4-9B01896E5663}"/>
    <cellStyle name="Comma 4 2 2 4 4 2 2 2 2" xfId="35913" xr:uid="{6BC4C445-9DD2-493C-AC03-3D7902B77CD2}"/>
    <cellStyle name="Comma 4 2 2 4 4 2 2 3" xfId="26616" xr:uid="{FBA1CF7B-BF19-4D71-910E-1748C7619C54}"/>
    <cellStyle name="Comma 4 2 2 4 4 2 3" xfId="13100" xr:uid="{3A48FEF0-3AD4-4CEC-A121-B83ED19AD175}"/>
    <cellStyle name="Comma 4 2 2 4 4 2 3 2" xfId="31696" xr:uid="{604D65BF-B3A2-460D-85C9-1BDBF20CA757}"/>
    <cellStyle name="Comma 4 2 2 4 4 2 4" xfId="22399" xr:uid="{F50FCF59-F1A9-4D59-BBA2-9429E2169E33}"/>
    <cellStyle name="Comma 4 2 2 4 4 3" xfId="5846" xr:uid="{00000000-0005-0000-0000-000036080000}"/>
    <cellStyle name="Comma 4 2 2 4 4 3 2" xfId="15172" xr:uid="{FF6655B5-82BE-4B28-ACDE-DA18A873CE72}"/>
    <cellStyle name="Comma 4 2 2 4 4 3 2 2" xfId="33768" xr:uid="{B867DF75-DAC9-4757-8BCE-BA7135299A5C}"/>
    <cellStyle name="Comma 4 2 2 4 4 3 3" xfId="24471" xr:uid="{AA2B3BDD-6BB4-4E89-880C-331BB76FED49}"/>
    <cellStyle name="Comma 4 2 2 4 4 4" xfId="10955" xr:uid="{86900F5A-A733-44B9-8E9D-BDD9736D5625}"/>
    <cellStyle name="Comma 4 2 2 4 4 4 2" xfId="29551" xr:uid="{41F698F2-5397-4225-A8D9-FA2A9223DB9D}"/>
    <cellStyle name="Comma 4 2 2 4 4 5" xfId="20254" xr:uid="{941EDDFB-A644-4BAC-BD88-25FEB2C6BBF2}"/>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98E8C543-B641-4F2D-AFFE-A411C7D15B2E}"/>
    <cellStyle name="Comma 4 2 2 4 5 2 2 2 2" xfId="36326" xr:uid="{3DE40DD2-76E5-491B-A7D8-13252E070371}"/>
    <cellStyle name="Comma 4 2 2 4 5 2 2 3" xfId="27029" xr:uid="{86BBD3F5-39AD-4B52-B7D1-7471444BA1A3}"/>
    <cellStyle name="Comma 4 2 2 4 5 2 3" xfId="13513" xr:uid="{6B488008-E1C9-4976-A7A1-21D32BCC539D}"/>
    <cellStyle name="Comma 4 2 2 4 5 2 3 2" xfId="32109" xr:uid="{3947258E-699B-4967-8FC3-AD4BC89CF8E5}"/>
    <cellStyle name="Comma 4 2 2 4 5 2 4" xfId="22812" xr:uid="{B2AA3543-14A7-47D2-8763-7AD83473365C}"/>
    <cellStyle name="Comma 4 2 2 4 5 3" xfId="6259" xr:uid="{00000000-0005-0000-0000-00003A080000}"/>
    <cellStyle name="Comma 4 2 2 4 5 3 2" xfId="15585" xr:uid="{474D2B5C-A8D0-4E06-8A3F-9757B71F9F24}"/>
    <cellStyle name="Comma 4 2 2 4 5 3 2 2" xfId="34181" xr:uid="{4F9E4C7B-3816-461E-B6CE-5D1B6294EAAA}"/>
    <cellStyle name="Comma 4 2 2 4 5 3 3" xfId="24884" xr:uid="{C1DC7954-8E55-499B-A639-A1708E466885}"/>
    <cellStyle name="Comma 4 2 2 4 5 4" xfId="11368" xr:uid="{4E4E4B1D-2675-472C-852F-DE0AB1427730}"/>
    <cellStyle name="Comma 4 2 2 4 5 4 2" xfId="29964" xr:uid="{2ED035F2-0C96-480E-98F4-8584F5E11175}"/>
    <cellStyle name="Comma 4 2 2 4 5 5" xfId="20667" xr:uid="{A13855DD-0DD7-47FA-B985-81832BB383F0}"/>
    <cellStyle name="Comma 4 2 2 4 6" xfId="2388" xr:uid="{00000000-0005-0000-0000-00003B080000}"/>
    <cellStyle name="Comma 4 2 2 4 6 2" xfId="6672" xr:uid="{00000000-0005-0000-0000-00003C080000}"/>
    <cellStyle name="Comma 4 2 2 4 6 2 2" xfId="15998" xr:uid="{A6DF4108-FF97-4FC8-8A41-B0EB9A84024C}"/>
    <cellStyle name="Comma 4 2 2 4 6 2 2 2" xfId="34594" xr:uid="{900FB19B-51FF-4A92-8F39-A724749B8940}"/>
    <cellStyle name="Comma 4 2 2 4 6 2 3" xfId="25297" xr:uid="{BE554CAE-B3CF-4273-BD21-603619467834}"/>
    <cellStyle name="Comma 4 2 2 4 6 3" xfId="11781" xr:uid="{6D75AAA3-2A05-41D8-98E3-0E76BF3A7B9E}"/>
    <cellStyle name="Comma 4 2 2 4 6 3 2" xfId="30377" xr:uid="{9B7B64F9-58EF-4B5A-A8EA-D063289AAB81}"/>
    <cellStyle name="Comma 4 2 2 4 6 4" xfId="21080" xr:uid="{2E145BF6-DDD1-4226-B22B-94F9B4C30351}"/>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EE12C192-717E-417B-8398-D1A9114582A3}"/>
    <cellStyle name="Comma 4 2 2 4 8 2 2 2" xfId="34911" xr:uid="{D4089250-ED90-4978-A06C-A8DBE1908D97}"/>
    <cellStyle name="Comma 4 2 2 4 8 2 3" xfId="25614" xr:uid="{9F6C1EC0-3824-45CB-8580-56676CAC5A6D}"/>
    <cellStyle name="Comma 4 2 2 4 8 3" xfId="12098" xr:uid="{35A5FA17-7E1C-417A-A1F7-7B0A8940E462}"/>
    <cellStyle name="Comma 4 2 2 4 8 3 2" xfId="30694" xr:uid="{4ED3AB4C-EF2C-4A34-902A-C1664E34E347}"/>
    <cellStyle name="Comma 4 2 2 4 8 4" xfId="21397" xr:uid="{8F7EBFDC-9B88-4D24-9FD5-F4A693412E16}"/>
    <cellStyle name="Comma 4 2 2 4 9" xfId="4606" xr:uid="{00000000-0005-0000-0000-000040080000}"/>
    <cellStyle name="Comma 4 2 2 4 9 2" xfId="13932" xr:uid="{CB6A83BA-7B00-415A-927F-A1EB0B914192}"/>
    <cellStyle name="Comma 4 2 2 4 9 2 2" xfId="32528" xr:uid="{8D7ED10D-4152-4B0A-A93B-3CD113965D94}"/>
    <cellStyle name="Comma 4 2 2 4 9 3" xfId="23231" xr:uid="{5ACFA974-C1B4-4694-BFEE-D4C030312EC6}"/>
    <cellStyle name="Comma 4 2 2 5" xfId="135" xr:uid="{00000000-0005-0000-0000-000041080000}"/>
    <cellStyle name="Comma 4 2 2 5 10" xfId="9210" xr:uid="{C1F9418B-EF96-4063-883D-A983E131C6A4}"/>
    <cellStyle name="Comma 4 2 2 5 10 2" xfId="18526" xr:uid="{20A10379-8C02-4033-B59C-8F30CFB58A5F}"/>
    <cellStyle name="Comma 4 2 2 5 10 2 2" xfId="37120" xr:uid="{4972535C-D9A1-407A-875C-828D2BC0034A}"/>
    <cellStyle name="Comma 4 2 2 5 10 3" xfId="27823" xr:uid="{1B9B917E-51AA-4C7C-87C6-CD73BF3E5FE6}"/>
    <cellStyle name="Comma 4 2 2 5 11" xfId="9716" xr:uid="{18F69E28-C149-4B18-A013-24C731597C26}"/>
    <cellStyle name="Comma 4 2 2 5 11 2" xfId="28312" xr:uid="{B607546C-E177-4E71-9D33-DEF517063C02}"/>
    <cellStyle name="Comma 4 2 2 5 12" xfId="19015" xr:uid="{6E95428A-4F0D-43BE-87AD-AD12B042F065}"/>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F569619B-CC70-4565-820F-63B43BC0A74F}"/>
    <cellStyle name="Comma 4 2 2 5 2 2 2 2 2" xfId="35088" xr:uid="{D403B1DA-43D4-4BC2-A5C5-83B83D185632}"/>
    <cellStyle name="Comma 4 2 2 5 2 2 2 3" xfId="25791" xr:uid="{D78C764F-42C8-441A-8848-BE90A4B50B5C}"/>
    <cellStyle name="Comma 4 2 2 5 2 2 3" xfId="12275" xr:uid="{4DE63BBE-76F1-4051-B425-E1DA55054174}"/>
    <cellStyle name="Comma 4 2 2 5 2 2 3 2" xfId="30871" xr:uid="{65719CFB-E917-446D-A105-FC8ADD82C7C6}"/>
    <cellStyle name="Comma 4 2 2 5 2 2 4" xfId="21574" xr:uid="{8134D547-82E4-4D06-A063-21BCFC19C9AC}"/>
    <cellStyle name="Comma 4 2 2 5 2 3" xfId="5021" xr:uid="{00000000-0005-0000-0000-000045080000}"/>
    <cellStyle name="Comma 4 2 2 5 2 3 2" xfId="14347" xr:uid="{359788D8-40FD-4348-BDBB-92F494A5FE02}"/>
    <cellStyle name="Comma 4 2 2 5 2 3 2 2" xfId="32943" xr:uid="{D9A4AD5C-48CC-416C-8A55-ABC47482D2A0}"/>
    <cellStyle name="Comma 4 2 2 5 2 3 3" xfId="23646" xr:uid="{E1124E19-D9EC-4AF9-98AE-E9378D4CC5AB}"/>
    <cellStyle name="Comma 4 2 2 5 2 4" xfId="9593" xr:uid="{3B41C66E-2108-4CBE-9776-211459781E55}"/>
    <cellStyle name="Comma 4 2 2 5 2 4 2" xfId="18897" xr:uid="{3AE6F09F-62A7-4DDA-B341-0847BFF7993A}"/>
    <cellStyle name="Comma 4 2 2 5 2 4 2 2" xfId="37491" xr:uid="{E6A07850-B1DD-4EA8-AE9C-098FE1992C38}"/>
    <cellStyle name="Comma 4 2 2 5 2 4 3" xfId="28194" xr:uid="{A6FAFA9F-DF37-4EA5-B329-4A236CA53121}"/>
    <cellStyle name="Comma 4 2 2 5 2 5" xfId="10130" xr:uid="{8373270E-D89E-4B05-9537-50DA1FC248DF}"/>
    <cellStyle name="Comma 4 2 2 5 2 5 2" xfId="28726" xr:uid="{F67E0141-7627-48EF-9CD8-193FD8425A15}"/>
    <cellStyle name="Comma 4 2 2 5 2 6" xfId="19429" xr:uid="{C4512685-CD41-4118-B5D6-4F00FBCD30CD}"/>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FBAA29A4-6211-4994-B0E1-A1AA198B9093}"/>
    <cellStyle name="Comma 4 2 2 5 3 2 2 2 2" xfId="35501" xr:uid="{0A22DDCE-1E99-407E-B4FA-0A5CE95B664A}"/>
    <cellStyle name="Comma 4 2 2 5 3 2 2 3" xfId="26204" xr:uid="{8E881597-9444-446D-89E5-078DB69C71B7}"/>
    <cellStyle name="Comma 4 2 2 5 3 2 3" xfId="12688" xr:uid="{9E93E861-7348-48C5-94B3-563C254ADF3E}"/>
    <cellStyle name="Comma 4 2 2 5 3 2 3 2" xfId="31284" xr:uid="{8F1F4D98-43FB-4325-83D6-A3AC95E7E314}"/>
    <cellStyle name="Comma 4 2 2 5 3 2 4" xfId="21987" xr:uid="{FB026A64-EF7F-4939-BFAA-B4F134A7C869}"/>
    <cellStyle name="Comma 4 2 2 5 3 3" xfId="5434" xr:uid="{00000000-0005-0000-0000-000049080000}"/>
    <cellStyle name="Comma 4 2 2 5 3 3 2" xfId="14760" xr:uid="{4F5250CD-0AA1-4D06-8102-EE3D0CEFAA4B}"/>
    <cellStyle name="Comma 4 2 2 5 3 3 2 2" xfId="33356" xr:uid="{B8472B17-CAAE-40E9-973F-C96A090FAD93}"/>
    <cellStyle name="Comma 4 2 2 5 3 3 3" xfId="24059" xr:uid="{D1ADF1AC-615D-4246-B94C-5F4CF2842BB2}"/>
    <cellStyle name="Comma 4 2 2 5 3 4" xfId="10543" xr:uid="{AA2DAA0D-5D45-4DAE-9DC3-C556D14EE304}"/>
    <cellStyle name="Comma 4 2 2 5 3 4 2" xfId="29139" xr:uid="{9CC63E72-58CF-4815-83A8-032F76461314}"/>
    <cellStyle name="Comma 4 2 2 5 3 5" xfId="19842" xr:uid="{43CAEA58-A92B-4FBB-901C-3E507828FA2C}"/>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455C3019-F068-47FD-A396-E00007322861}"/>
    <cellStyle name="Comma 4 2 2 5 4 2 2 2 2" xfId="35914" xr:uid="{6835770B-56EE-4B61-A8F2-67AE9712A86E}"/>
    <cellStyle name="Comma 4 2 2 5 4 2 2 3" xfId="26617" xr:uid="{E39E6EBC-9F2E-49C8-A92A-C458F62A0862}"/>
    <cellStyle name="Comma 4 2 2 5 4 2 3" xfId="13101" xr:uid="{675A225A-E8D4-4150-BE30-75A5A94A542F}"/>
    <cellStyle name="Comma 4 2 2 5 4 2 3 2" xfId="31697" xr:uid="{8648F868-A36A-4280-95CB-0CEE51F0954B}"/>
    <cellStyle name="Comma 4 2 2 5 4 2 4" xfId="22400" xr:uid="{E0741AD9-2733-428C-8CEA-CEEE4C455B70}"/>
    <cellStyle name="Comma 4 2 2 5 4 3" xfId="5847" xr:uid="{00000000-0005-0000-0000-00004D080000}"/>
    <cellStyle name="Comma 4 2 2 5 4 3 2" xfId="15173" xr:uid="{90E7B5D5-4F2F-4C69-A9D9-A4E655662CE7}"/>
    <cellStyle name="Comma 4 2 2 5 4 3 2 2" xfId="33769" xr:uid="{15795401-A15B-48A2-AAB7-CF22AA4E7681}"/>
    <cellStyle name="Comma 4 2 2 5 4 3 3" xfId="24472" xr:uid="{21EFAE41-F806-4718-9E89-96FBD055DECB}"/>
    <cellStyle name="Comma 4 2 2 5 4 4" xfId="10956" xr:uid="{CB03B6A3-B227-432B-A2C7-0E8C8DAA0FED}"/>
    <cellStyle name="Comma 4 2 2 5 4 4 2" xfId="29552" xr:uid="{9F97B8CA-2F82-4F14-9AA5-B7916FD231FA}"/>
    <cellStyle name="Comma 4 2 2 5 4 5" xfId="20255" xr:uid="{72AC40D0-C932-40ED-934F-1C1146DF09A7}"/>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BF74CB18-BF09-4E1D-AAD0-76423C631CEB}"/>
    <cellStyle name="Comma 4 2 2 5 5 2 2 2 2" xfId="36327" xr:uid="{7CBD578C-AFF6-4AA8-82F6-57A9C3ACE429}"/>
    <cellStyle name="Comma 4 2 2 5 5 2 2 3" xfId="27030" xr:uid="{5A02F6B5-E565-4C43-A262-113FBCC630F8}"/>
    <cellStyle name="Comma 4 2 2 5 5 2 3" xfId="13514" xr:uid="{CD9722DD-C7FF-4D4C-BC85-3CCE53E0C2D2}"/>
    <cellStyle name="Comma 4 2 2 5 5 2 3 2" xfId="32110" xr:uid="{DE3A3722-60A5-4E2E-89FA-2DEDF56D6F80}"/>
    <cellStyle name="Comma 4 2 2 5 5 2 4" xfId="22813" xr:uid="{3B884304-5276-4E0C-8B7A-98EFCDC546AE}"/>
    <cellStyle name="Comma 4 2 2 5 5 3" xfId="6260" xr:uid="{00000000-0005-0000-0000-000051080000}"/>
    <cellStyle name="Comma 4 2 2 5 5 3 2" xfId="15586" xr:uid="{B94E09C1-935D-407E-B811-20B7D4361DF0}"/>
    <cellStyle name="Comma 4 2 2 5 5 3 2 2" xfId="34182" xr:uid="{6FDD6919-626E-4CC4-9090-51BE903A92DC}"/>
    <cellStyle name="Comma 4 2 2 5 5 3 3" xfId="24885" xr:uid="{9F4AC762-B862-4A65-AB47-E2618357F120}"/>
    <cellStyle name="Comma 4 2 2 5 5 4" xfId="11369" xr:uid="{EAAA8E6A-282F-46E1-A569-BA7F7710D9EA}"/>
    <cellStyle name="Comma 4 2 2 5 5 4 2" xfId="29965" xr:uid="{B02BF3D9-13E6-4BC0-BE21-76EAF8323483}"/>
    <cellStyle name="Comma 4 2 2 5 5 5" xfId="20668" xr:uid="{EF0D2E6C-9640-4984-804F-CD5F756945BD}"/>
    <cellStyle name="Comma 4 2 2 5 6" xfId="2389" xr:uid="{00000000-0005-0000-0000-000052080000}"/>
    <cellStyle name="Comma 4 2 2 5 6 2" xfId="6673" xr:uid="{00000000-0005-0000-0000-000053080000}"/>
    <cellStyle name="Comma 4 2 2 5 6 2 2" xfId="15999" xr:uid="{D7AAA27E-D837-4FCB-B164-1114B7EAE2F9}"/>
    <cellStyle name="Comma 4 2 2 5 6 2 2 2" xfId="34595" xr:uid="{006A7A08-1572-403D-9E83-81C33300E8BB}"/>
    <cellStyle name="Comma 4 2 2 5 6 2 3" xfId="25298" xr:uid="{81401BC5-2184-4DEE-830F-7347797E48E0}"/>
    <cellStyle name="Comma 4 2 2 5 6 3" xfId="11782" xr:uid="{D9B35D03-A7B8-4D24-93C8-A425CAAB269E}"/>
    <cellStyle name="Comma 4 2 2 5 6 3 2" xfId="30378" xr:uid="{781EB34F-6D0B-436E-9C95-5ADEF226FA02}"/>
    <cellStyle name="Comma 4 2 2 5 6 4" xfId="21081" xr:uid="{FAE8349D-ADCB-4A91-A9C3-7AEFA393940D}"/>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C9E5930A-9441-4FC1-B296-8E4341CDD410}"/>
    <cellStyle name="Comma 4 2 2 5 8 2 2 2" xfId="34912" xr:uid="{515670DE-8FA9-4849-80C6-B872DB0FAF95}"/>
    <cellStyle name="Comma 4 2 2 5 8 2 3" xfId="25615" xr:uid="{46D98DD1-040D-4A5C-99D8-820D1C989C86}"/>
    <cellStyle name="Comma 4 2 2 5 8 3" xfId="12099" xr:uid="{04F47F11-95D9-4F49-BABB-082C771297AA}"/>
    <cellStyle name="Comma 4 2 2 5 8 3 2" xfId="30695" xr:uid="{F1F441A1-69D6-4EC3-AAF9-0F986E0AE64A}"/>
    <cellStyle name="Comma 4 2 2 5 8 4" xfId="21398" xr:uid="{149E077C-79F7-454B-BDB2-BA864742A60D}"/>
    <cellStyle name="Comma 4 2 2 5 9" xfId="4607" xr:uid="{00000000-0005-0000-0000-000057080000}"/>
    <cellStyle name="Comma 4 2 2 5 9 2" xfId="13933" xr:uid="{4970AC61-B68D-420A-93FF-3341D8E4A604}"/>
    <cellStyle name="Comma 4 2 2 5 9 2 2" xfId="32529" xr:uid="{3BF4DCC3-1C83-4559-9AAC-6027E1AA8DD8}"/>
    <cellStyle name="Comma 4 2 2 5 9 3" xfId="23232" xr:uid="{AB4CF294-D255-4165-83F5-976D79D90AD8}"/>
    <cellStyle name="Comma 4 2 2 6" xfId="9228" xr:uid="{49D8FCED-23A7-48B2-8D10-F90787B2F62D}"/>
    <cellStyle name="Comma 4 2 2 7" xfId="8786" xr:uid="{8FDBE9F4-5F27-4B1B-A262-D62BF874EF16}"/>
    <cellStyle name="Comma 4 2 2 7 2" xfId="18110" xr:uid="{CFCA3015-56EE-4FFF-A796-E4D538871981}"/>
    <cellStyle name="Comma 4 2 2 7 2 2" xfId="36705" xr:uid="{FCEFD146-AE3A-4DE8-BDB6-47A826A9AB60}"/>
    <cellStyle name="Comma 4 2 2 7 3" xfId="27408" xr:uid="{83644C57-67AB-4536-BB2A-DA810BAF5ED1}"/>
    <cellStyle name="Comma 4 2 3" xfId="136" xr:uid="{00000000-0005-0000-0000-000058080000}"/>
    <cellStyle name="Comma 4 2 3 10" xfId="2768" xr:uid="{00000000-0005-0000-0000-000059080000}"/>
    <cellStyle name="Comma 4 2 3 10 2" xfId="6991" xr:uid="{00000000-0005-0000-0000-00005A080000}"/>
    <cellStyle name="Comma 4 2 3 10 2 2" xfId="16317" xr:uid="{C20B893B-4DEF-4213-96A8-9D6524BE9EEB}"/>
    <cellStyle name="Comma 4 2 3 10 2 2 2" xfId="34913" xr:uid="{62907455-5407-464C-8F85-45E189338B57}"/>
    <cellStyle name="Comma 4 2 3 10 2 3" xfId="25616" xr:uid="{454B0756-996D-4319-96DC-D51A15A3C309}"/>
    <cellStyle name="Comma 4 2 3 10 3" xfId="12100" xr:uid="{5E7BD2F5-AB97-4708-ADC7-A94E4A01F11F}"/>
    <cellStyle name="Comma 4 2 3 10 3 2" xfId="30696" xr:uid="{6B5DFF03-0793-47B6-99F8-4E1113A9F959}"/>
    <cellStyle name="Comma 4 2 3 10 4" xfId="21399" xr:uid="{92F823E2-E5C4-4EDA-8B98-E253E876DE67}"/>
    <cellStyle name="Comma 4 2 3 11" xfId="4608" xr:uid="{00000000-0005-0000-0000-00005B080000}"/>
    <cellStyle name="Comma 4 2 3 11 2" xfId="13934" xr:uid="{C367A1DC-8F13-4C8D-A2AF-6C29865B3021}"/>
    <cellStyle name="Comma 4 2 3 11 2 2" xfId="32530" xr:uid="{8E440DEE-A7A1-49E6-8FED-99731FC26CC1}"/>
    <cellStyle name="Comma 4 2 3 11 3" xfId="23233" xr:uid="{C19231C6-9F25-4315-BEBB-520225B8B26E}"/>
    <cellStyle name="Comma 4 2 3 12" xfId="8805" xr:uid="{C45527F6-07B7-4887-BAF3-A6424444BA3B}"/>
    <cellStyle name="Comma 4 2 3 12 2" xfId="18129" xr:uid="{47B9BC38-AE79-4210-80EF-D40970A9542D}"/>
    <cellStyle name="Comma 4 2 3 12 2 2" xfId="36724" xr:uid="{DD68550F-4F86-4B52-93C7-56F18E7DDE7E}"/>
    <cellStyle name="Comma 4 2 3 12 3" xfId="27427" xr:uid="{115F74CE-3A93-48E6-8420-55E65C88FBD2}"/>
    <cellStyle name="Comma 4 2 3 13" xfId="9717" xr:uid="{915ED4DD-2740-4A3B-9967-F6BA89923BA7}"/>
    <cellStyle name="Comma 4 2 3 13 2" xfId="28313" xr:uid="{84D4D95C-FB4F-4F3A-A571-5535187A238F}"/>
    <cellStyle name="Comma 4 2 3 14" xfId="19016" xr:uid="{FFB59B7E-B8D4-4601-A1EF-54CDE11D39BA}"/>
    <cellStyle name="Comma 4 2 3 2" xfId="137" xr:uid="{00000000-0005-0000-0000-00005C080000}"/>
    <cellStyle name="Comma 4 2 3 2 10" xfId="4609" xr:uid="{00000000-0005-0000-0000-00005D080000}"/>
    <cellStyle name="Comma 4 2 3 2 10 2" xfId="13935" xr:uid="{FB86971D-E3AE-418F-B944-FF5A967D824D}"/>
    <cellStyle name="Comma 4 2 3 2 10 2 2" xfId="32531" xr:uid="{33E6E794-1CD8-4C02-B64A-71C339230AA1}"/>
    <cellStyle name="Comma 4 2 3 2 10 3" xfId="23234" xr:uid="{4B2AFF59-A077-4005-B6CE-0A433CDAE780}"/>
    <cellStyle name="Comma 4 2 3 2 11" xfId="8908" xr:uid="{E7021C11-E6EB-4392-A0AD-2A78F42B4BB7}"/>
    <cellStyle name="Comma 4 2 3 2 11 2" xfId="18232" xr:uid="{EC3842C0-D6F5-4269-82D7-BF1950839330}"/>
    <cellStyle name="Comma 4 2 3 2 11 2 2" xfId="36827" xr:uid="{16115D2B-9469-4939-BCFC-53F5F25324B6}"/>
    <cellStyle name="Comma 4 2 3 2 11 3" xfId="27530" xr:uid="{CB1E8864-5037-40E5-920B-A1178FD67C09}"/>
    <cellStyle name="Comma 4 2 3 2 12" xfId="9718" xr:uid="{FCE278A5-60F8-4D79-924D-7A48948B4C09}"/>
    <cellStyle name="Comma 4 2 3 2 12 2" xfId="28314" xr:uid="{C00E7B33-4A14-4F52-832D-36D500701A24}"/>
    <cellStyle name="Comma 4 2 3 2 13" xfId="19017" xr:uid="{15E5362F-1DED-420B-A54D-7E4528038822}"/>
    <cellStyle name="Comma 4 2 3 2 2" xfId="138" xr:uid="{00000000-0005-0000-0000-00005E080000}"/>
    <cellStyle name="Comma 4 2 3 2 2 10" xfId="9115" xr:uid="{1A31CCC4-B2C0-4E0C-B714-855521500FE8}"/>
    <cellStyle name="Comma 4 2 3 2 2 10 2" xfId="18439" xr:uid="{257B46CF-5C46-4000-8B14-04230D2D1E0B}"/>
    <cellStyle name="Comma 4 2 3 2 2 10 2 2" xfId="37034" xr:uid="{1EF892CF-3793-41B5-96E6-CCBF07EAB3B3}"/>
    <cellStyle name="Comma 4 2 3 2 2 10 3" xfId="27737" xr:uid="{C667903D-D5A5-4B23-9B13-D9A36A7AE034}"/>
    <cellStyle name="Comma 4 2 3 2 2 11" xfId="9719" xr:uid="{113F8496-B67F-437B-B1E8-49F2FFADD092}"/>
    <cellStyle name="Comma 4 2 3 2 2 11 2" xfId="28315" xr:uid="{2B766158-9A9A-4BFA-82FB-A24EE87AB5C0}"/>
    <cellStyle name="Comma 4 2 3 2 2 12" xfId="19018" xr:uid="{7B2C54AC-7AAB-42C2-BF9A-F8AEA48FCFBF}"/>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3BA1176B-990D-4412-BD59-6D5EF49A792E}"/>
    <cellStyle name="Comma 4 2 3 2 2 2 2 2 2 2" xfId="35091" xr:uid="{65E28CBB-C6DB-48EA-950F-A1467EF83321}"/>
    <cellStyle name="Comma 4 2 3 2 2 2 2 2 3" xfId="25794" xr:uid="{773614E9-ECA7-44B3-9FC5-10D78020DBD1}"/>
    <cellStyle name="Comma 4 2 3 2 2 2 2 3" xfId="12278" xr:uid="{288FDD2A-8194-4172-8A72-27159A93EFFC}"/>
    <cellStyle name="Comma 4 2 3 2 2 2 2 3 2" xfId="30874" xr:uid="{119C4825-A1A4-49F1-A77F-ADCDCE8F1BED}"/>
    <cellStyle name="Comma 4 2 3 2 2 2 2 4" xfId="21577" xr:uid="{ECF1C226-FF29-4BD2-ABF5-1FDABCAA47E1}"/>
    <cellStyle name="Comma 4 2 3 2 2 2 3" xfId="5024" xr:uid="{00000000-0005-0000-0000-000062080000}"/>
    <cellStyle name="Comma 4 2 3 2 2 2 3 2" xfId="14350" xr:uid="{F0816D5F-2A1B-4AE5-9CAC-F1543A4E2AA1}"/>
    <cellStyle name="Comma 4 2 3 2 2 2 3 2 2" xfId="32946" xr:uid="{544CD830-E125-4E09-B49C-88F268AAB1C0}"/>
    <cellStyle name="Comma 4 2 3 2 2 2 3 3" xfId="23649" xr:uid="{2F17F6DF-9A02-4EF0-A875-1A3D7826A2D0}"/>
    <cellStyle name="Comma 4 2 3 2 2 2 4" xfId="9540" xr:uid="{F922DD27-FEAE-4DB6-894F-26CD58815668}"/>
    <cellStyle name="Comma 4 2 3 2 2 2 4 2" xfId="18855" xr:uid="{B7BEA391-F0EA-4158-86F4-B1825ADDF180}"/>
    <cellStyle name="Comma 4 2 3 2 2 2 4 2 2" xfId="37449" xr:uid="{22FAFF92-2D6D-455C-B023-3911A52A15D3}"/>
    <cellStyle name="Comma 4 2 3 2 2 2 4 3" xfId="28152" xr:uid="{B456F5D0-2D87-4129-9433-32DABA818FD2}"/>
    <cellStyle name="Comma 4 2 3 2 2 2 5" xfId="10133" xr:uid="{098826E9-B0C1-449E-9698-91E0D148F2EA}"/>
    <cellStyle name="Comma 4 2 3 2 2 2 5 2" xfId="28729" xr:uid="{B7441B07-63A5-44ED-B509-724E972C90EF}"/>
    <cellStyle name="Comma 4 2 3 2 2 2 6" xfId="19432" xr:uid="{6FA3B2B3-5A8C-484E-9C8A-45E0697D297C}"/>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2CF904F5-005A-4447-9A79-6BD4321FE242}"/>
    <cellStyle name="Comma 4 2 3 2 2 3 2 2 2 2" xfId="35504" xr:uid="{BF1D1414-EEA9-4D19-852E-D8D5AA4E6FA7}"/>
    <cellStyle name="Comma 4 2 3 2 2 3 2 2 3" xfId="26207" xr:uid="{B5E06BD1-107C-4DC1-AE54-DF4B2EEFF829}"/>
    <cellStyle name="Comma 4 2 3 2 2 3 2 3" xfId="12691" xr:uid="{513811C5-3A49-4078-A21E-3C473A9A6411}"/>
    <cellStyle name="Comma 4 2 3 2 2 3 2 3 2" xfId="31287" xr:uid="{963C9A53-A440-41AE-8B4C-F453B8798596}"/>
    <cellStyle name="Comma 4 2 3 2 2 3 2 4" xfId="21990" xr:uid="{CBA6540C-CFE7-4371-85C8-BF0B9AE51C7C}"/>
    <cellStyle name="Comma 4 2 3 2 2 3 3" xfId="5437" xr:uid="{00000000-0005-0000-0000-000066080000}"/>
    <cellStyle name="Comma 4 2 3 2 2 3 3 2" xfId="14763" xr:uid="{5891EB46-6BB7-4396-BA7F-37C8BC2E6472}"/>
    <cellStyle name="Comma 4 2 3 2 2 3 3 2 2" xfId="33359" xr:uid="{D3120298-3215-479E-8B19-84DC1782E048}"/>
    <cellStyle name="Comma 4 2 3 2 2 3 3 3" xfId="24062" xr:uid="{0839486A-BC37-419E-A6F4-31B9BB46435F}"/>
    <cellStyle name="Comma 4 2 3 2 2 3 4" xfId="10546" xr:uid="{E3F1FC0B-06D3-449B-80A4-1E22FCA78834}"/>
    <cellStyle name="Comma 4 2 3 2 2 3 4 2" xfId="29142" xr:uid="{B963A298-7418-437E-8596-A37683947D94}"/>
    <cellStyle name="Comma 4 2 3 2 2 3 5" xfId="19845" xr:uid="{1F1C6562-FE2B-41AC-9E5E-4F77850AA80B}"/>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477C832B-00CE-47D5-9FCB-FF3544D3D5D5}"/>
    <cellStyle name="Comma 4 2 3 2 2 4 2 2 2 2" xfId="35917" xr:uid="{B0653CA9-F957-429A-8207-D4E5D8DCAA97}"/>
    <cellStyle name="Comma 4 2 3 2 2 4 2 2 3" xfId="26620" xr:uid="{70146854-C33B-4AE8-BB9E-8296A0485311}"/>
    <cellStyle name="Comma 4 2 3 2 2 4 2 3" xfId="13104" xr:uid="{E0E860AE-544A-4161-B3D5-6809C821E395}"/>
    <cellStyle name="Comma 4 2 3 2 2 4 2 3 2" xfId="31700" xr:uid="{8CC3EE6B-0E02-43AF-9226-D1FAF5B6812C}"/>
    <cellStyle name="Comma 4 2 3 2 2 4 2 4" xfId="22403" xr:uid="{73456B0C-8F02-4D09-BBD9-9E4AED7893B2}"/>
    <cellStyle name="Comma 4 2 3 2 2 4 3" xfId="5850" xr:uid="{00000000-0005-0000-0000-00006A080000}"/>
    <cellStyle name="Comma 4 2 3 2 2 4 3 2" xfId="15176" xr:uid="{F42A3BF0-6CE9-4C0E-AE10-5BE2503E8EE3}"/>
    <cellStyle name="Comma 4 2 3 2 2 4 3 2 2" xfId="33772" xr:uid="{5839D64F-4A37-471A-9E60-060987ECB8EB}"/>
    <cellStyle name="Comma 4 2 3 2 2 4 3 3" xfId="24475" xr:uid="{713D73B8-FF55-4565-97B7-41CC8B5F9DB5}"/>
    <cellStyle name="Comma 4 2 3 2 2 4 4" xfId="10959" xr:uid="{0A13BAD4-C9C1-4F15-98CE-8156261F1BB2}"/>
    <cellStyle name="Comma 4 2 3 2 2 4 4 2" xfId="29555" xr:uid="{95F52DCA-F46F-45EA-89DF-3A0A314E9896}"/>
    <cellStyle name="Comma 4 2 3 2 2 4 5" xfId="20258" xr:uid="{2AC4850D-F251-4FE1-B152-797472DEB1A3}"/>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740E21CE-6BF1-4CE2-AAEA-1B3467ED05A0}"/>
    <cellStyle name="Comma 4 2 3 2 2 5 2 2 2 2" xfId="36330" xr:uid="{8987AD6E-9ECE-4E7C-AFB1-14314FF298B4}"/>
    <cellStyle name="Comma 4 2 3 2 2 5 2 2 3" xfId="27033" xr:uid="{5A6A0D32-F1E6-4340-A6C9-0A63C188B175}"/>
    <cellStyle name="Comma 4 2 3 2 2 5 2 3" xfId="13517" xr:uid="{17108F11-ACA7-4029-8A93-9916DA0294EF}"/>
    <cellStyle name="Comma 4 2 3 2 2 5 2 3 2" xfId="32113" xr:uid="{AB6E7568-FBC2-437F-930B-98469298CC01}"/>
    <cellStyle name="Comma 4 2 3 2 2 5 2 4" xfId="22816" xr:uid="{93316D51-0AC2-4F9F-AE40-5919EA648084}"/>
    <cellStyle name="Comma 4 2 3 2 2 5 3" xfId="6263" xr:uid="{00000000-0005-0000-0000-00006E080000}"/>
    <cellStyle name="Comma 4 2 3 2 2 5 3 2" xfId="15589" xr:uid="{E806D740-BF05-404A-A99C-E3EFC82DDB97}"/>
    <cellStyle name="Comma 4 2 3 2 2 5 3 2 2" xfId="34185" xr:uid="{FB3E33DA-3CB1-4793-B836-7BFAFD2BFEF2}"/>
    <cellStyle name="Comma 4 2 3 2 2 5 3 3" xfId="24888" xr:uid="{29BE155C-EBCD-4C92-902B-EAB790A623DE}"/>
    <cellStyle name="Comma 4 2 3 2 2 5 4" xfId="11372" xr:uid="{297D591C-75C7-4D83-89A9-8E1AF5E848B1}"/>
    <cellStyle name="Comma 4 2 3 2 2 5 4 2" xfId="29968" xr:uid="{6FC46BFC-80C5-4FFD-9052-C8B2E0A5080D}"/>
    <cellStyle name="Comma 4 2 3 2 2 5 5" xfId="20671" xr:uid="{27CFD241-BB2A-45FE-A290-1CD1DFAA4AB6}"/>
    <cellStyle name="Comma 4 2 3 2 2 6" xfId="2392" xr:uid="{00000000-0005-0000-0000-00006F080000}"/>
    <cellStyle name="Comma 4 2 3 2 2 6 2" xfId="6676" xr:uid="{00000000-0005-0000-0000-000070080000}"/>
    <cellStyle name="Comma 4 2 3 2 2 6 2 2" xfId="16002" xr:uid="{E6FC9B58-7FEF-454C-9F5C-9A530972BC87}"/>
    <cellStyle name="Comma 4 2 3 2 2 6 2 2 2" xfId="34598" xr:uid="{9D9E10B7-2514-4EEE-9A55-87991ED3A816}"/>
    <cellStyle name="Comma 4 2 3 2 2 6 2 3" xfId="25301" xr:uid="{572579C9-E2F1-4343-B3E1-2908C66813C0}"/>
    <cellStyle name="Comma 4 2 3 2 2 6 3" xfId="11785" xr:uid="{0A624717-38DD-4F6B-AA13-B18DED5A3E75}"/>
    <cellStyle name="Comma 4 2 3 2 2 6 3 2" xfId="30381" xr:uid="{84F41237-9D9A-45E2-B993-6B937C2F5F8E}"/>
    <cellStyle name="Comma 4 2 3 2 2 6 4" xfId="21084" xr:uid="{60FB94C4-42FF-49DA-9347-3DAB8821DA9E}"/>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B7E9C114-85D7-4986-8E5C-65DE43DF9F99}"/>
    <cellStyle name="Comma 4 2 3 2 2 8 2 2 2" xfId="34915" xr:uid="{76EB4D0E-10BD-4A8B-AD0A-AFF6FFA943F8}"/>
    <cellStyle name="Comma 4 2 3 2 2 8 2 3" xfId="25618" xr:uid="{052C9C98-EAD2-4AF8-883F-A7BA0DAC3227}"/>
    <cellStyle name="Comma 4 2 3 2 2 8 3" xfId="12102" xr:uid="{9DE5F935-45F9-452A-9F46-A6610FFC4268}"/>
    <cellStyle name="Comma 4 2 3 2 2 8 3 2" xfId="30698" xr:uid="{27A2EE40-E762-40DE-9671-7C1F4D5A12C3}"/>
    <cellStyle name="Comma 4 2 3 2 2 8 4" xfId="21401" xr:uid="{1479A95F-937F-495D-AC55-2DAA7F15E432}"/>
    <cellStyle name="Comma 4 2 3 2 2 9" xfId="4610" xr:uid="{00000000-0005-0000-0000-000074080000}"/>
    <cellStyle name="Comma 4 2 3 2 2 9 2" xfId="13936" xr:uid="{68F9BFE2-8E9A-48FC-AB62-581207CB2BDC}"/>
    <cellStyle name="Comma 4 2 3 2 2 9 2 2" xfId="32532" xr:uid="{092C6A58-BB3D-4181-9AC3-DF82C09B1FBC}"/>
    <cellStyle name="Comma 4 2 3 2 2 9 3" xfId="23235" xr:uid="{FA0FCE75-BFA1-410E-A22C-A259834FDB4C}"/>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56454FA7-7DE1-4427-9241-8043057FC807}"/>
    <cellStyle name="Comma 4 2 3 2 3 2 2 2 2" xfId="35090" xr:uid="{A4652436-D3BA-42C6-AC3B-4E6240ADC612}"/>
    <cellStyle name="Comma 4 2 3 2 3 2 2 3" xfId="25793" xr:uid="{AAC626D6-DA24-42FC-8D70-F0F0C40DD63A}"/>
    <cellStyle name="Comma 4 2 3 2 3 2 3" xfId="12277" xr:uid="{FC206979-F279-44A1-A1AF-FAA60443F663}"/>
    <cellStyle name="Comma 4 2 3 2 3 2 3 2" xfId="30873" xr:uid="{DF2351B5-B62D-4A49-82DF-D2A2E4F261F7}"/>
    <cellStyle name="Comma 4 2 3 2 3 2 4" xfId="21576" xr:uid="{F7EFA127-E970-45AC-B2D6-D06159927EC9}"/>
    <cellStyle name="Comma 4 2 3 2 3 3" xfId="5023" xr:uid="{00000000-0005-0000-0000-000078080000}"/>
    <cellStyle name="Comma 4 2 3 2 3 3 2" xfId="14349" xr:uid="{74D9FA29-3F4D-4813-96DC-171B3DFE3DC6}"/>
    <cellStyle name="Comma 4 2 3 2 3 3 2 2" xfId="32945" xr:uid="{47C70867-D3DD-4FCC-9A20-56D87A5048E9}"/>
    <cellStyle name="Comma 4 2 3 2 3 3 3" xfId="23648" xr:uid="{85CD4AC7-9559-4648-BE44-E8BAD7DB2BF1}"/>
    <cellStyle name="Comma 4 2 3 2 3 4" xfId="9333" xr:uid="{5C974796-1B06-4FA8-AB2A-F6B34628ACD4}"/>
    <cellStyle name="Comma 4 2 3 2 3 4 2" xfId="18648" xr:uid="{90FAAAF3-A6F4-4E4E-80BD-D48C6D1EA67B}"/>
    <cellStyle name="Comma 4 2 3 2 3 4 2 2" xfId="37242" xr:uid="{4D64A444-6896-40D5-9BF1-30C7FDAE3644}"/>
    <cellStyle name="Comma 4 2 3 2 3 4 3" xfId="27945" xr:uid="{A8576F4E-4567-4391-9C98-56B2A50FD691}"/>
    <cellStyle name="Comma 4 2 3 2 3 5" xfId="10132" xr:uid="{A95B6848-BA0E-4B1C-8041-37812303ADF2}"/>
    <cellStyle name="Comma 4 2 3 2 3 5 2" xfId="28728" xr:uid="{986FB01F-168F-47AA-A6DD-DEBA82386096}"/>
    <cellStyle name="Comma 4 2 3 2 3 6" xfId="19431" xr:uid="{C448F3EC-55D9-4C04-B904-34D10CD13C41}"/>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3946ED0A-BB7C-466D-A83F-7357D8FFD0F6}"/>
    <cellStyle name="Comma 4 2 3 2 4 2 2 2 2" xfId="35503" xr:uid="{3C6540A3-209F-45FC-BB17-42F676B06C6B}"/>
    <cellStyle name="Comma 4 2 3 2 4 2 2 3" xfId="26206" xr:uid="{B6320FC5-8EE2-4782-82AC-FB052E8B13E3}"/>
    <cellStyle name="Comma 4 2 3 2 4 2 3" xfId="12690" xr:uid="{6A0B3176-2109-4EA5-9678-D7A48D7A7591}"/>
    <cellStyle name="Comma 4 2 3 2 4 2 3 2" xfId="31286" xr:uid="{A428BD80-1143-4849-81A5-5469DA102396}"/>
    <cellStyle name="Comma 4 2 3 2 4 2 4" xfId="21989" xr:uid="{40F75102-5D48-413D-BA54-2F0CE439070C}"/>
    <cellStyle name="Comma 4 2 3 2 4 3" xfId="5436" xr:uid="{00000000-0005-0000-0000-00007C080000}"/>
    <cellStyle name="Comma 4 2 3 2 4 3 2" xfId="14762" xr:uid="{03279C7C-EAC9-4F79-9ADF-09C780DBD3A9}"/>
    <cellStyle name="Comma 4 2 3 2 4 3 2 2" xfId="33358" xr:uid="{1EA58C61-A1B7-4F0F-9593-B2002553AD2B}"/>
    <cellStyle name="Comma 4 2 3 2 4 3 3" xfId="24061" xr:uid="{D7671CE5-68F0-468E-9B6A-492D12C626BC}"/>
    <cellStyle name="Comma 4 2 3 2 4 4" xfId="10545" xr:uid="{1CE2E1CA-957A-4180-867D-4DAB95DC7CB8}"/>
    <cellStyle name="Comma 4 2 3 2 4 4 2" xfId="29141" xr:uid="{28E1CF2C-6BBD-4933-8E3F-0504D4A4AF12}"/>
    <cellStyle name="Comma 4 2 3 2 4 5" xfId="19844" xr:uid="{BD1E3AF0-9403-4302-ABFA-3A8A14F23844}"/>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92CA3124-2056-49A0-942E-202C601B6535}"/>
    <cellStyle name="Comma 4 2 3 2 5 2 2 2 2" xfId="35916" xr:uid="{80BFB14D-FF7C-47D5-99CB-6A6833077C42}"/>
    <cellStyle name="Comma 4 2 3 2 5 2 2 3" xfId="26619" xr:uid="{2804527C-2571-49ED-9178-6E9EE4B02DB3}"/>
    <cellStyle name="Comma 4 2 3 2 5 2 3" xfId="13103" xr:uid="{481F0F19-4A41-497A-BF1A-4A590D461FB4}"/>
    <cellStyle name="Comma 4 2 3 2 5 2 3 2" xfId="31699" xr:uid="{5228A15A-3DDC-476D-AB40-41BE4F7BCD25}"/>
    <cellStyle name="Comma 4 2 3 2 5 2 4" xfId="22402" xr:uid="{8BF6D8FE-8EBF-46FC-8270-E49531726CE2}"/>
    <cellStyle name="Comma 4 2 3 2 5 3" xfId="5849" xr:uid="{00000000-0005-0000-0000-000080080000}"/>
    <cellStyle name="Comma 4 2 3 2 5 3 2" xfId="15175" xr:uid="{519A3D81-EE70-4759-994F-556452E5F69D}"/>
    <cellStyle name="Comma 4 2 3 2 5 3 2 2" xfId="33771" xr:uid="{5AE05821-63AC-403B-9E26-560FF387BC2B}"/>
    <cellStyle name="Comma 4 2 3 2 5 3 3" xfId="24474" xr:uid="{2B100652-C19B-4B64-BC7F-BD1400C30192}"/>
    <cellStyle name="Comma 4 2 3 2 5 4" xfId="10958" xr:uid="{C1090BDA-9FDB-45A4-B5A7-636162D20225}"/>
    <cellStyle name="Comma 4 2 3 2 5 4 2" xfId="29554" xr:uid="{0AC0DB46-F1A4-4D43-84F3-B9C82B03EA49}"/>
    <cellStyle name="Comma 4 2 3 2 5 5" xfId="20257" xr:uid="{C4B738BB-4E49-4E99-BC75-D71628C7294F}"/>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A50C0525-820F-463B-BD48-D6A57464C3E6}"/>
    <cellStyle name="Comma 4 2 3 2 6 2 2 2 2" xfId="36329" xr:uid="{88D0024C-B79F-4FD8-93D4-2D93053F1B71}"/>
    <cellStyle name="Comma 4 2 3 2 6 2 2 3" xfId="27032" xr:uid="{797612EB-FBC8-41C1-A84F-FA6B5C516DA1}"/>
    <cellStyle name="Comma 4 2 3 2 6 2 3" xfId="13516" xr:uid="{D24398C8-3015-4067-B740-A62E1C0D2E1D}"/>
    <cellStyle name="Comma 4 2 3 2 6 2 3 2" xfId="32112" xr:uid="{891B789D-FBCA-4D9D-B873-1BC8B2A938D8}"/>
    <cellStyle name="Comma 4 2 3 2 6 2 4" xfId="22815" xr:uid="{919250D9-6066-4401-8CF6-2130487F4F22}"/>
    <cellStyle name="Comma 4 2 3 2 6 3" xfId="6262" xr:uid="{00000000-0005-0000-0000-000084080000}"/>
    <cellStyle name="Comma 4 2 3 2 6 3 2" xfId="15588" xr:uid="{710E7722-B11B-4F9C-A0FB-9C797C5B5BF8}"/>
    <cellStyle name="Comma 4 2 3 2 6 3 2 2" xfId="34184" xr:uid="{A356ADCB-D3DB-48C4-BC68-5CA3A4A7F3A4}"/>
    <cellStyle name="Comma 4 2 3 2 6 3 3" xfId="24887" xr:uid="{210AAAD2-59CD-4FE0-98E9-89A0A87F7321}"/>
    <cellStyle name="Comma 4 2 3 2 6 4" xfId="11371" xr:uid="{3E498FCA-EADE-439E-8E34-41932771FEE4}"/>
    <cellStyle name="Comma 4 2 3 2 6 4 2" xfId="29967" xr:uid="{639809B1-D123-4685-9279-845DD18F8ACC}"/>
    <cellStyle name="Comma 4 2 3 2 6 5" xfId="20670" xr:uid="{03E1C16E-45F3-4D53-A9AE-1CA5F05DE4F7}"/>
    <cellStyle name="Comma 4 2 3 2 7" xfId="2391" xr:uid="{00000000-0005-0000-0000-000085080000}"/>
    <cellStyle name="Comma 4 2 3 2 7 2" xfId="6675" xr:uid="{00000000-0005-0000-0000-000086080000}"/>
    <cellStyle name="Comma 4 2 3 2 7 2 2" xfId="16001" xr:uid="{3D1A4CF0-87FD-47F7-88FC-13D899DF58FD}"/>
    <cellStyle name="Comma 4 2 3 2 7 2 2 2" xfId="34597" xr:uid="{E31809C4-9ABA-44D6-B5B3-D70F15876D34}"/>
    <cellStyle name="Comma 4 2 3 2 7 2 3" xfId="25300" xr:uid="{CC703898-8D09-4E7D-86ED-E811C48EEE18}"/>
    <cellStyle name="Comma 4 2 3 2 7 3" xfId="11784" xr:uid="{6225C15B-9D0F-40A8-B523-08AA1D960CFF}"/>
    <cellStyle name="Comma 4 2 3 2 7 3 2" xfId="30380" xr:uid="{C1ADAFFC-A81F-4FB0-8C86-A9449F15EB6E}"/>
    <cellStyle name="Comma 4 2 3 2 7 4" xfId="21083" xr:uid="{CD0BF23C-2A91-43D6-8159-DF339D6B45A8}"/>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75C39733-B8B3-41CF-ACDF-EBF0D2FB34FC}"/>
    <cellStyle name="Comma 4 2 3 2 9 2 2 2" xfId="34914" xr:uid="{3BF8BA0D-0020-4643-8AD8-181AD99408AD}"/>
    <cellStyle name="Comma 4 2 3 2 9 2 3" xfId="25617" xr:uid="{B83D0EC7-6745-4973-ACAC-E114DE9D9B4A}"/>
    <cellStyle name="Comma 4 2 3 2 9 3" xfId="12101" xr:uid="{D85A90FE-E712-4FAA-875D-4A28410D214F}"/>
    <cellStyle name="Comma 4 2 3 2 9 3 2" xfId="30697" xr:uid="{56DE08BC-657E-436F-82FC-D422EE558D14}"/>
    <cellStyle name="Comma 4 2 3 2 9 4" xfId="21400" xr:uid="{018508E5-9410-4948-AF7F-185C63F2F41B}"/>
    <cellStyle name="Comma 4 2 3 3" xfId="139" xr:uid="{00000000-0005-0000-0000-00008A080000}"/>
    <cellStyle name="Comma 4 2 3 3 10" xfId="9012" xr:uid="{61C0F117-76A9-43CA-B381-88B2CFF6294C}"/>
    <cellStyle name="Comma 4 2 3 3 10 2" xfId="18336" xr:uid="{1E111E17-696C-4ECD-8100-E90AA23C6766}"/>
    <cellStyle name="Comma 4 2 3 3 10 2 2" xfId="36931" xr:uid="{C0E57BBC-ABF8-4575-A338-55D03BF9936C}"/>
    <cellStyle name="Comma 4 2 3 3 10 3" xfId="27634" xr:uid="{A672382C-74FF-4328-83A7-488AEC0A4794}"/>
    <cellStyle name="Comma 4 2 3 3 11" xfId="9720" xr:uid="{9CD4D32F-40CF-4058-8EBE-0FBA0365083C}"/>
    <cellStyle name="Comma 4 2 3 3 11 2" xfId="28316" xr:uid="{3D3A5BCE-D7BA-42E6-B58F-5D72FC52154B}"/>
    <cellStyle name="Comma 4 2 3 3 12" xfId="19019" xr:uid="{68CCC853-151A-44F0-B816-3BA7393AF95F}"/>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ACEADCA2-7785-4B6E-96AC-DF9BC5BF8B88}"/>
    <cellStyle name="Comma 4 2 3 3 2 2 2 2 2" xfId="35092" xr:uid="{A28F950E-5F94-426F-9ADA-379A88A5494D}"/>
    <cellStyle name="Comma 4 2 3 3 2 2 2 3" xfId="25795" xr:uid="{665EE3AA-98E1-4634-A4D1-F4752A9A34AA}"/>
    <cellStyle name="Comma 4 2 3 3 2 2 3" xfId="12279" xr:uid="{BCEBEC79-CC98-4CFA-96CA-E5F489FFB63D}"/>
    <cellStyle name="Comma 4 2 3 3 2 2 3 2" xfId="30875" xr:uid="{E2C6853D-9C49-4063-9A4C-E6FE3E2A0464}"/>
    <cellStyle name="Comma 4 2 3 3 2 2 4" xfId="21578" xr:uid="{F30B9CA9-2C3F-491B-BF0C-4FEA42B87BCB}"/>
    <cellStyle name="Comma 4 2 3 3 2 3" xfId="5025" xr:uid="{00000000-0005-0000-0000-00008E080000}"/>
    <cellStyle name="Comma 4 2 3 3 2 3 2" xfId="14351" xr:uid="{64898283-692C-4DEA-98F6-AB05B18282F5}"/>
    <cellStyle name="Comma 4 2 3 3 2 3 2 2" xfId="32947" xr:uid="{62AC7F6C-A045-4EB3-8462-964C8ECAAE6C}"/>
    <cellStyle name="Comma 4 2 3 3 2 3 3" xfId="23650" xr:uid="{DCA065A3-555F-4A66-883A-64EDC8A097F0}"/>
    <cellStyle name="Comma 4 2 3 3 2 4" xfId="9437" xr:uid="{35C6809B-E49F-4A7F-8CB1-650474E72B0A}"/>
    <cellStyle name="Comma 4 2 3 3 2 4 2" xfId="18752" xr:uid="{F11486B2-658E-4F9A-92A6-7ED6BF48C80C}"/>
    <cellStyle name="Comma 4 2 3 3 2 4 2 2" xfId="37346" xr:uid="{B239F6C6-DF6A-432A-8634-6A652D7CAA62}"/>
    <cellStyle name="Comma 4 2 3 3 2 4 3" xfId="28049" xr:uid="{17146010-E70C-4350-A0F2-8F98F2E440C4}"/>
    <cellStyle name="Comma 4 2 3 3 2 5" xfId="10134" xr:uid="{5E52DBE3-8EBF-4EDB-9693-356A2689AADE}"/>
    <cellStyle name="Comma 4 2 3 3 2 5 2" xfId="28730" xr:uid="{0D294311-D560-4811-A1C6-2E0CEB26D093}"/>
    <cellStyle name="Comma 4 2 3 3 2 6" xfId="19433" xr:uid="{AFFAB0F3-766B-4C4D-B146-1307777FEFAF}"/>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03CB1316-42FB-47FF-B146-4A55793CA534}"/>
    <cellStyle name="Comma 4 2 3 3 3 2 2 2 2" xfId="35505" xr:uid="{45837EBC-60C3-4762-AC2E-FCE9627AC984}"/>
    <cellStyle name="Comma 4 2 3 3 3 2 2 3" xfId="26208" xr:uid="{2F9F10E2-E0B5-4105-8ACD-9B1312B53329}"/>
    <cellStyle name="Comma 4 2 3 3 3 2 3" xfId="12692" xr:uid="{E4E77B61-D953-4089-9A76-7CDFDC9E6BE8}"/>
    <cellStyle name="Comma 4 2 3 3 3 2 3 2" xfId="31288" xr:uid="{5638B667-646C-4898-86D8-7DF1F68663F6}"/>
    <cellStyle name="Comma 4 2 3 3 3 2 4" xfId="21991" xr:uid="{EA11B8B2-539E-477E-A1C8-E4F5932E9932}"/>
    <cellStyle name="Comma 4 2 3 3 3 3" xfId="5438" xr:uid="{00000000-0005-0000-0000-000092080000}"/>
    <cellStyle name="Comma 4 2 3 3 3 3 2" xfId="14764" xr:uid="{DC8B3392-A7AA-4498-99F7-EE8890B78E57}"/>
    <cellStyle name="Comma 4 2 3 3 3 3 2 2" xfId="33360" xr:uid="{24EFE193-D2A5-4026-BEA0-6CCA6A0A6E67}"/>
    <cellStyle name="Comma 4 2 3 3 3 3 3" xfId="24063" xr:uid="{0B1DB1A9-CCAE-4308-984E-AB1E72FD312C}"/>
    <cellStyle name="Comma 4 2 3 3 3 4" xfId="10547" xr:uid="{939EBE06-6DCC-437B-A306-54DF45F01A91}"/>
    <cellStyle name="Comma 4 2 3 3 3 4 2" xfId="29143" xr:uid="{1A08DB67-5C8A-4FB6-8A32-5B5AC6B9C428}"/>
    <cellStyle name="Comma 4 2 3 3 3 5" xfId="19846" xr:uid="{1868B157-CD4F-4DB5-B9EA-8C95CABD3AD3}"/>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58E22A48-A44C-4385-8D49-B752BA0093D3}"/>
    <cellStyle name="Comma 4 2 3 3 4 2 2 2 2" xfId="35918" xr:uid="{846093A0-93AD-47C0-8C60-2EB231469384}"/>
    <cellStyle name="Comma 4 2 3 3 4 2 2 3" xfId="26621" xr:uid="{DC9CA4EF-5081-4948-95B4-60FACC439C6A}"/>
    <cellStyle name="Comma 4 2 3 3 4 2 3" xfId="13105" xr:uid="{F06677F7-95A4-4D13-A204-314B54FFC6AA}"/>
    <cellStyle name="Comma 4 2 3 3 4 2 3 2" xfId="31701" xr:uid="{63FEDA25-9C94-486C-A52F-9F6A9FBE0732}"/>
    <cellStyle name="Comma 4 2 3 3 4 2 4" xfId="22404" xr:uid="{7F38D965-8CA8-43C8-BF04-E7EC8C1063E4}"/>
    <cellStyle name="Comma 4 2 3 3 4 3" xfId="5851" xr:uid="{00000000-0005-0000-0000-000096080000}"/>
    <cellStyle name="Comma 4 2 3 3 4 3 2" xfId="15177" xr:uid="{1F27E5C7-0370-47A6-AAC7-6494B128C245}"/>
    <cellStyle name="Comma 4 2 3 3 4 3 2 2" xfId="33773" xr:uid="{02331031-4004-4511-B765-C154EFCFD085}"/>
    <cellStyle name="Comma 4 2 3 3 4 3 3" xfId="24476" xr:uid="{C302BB9A-3226-4222-9972-157249852426}"/>
    <cellStyle name="Comma 4 2 3 3 4 4" xfId="10960" xr:uid="{485AFFB8-D963-4839-AE82-07E53399086B}"/>
    <cellStyle name="Comma 4 2 3 3 4 4 2" xfId="29556" xr:uid="{5ADAA028-3EF4-40B2-9498-D18E4109936B}"/>
    <cellStyle name="Comma 4 2 3 3 4 5" xfId="20259" xr:uid="{C95FE073-BC58-4679-A7AB-12985F152131}"/>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DBF7FD73-03A6-4F70-9204-3E66494DB0FF}"/>
    <cellStyle name="Comma 4 2 3 3 5 2 2 2 2" xfId="36331" xr:uid="{C55C72EB-5F60-44BC-9416-5A0DE2DBEE55}"/>
    <cellStyle name="Comma 4 2 3 3 5 2 2 3" xfId="27034" xr:uid="{3393A444-3AE0-4F70-BE74-70605BF0A3A7}"/>
    <cellStyle name="Comma 4 2 3 3 5 2 3" xfId="13518" xr:uid="{2DF5A58F-4118-4C41-9FC1-C24A9331B663}"/>
    <cellStyle name="Comma 4 2 3 3 5 2 3 2" xfId="32114" xr:uid="{FF5934F6-779F-43F3-9507-6BDAC3FC7CA9}"/>
    <cellStyle name="Comma 4 2 3 3 5 2 4" xfId="22817" xr:uid="{6C8A3681-E73B-4B4C-8783-5025C09A2901}"/>
    <cellStyle name="Comma 4 2 3 3 5 3" xfId="6264" xr:uid="{00000000-0005-0000-0000-00009A080000}"/>
    <cellStyle name="Comma 4 2 3 3 5 3 2" xfId="15590" xr:uid="{0E9E8910-C291-4BB5-96A3-49A0F712D2E3}"/>
    <cellStyle name="Comma 4 2 3 3 5 3 2 2" xfId="34186" xr:uid="{40D5E1D8-973E-40C0-B853-B6D970F1D377}"/>
    <cellStyle name="Comma 4 2 3 3 5 3 3" xfId="24889" xr:uid="{81D59EB7-04CD-42E8-B73F-21484147776B}"/>
    <cellStyle name="Comma 4 2 3 3 5 4" xfId="11373" xr:uid="{BB89D66D-80B4-4994-976B-71924CDE9AEA}"/>
    <cellStyle name="Comma 4 2 3 3 5 4 2" xfId="29969" xr:uid="{556B7F53-332B-460A-8186-96380F4D0B5C}"/>
    <cellStyle name="Comma 4 2 3 3 5 5" xfId="20672" xr:uid="{2E935C1F-A431-4186-8A29-60430DA4758D}"/>
    <cellStyle name="Comma 4 2 3 3 6" xfId="2393" xr:uid="{00000000-0005-0000-0000-00009B080000}"/>
    <cellStyle name="Comma 4 2 3 3 6 2" xfId="6677" xr:uid="{00000000-0005-0000-0000-00009C080000}"/>
    <cellStyle name="Comma 4 2 3 3 6 2 2" xfId="16003" xr:uid="{E9BCAAA5-7141-4B15-9A65-1CA811045534}"/>
    <cellStyle name="Comma 4 2 3 3 6 2 2 2" xfId="34599" xr:uid="{B7600054-9796-4A7E-9FFE-DA0267A8194D}"/>
    <cellStyle name="Comma 4 2 3 3 6 2 3" xfId="25302" xr:uid="{8D5D09C7-503C-4445-B05D-E58B69C87318}"/>
    <cellStyle name="Comma 4 2 3 3 6 3" xfId="11786" xr:uid="{888F0025-214C-4D6B-9181-A5D75A933387}"/>
    <cellStyle name="Comma 4 2 3 3 6 3 2" xfId="30382" xr:uid="{BA58AF44-78BA-420B-8A4C-7E124D9DE2A2}"/>
    <cellStyle name="Comma 4 2 3 3 6 4" xfId="21085" xr:uid="{3FB79776-DD25-4F5A-A37D-6F8856908F52}"/>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EED5E96F-2EF1-4AAA-9FB0-EB26BB51CE19}"/>
    <cellStyle name="Comma 4 2 3 3 8 2 2 2" xfId="34916" xr:uid="{95AF1FBE-7C1E-4127-A791-6A2FA1D39134}"/>
    <cellStyle name="Comma 4 2 3 3 8 2 3" xfId="25619" xr:uid="{CC08555C-FCF8-4211-914D-992136E0F88B}"/>
    <cellStyle name="Comma 4 2 3 3 8 3" xfId="12103" xr:uid="{8794DD01-A731-469C-AEE9-3070399BB564}"/>
    <cellStyle name="Comma 4 2 3 3 8 3 2" xfId="30699" xr:uid="{56FAF298-200B-4088-8071-FE6370FF12B4}"/>
    <cellStyle name="Comma 4 2 3 3 8 4" xfId="21402" xr:uid="{4DDA02AA-9BC2-4B79-AFEB-A62B1DA436AA}"/>
    <cellStyle name="Comma 4 2 3 3 9" xfId="4611" xr:uid="{00000000-0005-0000-0000-0000A0080000}"/>
    <cellStyle name="Comma 4 2 3 3 9 2" xfId="13937" xr:uid="{FEECF25B-C56B-4404-9B62-2A280AA8E432}"/>
    <cellStyle name="Comma 4 2 3 3 9 2 2" xfId="32533" xr:uid="{1BE05394-D6C1-41B6-BC8F-75CAED30F1BB}"/>
    <cellStyle name="Comma 4 2 3 3 9 3" xfId="23236" xr:uid="{EFEA2C82-701C-4913-881A-2DF5C4178B06}"/>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85B4E6F2-CA1C-4AA0-ADB9-21B6C1CBAD14}"/>
    <cellStyle name="Comma 4 2 3 4 2 2 2 2" xfId="35089" xr:uid="{9111B691-90B9-4D76-BEBE-3E4E1EB8E629}"/>
    <cellStyle name="Comma 4 2 3 4 2 2 3" xfId="25792" xr:uid="{7F93BB31-A284-411F-B70E-20F17E01D9B6}"/>
    <cellStyle name="Comma 4 2 3 4 2 3" xfId="12276" xr:uid="{9DBD6862-F176-4957-847F-7A7EC06170E4}"/>
    <cellStyle name="Comma 4 2 3 4 2 3 2" xfId="30872" xr:uid="{4CCB3A79-E925-436C-8A3B-2AA1DA43DD74}"/>
    <cellStyle name="Comma 4 2 3 4 2 4" xfId="21575" xr:uid="{652B496A-9B00-4F93-8824-D62163DB405E}"/>
    <cellStyle name="Comma 4 2 3 4 3" xfId="5022" xr:uid="{00000000-0005-0000-0000-0000A4080000}"/>
    <cellStyle name="Comma 4 2 3 4 3 2" xfId="14348" xr:uid="{CF701E5E-C41B-43D9-A4E3-568446E658FC}"/>
    <cellStyle name="Comma 4 2 3 4 3 2 2" xfId="32944" xr:uid="{0A4B9668-AB39-42BF-80C9-ED87A8E4D7F7}"/>
    <cellStyle name="Comma 4 2 3 4 3 3" xfId="23647" xr:uid="{BCAA0E1A-6201-4C86-B946-F3AB7B9EC00D}"/>
    <cellStyle name="Comma 4 2 3 4 4" xfId="9230" xr:uid="{24B6B749-023F-4009-8785-C6CFE1098E24}"/>
    <cellStyle name="Comma 4 2 3 4 4 2" xfId="18545" xr:uid="{CFD0AB62-A4A1-47D3-A1B9-897032DF9D09}"/>
    <cellStyle name="Comma 4 2 3 4 4 2 2" xfId="37139" xr:uid="{6D485333-F8DB-4646-A278-A77F60C6E229}"/>
    <cellStyle name="Comma 4 2 3 4 4 3" xfId="27842" xr:uid="{0F44EE9C-E496-4772-9BB7-BC98B22C16CE}"/>
    <cellStyle name="Comma 4 2 3 4 5" xfId="10131" xr:uid="{A28E28D3-64F2-4649-9CD8-87F351524D26}"/>
    <cellStyle name="Comma 4 2 3 4 5 2" xfId="28727" xr:uid="{986C638A-9076-4F39-8D1E-F96BA277D3B9}"/>
    <cellStyle name="Comma 4 2 3 4 6" xfId="19430" xr:uid="{D6B76325-FBA7-4A8A-A919-557330B58517}"/>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36FF5183-A94D-4A9B-ACD8-14B9BDED3894}"/>
    <cellStyle name="Comma 4 2 3 5 2 2 2 2" xfId="35502" xr:uid="{218CB37A-862A-4A74-A975-8188E0FFDFFC}"/>
    <cellStyle name="Comma 4 2 3 5 2 2 3" xfId="26205" xr:uid="{948D1563-3822-4DC6-B55C-0CB732585B97}"/>
    <cellStyle name="Comma 4 2 3 5 2 3" xfId="12689" xr:uid="{7E62B1B2-3A3C-4FCD-9769-43336417DB59}"/>
    <cellStyle name="Comma 4 2 3 5 2 3 2" xfId="31285" xr:uid="{C7EDB15C-5FFD-4357-BCAB-A706EA12B296}"/>
    <cellStyle name="Comma 4 2 3 5 2 4" xfId="21988" xr:uid="{D8705057-33AB-4A65-B80D-E972AA356A7F}"/>
    <cellStyle name="Comma 4 2 3 5 3" xfId="5435" xr:uid="{00000000-0005-0000-0000-0000A8080000}"/>
    <cellStyle name="Comma 4 2 3 5 3 2" xfId="14761" xr:uid="{BF45F6BB-AECF-47BD-AD4E-93E9B8B0F350}"/>
    <cellStyle name="Comma 4 2 3 5 3 2 2" xfId="33357" xr:uid="{35C17AAD-F4F3-425D-BC80-8CD30EC9B2DF}"/>
    <cellStyle name="Comma 4 2 3 5 3 3" xfId="24060" xr:uid="{F4B2B56E-3B82-43A8-9F6D-F694E5351D4B}"/>
    <cellStyle name="Comma 4 2 3 5 4" xfId="10544" xr:uid="{8AA81B6C-901E-422A-B284-7ED617ACC902}"/>
    <cellStyle name="Comma 4 2 3 5 4 2" xfId="29140" xr:uid="{49A39193-81A3-4DF6-8ED7-C684628B386A}"/>
    <cellStyle name="Comma 4 2 3 5 5" xfId="19843" xr:uid="{4112652F-2149-46D8-893D-97F0F5E5DD28}"/>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7F2E2D0B-F7B7-4F8E-9925-003DA9AB7CC1}"/>
    <cellStyle name="Comma 4 2 3 6 2 2 2 2" xfId="35915" xr:uid="{92751292-1956-4419-89D5-8330D790DFA7}"/>
    <cellStyle name="Comma 4 2 3 6 2 2 3" xfId="26618" xr:uid="{33C2270B-4B97-4B73-A67E-7A1506DDB1C4}"/>
    <cellStyle name="Comma 4 2 3 6 2 3" xfId="13102" xr:uid="{8C94A236-1BEE-41D0-9FF8-533AA8A42924}"/>
    <cellStyle name="Comma 4 2 3 6 2 3 2" xfId="31698" xr:uid="{DDC5A9DF-E1DC-4136-AE8C-D41662C7F16F}"/>
    <cellStyle name="Comma 4 2 3 6 2 4" xfId="22401" xr:uid="{D5FE6A0F-72DD-425F-B1F8-9FE69A12B029}"/>
    <cellStyle name="Comma 4 2 3 6 3" xfId="5848" xr:uid="{00000000-0005-0000-0000-0000AC080000}"/>
    <cellStyle name="Comma 4 2 3 6 3 2" xfId="15174" xr:uid="{FA2AFD17-99DF-4A6E-9FB9-E07DC56EC9E9}"/>
    <cellStyle name="Comma 4 2 3 6 3 2 2" xfId="33770" xr:uid="{21E71DD7-9699-483A-AB82-AE7B80B1D014}"/>
    <cellStyle name="Comma 4 2 3 6 3 3" xfId="24473" xr:uid="{3D7F76C9-4A1D-43AF-838A-E33F39798440}"/>
    <cellStyle name="Comma 4 2 3 6 4" xfId="10957" xr:uid="{4F0A5507-5C4C-48A0-B02B-5E08A732D798}"/>
    <cellStyle name="Comma 4 2 3 6 4 2" xfId="29553" xr:uid="{D5B000D8-5B4B-4AE1-A012-A1DA25DA8480}"/>
    <cellStyle name="Comma 4 2 3 6 5" xfId="20256" xr:uid="{888FD530-81DF-4B3C-92F5-A0814CFB0EA2}"/>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2A34FB40-EE16-4CAF-B216-561BBBD16339}"/>
    <cellStyle name="Comma 4 2 3 7 2 2 2 2" xfId="36328" xr:uid="{2C2F81CE-4B81-446E-8626-0CCC3B6C1988}"/>
    <cellStyle name="Comma 4 2 3 7 2 2 3" xfId="27031" xr:uid="{CC13B82A-F91C-4626-9604-255CE4D93A7B}"/>
    <cellStyle name="Comma 4 2 3 7 2 3" xfId="13515" xr:uid="{72A62394-8E87-4BEA-8B01-75DE76108432}"/>
    <cellStyle name="Comma 4 2 3 7 2 3 2" xfId="32111" xr:uid="{B05D9ADB-EF95-4F34-B4AC-84A5203A869C}"/>
    <cellStyle name="Comma 4 2 3 7 2 4" xfId="22814" xr:uid="{1A6FBBA5-1386-4D4A-AD79-4B54F99692F3}"/>
    <cellStyle name="Comma 4 2 3 7 3" xfId="6261" xr:uid="{00000000-0005-0000-0000-0000B0080000}"/>
    <cellStyle name="Comma 4 2 3 7 3 2" xfId="15587" xr:uid="{1D708F3C-9BF5-4801-AEE1-7BC686560137}"/>
    <cellStyle name="Comma 4 2 3 7 3 2 2" xfId="34183" xr:uid="{9159716B-11BB-4548-9B55-22851E4CC55C}"/>
    <cellStyle name="Comma 4 2 3 7 3 3" xfId="24886" xr:uid="{846EFA05-7FA2-4928-8AF2-13D34FA5B7C6}"/>
    <cellStyle name="Comma 4 2 3 7 4" xfId="11370" xr:uid="{68133848-F6F9-4938-BEA1-7DD717ACEBAE}"/>
    <cellStyle name="Comma 4 2 3 7 4 2" xfId="29966" xr:uid="{570B79A0-CC35-4235-BE4D-5D6CF3BE48DF}"/>
    <cellStyle name="Comma 4 2 3 7 5" xfId="20669" xr:uid="{9CE2B865-A125-4FFB-96EB-BA3D73DA2DD3}"/>
    <cellStyle name="Comma 4 2 3 8" xfId="2390" xr:uid="{00000000-0005-0000-0000-0000B1080000}"/>
    <cellStyle name="Comma 4 2 3 8 2" xfId="6674" xr:uid="{00000000-0005-0000-0000-0000B2080000}"/>
    <cellStyle name="Comma 4 2 3 8 2 2" xfId="16000" xr:uid="{A94892A3-1C2F-4C04-87D3-A5C936624C17}"/>
    <cellStyle name="Comma 4 2 3 8 2 2 2" xfId="34596" xr:uid="{6AEEF19A-09EA-40E8-90A5-CCC2C8CAE925}"/>
    <cellStyle name="Comma 4 2 3 8 2 3" xfId="25299" xr:uid="{47FFE676-353B-4742-94D5-AA2706E4D3DC}"/>
    <cellStyle name="Comma 4 2 3 8 3" xfId="11783" xr:uid="{49F71EE6-7C84-4712-8C18-0635553F0E77}"/>
    <cellStyle name="Comma 4 2 3 8 3 2" xfId="30379" xr:uid="{3A371A49-12F1-4407-899C-BD82029F3AFF}"/>
    <cellStyle name="Comma 4 2 3 8 4" xfId="21082" xr:uid="{63A2E0C0-B001-48A4-BEE2-1613496EAA00}"/>
    <cellStyle name="Comma 4 2 3 9" xfId="2373" xr:uid="{00000000-0005-0000-0000-0000B3080000}"/>
    <cellStyle name="Comma 4 2 4" xfId="140" xr:uid="{00000000-0005-0000-0000-0000B4080000}"/>
    <cellStyle name="Comma 4 2 4 10" xfId="4612" xr:uid="{00000000-0005-0000-0000-0000B5080000}"/>
    <cellStyle name="Comma 4 2 4 10 2" xfId="13938" xr:uid="{6D4C091C-3F3E-4AD0-A7AB-477B6A9BDE0D}"/>
    <cellStyle name="Comma 4 2 4 10 2 2" xfId="32534" xr:uid="{D60AB86E-9D27-49A8-9B54-174ABAF14CA7}"/>
    <cellStyle name="Comma 4 2 4 10 3" xfId="23237" xr:uid="{229EC077-C6A3-4C74-9514-1C44B7A96943}"/>
    <cellStyle name="Comma 4 2 4 11" xfId="8858" xr:uid="{B6A00C95-D04C-44B2-B8AF-67540882256C}"/>
    <cellStyle name="Comma 4 2 4 11 2" xfId="18182" xr:uid="{572CDDAB-CB9B-4C06-AF62-87548C9CCDF4}"/>
    <cellStyle name="Comma 4 2 4 11 2 2" xfId="36777" xr:uid="{4EB4CF48-9DB3-4CFB-AC85-924ECEEBB597}"/>
    <cellStyle name="Comma 4 2 4 11 3" xfId="27480" xr:uid="{0EE09706-C105-4215-B540-B321EDC229A0}"/>
    <cellStyle name="Comma 4 2 4 12" xfId="9721" xr:uid="{85A6717B-16AD-411D-A347-75F4493795FF}"/>
    <cellStyle name="Comma 4 2 4 12 2" xfId="28317" xr:uid="{D5F187BA-4991-4A48-9DA9-6BDC64A3EFFF}"/>
    <cellStyle name="Comma 4 2 4 13" xfId="19020" xr:uid="{2C6CEBEF-94EE-449C-888E-902CFF9B1328}"/>
    <cellStyle name="Comma 4 2 4 2" xfId="141" xr:uid="{00000000-0005-0000-0000-0000B6080000}"/>
    <cellStyle name="Comma 4 2 4 2 10" xfId="9065" xr:uid="{961AA06A-D943-447E-AADB-49B440E7E7CE}"/>
    <cellStyle name="Comma 4 2 4 2 10 2" xfId="18389" xr:uid="{43CD8875-41E1-4003-848B-CD5506B4FAD6}"/>
    <cellStyle name="Comma 4 2 4 2 10 2 2" xfId="36984" xr:uid="{C5DFB3A7-02A5-42BE-9CE1-CCE94293493B}"/>
    <cellStyle name="Comma 4 2 4 2 10 3" xfId="27687" xr:uid="{67C5F2C7-4D01-4D78-8EA0-0344980BCDE9}"/>
    <cellStyle name="Comma 4 2 4 2 11" xfId="9722" xr:uid="{F48A2FEF-EEB5-49CC-8430-62F4253E11DF}"/>
    <cellStyle name="Comma 4 2 4 2 11 2" xfId="28318" xr:uid="{70EF87AD-44BA-403E-BF5D-15FA0272690D}"/>
    <cellStyle name="Comma 4 2 4 2 12" xfId="19021" xr:uid="{307A84B2-6435-4E68-8C5F-980674F7DA0F}"/>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27B228F4-2403-4A4F-8ACE-3304DAA39045}"/>
    <cellStyle name="Comma 4 2 4 2 2 2 2 2 2" xfId="35094" xr:uid="{27A40094-3C66-438D-9462-BFD3F05945E1}"/>
    <cellStyle name="Comma 4 2 4 2 2 2 2 3" xfId="25797" xr:uid="{8487FAC3-00EB-4CC9-B3B0-ED4488F3470F}"/>
    <cellStyle name="Comma 4 2 4 2 2 2 3" xfId="12281" xr:uid="{AF30C8C6-314D-4460-AC47-EE568B1C2E8B}"/>
    <cellStyle name="Comma 4 2 4 2 2 2 3 2" xfId="30877" xr:uid="{B0379827-F350-4EF5-8B5D-C18AFF541FE3}"/>
    <cellStyle name="Comma 4 2 4 2 2 2 4" xfId="21580" xr:uid="{9139D625-8AAE-496E-A095-57E6218A0681}"/>
    <cellStyle name="Comma 4 2 4 2 2 3" xfId="5027" xr:uid="{00000000-0005-0000-0000-0000BA080000}"/>
    <cellStyle name="Comma 4 2 4 2 2 3 2" xfId="14353" xr:uid="{361FBC2E-091B-4D9D-8782-F5D730D33350}"/>
    <cellStyle name="Comma 4 2 4 2 2 3 2 2" xfId="32949" xr:uid="{E6D84B36-C631-490A-A080-EBC5F9D6A222}"/>
    <cellStyle name="Comma 4 2 4 2 2 3 3" xfId="23652" xr:uid="{2508D245-0A9C-41C7-B1A4-D7E5B18EE581}"/>
    <cellStyle name="Comma 4 2 4 2 2 4" xfId="9490" xr:uid="{2FAEB1E6-7B41-437B-B2A9-4352AB4F4B98}"/>
    <cellStyle name="Comma 4 2 4 2 2 4 2" xfId="18805" xr:uid="{DFE630A5-8BFD-40A6-B9D9-77884204C52A}"/>
    <cellStyle name="Comma 4 2 4 2 2 4 2 2" xfId="37399" xr:uid="{DD717869-95DB-43B2-BDCC-AA67C29C006E}"/>
    <cellStyle name="Comma 4 2 4 2 2 4 3" xfId="28102" xr:uid="{21770B02-7F8B-4708-84D0-313E0A0B9B54}"/>
    <cellStyle name="Comma 4 2 4 2 2 5" xfId="10136" xr:uid="{BFEC0508-E9B9-483D-9C13-654BF4409682}"/>
    <cellStyle name="Comma 4 2 4 2 2 5 2" xfId="28732" xr:uid="{7F734736-412B-4E2F-A1F8-4FCEA919767C}"/>
    <cellStyle name="Comma 4 2 4 2 2 6" xfId="19435" xr:uid="{BC998129-40B1-4587-9D27-72799546E33D}"/>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6AA1165D-7E99-4F5D-B6F5-CE1F09702B93}"/>
    <cellStyle name="Comma 4 2 4 2 3 2 2 2 2" xfId="35507" xr:uid="{535C9943-F25E-4930-9BF2-FD2C4536E21B}"/>
    <cellStyle name="Comma 4 2 4 2 3 2 2 3" xfId="26210" xr:uid="{4152E8B7-1A50-4EE9-8662-18909BFE482A}"/>
    <cellStyle name="Comma 4 2 4 2 3 2 3" xfId="12694" xr:uid="{EF10A7A2-7AC1-4A55-9853-C1C33A045510}"/>
    <cellStyle name="Comma 4 2 4 2 3 2 3 2" xfId="31290" xr:uid="{AA40C649-9993-4976-A8B5-1977A9F0F30F}"/>
    <cellStyle name="Comma 4 2 4 2 3 2 4" xfId="21993" xr:uid="{65190D15-DD42-4840-B21C-6CC43677FBFD}"/>
    <cellStyle name="Comma 4 2 4 2 3 3" xfId="5440" xr:uid="{00000000-0005-0000-0000-0000BE080000}"/>
    <cellStyle name="Comma 4 2 4 2 3 3 2" xfId="14766" xr:uid="{A1217E1C-340F-465C-9BA2-A176C42FE113}"/>
    <cellStyle name="Comma 4 2 4 2 3 3 2 2" xfId="33362" xr:uid="{0A95E7DC-CB63-4BA9-844A-A47F0EE79A9E}"/>
    <cellStyle name="Comma 4 2 4 2 3 3 3" xfId="24065" xr:uid="{7F3E9BCD-BE18-4A72-A90C-76985C2A7E1F}"/>
    <cellStyle name="Comma 4 2 4 2 3 4" xfId="10549" xr:uid="{DE2130E4-1D8E-48DF-9153-327794871EDE}"/>
    <cellStyle name="Comma 4 2 4 2 3 4 2" xfId="29145" xr:uid="{0C08CFDD-102E-4738-AE8F-5DF0289AE664}"/>
    <cellStyle name="Comma 4 2 4 2 3 5" xfId="19848" xr:uid="{3A5E4370-52AB-42E6-B2AD-EAC97DE1FD64}"/>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97332025-73CC-4280-8268-D3B665E59A8E}"/>
    <cellStyle name="Comma 4 2 4 2 4 2 2 2 2" xfId="35920" xr:uid="{300728ED-5E40-4801-83C6-355C43399DD8}"/>
    <cellStyle name="Comma 4 2 4 2 4 2 2 3" xfId="26623" xr:uid="{AB2CF908-C9A7-4DE7-8AAB-4B22135B96DF}"/>
    <cellStyle name="Comma 4 2 4 2 4 2 3" xfId="13107" xr:uid="{74F36746-1A87-46C7-8434-EC839BFDBA7E}"/>
    <cellStyle name="Comma 4 2 4 2 4 2 3 2" xfId="31703" xr:uid="{A0034BB2-7F20-40A4-88B1-9B2395ED950C}"/>
    <cellStyle name="Comma 4 2 4 2 4 2 4" xfId="22406" xr:uid="{B3E162CD-BCC2-4127-9555-D91FA3B0CCB3}"/>
    <cellStyle name="Comma 4 2 4 2 4 3" xfId="5853" xr:uid="{00000000-0005-0000-0000-0000C2080000}"/>
    <cellStyle name="Comma 4 2 4 2 4 3 2" xfId="15179" xr:uid="{6FF4886F-428C-4684-8D24-AE0F0FDF83E6}"/>
    <cellStyle name="Comma 4 2 4 2 4 3 2 2" xfId="33775" xr:uid="{CB9992CC-B970-4C60-96D4-A4AE27F57DEF}"/>
    <cellStyle name="Comma 4 2 4 2 4 3 3" xfId="24478" xr:uid="{4122452B-3A2D-48C9-803A-1D87628C7809}"/>
    <cellStyle name="Comma 4 2 4 2 4 4" xfId="10962" xr:uid="{8DF09403-9FD3-4E59-AB45-6D7C9BD74488}"/>
    <cellStyle name="Comma 4 2 4 2 4 4 2" xfId="29558" xr:uid="{E66F4FA9-961D-4899-896C-F87A141A9241}"/>
    <cellStyle name="Comma 4 2 4 2 4 5" xfId="20261" xr:uid="{A33C8FCC-D605-412E-8FC6-661EC66AC6CD}"/>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A859135F-670C-4077-AACD-EA47A2919090}"/>
    <cellStyle name="Comma 4 2 4 2 5 2 2 2 2" xfId="36333" xr:uid="{16E9255B-EE1E-4AB7-8062-9A07258DA1BF}"/>
    <cellStyle name="Comma 4 2 4 2 5 2 2 3" xfId="27036" xr:uid="{CC6955A1-9B58-4FA0-A008-A4C9DD33C1AF}"/>
    <cellStyle name="Comma 4 2 4 2 5 2 3" xfId="13520" xr:uid="{E661AC93-50D2-4FC9-B7E6-5A6A1D1B3237}"/>
    <cellStyle name="Comma 4 2 4 2 5 2 3 2" xfId="32116" xr:uid="{91E895E7-7EC6-46F2-848D-5F5564CE5EEF}"/>
    <cellStyle name="Comma 4 2 4 2 5 2 4" xfId="22819" xr:uid="{F81696B0-3244-4589-8A1A-F427090CD6C0}"/>
    <cellStyle name="Comma 4 2 4 2 5 3" xfId="6266" xr:uid="{00000000-0005-0000-0000-0000C6080000}"/>
    <cellStyle name="Comma 4 2 4 2 5 3 2" xfId="15592" xr:uid="{0FE03B69-40DB-44E5-97DF-B61D047EBCBB}"/>
    <cellStyle name="Comma 4 2 4 2 5 3 2 2" xfId="34188" xr:uid="{5C865C38-5E1C-47C4-8EA4-FB786140FA5E}"/>
    <cellStyle name="Comma 4 2 4 2 5 3 3" xfId="24891" xr:uid="{558673CB-D26B-44C8-9034-8981DA1E719D}"/>
    <cellStyle name="Comma 4 2 4 2 5 4" xfId="11375" xr:uid="{EB79A990-59DB-4DFE-BAA8-08C038A4E0C1}"/>
    <cellStyle name="Comma 4 2 4 2 5 4 2" xfId="29971" xr:uid="{3D7A79F4-DAD0-4507-97FB-107958381F1A}"/>
    <cellStyle name="Comma 4 2 4 2 5 5" xfId="20674" xr:uid="{CD0CA90A-EC35-404F-879F-4FDC19C9A522}"/>
    <cellStyle name="Comma 4 2 4 2 6" xfId="2395" xr:uid="{00000000-0005-0000-0000-0000C7080000}"/>
    <cellStyle name="Comma 4 2 4 2 6 2" xfId="6679" xr:uid="{00000000-0005-0000-0000-0000C8080000}"/>
    <cellStyle name="Comma 4 2 4 2 6 2 2" xfId="16005" xr:uid="{E8BFAF87-9CA7-4348-A1AF-4AC41709AD59}"/>
    <cellStyle name="Comma 4 2 4 2 6 2 2 2" xfId="34601" xr:uid="{4BF11A1B-1563-4F57-85C9-9E2DDB3845BF}"/>
    <cellStyle name="Comma 4 2 4 2 6 2 3" xfId="25304" xr:uid="{98974811-3957-42E5-8A36-84F326CED803}"/>
    <cellStyle name="Comma 4 2 4 2 6 3" xfId="11788" xr:uid="{F1FB5712-3D9B-4603-B5EC-1B0072722087}"/>
    <cellStyle name="Comma 4 2 4 2 6 3 2" xfId="30384" xr:uid="{CED730B3-E364-4435-A697-A2C8FB55D222}"/>
    <cellStyle name="Comma 4 2 4 2 6 4" xfId="21087" xr:uid="{61899386-E0B9-404F-9F93-694E5562AAF3}"/>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B3E970A9-D03D-4582-8BC8-8D4C03AA9651}"/>
    <cellStyle name="Comma 4 2 4 2 8 2 2 2" xfId="34918" xr:uid="{44D51317-DE9A-4547-8D26-EEA51146591B}"/>
    <cellStyle name="Comma 4 2 4 2 8 2 3" xfId="25621" xr:uid="{04D57D99-FE81-41CE-8E94-AE9E1DC6976E}"/>
    <cellStyle name="Comma 4 2 4 2 8 3" xfId="12105" xr:uid="{D9817A05-5188-44D9-BA06-66CD54818BF0}"/>
    <cellStyle name="Comma 4 2 4 2 8 3 2" xfId="30701" xr:uid="{4496942C-FE81-4DC9-9418-6D62749BC220}"/>
    <cellStyle name="Comma 4 2 4 2 8 4" xfId="21404" xr:uid="{D393A778-A8C2-4A7F-A55C-65A3BB4DCBE5}"/>
    <cellStyle name="Comma 4 2 4 2 9" xfId="4613" xr:uid="{00000000-0005-0000-0000-0000CC080000}"/>
    <cellStyle name="Comma 4 2 4 2 9 2" xfId="13939" xr:uid="{874ECF20-6350-4895-B5AA-BF20EF09487C}"/>
    <cellStyle name="Comma 4 2 4 2 9 2 2" xfId="32535" xr:uid="{2A39BE5D-0CE3-4B8A-AA7E-DCA157533D3A}"/>
    <cellStyle name="Comma 4 2 4 2 9 3" xfId="23238" xr:uid="{42A54345-E0BA-4C1E-8071-FF730C2E6A16}"/>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48519C22-71EA-4CCD-B23A-3F511A11BA2B}"/>
    <cellStyle name="Comma 4 2 4 3 2 2 2 2" xfId="35093" xr:uid="{1BF12BC5-3EBE-4176-A93C-E2749070F294}"/>
    <cellStyle name="Comma 4 2 4 3 2 2 3" xfId="25796" xr:uid="{AE39AE40-FC62-4B84-A358-56B37970A6DA}"/>
    <cellStyle name="Comma 4 2 4 3 2 3" xfId="12280" xr:uid="{0839E77E-5478-4F83-AC34-590F9B83187F}"/>
    <cellStyle name="Comma 4 2 4 3 2 3 2" xfId="30876" xr:uid="{D9B4D8F8-EEF4-4690-BDAA-24926C871456}"/>
    <cellStyle name="Comma 4 2 4 3 2 4" xfId="21579" xr:uid="{71005864-6126-4283-A08B-82121D571C0B}"/>
    <cellStyle name="Comma 4 2 4 3 3" xfId="5026" xr:uid="{00000000-0005-0000-0000-0000D0080000}"/>
    <cellStyle name="Comma 4 2 4 3 3 2" xfId="14352" xr:uid="{6A3A3E96-C1CF-4751-9FCF-1C759A4B3A5D}"/>
    <cellStyle name="Comma 4 2 4 3 3 2 2" xfId="32948" xr:uid="{65D5BBF6-713C-4B40-AE30-02B3E3183AEF}"/>
    <cellStyle name="Comma 4 2 4 3 3 3" xfId="23651" xr:uid="{23A8F953-4F85-4999-B9BB-BEC910C22054}"/>
    <cellStyle name="Comma 4 2 4 3 4" xfId="9283" xr:uid="{7E46ED3C-A8F4-4512-93D9-5F41F1AC397C}"/>
    <cellStyle name="Comma 4 2 4 3 4 2" xfId="18598" xr:uid="{DE7D2FA6-C01F-4AAE-82E2-A508A29347D8}"/>
    <cellStyle name="Comma 4 2 4 3 4 2 2" xfId="37192" xr:uid="{8231B1B3-7510-464C-8417-A0702A8A8FC2}"/>
    <cellStyle name="Comma 4 2 4 3 4 3" xfId="27895" xr:uid="{B6CFCBC2-BA26-4296-AC75-6CBA2EB4ED76}"/>
    <cellStyle name="Comma 4 2 4 3 5" xfId="10135" xr:uid="{374C9A58-3F89-419D-A074-6BD59AA3FDD7}"/>
    <cellStyle name="Comma 4 2 4 3 5 2" xfId="28731" xr:uid="{26991A00-6D68-4A82-BD77-936B276E1448}"/>
    <cellStyle name="Comma 4 2 4 3 6" xfId="19434" xr:uid="{7869DD97-075A-470A-A14A-6F99C1AF82D4}"/>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BBC15D8E-E7E7-4622-A217-ACF126C7CA88}"/>
    <cellStyle name="Comma 4 2 4 4 2 2 2 2" xfId="35506" xr:uid="{33FC78C6-76A3-4847-B539-F9C899670EDC}"/>
    <cellStyle name="Comma 4 2 4 4 2 2 3" xfId="26209" xr:uid="{DF94F32E-2D00-4CB7-A011-3904F6A7F1B0}"/>
    <cellStyle name="Comma 4 2 4 4 2 3" xfId="12693" xr:uid="{A715278B-ED08-4C85-90BE-37F9D9345D0A}"/>
    <cellStyle name="Comma 4 2 4 4 2 3 2" xfId="31289" xr:uid="{D1B38361-5894-4001-A6EE-C2C9EB259E4A}"/>
    <cellStyle name="Comma 4 2 4 4 2 4" xfId="21992" xr:uid="{5AF17C49-9FEA-4875-89E7-0B1A0B319929}"/>
    <cellStyle name="Comma 4 2 4 4 3" xfId="5439" xr:uid="{00000000-0005-0000-0000-0000D4080000}"/>
    <cellStyle name="Comma 4 2 4 4 3 2" xfId="14765" xr:uid="{167B8E62-090E-4B06-B59E-D01DC9C6DA0E}"/>
    <cellStyle name="Comma 4 2 4 4 3 2 2" xfId="33361" xr:uid="{DBBC574C-C917-4B5E-9BE4-B10F915B50B2}"/>
    <cellStyle name="Comma 4 2 4 4 3 3" xfId="24064" xr:uid="{D7880A81-767A-4E17-9CB8-E18F215B99A8}"/>
    <cellStyle name="Comma 4 2 4 4 4" xfId="10548" xr:uid="{1F651B41-3A21-4C63-8BC1-C0C7D28ADE07}"/>
    <cellStyle name="Comma 4 2 4 4 4 2" xfId="29144" xr:uid="{FC7BA235-8759-4439-A0ED-E837D630213B}"/>
    <cellStyle name="Comma 4 2 4 4 5" xfId="19847" xr:uid="{4360FBA0-EF23-4976-AC3B-5629B304DD28}"/>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5D355040-7227-430C-92C7-852A18642E9E}"/>
    <cellStyle name="Comma 4 2 4 5 2 2 2 2" xfId="35919" xr:uid="{32808015-2310-428E-AB9F-7F8523F7F3EB}"/>
    <cellStyle name="Comma 4 2 4 5 2 2 3" xfId="26622" xr:uid="{30621003-A3A9-4BDA-BADD-AAAF31898B35}"/>
    <cellStyle name="Comma 4 2 4 5 2 3" xfId="13106" xr:uid="{F3671790-1153-423D-B0C5-80830D15F058}"/>
    <cellStyle name="Comma 4 2 4 5 2 3 2" xfId="31702" xr:uid="{D6CAF195-92CB-4A9B-9A18-A6DDEC64446E}"/>
    <cellStyle name="Comma 4 2 4 5 2 4" xfId="22405" xr:uid="{6785A7E3-4F4D-4188-9171-92A4C596AAEC}"/>
    <cellStyle name="Comma 4 2 4 5 3" xfId="5852" xr:uid="{00000000-0005-0000-0000-0000D8080000}"/>
    <cellStyle name="Comma 4 2 4 5 3 2" xfId="15178" xr:uid="{E285E350-5C90-4E14-B905-AA454716E282}"/>
    <cellStyle name="Comma 4 2 4 5 3 2 2" xfId="33774" xr:uid="{FB1DDBA6-A1AF-4168-A11B-7929AAD6F196}"/>
    <cellStyle name="Comma 4 2 4 5 3 3" xfId="24477" xr:uid="{AE275858-8FAC-4F59-A48F-2188CB7D091E}"/>
    <cellStyle name="Comma 4 2 4 5 4" xfId="10961" xr:uid="{87C7AC5F-EE19-4AEA-BDF1-36ECF9B9A43F}"/>
    <cellStyle name="Comma 4 2 4 5 4 2" xfId="29557" xr:uid="{572BB56E-324C-4A29-9743-FF949253E569}"/>
    <cellStyle name="Comma 4 2 4 5 5" xfId="20260" xr:uid="{05EDF680-745D-4EA5-8E64-12F7D2C32806}"/>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0A0A1ABA-01D6-44BE-8CE6-C39921F5B2C8}"/>
    <cellStyle name="Comma 4 2 4 6 2 2 2 2" xfId="36332" xr:uid="{F2755759-C98E-4BDA-866A-F89C51BA868E}"/>
    <cellStyle name="Comma 4 2 4 6 2 2 3" xfId="27035" xr:uid="{556F65DC-3693-49C4-AEBD-63B494955DD0}"/>
    <cellStyle name="Comma 4 2 4 6 2 3" xfId="13519" xr:uid="{E07EA4E1-A427-411A-A76D-2626697FCFE1}"/>
    <cellStyle name="Comma 4 2 4 6 2 3 2" xfId="32115" xr:uid="{127C201F-A09F-473C-B988-352596CAE872}"/>
    <cellStyle name="Comma 4 2 4 6 2 4" xfId="22818" xr:uid="{391B1312-41A5-48F2-99E5-02CD6A41753B}"/>
    <cellStyle name="Comma 4 2 4 6 3" xfId="6265" xr:uid="{00000000-0005-0000-0000-0000DC080000}"/>
    <cellStyle name="Comma 4 2 4 6 3 2" xfId="15591" xr:uid="{A56C86CD-FC78-4EBE-9EEF-E4B987AD1350}"/>
    <cellStyle name="Comma 4 2 4 6 3 2 2" xfId="34187" xr:uid="{9748797D-BFC0-4703-9C16-2A18E05C16F5}"/>
    <cellStyle name="Comma 4 2 4 6 3 3" xfId="24890" xr:uid="{920AE191-E083-451B-8185-ED555CCFA490}"/>
    <cellStyle name="Comma 4 2 4 6 4" xfId="11374" xr:uid="{4313DFF7-4352-440E-A06F-505189B6F12F}"/>
    <cellStyle name="Comma 4 2 4 6 4 2" xfId="29970" xr:uid="{D3EC6656-15A6-486C-8AC6-46DB409D8666}"/>
    <cellStyle name="Comma 4 2 4 6 5" xfId="20673" xr:uid="{BC3C496F-B4A0-487E-AF03-FB21B86061D4}"/>
    <cellStyle name="Comma 4 2 4 7" xfId="2394" xr:uid="{00000000-0005-0000-0000-0000DD080000}"/>
    <cellStyle name="Comma 4 2 4 7 2" xfId="6678" xr:uid="{00000000-0005-0000-0000-0000DE080000}"/>
    <cellStyle name="Comma 4 2 4 7 2 2" xfId="16004" xr:uid="{55D9E305-53F7-494C-9D9A-3AD5AC6125D9}"/>
    <cellStyle name="Comma 4 2 4 7 2 2 2" xfId="34600" xr:uid="{FA4003B1-7AE4-4EC4-8A1F-2AC5C24656AD}"/>
    <cellStyle name="Comma 4 2 4 7 2 3" xfId="25303" xr:uid="{317DEC33-B67F-44FA-A669-F56F8E4BFB1C}"/>
    <cellStyle name="Comma 4 2 4 7 3" xfId="11787" xr:uid="{3D5FD7BF-61D4-4300-BCC0-3BBF42D6333B}"/>
    <cellStyle name="Comma 4 2 4 7 3 2" xfId="30383" xr:uid="{A1A958B7-3EEF-4AAB-AB47-3D8A652F7B55}"/>
    <cellStyle name="Comma 4 2 4 7 4" xfId="21086" xr:uid="{F9EA030C-EE53-460A-86CA-8D4AC8C46F23}"/>
    <cellStyle name="Comma 4 2 4 8" xfId="2369" xr:uid="{00000000-0005-0000-0000-0000DF080000}"/>
    <cellStyle name="Comma 4 2 4 9" xfId="2772" xr:uid="{00000000-0005-0000-0000-0000E0080000}"/>
    <cellStyle name="Comma 4 2 4 9 2" xfId="6995" xr:uid="{00000000-0005-0000-0000-0000E1080000}"/>
    <cellStyle name="Comma 4 2 4 9 2 2" xfId="16321" xr:uid="{EEAF9F64-B612-439D-BACC-4EEC9A8DB957}"/>
    <cellStyle name="Comma 4 2 4 9 2 2 2" xfId="34917" xr:uid="{84D81774-D00B-4530-BDAA-9429BBCE652F}"/>
    <cellStyle name="Comma 4 2 4 9 2 3" xfId="25620" xr:uid="{1F003276-3BD2-426F-AE0D-E78AEAA240BD}"/>
    <cellStyle name="Comma 4 2 4 9 3" xfId="12104" xr:uid="{C40DDCBD-8F14-4E6F-B1D8-BB308741B320}"/>
    <cellStyle name="Comma 4 2 4 9 3 2" xfId="30700" xr:uid="{47CFB23C-7C01-4508-9162-C6D9980C2C37}"/>
    <cellStyle name="Comma 4 2 4 9 4" xfId="21403" xr:uid="{B650A354-9CCB-402D-80F5-B9938515F158}"/>
    <cellStyle name="Comma 4 2 5" xfId="142" xr:uid="{00000000-0005-0000-0000-0000E2080000}"/>
    <cellStyle name="Comma 4 2 5 10" xfId="8974" xr:uid="{86B0C89A-8A2D-4755-B15D-84E412E1D380}"/>
    <cellStyle name="Comma 4 2 5 10 2" xfId="18298" xr:uid="{337FA55E-BD78-4B93-89FF-343495D14921}"/>
    <cellStyle name="Comma 4 2 5 10 2 2" xfId="36893" xr:uid="{E094C9A0-4563-4770-B5CB-7D779E6500B2}"/>
    <cellStyle name="Comma 4 2 5 10 3" xfId="27596" xr:uid="{6F66E84A-422C-462F-8BC8-B3314E8A2FDE}"/>
    <cellStyle name="Comma 4 2 5 11" xfId="9723" xr:uid="{1B5DD715-6D84-4D4D-BF3C-64F290AC7F90}"/>
    <cellStyle name="Comma 4 2 5 11 2" xfId="28319" xr:uid="{E916B182-E589-4F32-9413-2A812C2E58B7}"/>
    <cellStyle name="Comma 4 2 5 12" xfId="19022" xr:uid="{E46A85B5-2E7D-449C-9730-5F0E073ACDB4}"/>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D5DF3C41-EC1B-4BBD-916D-F6F7FCB8B859}"/>
    <cellStyle name="Comma 4 2 5 2 2 2 2 2" xfId="35095" xr:uid="{D1EF6694-3E46-42C2-9D79-03BF4AF8D840}"/>
    <cellStyle name="Comma 4 2 5 2 2 2 3" xfId="25798" xr:uid="{1DE55C8E-2240-4A78-A975-EA4331A4A81D}"/>
    <cellStyle name="Comma 4 2 5 2 2 3" xfId="12282" xr:uid="{95E6544E-9899-44F2-AE1F-DB6BCB6CAFC3}"/>
    <cellStyle name="Comma 4 2 5 2 2 3 2" xfId="30878" xr:uid="{BCF4A36A-01E8-4DEB-8182-00BA3AB2F269}"/>
    <cellStyle name="Comma 4 2 5 2 2 4" xfId="21581" xr:uid="{247E37BB-8D37-4E74-B8F6-25283E59A87F}"/>
    <cellStyle name="Comma 4 2 5 2 3" xfId="5028" xr:uid="{00000000-0005-0000-0000-0000E6080000}"/>
    <cellStyle name="Comma 4 2 5 2 3 2" xfId="14354" xr:uid="{982E781D-AA84-46E1-96A1-94BCE710E792}"/>
    <cellStyle name="Comma 4 2 5 2 3 2 2" xfId="32950" xr:uid="{453189FD-7436-4ADF-BB0C-59BAB167E4FB}"/>
    <cellStyle name="Comma 4 2 5 2 3 3" xfId="23653" xr:uid="{E806CC04-BF5E-4442-93E3-99984A45114D}"/>
    <cellStyle name="Comma 4 2 5 2 4" xfId="9399" xr:uid="{1B388BC7-1FC6-4DC3-B345-755F61B57864}"/>
    <cellStyle name="Comma 4 2 5 2 4 2" xfId="18714" xr:uid="{D70183EF-BF28-4019-ACDC-1087926AC80C}"/>
    <cellStyle name="Comma 4 2 5 2 4 2 2" xfId="37308" xr:uid="{8AA059FA-DC49-49FB-BDEE-A9E79CF00646}"/>
    <cellStyle name="Comma 4 2 5 2 4 3" xfId="28011" xr:uid="{AD9B8EDC-F8A5-4239-B5E9-7D6CD9722BF9}"/>
    <cellStyle name="Comma 4 2 5 2 5" xfId="10137" xr:uid="{C95226B3-B64A-4D68-AD5B-1C52C5332898}"/>
    <cellStyle name="Comma 4 2 5 2 5 2" xfId="28733" xr:uid="{C02E4528-0C36-4636-A312-C172FD79EC11}"/>
    <cellStyle name="Comma 4 2 5 2 6" xfId="19436" xr:uid="{65E3AF21-B33D-4F17-90C6-CBC14C4494AA}"/>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C58B2C74-E1E6-4408-9ADD-349838CAF130}"/>
    <cellStyle name="Comma 4 2 5 3 2 2 2 2" xfId="35508" xr:uid="{7DF145F2-BA3C-4D31-9309-1AFB7314B1B6}"/>
    <cellStyle name="Comma 4 2 5 3 2 2 3" xfId="26211" xr:uid="{A014A814-086A-4164-BB59-956B96770115}"/>
    <cellStyle name="Comma 4 2 5 3 2 3" xfId="12695" xr:uid="{D06543CD-4451-4DA7-A415-9191BC037C41}"/>
    <cellStyle name="Comma 4 2 5 3 2 3 2" xfId="31291" xr:uid="{AF4ED87D-9815-4D9E-BF35-070069CEE355}"/>
    <cellStyle name="Comma 4 2 5 3 2 4" xfId="21994" xr:uid="{E7490BAB-DEB6-4ED9-8BF6-982935708C3C}"/>
    <cellStyle name="Comma 4 2 5 3 3" xfId="5441" xr:uid="{00000000-0005-0000-0000-0000EA080000}"/>
    <cellStyle name="Comma 4 2 5 3 3 2" xfId="14767" xr:uid="{AA9B2BDE-26A2-41B4-8809-EAF01FF338C4}"/>
    <cellStyle name="Comma 4 2 5 3 3 2 2" xfId="33363" xr:uid="{2B250AED-2C72-4C3B-BD28-2F5301EFDA6A}"/>
    <cellStyle name="Comma 4 2 5 3 3 3" xfId="24066" xr:uid="{8D2005FD-C751-4885-92E6-F613A1641387}"/>
    <cellStyle name="Comma 4 2 5 3 4" xfId="10550" xr:uid="{DD603E04-A9B2-4117-A529-C6377F46EB0C}"/>
    <cellStyle name="Comma 4 2 5 3 4 2" xfId="29146" xr:uid="{973E0934-FC12-41AE-9C43-2433CBEA30B5}"/>
    <cellStyle name="Comma 4 2 5 3 5" xfId="19849" xr:uid="{01F36516-AF5E-451B-9856-D0EB660F9EF1}"/>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D81A44F6-4BA6-4392-A2F1-994B3D2C5385}"/>
    <cellStyle name="Comma 4 2 5 4 2 2 2 2" xfId="35921" xr:uid="{E30BB454-8368-4CCB-96CB-49EAA7BEF040}"/>
    <cellStyle name="Comma 4 2 5 4 2 2 3" xfId="26624" xr:uid="{B70DA2FC-5FBA-4BD8-8B03-F763153910C4}"/>
    <cellStyle name="Comma 4 2 5 4 2 3" xfId="13108" xr:uid="{4FE7C2EC-93F9-4B82-9297-904D556DF3ED}"/>
    <cellStyle name="Comma 4 2 5 4 2 3 2" xfId="31704" xr:uid="{4C57C112-C2CE-464D-99B6-D937D3A56824}"/>
    <cellStyle name="Comma 4 2 5 4 2 4" xfId="22407" xr:uid="{B6A54E77-1B2D-4C27-84C5-87CF475BFC66}"/>
    <cellStyle name="Comma 4 2 5 4 3" xfId="5854" xr:uid="{00000000-0005-0000-0000-0000EE080000}"/>
    <cellStyle name="Comma 4 2 5 4 3 2" xfId="15180" xr:uid="{F350F60B-6B6A-4EF6-95F8-4A4E245931EB}"/>
    <cellStyle name="Comma 4 2 5 4 3 2 2" xfId="33776" xr:uid="{0B7574A5-E8E2-4EA5-B36A-73FC0214B696}"/>
    <cellStyle name="Comma 4 2 5 4 3 3" xfId="24479" xr:uid="{8FF248CC-1856-4CE4-9105-17910DD25313}"/>
    <cellStyle name="Comma 4 2 5 4 4" xfId="10963" xr:uid="{AEF18F9D-2781-4928-AF9C-3A57058B922F}"/>
    <cellStyle name="Comma 4 2 5 4 4 2" xfId="29559" xr:uid="{D7972E73-73B2-4B90-9180-5B96FC9BAAB4}"/>
    <cellStyle name="Comma 4 2 5 4 5" xfId="20262" xr:uid="{17787B00-FEB3-4762-AD9D-4BD26C656DAB}"/>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2B795BF1-F00F-486A-905D-8BFEAA7B025F}"/>
    <cellStyle name="Comma 4 2 5 5 2 2 2 2" xfId="36334" xr:uid="{DE36E9F8-985C-48CA-B4EF-82950002D715}"/>
    <cellStyle name="Comma 4 2 5 5 2 2 3" xfId="27037" xr:uid="{BD945276-8DA0-4A6B-A9A5-5A1357A52E69}"/>
    <cellStyle name="Comma 4 2 5 5 2 3" xfId="13521" xr:uid="{2C3BA634-A3C5-4ED1-8C4C-D49A6A979A02}"/>
    <cellStyle name="Comma 4 2 5 5 2 3 2" xfId="32117" xr:uid="{B00EE14D-9B73-4B62-A2E0-55B11DC7AA7A}"/>
    <cellStyle name="Comma 4 2 5 5 2 4" xfId="22820" xr:uid="{AA9FD44F-14FF-444D-AD6F-FC1726E632E2}"/>
    <cellStyle name="Comma 4 2 5 5 3" xfId="6267" xr:uid="{00000000-0005-0000-0000-0000F2080000}"/>
    <cellStyle name="Comma 4 2 5 5 3 2" xfId="15593" xr:uid="{2A0732B6-7DAB-42DE-826B-9BA23C399D1F}"/>
    <cellStyle name="Comma 4 2 5 5 3 2 2" xfId="34189" xr:uid="{1FA3FAFC-982F-4DE3-8963-E2A5312AE984}"/>
    <cellStyle name="Comma 4 2 5 5 3 3" xfId="24892" xr:uid="{B6D74517-6871-46B3-9F4D-F183DF5B8D26}"/>
    <cellStyle name="Comma 4 2 5 5 4" xfId="11376" xr:uid="{5FADE0EB-1580-458E-ADB2-457D109253A4}"/>
    <cellStyle name="Comma 4 2 5 5 4 2" xfId="29972" xr:uid="{3CDF4B7D-75C8-488F-8DC6-ADB7873CD983}"/>
    <cellStyle name="Comma 4 2 5 5 5" xfId="20675" xr:uid="{C912FBD2-3183-46EB-9866-25CD3B1F1B22}"/>
    <cellStyle name="Comma 4 2 5 6" xfId="2396" xr:uid="{00000000-0005-0000-0000-0000F3080000}"/>
    <cellStyle name="Comma 4 2 5 6 2" xfId="6680" xr:uid="{00000000-0005-0000-0000-0000F4080000}"/>
    <cellStyle name="Comma 4 2 5 6 2 2" xfId="16006" xr:uid="{55A681C8-489D-4F68-A9AB-0E2F01B065A9}"/>
    <cellStyle name="Comma 4 2 5 6 2 2 2" xfId="34602" xr:uid="{EA97298B-94B4-437C-8DD2-81163E9D7FF8}"/>
    <cellStyle name="Comma 4 2 5 6 2 3" xfId="25305" xr:uid="{6C757EE4-BA2D-417F-917D-DC599A41D031}"/>
    <cellStyle name="Comma 4 2 5 6 3" xfId="11789" xr:uid="{A55217A9-4496-4D39-984E-0E2ECA202267}"/>
    <cellStyle name="Comma 4 2 5 6 3 2" xfId="30385" xr:uid="{90973FA2-46D1-4979-B94A-1B6E4645DF40}"/>
    <cellStyle name="Comma 4 2 5 6 4" xfId="21088" xr:uid="{318E9E7F-35C6-4BAE-85BB-47E2DE0750B4}"/>
    <cellStyle name="Comma 4 2 5 7" xfId="2367" xr:uid="{00000000-0005-0000-0000-0000F5080000}"/>
    <cellStyle name="Comma 4 2 5 8" xfId="2774" xr:uid="{00000000-0005-0000-0000-0000F6080000}"/>
    <cellStyle name="Comma 4 2 5 8 2" xfId="6997" xr:uid="{00000000-0005-0000-0000-0000F7080000}"/>
    <cellStyle name="Comma 4 2 5 8 2 2" xfId="16323" xr:uid="{D17E04C9-A149-4A02-A0A1-CD676E5C7D15}"/>
    <cellStyle name="Comma 4 2 5 8 2 2 2" xfId="34919" xr:uid="{BF3C91AC-3007-4EEA-AC56-701CFDC73BFE}"/>
    <cellStyle name="Comma 4 2 5 8 2 3" xfId="25622" xr:uid="{020EC37D-19DA-4B62-9E5F-41FD15D2F5B2}"/>
    <cellStyle name="Comma 4 2 5 8 3" xfId="12106" xr:uid="{2AC859C7-DC6E-4082-B5DD-20B91BEEA927}"/>
    <cellStyle name="Comma 4 2 5 8 3 2" xfId="30702" xr:uid="{8624A945-177F-4CE2-88D7-CBF2F2E7467F}"/>
    <cellStyle name="Comma 4 2 5 8 4" xfId="21405" xr:uid="{21C299F3-E9F1-4D51-9E86-63ACC6B7E511}"/>
    <cellStyle name="Comma 4 2 5 9" xfId="4614" xr:uid="{00000000-0005-0000-0000-0000F8080000}"/>
    <cellStyle name="Comma 4 2 5 9 2" xfId="13940" xr:uid="{CA21C3BF-C78B-474E-92E6-3F2FDDAFCCA6}"/>
    <cellStyle name="Comma 4 2 5 9 2 2" xfId="32536" xr:uid="{3F225E52-31A2-4428-A7E6-AD085A8BAB24}"/>
    <cellStyle name="Comma 4 2 5 9 3" xfId="23239" xr:uid="{E3169698-BA52-43D4-9CC2-5EA55405922B}"/>
    <cellStyle name="Comma 4 2 6" xfId="143" xr:uid="{00000000-0005-0000-0000-0000F9080000}"/>
    <cellStyle name="Comma 4 2 6 10" xfId="9177" xr:uid="{A20A3B72-7630-464F-8E57-DA2B9D6E44FB}"/>
    <cellStyle name="Comma 4 2 6 10 2" xfId="18495" xr:uid="{1FA1E571-67DF-477E-8B8E-2CDBF902BB6C}"/>
    <cellStyle name="Comma 4 2 6 10 2 2" xfId="37089" xr:uid="{EC2D5F63-9897-4B93-ACF6-CC742141081F}"/>
    <cellStyle name="Comma 4 2 6 10 3" xfId="27792" xr:uid="{E17F0F9C-93DE-4CE3-9180-57381A3A929D}"/>
    <cellStyle name="Comma 4 2 6 11" xfId="9724" xr:uid="{7643F8DF-7EB0-47DF-ADB9-81B32BF26B2C}"/>
    <cellStyle name="Comma 4 2 6 11 2" xfId="28320" xr:uid="{B8197FC5-63D3-4EE6-B13B-D40AF893D0AA}"/>
    <cellStyle name="Comma 4 2 6 12" xfId="19023" xr:uid="{26C0A877-3537-4DBF-8F44-865CC6B6AC60}"/>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FC7519D0-9076-4F03-8C28-893CC0C83825}"/>
    <cellStyle name="Comma 4 2 6 2 2 2 2 2" xfId="35096" xr:uid="{FAF899ED-8068-4CFA-AF63-C6B6D30B1738}"/>
    <cellStyle name="Comma 4 2 6 2 2 2 3" xfId="25799" xr:uid="{CF54ED65-1060-4407-B63C-BAFAA028B924}"/>
    <cellStyle name="Comma 4 2 6 2 2 3" xfId="12283" xr:uid="{A2374891-8F40-4F01-A6F7-5E6692CB96FE}"/>
    <cellStyle name="Comma 4 2 6 2 2 3 2" xfId="30879" xr:uid="{A0834089-BF74-4010-BA59-D7E4EBF5114B}"/>
    <cellStyle name="Comma 4 2 6 2 2 4" xfId="21582" xr:uid="{E7514C7F-6942-4FDB-85F6-03D905215EFD}"/>
    <cellStyle name="Comma 4 2 6 2 3" xfId="5029" xr:uid="{00000000-0005-0000-0000-0000FD080000}"/>
    <cellStyle name="Comma 4 2 6 2 3 2" xfId="14355" xr:uid="{59E72726-8981-4A6F-94B0-F8D8369BE52F}"/>
    <cellStyle name="Comma 4 2 6 2 3 2 2" xfId="32951" xr:uid="{506F849A-D441-4F6D-B783-25596BD45511}"/>
    <cellStyle name="Comma 4 2 6 2 3 3" xfId="23654" xr:uid="{95C8A9C6-B77A-4E50-995E-C2F912ABDB40}"/>
    <cellStyle name="Comma 4 2 6 2 4" xfId="9594" xr:uid="{CCB8D3FE-19FC-4F7F-9966-44FD23A1A32A}"/>
    <cellStyle name="Comma 4 2 6 2 4 2" xfId="18898" xr:uid="{87E6B7C0-A673-47D0-9EC8-B896392C9E73}"/>
    <cellStyle name="Comma 4 2 6 2 4 2 2" xfId="37492" xr:uid="{00B454B0-4231-4C3C-9D6F-91BA446F91F7}"/>
    <cellStyle name="Comma 4 2 6 2 4 3" xfId="28195" xr:uid="{799CDC4F-5A60-486A-87FA-E3E44FDFDD52}"/>
    <cellStyle name="Comma 4 2 6 2 5" xfId="10138" xr:uid="{E241EABA-B35B-4A12-AB16-FC1B82743FD1}"/>
    <cellStyle name="Comma 4 2 6 2 5 2" xfId="28734" xr:uid="{E8C71CB3-9481-4FC0-9D26-F9C83F21E054}"/>
    <cellStyle name="Comma 4 2 6 2 6" xfId="19437" xr:uid="{DBE908DD-B79C-48A5-B027-8B036E0754E5}"/>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25DC6C1F-4E81-47C6-A181-5631A8A3AD16}"/>
    <cellStyle name="Comma 4 2 6 3 2 2 2 2" xfId="35509" xr:uid="{BA456398-F9D7-4475-A8D3-13D613FFBB33}"/>
    <cellStyle name="Comma 4 2 6 3 2 2 3" xfId="26212" xr:uid="{60026E8E-1DF2-4C78-A42D-8BE9B1450F67}"/>
    <cellStyle name="Comma 4 2 6 3 2 3" xfId="12696" xr:uid="{FADF3B7D-056C-4A96-8F53-D32323FB8F01}"/>
    <cellStyle name="Comma 4 2 6 3 2 3 2" xfId="31292" xr:uid="{78584924-5700-4B84-8187-E2D8C0E7987D}"/>
    <cellStyle name="Comma 4 2 6 3 2 4" xfId="21995" xr:uid="{7D07C7F9-8372-4705-BD01-6E22E1040F36}"/>
    <cellStyle name="Comma 4 2 6 3 3" xfId="5442" xr:uid="{00000000-0005-0000-0000-000001090000}"/>
    <cellStyle name="Comma 4 2 6 3 3 2" xfId="14768" xr:uid="{DE6FA145-D1E6-4D91-9310-882E486E4EEE}"/>
    <cellStyle name="Comma 4 2 6 3 3 2 2" xfId="33364" xr:uid="{200F4340-71D9-4003-973C-988441BCA8A4}"/>
    <cellStyle name="Comma 4 2 6 3 3 3" xfId="24067" xr:uid="{6CA577D6-F9F6-4E09-8FAA-A433AA1E48FC}"/>
    <cellStyle name="Comma 4 2 6 3 4" xfId="10551" xr:uid="{2918DDC2-27EC-4DDE-BD53-97DB4B35AB33}"/>
    <cellStyle name="Comma 4 2 6 3 4 2" xfId="29147" xr:uid="{D62024FA-F013-449A-89C2-A2552AD542DE}"/>
    <cellStyle name="Comma 4 2 6 3 5" xfId="19850" xr:uid="{F56C045B-0B60-4990-931E-440A498F0B1F}"/>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CB7F37B5-F704-45FA-A0FD-955FFC2927C3}"/>
    <cellStyle name="Comma 4 2 6 4 2 2 2 2" xfId="35922" xr:uid="{70BEF957-33C7-4743-97DB-9BFE6FDD2907}"/>
    <cellStyle name="Comma 4 2 6 4 2 2 3" xfId="26625" xr:uid="{6614E163-E0B9-4D51-BE9C-93B610752846}"/>
    <cellStyle name="Comma 4 2 6 4 2 3" xfId="13109" xr:uid="{4B65C8A5-F755-4959-AEC8-AE5F44768CB0}"/>
    <cellStyle name="Comma 4 2 6 4 2 3 2" xfId="31705" xr:uid="{3CEA8174-0C76-4C2E-B323-2FA6D4AED116}"/>
    <cellStyle name="Comma 4 2 6 4 2 4" xfId="22408" xr:uid="{CA29F18F-B4D1-4B8F-BE9D-2E07A1144051}"/>
    <cellStyle name="Comma 4 2 6 4 3" xfId="5855" xr:uid="{00000000-0005-0000-0000-000005090000}"/>
    <cellStyle name="Comma 4 2 6 4 3 2" xfId="15181" xr:uid="{B1019AC1-50D6-44DB-9820-F1C6EB0A1A2C}"/>
    <cellStyle name="Comma 4 2 6 4 3 2 2" xfId="33777" xr:uid="{A4FC6411-1DFE-42A8-996F-9B5F70D6CB28}"/>
    <cellStyle name="Comma 4 2 6 4 3 3" xfId="24480" xr:uid="{A0D57051-B009-4BEE-8FF9-B77F951541E1}"/>
    <cellStyle name="Comma 4 2 6 4 4" xfId="10964" xr:uid="{14FF46A7-8710-4DD9-B600-7E9827B656E8}"/>
    <cellStyle name="Comma 4 2 6 4 4 2" xfId="29560" xr:uid="{AE4982F6-BBC0-4C87-853E-12E3994E1A14}"/>
    <cellStyle name="Comma 4 2 6 4 5" xfId="20263" xr:uid="{E7CCC5A0-ED27-441B-A225-6B1CEAB5D405}"/>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5E3700F7-0FE1-419B-85BB-CA4B44FA09AC}"/>
    <cellStyle name="Comma 4 2 6 5 2 2 2 2" xfId="36335" xr:uid="{F8914C94-374E-48BF-8FB4-0D799BF6DD7B}"/>
    <cellStyle name="Comma 4 2 6 5 2 2 3" xfId="27038" xr:uid="{46D26B93-E7CA-4C8C-8064-0C22855AAA53}"/>
    <cellStyle name="Comma 4 2 6 5 2 3" xfId="13522" xr:uid="{EDFC199F-843D-49F1-82DB-C026BC951A86}"/>
    <cellStyle name="Comma 4 2 6 5 2 3 2" xfId="32118" xr:uid="{5FCC5614-C8BD-4F3B-8CE5-FEE7B06D1BD8}"/>
    <cellStyle name="Comma 4 2 6 5 2 4" xfId="22821" xr:uid="{4CD0DC89-EF3C-4507-8494-034D4E1BCF0F}"/>
    <cellStyle name="Comma 4 2 6 5 3" xfId="6268" xr:uid="{00000000-0005-0000-0000-000009090000}"/>
    <cellStyle name="Comma 4 2 6 5 3 2" xfId="15594" xr:uid="{386F72D2-13B0-43B6-9E2B-DDC21401DA02}"/>
    <cellStyle name="Comma 4 2 6 5 3 2 2" xfId="34190" xr:uid="{C083DC87-5DB9-45BC-A5F1-27CA70C4FD35}"/>
    <cellStyle name="Comma 4 2 6 5 3 3" xfId="24893" xr:uid="{A4BE3E96-3E98-4B3B-AD3E-3D25883B4A6A}"/>
    <cellStyle name="Comma 4 2 6 5 4" xfId="11377" xr:uid="{5CD703F7-7BE4-4F6A-8F24-E537EA696061}"/>
    <cellStyle name="Comma 4 2 6 5 4 2" xfId="29973" xr:uid="{280AE6F5-4CAF-4181-9F47-E4C9EDA87C92}"/>
    <cellStyle name="Comma 4 2 6 5 5" xfId="20676" xr:uid="{930CC80D-D3AC-487B-A279-ABBB89A77258}"/>
    <cellStyle name="Comma 4 2 6 6" xfId="2397" xr:uid="{00000000-0005-0000-0000-00000A090000}"/>
    <cellStyle name="Comma 4 2 6 6 2" xfId="6681" xr:uid="{00000000-0005-0000-0000-00000B090000}"/>
    <cellStyle name="Comma 4 2 6 6 2 2" xfId="16007" xr:uid="{DBB2A350-0DE5-4134-BA8C-7B638E4B19A1}"/>
    <cellStyle name="Comma 4 2 6 6 2 2 2" xfId="34603" xr:uid="{F06C27D0-BC5F-41F6-84F0-7148997C6812}"/>
    <cellStyle name="Comma 4 2 6 6 2 3" xfId="25306" xr:uid="{DDC40831-AF09-4C1D-AB02-5506E6A4C443}"/>
    <cellStyle name="Comma 4 2 6 6 3" xfId="11790" xr:uid="{0AEBC09B-FBA9-495A-B663-5C84E51E5C1B}"/>
    <cellStyle name="Comma 4 2 6 6 3 2" xfId="30386" xr:uid="{8603526E-7311-4C6A-B56C-65631744D133}"/>
    <cellStyle name="Comma 4 2 6 6 4" xfId="21089" xr:uid="{81BCC8A7-202B-42C5-8A7F-4BA1A5949569}"/>
    <cellStyle name="Comma 4 2 6 7" xfId="2366" xr:uid="{00000000-0005-0000-0000-00000C090000}"/>
    <cellStyle name="Comma 4 2 6 8" xfId="2775" xr:uid="{00000000-0005-0000-0000-00000D090000}"/>
    <cellStyle name="Comma 4 2 6 8 2" xfId="6998" xr:uid="{00000000-0005-0000-0000-00000E090000}"/>
    <cellStyle name="Comma 4 2 6 8 2 2" xfId="16324" xr:uid="{71C64F5E-E56D-4F4F-9C57-5E17B2C80133}"/>
    <cellStyle name="Comma 4 2 6 8 2 2 2" xfId="34920" xr:uid="{0DFEEFB7-BD02-4B3E-AC02-29ADBE3DEC53}"/>
    <cellStyle name="Comma 4 2 6 8 2 3" xfId="25623" xr:uid="{6676BEA3-24E2-4A02-8BB7-88A7522AA0CD}"/>
    <cellStyle name="Comma 4 2 6 8 3" xfId="12107" xr:uid="{7D28D00B-5B1F-46B3-BEE1-8F4620E78688}"/>
    <cellStyle name="Comma 4 2 6 8 3 2" xfId="30703" xr:uid="{649CF6E0-C6D7-4C89-942D-6610ECCCB45A}"/>
    <cellStyle name="Comma 4 2 6 8 4" xfId="21406" xr:uid="{84FA7CEE-57C1-4782-B2E2-CCD0891F88E4}"/>
    <cellStyle name="Comma 4 2 6 9" xfId="4615" xr:uid="{00000000-0005-0000-0000-00000F090000}"/>
    <cellStyle name="Comma 4 2 6 9 2" xfId="13941" xr:uid="{0D65A8BD-2584-4D1D-AF12-5BE5EFDCB298}"/>
    <cellStyle name="Comma 4 2 6 9 2 2" xfId="32537" xr:uid="{70937F2A-1623-412C-BE47-52238DE60467}"/>
    <cellStyle name="Comma 4 2 6 9 3" xfId="23240" xr:uid="{3D523A42-706A-4380-B653-4454F475E46B}"/>
    <cellStyle name="Comma 4 2 7" xfId="9190" xr:uid="{C8B7F6BD-E2DD-41C7-A6AF-A5C7B900A7ED}"/>
    <cellStyle name="Comma 4 2 8" xfId="8755" xr:uid="{40286204-C766-4116-8542-387551AD6364}"/>
    <cellStyle name="Comma 4 2 8 2" xfId="18079" xr:uid="{372FECA8-9B86-47C4-8591-E46760A9CA2A}"/>
    <cellStyle name="Comma 4 2 8 2 2" xfId="36674" xr:uid="{910A726F-036D-47C5-9421-D86FA9EABB13}"/>
    <cellStyle name="Comma 4 2 8 3" xfId="27377" xr:uid="{36471735-8E88-4EFB-90A4-E0D7461EB2B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CE50B777-4A02-469B-BCA4-5432D93F13C8}"/>
    <cellStyle name="Comma 4 3 2 10 2 2 2" xfId="34921" xr:uid="{7325D4F4-CB0F-4E4D-8A97-AA7CB3DC7F11}"/>
    <cellStyle name="Comma 4 3 2 10 2 3" xfId="25624" xr:uid="{903F298D-D486-4E67-8CCB-25778494C510}"/>
    <cellStyle name="Comma 4 3 2 10 3" xfId="12108" xr:uid="{81558E57-4DD8-4F7D-83AB-C1DC5C27BABE}"/>
    <cellStyle name="Comma 4 3 2 10 3 2" xfId="30704" xr:uid="{EF938BD8-B3AB-49D4-9D02-DACA90E58422}"/>
    <cellStyle name="Comma 4 3 2 10 4" xfId="21407" xr:uid="{F0C283FF-07FA-40C2-BBAA-9BFF7150C116}"/>
    <cellStyle name="Comma 4 3 2 11" xfId="4616" xr:uid="{00000000-0005-0000-0000-000014090000}"/>
    <cellStyle name="Comma 4 3 2 11 2" xfId="13942" xr:uid="{AA41055D-4D8A-42F8-BAE7-55E06C69A70F}"/>
    <cellStyle name="Comma 4 3 2 11 2 2" xfId="32538" xr:uid="{7FB46FDE-3C9E-462C-9861-CBCC721759C5}"/>
    <cellStyle name="Comma 4 3 2 11 3" xfId="23241" xr:uid="{8C28C191-C393-43EA-B5A9-A1A2DA43F470}"/>
    <cellStyle name="Comma 4 3 2 12" xfId="8807" xr:uid="{5C5EF314-D0DB-425B-AE7D-D52FEEE90EC1}"/>
    <cellStyle name="Comma 4 3 2 12 2" xfId="18131" xr:uid="{4856319F-FAFA-478A-A7EC-5AD5378F6D6F}"/>
    <cellStyle name="Comma 4 3 2 12 2 2" xfId="36726" xr:uid="{FA0AB374-5D40-44CE-81C0-9497F69E761D}"/>
    <cellStyle name="Comma 4 3 2 12 3" xfId="27429" xr:uid="{238F4F70-FB5A-4CC0-B767-4526CE76A4F3}"/>
    <cellStyle name="Comma 4 3 2 13" xfId="9725" xr:uid="{121BDB67-0F45-4F15-AD3B-50965E52C754}"/>
    <cellStyle name="Comma 4 3 2 13 2" xfId="28321" xr:uid="{A2702B1F-CAE6-4336-A8F3-052A957C70D4}"/>
    <cellStyle name="Comma 4 3 2 14" xfId="19024" xr:uid="{1D8ECDA9-E53B-498B-A45F-438E316A7896}"/>
    <cellStyle name="Comma 4 3 2 2" xfId="146" xr:uid="{00000000-0005-0000-0000-000015090000}"/>
    <cellStyle name="Comma 4 3 2 2 10" xfId="4617" xr:uid="{00000000-0005-0000-0000-000016090000}"/>
    <cellStyle name="Comma 4 3 2 2 10 2" xfId="13943" xr:uid="{E2A0215F-B840-499F-9D73-49535489915A}"/>
    <cellStyle name="Comma 4 3 2 2 10 2 2" xfId="32539" xr:uid="{0220E05F-769C-4E6E-8EA0-AC85E98AD6E7}"/>
    <cellStyle name="Comma 4 3 2 2 10 3" xfId="23242" xr:uid="{73715DC6-77AD-4A39-8A2E-D3ECDA7C3860}"/>
    <cellStyle name="Comma 4 3 2 2 11" xfId="8910" xr:uid="{15019DD0-71A0-438D-B796-68DE42B22692}"/>
    <cellStyle name="Comma 4 3 2 2 11 2" xfId="18234" xr:uid="{990665EB-20CD-4D7B-9A25-C78AFF03F7C4}"/>
    <cellStyle name="Comma 4 3 2 2 11 2 2" xfId="36829" xr:uid="{45C770F2-1931-40FE-8396-F2556C84F296}"/>
    <cellStyle name="Comma 4 3 2 2 11 3" xfId="27532" xr:uid="{7EE340B6-C7E1-4A94-872B-D28AB39F3106}"/>
    <cellStyle name="Comma 4 3 2 2 12" xfId="9726" xr:uid="{7EF45582-95F2-4E9D-AE4A-0DF8162BD999}"/>
    <cellStyle name="Comma 4 3 2 2 12 2" xfId="28322" xr:uid="{2DDE8B13-5417-4EE6-A5C1-564167F41CEA}"/>
    <cellStyle name="Comma 4 3 2 2 13" xfId="19025" xr:uid="{96FE4360-8178-489E-B603-4F9A3DE1663D}"/>
    <cellStyle name="Comma 4 3 2 2 2" xfId="147" xr:uid="{00000000-0005-0000-0000-000017090000}"/>
    <cellStyle name="Comma 4 3 2 2 2 10" xfId="9117" xr:uid="{1409F531-DBF2-41E0-9C74-F9317358BA15}"/>
    <cellStyle name="Comma 4 3 2 2 2 10 2" xfId="18441" xr:uid="{50A3FEBA-EE38-4AD3-ADCC-733C2380FD2E}"/>
    <cellStyle name="Comma 4 3 2 2 2 10 2 2" xfId="37036" xr:uid="{CDFB6430-DA14-49E0-BFFE-387680964B9D}"/>
    <cellStyle name="Comma 4 3 2 2 2 10 3" xfId="27739" xr:uid="{56579941-D6FD-43CE-A6BD-AB2DBC50CFA8}"/>
    <cellStyle name="Comma 4 3 2 2 2 11" xfId="9727" xr:uid="{055819A2-0622-40FE-BF9A-446BB55E1F58}"/>
    <cellStyle name="Comma 4 3 2 2 2 11 2" xfId="28323" xr:uid="{89745CF6-3ECC-4234-A94C-DB787479ECD7}"/>
    <cellStyle name="Comma 4 3 2 2 2 12" xfId="19026" xr:uid="{4299F8DD-03B5-4EA4-A0A7-FEC556019A59}"/>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1C978BFC-03BF-4C49-B575-D7787E3788AD}"/>
    <cellStyle name="Comma 4 3 2 2 2 2 2 2 2 2" xfId="35099" xr:uid="{1FF38F39-1341-4F8D-8644-90252B9A78E3}"/>
    <cellStyle name="Comma 4 3 2 2 2 2 2 2 3" xfId="25802" xr:uid="{BDFFA703-CF63-4D46-94C1-BF186B15CA3C}"/>
    <cellStyle name="Comma 4 3 2 2 2 2 2 3" xfId="12286" xr:uid="{90ADC758-5957-44B7-9DB8-FFB4DCAFB412}"/>
    <cellStyle name="Comma 4 3 2 2 2 2 2 3 2" xfId="30882" xr:uid="{18C9CB08-8636-4BA1-9762-FCDF8DA4A753}"/>
    <cellStyle name="Comma 4 3 2 2 2 2 2 4" xfId="21585" xr:uid="{E4CEDCEB-FC9F-4030-8774-0390046F3FEC}"/>
    <cellStyle name="Comma 4 3 2 2 2 2 3" xfId="5032" xr:uid="{00000000-0005-0000-0000-00001B090000}"/>
    <cellStyle name="Comma 4 3 2 2 2 2 3 2" xfId="14358" xr:uid="{9E465D20-FD5B-44A2-88E6-875FBA18A72C}"/>
    <cellStyle name="Comma 4 3 2 2 2 2 3 2 2" xfId="32954" xr:uid="{DA33BDED-750D-4E11-8A0C-192719BB8D1F}"/>
    <cellStyle name="Comma 4 3 2 2 2 2 3 3" xfId="23657" xr:uid="{58D0E191-0497-4DAC-A8C7-13849AF45B7E}"/>
    <cellStyle name="Comma 4 3 2 2 2 2 4" xfId="9542" xr:uid="{26CD77CC-F017-4839-8245-BBF245D45E53}"/>
    <cellStyle name="Comma 4 3 2 2 2 2 4 2" xfId="18857" xr:uid="{F879F577-C0AE-45C4-A73C-5C658E7E824F}"/>
    <cellStyle name="Comma 4 3 2 2 2 2 4 2 2" xfId="37451" xr:uid="{8AE2E410-B134-4E8C-AA1B-D7709CFCEB0D}"/>
    <cellStyle name="Comma 4 3 2 2 2 2 4 3" xfId="28154" xr:uid="{D219377A-B328-4523-8DB6-CA8DAC9B7C63}"/>
    <cellStyle name="Comma 4 3 2 2 2 2 5" xfId="10141" xr:uid="{23CC392A-28EA-48D5-A92F-686956220F93}"/>
    <cellStyle name="Comma 4 3 2 2 2 2 5 2" xfId="28737" xr:uid="{EE78E821-4460-4AC6-A7D9-A2B35A74C434}"/>
    <cellStyle name="Comma 4 3 2 2 2 2 6" xfId="19440" xr:uid="{E33B2D31-9F4D-40D8-86FE-34F4F6D8F321}"/>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FBC3E781-4A49-46AE-82EF-A6EFB3A35211}"/>
    <cellStyle name="Comma 4 3 2 2 2 3 2 2 2 2" xfId="35512" xr:uid="{81D01E00-4DA4-4314-880D-1B3FAE898E55}"/>
    <cellStyle name="Comma 4 3 2 2 2 3 2 2 3" xfId="26215" xr:uid="{E625D0CD-EBEF-470B-91C3-3A17ECA8306B}"/>
    <cellStyle name="Comma 4 3 2 2 2 3 2 3" xfId="12699" xr:uid="{C140CA22-97A6-4431-9634-7397D7B4F246}"/>
    <cellStyle name="Comma 4 3 2 2 2 3 2 3 2" xfId="31295" xr:uid="{FA13E1F6-2DA5-43F3-978D-34767A5A3252}"/>
    <cellStyle name="Comma 4 3 2 2 2 3 2 4" xfId="21998" xr:uid="{3DE5C2E0-804E-4066-8CA8-D1714F41D284}"/>
    <cellStyle name="Comma 4 3 2 2 2 3 3" xfId="5445" xr:uid="{00000000-0005-0000-0000-00001F090000}"/>
    <cellStyle name="Comma 4 3 2 2 2 3 3 2" xfId="14771" xr:uid="{16E32782-E324-4349-B6CC-661D989307A5}"/>
    <cellStyle name="Comma 4 3 2 2 2 3 3 2 2" xfId="33367" xr:uid="{5A8B22FB-5048-458E-9656-9FC66FB3A1F3}"/>
    <cellStyle name="Comma 4 3 2 2 2 3 3 3" xfId="24070" xr:uid="{F9968130-44DB-451C-9B07-5AD2E7D83D06}"/>
    <cellStyle name="Comma 4 3 2 2 2 3 4" xfId="10554" xr:uid="{2E5DC549-8B2D-48D9-872A-1A10EE7A3CB2}"/>
    <cellStyle name="Comma 4 3 2 2 2 3 4 2" xfId="29150" xr:uid="{33702D14-3D9F-4DFE-A0C9-EFB86F4A151D}"/>
    <cellStyle name="Comma 4 3 2 2 2 3 5" xfId="19853" xr:uid="{A7CE85BD-D749-4A1B-967C-92EFDA33CD72}"/>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C6AF0FD4-D4AD-4215-997A-175DA76CFEED}"/>
    <cellStyle name="Comma 4 3 2 2 2 4 2 2 2 2" xfId="35925" xr:uid="{494382DE-3053-43E8-8FE6-1F20B017143C}"/>
    <cellStyle name="Comma 4 3 2 2 2 4 2 2 3" xfId="26628" xr:uid="{EB649A68-D55E-49F6-9F91-885AF10A59D3}"/>
    <cellStyle name="Comma 4 3 2 2 2 4 2 3" xfId="13112" xr:uid="{BFD57B56-B47A-468F-BA6A-5FDE72AEE7A7}"/>
    <cellStyle name="Comma 4 3 2 2 2 4 2 3 2" xfId="31708" xr:uid="{C1D12E02-94AD-4B55-AB21-6344A7C299AB}"/>
    <cellStyle name="Comma 4 3 2 2 2 4 2 4" xfId="22411" xr:uid="{2DF535B4-A318-4E2C-B7D9-914F65A41F47}"/>
    <cellStyle name="Comma 4 3 2 2 2 4 3" xfId="5858" xr:uid="{00000000-0005-0000-0000-000023090000}"/>
    <cellStyle name="Comma 4 3 2 2 2 4 3 2" xfId="15184" xr:uid="{0787A849-6B8B-4C04-A5B3-378FD69AA89A}"/>
    <cellStyle name="Comma 4 3 2 2 2 4 3 2 2" xfId="33780" xr:uid="{B7889810-6952-484C-A850-7F22CBF2EE70}"/>
    <cellStyle name="Comma 4 3 2 2 2 4 3 3" xfId="24483" xr:uid="{F161AFD8-2B22-4242-BE76-5DA08869FB22}"/>
    <cellStyle name="Comma 4 3 2 2 2 4 4" xfId="10967" xr:uid="{CC03290F-2000-46C8-9EC9-1345C6F730CE}"/>
    <cellStyle name="Comma 4 3 2 2 2 4 4 2" xfId="29563" xr:uid="{055606E8-C4A6-4950-AF20-E4B5D732E6DB}"/>
    <cellStyle name="Comma 4 3 2 2 2 4 5" xfId="20266" xr:uid="{BAD080E1-1065-472C-AFAD-6BD47DD8922E}"/>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8E7846CA-9FAB-4624-B101-C427586D9DDF}"/>
    <cellStyle name="Comma 4 3 2 2 2 5 2 2 2 2" xfId="36338" xr:uid="{8274D4C2-A9FA-4C91-906F-F46AAF3C9A2B}"/>
    <cellStyle name="Comma 4 3 2 2 2 5 2 2 3" xfId="27041" xr:uid="{EBF8E632-1BA5-4084-A319-9E81FA2C7539}"/>
    <cellStyle name="Comma 4 3 2 2 2 5 2 3" xfId="13525" xr:uid="{7D22ED7F-1A34-4A32-A8A2-1F72B77D451C}"/>
    <cellStyle name="Comma 4 3 2 2 2 5 2 3 2" xfId="32121" xr:uid="{3CAAFCF5-FB8B-4A50-82C5-76F417D0ACCD}"/>
    <cellStyle name="Comma 4 3 2 2 2 5 2 4" xfId="22824" xr:uid="{18C968F2-459B-4C4C-A346-264147329917}"/>
    <cellStyle name="Comma 4 3 2 2 2 5 3" xfId="6271" xr:uid="{00000000-0005-0000-0000-000027090000}"/>
    <cellStyle name="Comma 4 3 2 2 2 5 3 2" xfId="15597" xr:uid="{5479835A-9900-4CC2-A909-9DA903CF502F}"/>
    <cellStyle name="Comma 4 3 2 2 2 5 3 2 2" xfId="34193" xr:uid="{80A3BD0B-FF45-44F3-91BB-37B5AF4B2BDD}"/>
    <cellStyle name="Comma 4 3 2 2 2 5 3 3" xfId="24896" xr:uid="{4BD3CAA0-B5A7-46BD-8F22-A3F211EE2D9C}"/>
    <cellStyle name="Comma 4 3 2 2 2 5 4" xfId="11380" xr:uid="{CF17DF07-D483-4415-ACB3-BA52D07FF81E}"/>
    <cellStyle name="Comma 4 3 2 2 2 5 4 2" xfId="29976" xr:uid="{502DE0FC-7925-46CF-AD3E-9F75A82F0367}"/>
    <cellStyle name="Comma 4 3 2 2 2 5 5" xfId="20679" xr:uid="{699E467C-49E4-45B8-B740-046D4FCD68C0}"/>
    <cellStyle name="Comma 4 3 2 2 2 6" xfId="2400" xr:uid="{00000000-0005-0000-0000-000028090000}"/>
    <cellStyle name="Comma 4 3 2 2 2 6 2" xfId="6684" xr:uid="{00000000-0005-0000-0000-000029090000}"/>
    <cellStyle name="Comma 4 3 2 2 2 6 2 2" xfId="16010" xr:uid="{A064EDB9-4015-4FB6-9EEA-5D454167A5DF}"/>
    <cellStyle name="Comma 4 3 2 2 2 6 2 2 2" xfId="34606" xr:uid="{549CC582-8D69-4BE7-A40D-1D544A7ABD00}"/>
    <cellStyle name="Comma 4 3 2 2 2 6 2 3" xfId="25309" xr:uid="{A223FCA6-5EE6-422E-B48A-120B0CE78008}"/>
    <cellStyle name="Comma 4 3 2 2 2 6 3" xfId="11793" xr:uid="{BA162DE3-B623-4E66-9BB4-41C15536A65F}"/>
    <cellStyle name="Comma 4 3 2 2 2 6 3 2" xfId="30389" xr:uid="{6607ACFC-73D1-45BC-92C2-4F1415AEB13C}"/>
    <cellStyle name="Comma 4 3 2 2 2 6 4" xfId="21092" xr:uid="{9F451F0D-3A32-46DB-922D-10BD9EAD27B9}"/>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9895BA42-E0E8-48B1-BC96-D68D1988BE41}"/>
    <cellStyle name="Comma 4 3 2 2 2 8 2 2 2" xfId="34923" xr:uid="{703759A0-0598-4855-8003-BA9DA6AB5FBB}"/>
    <cellStyle name="Comma 4 3 2 2 2 8 2 3" xfId="25626" xr:uid="{38AAB075-923F-4C01-9D4E-1E286B0A0004}"/>
    <cellStyle name="Comma 4 3 2 2 2 8 3" xfId="12110" xr:uid="{8D20E91F-0FB4-40A9-ABCF-F1E8A2BB0D34}"/>
    <cellStyle name="Comma 4 3 2 2 2 8 3 2" xfId="30706" xr:uid="{502A89DF-6D86-42C9-A79C-B6C6DBE8A2DA}"/>
    <cellStyle name="Comma 4 3 2 2 2 8 4" xfId="21409" xr:uid="{CC4D11D5-1CEB-45EF-96AA-9339FFCF9B80}"/>
    <cellStyle name="Comma 4 3 2 2 2 9" xfId="4618" xr:uid="{00000000-0005-0000-0000-00002D090000}"/>
    <cellStyle name="Comma 4 3 2 2 2 9 2" xfId="13944" xr:uid="{CFFED9B8-2DAB-4F16-9E40-A64DAF76BC37}"/>
    <cellStyle name="Comma 4 3 2 2 2 9 2 2" xfId="32540" xr:uid="{C51FE875-F537-4F37-844D-60AA9E66DCA9}"/>
    <cellStyle name="Comma 4 3 2 2 2 9 3" xfId="23243" xr:uid="{CE0A6E3B-5602-4F9C-A5EC-81916799BCDE}"/>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D36B3998-8013-4230-B47C-D0725192B0E3}"/>
    <cellStyle name="Comma 4 3 2 2 3 2 2 2 2" xfId="35098" xr:uid="{AB734062-2BFA-4D1C-88E7-73B322911356}"/>
    <cellStyle name="Comma 4 3 2 2 3 2 2 3" xfId="25801" xr:uid="{DD5DD314-3163-4482-A7EA-00DBDC7BA224}"/>
    <cellStyle name="Comma 4 3 2 2 3 2 3" xfId="12285" xr:uid="{4D162120-7140-48AE-8948-360102A76D4E}"/>
    <cellStyle name="Comma 4 3 2 2 3 2 3 2" xfId="30881" xr:uid="{82C3ADA4-63D3-4B4F-AAFC-430726526615}"/>
    <cellStyle name="Comma 4 3 2 2 3 2 4" xfId="21584" xr:uid="{9316C831-B6B7-47B0-8CD3-62D6BF5B63A4}"/>
    <cellStyle name="Comma 4 3 2 2 3 3" xfId="5031" xr:uid="{00000000-0005-0000-0000-000031090000}"/>
    <cellStyle name="Comma 4 3 2 2 3 3 2" xfId="14357" xr:uid="{8837BA75-FE9A-400D-8C4C-27578562EF5D}"/>
    <cellStyle name="Comma 4 3 2 2 3 3 2 2" xfId="32953" xr:uid="{85C4A087-71B1-4772-B913-42A68795C914}"/>
    <cellStyle name="Comma 4 3 2 2 3 3 3" xfId="23656" xr:uid="{3135D1F3-A2A2-4742-B675-CE7EE5C216FB}"/>
    <cellStyle name="Comma 4 3 2 2 3 4" xfId="9335" xr:uid="{BACD532B-C811-4076-B107-03E74D1B7113}"/>
    <cellStyle name="Comma 4 3 2 2 3 4 2" xfId="18650" xr:uid="{90458276-A95F-489A-BD66-6F2956D862EA}"/>
    <cellStyle name="Comma 4 3 2 2 3 4 2 2" xfId="37244" xr:uid="{B32F33D8-7BED-43C1-BE19-D04BBF61C420}"/>
    <cellStyle name="Comma 4 3 2 2 3 4 3" xfId="27947" xr:uid="{42BC508E-91FE-4F03-A20F-2C05B4E2EDDB}"/>
    <cellStyle name="Comma 4 3 2 2 3 5" xfId="10140" xr:uid="{D5750602-BBF2-4B1B-ABE2-E1F548C3DD2C}"/>
    <cellStyle name="Comma 4 3 2 2 3 5 2" xfId="28736" xr:uid="{D1785946-3C6B-4B66-82FC-820C62F6DBAC}"/>
    <cellStyle name="Comma 4 3 2 2 3 6" xfId="19439" xr:uid="{2F22F139-E526-4B59-9E77-A0175989001B}"/>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E043787D-C0AF-406D-976C-E11457179745}"/>
    <cellStyle name="Comma 4 3 2 2 4 2 2 2 2" xfId="35511" xr:uid="{03BDD618-CE23-457D-9157-3DA44B91CD5B}"/>
    <cellStyle name="Comma 4 3 2 2 4 2 2 3" xfId="26214" xr:uid="{23249A92-9F40-42E3-8031-F965321BFB02}"/>
    <cellStyle name="Comma 4 3 2 2 4 2 3" xfId="12698" xr:uid="{7F820581-C976-4394-9CB0-046D5EA4DCC1}"/>
    <cellStyle name="Comma 4 3 2 2 4 2 3 2" xfId="31294" xr:uid="{CF1CE772-E356-4DF9-AC54-5D696E5AE0B5}"/>
    <cellStyle name="Comma 4 3 2 2 4 2 4" xfId="21997" xr:uid="{A25B85C0-2723-4BB9-8644-1A280A3EC141}"/>
    <cellStyle name="Comma 4 3 2 2 4 3" xfId="5444" xr:uid="{00000000-0005-0000-0000-000035090000}"/>
    <cellStyle name="Comma 4 3 2 2 4 3 2" xfId="14770" xr:uid="{667927C8-D81D-4279-AA89-D38E5681E30A}"/>
    <cellStyle name="Comma 4 3 2 2 4 3 2 2" xfId="33366" xr:uid="{10BF362E-34FD-456A-BECF-28D2494657B0}"/>
    <cellStyle name="Comma 4 3 2 2 4 3 3" xfId="24069" xr:uid="{30504299-50B9-4ACA-ABCC-C9F6B724ADA4}"/>
    <cellStyle name="Comma 4 3 2 2 4 4" xfId="10553" xr:uid="{457B0A32-30F5-45E0-94BE-A050B89BEBF7}"/>
    <cellStyle name="Comma 4 3 2 2 4 4 2" xfId="29149" xr:uid="{227B3B5F-D431-4344-A072-9439CD88C5FC}"/>
    <cellStyle name="Comma 4 3 2 2 4 5" xfId="19852" xr:uid="{8AA4DA0D-888E-4C5D-B00B-37B8040C22B1}"/>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DED52F59-4E68-41C4-978C-67F373637AAF}"/>
    <cellStyle name="Comma 4 3 2 2 5 2 2 2 2" xfId="35924" xr:uid="{942A3C07-AB61-4345-9091-D75FEBAC03EA}"/>
    <cellStyle name="Comma 4 3 2 2 5 2 2 3" xfId="26627" xr:uid="{EF6B3261-1F00-4F84-8150-96FADDD76C14}"/>
    <cellStyle name="Comma 4 3 2 2 5 2 3" xfId="13111" xr:uid="{0A500030-4B2C-430B-9EA9-D5A3C009C2EF}"/>
    <cellStyle name="Comma 4 3 2 2 5 2 3 2" xfId="31707" xr:uid="{AB0B7853-6DFF-475B-8716-B8F7F57675D7}"/>
    <cellStyle name="Comma 4 3 2 2 5 2 4" xfId="22410" xr:uid="{A73BA2AF-6316-45FC-9268-D92DE2A7AF73}"/>
    <cellStyle name="Comma 4 3 2 2 5 3" xfId="5857" xr:uid="{00000000-0005-0000-0000-000039090000}"/>
    <cellStyle name="Comma 4 3 2 2 5 3 2" xfId="15183" xr:uid="{9B9894ED-4F47-4C44-A283-349D24519328}"/>
    <cellStyle name="Comma 4 3 2 2 5 3 2 2" xfId="33779" xr:uid="{6251F049-9416-4512-9313-231C737E793B}"/>
    <cellStyle name="Comma 4 3 2 2 5 3 3" xfId="24482" xr:uid="{41A62856-0803-4483-8479-AA85BF4ED1F8}"/>
    <cellStyle name="Comma 4 3 2 2 5 4" xfId="10966" xr:uid="{A5118576-C58C-4202-ACF8-25535EDE815D}"/>
    <cellStyle name="Comma 4 3 2 2 5 4 2" xfId="29562" xr:uid="{237ACB21-7016-4B91-BD5C-F27560F0B51F}"/>
    <cellStyle name="Comma 4 3 2 2 5 5" xfId="20265" xr:uid="{BFE57B77-DD6D-4DD3-B0A5-727B53F54008}"/>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EF1BD13A-6439-4712-8FD6-F2BE6EAF4642}"/>
    <cellStyle name="Comma 4 3 2 2 6 2 2 2 2" xfId="36337" xr:uid="{39D16681-8C88-4CFD-8170-F8072910D603}"/>
    <cellStyle name="Comma 4 3 2 2 6 2 2 3" xfId="27040" xr:uid="{CDDCD1EF-14EB-4968-A2C9-79BFB75B2F4F}"/>
    <cellStyle name="Comma 4 3 2 2 6 2 3" xfId="13524" xr:uid="{E10812C6-B8E8-4A92-84BF-14024917769B}"/>
    <cellStyle name="Comma 4 3 2 2 6 2 3 2" xfId="32120" xr:uid="{C9641BC0-DDDE-4858-819C-828E9D759E02}"/>
    <cellStyle name="Comma 4 3 2 2 6 2 4" xfId="22823" xr:uid="{D7502F79-1AD1-422E-91F6-C8BE58AC68C8}"/>
    <cellStyle name="Comma 4 3 2 2 6 3" xfId="6270" xr:uid="{00000000-0005-0000-0000-00003D090000}"/>
    <cellStyle name="Comma 4 3 2 2 6 3 2" xfId="15596" xr:uid="{A5DBF7E1-DBBF-434F-A118-01A38121FB7C}"/>
    <cellStyle name="Comma 4 3 2 2 6 3 2 2" xfId="34192" xr:uid="{60E7C359-83FF-44C0-BC50-5F7A828D030E}"/>
    <cellStyle name="Comma 4 3 2 2 6 3 3" xfId="24895" xr:uid="{13213C84-09C9-40E4-9820-2B85AE7304C3}"/>
    <cellStyle name="Comma 4 3 2 2 6 4" xfId="11379" xr:uid="{5C81CD6F-1648-4DB0-8A76-584458C2236B}"/>
    <cellStyle name="Comma 4 3 2 2 6 4 2" xfId="29975" xr:uid="{3378406F-10CF-428E-B1AB-344552ADD821}"/>
    <cellStyle name="Comma 4 3 2 2 6 5" xfId="20678" xr:uid="{54A63078-255E-4491-921A-439C97B86008}"/>
    <cellStyle name="Comma 4 3 2 2 7" xfId="2399" xr:uid="{00000000-0005-0000-0000-00003E090000}"/>
    <cellStyle name="Comma 4 3 2 2 7 2" xfId="6683" xr:uid="{00000000-0005-0000-0000-00003F090000}"/>
    <cellStyle name="Comma 4 3 2 2 7 2 2" xfId="16009" xr:uid="{FF2C8A74-A3DF-4B99-9516-E06667BEAB5E}"/>
    <cellStyle name="Comma 4 3 2 2 7 2 2 2" xfId="34605" xr:uid="{195309CE-D617-4CAA-82B2-A7E4B2F3A869}"/>
    <cellStyle name="Comma 4 3 2 2 7 2 3" xfId="25308" xr:uid="{B3AE87C1-3B64-4A90-89A5-B4C973C4DC9A}"/>
    <cellStyle name="Comma 4 3 2 2 7 3" xfId="11792" xr:uid="{7F2F0AE6-79AC-4EC5-83C1-067B5306E5D1}"/>
    <cellStyle name="Comma 4 3 2 2 7 3 2" xfId="30388" xr:uid="{66F2F736-4720-46E0-A872-C33DE90B7CAD}"/>
    <cellStyle name="Comma 4 3 2 2 7 4" xfId="21091" xr:uid="{19FC89C1-DB85-4EED-8BF9-8365F3D8C29F}"/>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76F3EB63-3C61-4FFF-868B-0083EF9BFDDD}"/>
    <cellStyle name="Comma 4 3 2 2 9 2 2 2" xfId="34922" xr:uid="{72F6CCB2-4010-438C-A232-F05369104C4C}"/>
    <cellStyle name="Comma 4 3 2 2 9 2 3" xfId="25625" xr:uid="{C661B680-76E0-4893-A071-EEE22A218AFF}"/>
    <cellStyle name="Comma 4 3 2 2 9 3" xfId="12109" xr:uid="{0EEE024B-2EA1-44EE-8587-C0EBADF49E92}"/>
    <cellStyle name="Comma 4 3 2 2 9 3 2" xfId="30705" xr:uid="{66A79005-53D5-4E3C-AEAF-83BC493E647A}"/>
    <cellStyle name="Comma 4 3 2 2 9 4" xfId="21408" xr:uid="{37DF070F-365A-4252-B9ED-5AD04357FF69}"/>
    <cellStyle name="Comma 4 3 2 3" xfId="148" xr:uid="{00000000-0005-0000-0000-000043090000}"/>
    <cellStyle name="Comma 4 3 2 3 10" xfId="9014" xr:uid="{46568903-2C47-4BC3-8E78-5A47F62B319C}"/>
    <cellStyle name="Comma 4 3 2 3 10 2" xfId="18338" xr:uid="{23B1D5C1-6951-44D3-9298-A60566D2FE52}"/>
    <cellStyle name="Comma 4 3 2 3 10 2 2" xfId="36933" xr:uid="{6C42C89A-D55C-4412-BE6B-E5C798FF4CCB}"/>
    <cellStyle name="Comma 4 3 2 3 10 3" xfId="27636" xr:uid="{8C970D48-D555-4B92-AEA5-6B7697613291}"/>
    <cellStyle name="Comma 4 3 2 3 11" xfId="9728" xr:uid="{FDD28F1C-9CF6-4707-98B3-D4224B380FDB}"/>
    <cellStyle name="Comma 4 3 2 3 11 2" xfId="28324" xr:uid="{D4F29397-481E-45EC-B8A7-CB1DB2F45745}"/>
    <cellStyle name="Comma 4 3 2 3 12" xfId="19027" xr:uid="{161F0DD8-3DFB-4AE0-B37B-DE0D5525C3F8}"/>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C6F1DEC4-8C7D-48C9-8AB2-E07425B29644}"/>
    <cellStyle name="Comma 4 3 2 3 2 2 2 2 2" xfId="35100" xr:uid="{658AE85D-2AF8-494B-956B-9316B4836975}"/>
    <cellStyle name="Comma 4 3 2 3 2 2 2 3" xfId="25803" xr:uid="{FF494BD5-547A-4A21-81CE-2D83AE56F7B8}"/>
    <cellStyle name="Comma 4 3 2 3 2 2 3" xfId="12287" xr:uid="{8FA414B6-48DF-4E64-AD7F-2A8474594D33}"/>
    <cellStyle name="Comma 4 3 2 3 2 2 3 2" xfId="30883" xr:uid="{9B822135-6110-477F-AC55-3D6ED893BE69}"/>
    <cellStyle name="Comma 4 3 2 3 2 2 4" xfId="21586" xr:uid="{1A2CF02F-B759-4648-891C-675145A1CC6A}"/>
    <cellStyle name="Comma 4 3 2 3 2 3" xfId="5033" xr:uid="{00000000-0005-0000-0000-000047090000}"/>
    <cellStyle name="Comma 4 3 2 3 2 3 2" xfId="14359" xr:uid="{681E6132-8FA9-4C30-AB1F-641936556103}"/>
    <cellStyle name="Comma 4 3 2 3 2 3 2 2" xfId="32955" xr:uid="{0C9FA7C5-4603-46B5-A756-F99446B9948D}"/>
    <cellStyle name="Comma 4 3 2 3 2 3 3" xfId="23658" xr:uid="{E576C053-75A7-4B5B-8C82-15B9D650355E}"/>
    <cellStyle name="Comma 4 3 2 3 2 4" xfId="9439" xr:uid="{2FD116B5-6902-4630-AFC5-CC8B06C5F457}"/>
    <cellStyle name="Comma 4 3 2 3 2 4 2" xfId="18754" xr:uid="{0746EC5D-7610-4657-A6C1-DFBC2E60B384}"/>
    <cellStyle name="Comma 4 3 2 3 2 4 2 2" xfId="37348" xr:uid="{AC8E7222-3D51-4A37-88C3-AF7D0BC2FF85}"/>
    <cellStyle name="Comma 4 3 2 3 2 4 3" xfId="28051" xr:uid="{97A37D31-501A-4FE2-88FB-DA2F68E00127}"/>
    <cellStyle name="Comma 4 3 2 3 2 5" xfId="10142" xr:uid="{860B6616-5E0B-4998-895D-F9AE9A2F51F3}"/>
    <cellStyle name="Comma 4 3 2 3 2 5 2" xfId="28738" xr:uid="{1F7C1626-F495-4E25-B2C3-FC036E137D7F}"/>
    <cellStyle name="Comma 4 3 2 3 2 6" xfId="19441" xr:uid="{CBFD341A-3EA1-4C56-B1AD-C7490D0135DF}"/>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1E07A01E-F53D-423A-ACE4-93BC736E6890}"/>
    <cellStyle name="Comma 4 3 2 3 3 2 2 2 2" xfId="35513" xr:uid="{62A8FA3A-BBB3-4BDD-9F28-FAC51378777E}"/>
    <cellStyle name="Comma 4 3 2 3 3 2 2 3" xfId="26216" xr:uid="{72CB5B8E-D39A-4F2B-AD3E-2EB883E93A15}"/>
    <cellStyle name="Comma 4 3 2 3 3 2 3" xfId="12700" xr:uid="{FBD47902-E6BB-4A81-8D20-9E57BBD94C3F}"/>
    <cellStyle name="Comma 4 3 2 3 3 2 3 2" xfId="31296" xr:uid="{3B2CB5CD-7030-48CD-85A2-23944C0C1355}"/>
    <cellStyle name="Comma 4 3 2 3 3 2 4" xfId="21999" xr:uid="{7E45C64D-85BC-46D0-8DF1-DA0023E080B0}"/>
    <cellStyle name="Comma 4 3 2 3 3 3" xfId="5446" xr:uid="{00000000-0005-0000-0000-00004B090000}"/>
    <cellStyle name="Comma 4 3 2 3 3 3 2" xfId="14772" xr:uid="{8F5E2297-EED3-4A08-8262-18E20987AA10}"/>
    <cellStyle name="Comma 4 3 2 3 3 3 2 2" xfId="33368" xr:uid="{5E44782B-18B3-4E23-ABE1-CCB33B6DB706}"/>
    <cellStyle name="Comma 4 3 2 3 3 3 3" xfId="24071" xr:uid="{0B98E6F3-3F62-4C9E-95CC-576C52F2E63B}"/>
    <cellStyle name="Comma 4 3 2 3 3 4" xfId="10555" xr:uid="{A1B95BB4-C968-4B0E-9EBC-56613D7CA4B5}"/>
    <cellStyle name="Comma 4 3 2 3 3 4 2" xfId="29151" xr:uid="{23B08E44-9169-4846-8BD7-71D421828A61}"/>
    <cellStyle name="Comma 4 3 2 3 3 5" xfId="19854" xr:uid="{7AA6421B-FF76-4DC0-9313-F8C82BC3E937}"/>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6621265A-D622-45EC-BDC9-835BC8A2B0FD}"/>
    <cellStyle name="Comma 4 3 2 3 4 2 2 2 2" xfId="35926" xr:uid="{5870B3BD-CFE0-4033-B6DB-BA6DB56C105C}"/>
    <cellStyle name="Comma 4 3 2 3 4 2 2 3" xfId="26629" xr:uid="{3C85386D-62B5-4EF3-9449-25CB5CB524B7}"/>
    <cellStyle name="Comma 4 3 2 3 4 2 3" xfId="13113" xr:uid="{9FD20BEE-488D-4008-938D-E4DF421ADD45}"/>
    <cellStyle name="Comma 4 3 2 3 4 2 3 2" xfId="31709" xr:uid="{1C03654F-A14C-4677-A605-E3D6001FEE6A}"/>
    <cellStyle name="Comma 4 3 2 3 4 2 4" xfId="22412" xr:uid="{031F754E-7448-45C2-ADE6-C10B0A8DE8E2}"/>
    <cellStyle name="Comma 4 3 2 3 4 3" xfId="5859" xr:uid="{00000000-0005-0000-0000-00004F090000}"/>
    <cellStyle name="Comma 4 3 2 3 4 3 2" xfId="15185" xr:uid="{850EE856-1DF6-4D16-8D96-8D3D52849225}"/>
    <cellStyle name="Comma 4 3 2 3 4 3 2 2" xfId="33781" xr:uid="{C1609D27-2A3C-4418-9009-EB54FCD2A897}"/>
    <cellStyle name="Comma 4 3 2 3 4 3 3" xfId="24484" xr:uid="{46BAA3A2-7C62-46F6-8732-A24718E05315}"/>
    <cellStyle name="Comma 4 3 2 3 4 4" xfId="10968" xr:uid="{50B247AA-A099-45B5-A5F1-1D74A6E4AC2E}"/>
    <cellStyle name="Comma 4 3 2 3 4 4 2" xfId="29564" xr:uid="{299E9C6D-E1FE-4EEC-889A-ACD80A3226D8}"/>
    <cellStyle name="Comma 4 3 2 3 4 5" xfId="20267" xr:uid="{FA4536AD-0423-4225-AE72-CD40FFD06968}"/>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3279DE1D-7653-4B9E-B3DD-C340FB5A0330}"/>
    <cellStyle name="Comma 4 3 2 3 5 2 2 2 2" xfId="36339" xr:uid="{84323F76-DEAF-4966-B288-C767DAC33F1D}"/>
    <cellStyle name="Comma 4 3 2 3 5 2 2 3" xfId="27042" xr:uid="{59B63C47-1E2E-4269-AE36-989835A47762}"/>
    <cellStyle name="Comma 4 3 2 3 5 2 3" xfId="13526" xr:uid="{A098CF4D-C0D7-41C4-ACBD-855024A6B2F3}"/>
    <cellStyle name="Comma 4 3 2 3 5 2 3 2" xfId="32122" xr:uid="{99E818FC-1107-4319-8188-A072FA4C195A}"/>
    <cellStyle name="Comma 4 3 2 3 5 2 4" xfId="22825" xr:uid="{E0B76946-5A2C-41ED-80AD-FBEDAA29899B}"/>
    <cellStyle name="Comma 4 3 2 3 5 3" xfId="6272" xr:uid="{00000000-0005-0000-0000-000053090000}"/>
    <cellStyle name="Comma 4 3 2 3 5 3 2" xfId="15598" xr:uid="{C27858F6-8661-45C8-9681-A1044E179237}"/>
    <cellStyle name="Comma 4 3 2 3 5 3 2 2" xfId="34194" xr:uid="{0E89E37E-22A6-462D-83D6-3D67B2AC2266}"/>
    <cellStyle name="Comma 4 3 2 3 5 3 3" xfId="24897" xr:uid="{A4C61227-83E2-4A17-B931-1B0A1D47D634}"/>
    <cellStyle name="Comma 4 3 2 3 5 4" xfId="11381" xr:uid="{9472114F-32D2-4EA2-AD86-D30E38CDDA57}"/>
    <cellStyle name="Comma 4 3 2 3 5 4 2" xfId="29977" xr:uid="{9D1802A8-5105-4F5B-AE9D-198798FD3D24}"/>
    <cellStyle name="Comma 4 3 2 3 5 5" xfId="20680" xr:uid="{32761E52-FE87-40B2-9A01-9F872E5F33AA}"/>
    <cellStyle name="Comma 4 3 2 3 6" xfId="2401" xr:uid="{00000000-0005-0000-0000-000054090000}"/>
    <cellStyle name="Comma 4 3 2 3 6 2" xfId="6685" xr:uid="{00000000-0005-0000-0000-000055090000}"/>
    <cellStyle name="Comma 4 3 2 3 6 2 2" xfId="16011" xr:uid="{455E5892-88EB-4AC8-B4A7-A01BF8948C17}"/>
    <cellStyle name="Comma 4 3 2 3 6 2 2 2" xfId="34607" xr:uid="{7682FB74-4CB2-45D7-8093-08F4C571D493}"/>
    <cellStyle name="Comma 4 3 2 3 6 2 3" xfId="25310" xr:uid="{1A4A9381-7F1F-4477-B60F-94FEE2C18D29}"/>
    <cellStyle name="Comma 4 3 2 3 6 3" xfId="11794" xr:uid="{53BAAAA4-CDEA-48B8-BF11-256AF341D279}"/>
    <cellStyle name="Comma 4 3 2 3 6 3 2" xfId="30390" xr:uid="{DDF13E31-BFB4-41DE-821A-DB28C389F5BF}"/>
    <cellStyle name="Comma 4 3 2 3 6 4" xfId="21093" xr:uid="{5E97E9DF-36FF-47DC-A4BA-B48FE6214FFF}"/>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08038EC6-6802-4DAF-AD1A-B73BD5C5BA20}"/>
    <cellStyle name="Comma 4 3 2 3 8 2 2 2" xfId="34924" xr:uid="{35AB7205-F8F0-4E82-A9D6-9F6B56B3A6A2}"/>
    <cellStyle name="Comma 4 3 2 3 8 2 3" xfId="25627" xr:uid="{9D71665B-8B40-450E-B7BD-DABA5E1CA3DC}"/>
    <cellStyle name="Comma 4 3 2 3 8 3" xfId="12111" xr:uid="{5E140940-4E55-4DDD-98EA-5A7ABAF82C2C}"/>
    <cellStyle name="Comma 4 3 2 3 8 3 2" xfId="30707" xr:uid="{B45C0A22-8031-46DC-8D0C-D1156DAFC0F0}"/>
    <cellStyle name="Comma 4 3 2 3 8 4" xfId="21410" xr:uid="{6CBF2255-9265-44EC-9B3C-311163748E51}"/>
    <cellStyle name="Comma 4 3 2 3 9" xfId="4619" xr:uid="{00000000-0005-0000-0000-000059090000}"/>
    <cellStyle name="Comma 4 3 2 3 9 2" xfId="13945" xr:uid="{9E6E7DDC-2F0B-46CA-8DC4-935F9374EBEA}"/>
    <cellStyle name="Comma 4 3 2 3 9 2 2" xfId="32541" xr:uid="{0A81D17F-0C5C-4FF2-9783-BA2E19FB9A39}"/>
    <cellStyle name="Comma 4 3 2 3 9 3" xfId="23244" xr:uid="{42212E5E-858F-4F0E-A376-4437D26C4560}"/>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C8700F13-4832-4523-9EB8-AF058DCBD574}"/>
    <cellStyle name="Comma 4 3 2 4 2 2 2 2" xfId="35097" xr:uid="{9B2B238B-6543-414C-9AF1-9C2A84DFFB34}"/>
    <cellStyle name="Comma 4 3 2 4 2 2 3" xfId="25800" xr:uid="{937DD19E-17B8-4B3B-9EE3-B93379F7741B}"/>
    <cellStyle name="Comma 4 3 2 4 2 3" xfId="12284" xr:uid="{80302AE3-96B1-40EB-9DFD-152777C1EEA9}"/>
    <cellStyle name="Comma 4 3 2 4 2 3 2" xfId="30880" xr:uid="{651DA3DA-91E8-40BE-9D8E-B7D475000EA5}"/>
    <cellStyle name="Comma 4 3 2 4 2 4" xfId="21583" xr:uid="{681EE33E-CD15-40A8-A9F8-4FF5A663DFC9}"/>
    <cellStyle name="Comma 4 3 2 4 3" xfId="5030" xr:uid="{00000000-0005-0000-0000-00005D090000}"/>
    <cellStyle name="Comma 4 3 2 4 3 2" xfId="14356" xr:uid="{343143A5-D3BC-4B75-AA39-34C796D97F32}"/>
    <cellStyle name="Comma 4 3 2 4 3 2 2" xfId="32952" xr:uid="{13474023-5905-4C68-8656-36FD26C790CC}"/>
    <cellStyle name="Comma 4 3 2 4 3 3" xfId="23655" xr:uid="{887B0960-0F4F-43C2-8342-E9D3CBF064D4}"/>
    <cellStyle name="Comma 4 3 2 4 4" xfId="9232" xr:uid="{8193451B-D8F0-40BD-91ED-34E7041117F6}"/>
    <cellStyle name="Comma 4 3 2 4 4 2" xfId="18547" xr:uid="{76E8B630-BD80-4E2E-A702-05726C623F1F}"/>
    <cellStyle name="Comma 4 3 2 4 4 2 2" xfId="37141" xr:uid="{551EBEA0-3ABB-4E03-80D1-20A004E19791}"/>
    <cellStyle name="Comma 4 3 2 4 4 3" xfId="27844" xr:uid="{145E25A9-958E-47C3-B66D-95EC530D12EC}"/>
    <cellStyle name="Comma 4 3 2 4 5" xfId="10139" xr:uid="{D2C2BA15-C56B-4201-9BA6-61107AB140AA}"/>
    <cellStyle name="Comma 4 3 2 4 5 2" xfId="28735" xr:uid="{2517B021-A88B-4B2E-A094-800FA909AD31}"/>
    <cellStyle name="Comma 4 3 2 4 6" xfId="19438" xr:uid="{762816C8-10BA-4CE2-83BD-2F30642CAA6B}"/>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5A75C812-E11E-4B9E-A7F4-1A2283AD1A75}"/>
    <cellStyle name="Comma 4 3 2 5 2 2 2 2" xfId="35510" xr:uid="{660031BB-EC36-4BCB-941B-E004105EE08C}"/>
    <cellStyle name="Comma 4 3 2 5 2 2 3" xfId="26213" xr:uid="{57111B01-C0EE-47D1-8AFC-2CA8D21F7D90}"/>
    <cellStyle name="Comma 4 3 2 5 2 3" xfId="12697" xr:uid="{2672675D-1860-4582-8230-16E39A30A34B}"/>
    <cellStyle name="Comma 4 3 2 5 2 3 2" xfId="31293" xr:uid="{4BA3D9F6-A843-49A1-9421-1C7374AD3BB6}"/>
    <cellStyle name="Comma 4 3 2 5 2 4" xfId="21996" xr:uid="{0C105F06-25D0-438D-8F5E-CA0EF9A3CF7D}"/>
    <cellStyle name="Comma 4 3 2 5 3" xfId="5443" xr:uid="{00000000-0005-0000-0000-000061090000}"/>
    <cellStyle name="Comma 4 3 2 5 3 2" xfId="14769" xr:uid="{E7737074-8CF0-40DE-B7D2-BC41ED7D3C09}"/>
    <cellStyle name="Comma 4 3 2 5 3 2 2" xfId="33365" xr:uid="{5C96F61D-3AD3-46B3-AEA1-FDBF59694E6A}"/>
    <cellStyle name="Comma 4 3 2 5 3 3" xfId="24068" xr:uid="{4EF0A7B7-1101-4764-A4DA-F7E452319135}"/>
    <cellStyle name="Comma 4 3 2 5 4" xfId="10552" xr:uid="{399DE511-6FD1-428B-81B6-DA31F2FED5D3}"/>
    <cellStyle name="Comma 4 3 2 5 4 2" xfId="29148" xr:uid="{B71D8AC9-5004-4F9E-B7D2-D444B74297AB}"/>
    <cellStyle name="Comma 4 3 2 5 5" xfId="19851" xr:uid="{9724A238-B27C-4BD5-8B3C-47B96E44C43E}"/>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D964F3B2-1D9C-48FA-940A-FF58905EBD4F}"/>
    <cellStyle name="Comma 4 3 2 6 2 2 2 2" xfId="35923" xr:uid="{0F7B9073-6F78-48C9-9766-884B105FBBC2}"/>
    <cellStyle name="Comma 4 3 2 6 2 2 3" xfId="26626" xr:uid="{4C48895A-E69C-489E-9F6A-E2C07F85F464}"/>
    <cellStyle name="Comma 4 3 2 6 2 3" xfId="13110" xr:uid="{218A50DE-7005-4615-BAE1-82592768BB9A}"/>
    <cellStyle name="Comma 4 3 2 6 2 3 2" xfId="31706" xr:uid="{CD418385-E94A-4C7F-B411-AA2297AC5B60}"/>
    <cellStyle name="Comma 4 3 2 6 2 4" xfId="22409" xr:uid="{29A9120B-1859-4A3A-B47E-3DC63B422686}"/>
    <cellStyle name="Comma 4 3 2 6 3" xfId="5856" xr:uid="{00000000-0005-0000-0000-000065090000}"/>
    <cellStyle name="Comma 4 3 2 6 3 2" xfId="15182" xr:uid="{360514DD-6C83-4F98-A943-44383DB2C9E0}"/>
    <cellStyle name="Comma 4 3 2 6 3 2 2" xfId="33778" xr:uid="{14449A4C-57CE-4B4A-8D25-34895FE04F44}"/>
    <cellStyle name="Comma 4 3 2 6 3 3" xfId="24481" xr:uid="{A4DE3848-3CE1-424F-80B5-B17592593222}"/>
    <cellStyle name="Comma 4 3 2 6 4" xfId="10965" xr:uid="{56668F5D-69DB-47B3-8621-CC37D2659929}"/>
    <cellStyle name="Comma 4 3 2 6 4 2" xfId="29561" xr:uid="{DD4B0364-7FDE-4F99-8A54-883D86E4FDD2}"/>
    <cellStyle name="Comma 4 3 2 6 5" xfId="20264" xr:uid="{3838746E-E8F5-47CD-B6DC-129A1EDE1E50}"/>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DDE68B8D-1BBE-472E-9DF2-A7ECC2B0D0CD}"/>
    <cellStyle name="Comma 4 3 2 7 2 2 2 2" xfId="36336" xr:uid="{A47D127C-B702-411C-84D4-F127356165E7}"/>
    <cellStyle name="Comma 4 3 2 7 2 2 3" xfId="27039" xr:uid="{DFECB96D-A392-4BA9-A4CD-89FA2010D1DB}"/>
    <cellStyle name="Comma 4 3 2 7 2 3" xfId="13523" xr:uid="{FB3878C8-BC13-44F4-993A-59A6E2B9296F}"/>
    <cellStyle name="Comma 4 3 2 7 2 3 2" xfId="32119" xr:uid="{3C77B249-09E1-469B-BB63-209F7A6CFC90}"/>
    <cellStyle name="Comma 4 3 2 7 2 4" xfId="22822" xr:uid="{C8AA926C-9645-4872-BFDD-B7F08AD6FA8E}"/>
    <cellStyle name="Comma 4 3 2 7 3" xfId="6269" xr:uid="{00000000-0005-0000-0000-000069090000}"/>
    <cellStyle name="Comma 4 3 2 7 3 2" xfId="15595" xr:uid="{15FA206E-29D7-4FDA-B189-AA2456E89BB1}"/>
    <cellStyle name="Comma 4 3 2 7 3 2 2" xfId="34191" xr:uid="{E39A2DA9-D245-4541-A96C-661F12AC8C82}"/>
    <cellStyle name="Comma 4 3 2 7 3 3" xfId="24894" xr:uid="{E274EC94-5BBF-42A7-89EE-DABD86417CA3}"/>
    <cellStyle name="Comma 4 3 2 7 4" xfId="11378" xr:uid="{AB120D2F-11FE-4EFA-8305-EE7D2634D1BF}"/>
    <cellStyle name="Comma 4 3 2 7 4 2" xfId="29974" xr:uid="{4E9048D2-7B3C-4ECC-9721-93580693A0DC}"/>
    <cellStyle name="Comma 4 3 2 7 5" xfId="20677" xr:uid="{DE8D265B-AA4A-408A-8ACF-8F0F037D4267}"/>
    <cellStyle name="Comma 4 3 2 8" xfId="2398" xr:uid="{00000000-0005-0000-0000-00006A090000}"/>
    <cellStyle name="Comma 4 3 2 8 2" xfId="6682" xr:uid="{00000000-0005-0000-0000-00006B090000}"/>
    <cellStyle name="Comma 4 3 2 8 2 2" xfId="16008" xr:uid="{BE1704CF-E8A9-4C93-A723-893D6AE2F6FC}"/>
    <cellStyle name="Comma 4 3 2 8 2 2 2" xfId="34604" xr:uid="{AD7E29D8-C778-47E4-82CE-209F3A1FEDA3}"/>
    <cellStyle name="Comma 4 3 2 8 2 3" xfId="25307" xr:uid="{9875268B-E31A-4DEF-9BC3-808AAF7B7E3A}"/>
    <cellStyle name="Comma 4 3 2 8 3" xfId="11791" xr:uid="{940F2495-1734-47AC-92C3-8EB9B1C01636}"/>
    <cellStyle name="Comma 4 3 2 8 3 2" xfId="30387" xr:uid="{A4313586-BFB3-447D-8942-673B2C002C6C}"/>
    <cellStyle name="Comma 4 3 2 8 4" xfId="21090" xr:uid="{D9A683D0-701E-43B6-ADA1-3E5D4D646556}"/>
    <cellStyle name="Comma 4 3 2 9" xfId="2365" xr:uid="{00000000-0005-0000-0000-00006C090000}"/>
    <cellStyle name="Comma 4 3 3" xfId="149" xr:uid="{00000000-0005-0000-0000-00006D090000}"/>
    <cellStyle name="Comma 4 3 3 10" xfId="4620" xr:uid="{00000000-0005-0000-0000-00006E090000}"/>
    <cellStyle name="Comma 4 3 3 10 2" xfId="13946" xr:uid="{3CB52269-8E03-4BD8-9DFC-83448E0BCAFC}"/>
    <cellStyle name="Comma 4 3 3 10 2 2" xfId="32542" xr:uid="{9821B492-2959-46EF-A55E-DF4007AE9B38}"/>
    <cellStyle name="Comma 4 3 3 10 3" xfId="23245" xr:uid="{58D58221-C3D4-4581-83C3-DB3C57D3849B}"/>
    <cellStyle name="Comma 4 3 3 11" xfId="8881" xr:uid="{ACA3BC7C-CED7-49C2-9DC3-E2A3989962E9}"/>
    <cellStyle name="Comma 4 3 3 11 2" xfId="18205" xr:uid="{5CC1CF77-2A91-4645-AC08-12339DC4A7D8}"/>
    <cellStyle name="Comma 4 3 3 11 2 2" xfId="36800" xr:uid="{DD67CF64-44CC-4917-B200-72C11538124E}"/>
    <cellStyle name="Comma 4 3 3 11 3" xfId="27503" xr:uid="{111C0E97-A142-4F67-B9D1-761F7FD2B163}"/>
    <cellStyle name="Comma 4 3 3 12" xfId="9729" xr:uid="{AFF8E275-16DD-4A77-B679-4669E79B72B2}"/>
    <cellStyle name="Comma 4 3 3 12 2" xfId="28325" xr:uid="{D09D9310-2B17-4CC3-B51B-AAEA272AAE7A}"/>
    <cellStyle name="Comma 4 3 3 13" xfId="19028" xr:uid="{EBB7BC59-AEFA-4509-9D38-4B1E381FDBA0}"/>
    <cellStyle name="Comma 4 3 3 2" xfId="150" xr:uid="{00000000-0005-0000-0000-00006F090000}"/>
    <cellStyle name="Comma 4 3 3 2 10" xfId="9088" xr:uid="{D40CFC42-DEA3-4A4C-8532-2B6CFC29229D}"/>
    <cellStyle name="Comma 4 3 3 2 10 2" xfId="18412" xr:uid="{D1432362-692F-4C54-A462-F6590A62631A}"/>
    <cellStyle name="Comma 4 3 3 2 10 2 2" xfId="37007" xr:uid="{C3767456-D784-451B-8F6A-4AA12D37ED2E}"/>
    <cellStyle name="Comma 4 3 3 2 10 3" xfId="27710" xr:uid="{80E9E302-A567-4F20-B38D-CBE11F0DE3AD}"/>
    <cellStyle name="Comma 4 3 3 2 11" xfId="9730" xr:uid="{9A736590-4026-441B-9295-AD1413D7A0A9}"/>
    <cellStyle name="Comma 4 3 3 2 11 2" xfId="28326" xr:uid="{969C634F-3827-464C-A659-89005895DF48}"/>
    <cellStyle name="Comma 4 3 3 2 12" xfId="19029" xr:uid="{0A4C416A-4C7B-422A-8470-19BF7FFD4646}"/>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B2E36DE5-EDB6-467E-97E6-28F929252DC4}"/>
    <cellStyle name="Comma 4 3 3 2 2 2 2 2 2" xfId="35102" xr:uid="{D66BA1BF-4322-4A16-AAD3-C8E5BF9B8691}"/>
    <cellStyle name="Comma 4 3 3 2 2 2 2 3" xfId="25805" xr:uid="{09CE9A66-6E5C-4147-BDF2-9320DA22A047}"/>
    <cellStyle name="Comma 4 3 3 2 2 2 3" xfId="12289" xr:uid="{A27CFA7A-C16D-4CC3-B2D3-A5A2B05398AA}"/>
    <cellStyle name="Comma 4 3 3 2 2 2 3 2" xfId="30885" xr:uid="{42E7E295-C923-4288-8F70-9646F03E14FC}"/>
    <cellStyle name="Comma 4 3 3 2 2 2 4" xfId="21588" xr:uid="{2EFE1E52-9613-4889-8606-FD49987F35E7}"/>
    <cellStyle name="Comma 4 3 3 2 2 3" xfId="5035" xr:uid="{00000000-0005-0000-0000-000073090000}"/>
    <cellStyle name="Comma 4 3 3 2 2 3 2" xfId="14361" xr:uid="{E985D914-F6FD-4E66-AE4A-2E1AE24FD17C}"/>
    <cellStyle name="Comma 4 3 3 2 2 3 2 2" xfId="32957" xr:uid="{8FBE240B-042A-4A4A-BFD1-B4C7224E0174}"/>
    <cellStyle name="Comma 4 3 3 2 2 3 3" xfId="23660" xr:uid="{46B160D7-6225-4983-8043-8E4B5875A76A}"/>
    <cellStyle name="Comma 4 3 3 2 2 4" xfId="9513" xr:uid="{986E0DAD-8ABC-4DAC-9C56-EF87B6B3B829}"/>
    <cellStyle name="Comma 4 3 3 2 2 4 2" xfId="18828" xr:uid="{490F364B-D807-4FBD-BAD7-313C0E930511}"/>
    <cellStyle name="Comma 4 3 3 2 2 4 2 2" xfId="37422" xr:uid="{C4987A56-556F-45EF-9978-6FC6ADA676A3}"/>
    <cellStyle name="Comma 4 3 3 2 2 4 3" xfId="28125" xr:uid="{392D2DE1-52CB-4B7D-9DEC-F2BFE0EEF62D}"/>
    <cellStyle name="Comma 4 3 3 2 2 5" xfId="10144" xr:uid="{D49F8C94-4018-4CDF-A681-E1CC00FD137A}"/>
    <cellStyle name="Comma 4 3 3 2 2 5 2" xfId="28740" xr:uid="{BA62F1F3-F352-4F1E-9637-B0E321A70B42}"/>
    <cellStyle name="Comma 4 3 3 2 2 6" xfId="19443" xr:uid="{38861D43-985D-4294-9B32-6570AD2E4D05}"/>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413C96C9-86B3-40D0-BB34-AEA32664F45E}"/>
    <cellStyle name="Comma 4 3 3 2 3 2 2 2 2" xfId="35515" xr:uid="{8D9E8B70-B6E4-405B-AB98-FEF44D06BEA5}"/>
    <cellStyle name="Comma 4 3 3 2 3 2 2 3" xfId="26218" xr:uid="{268BE9B9-5F12-43E2-B8C2-90B61B90AD80}"/>
    <cellStyle name="Comma 4 3 3 2 3 2 3" xfId="12702" xr:uid="{13125938-C563-4EB9-AAFE-926186D48799}"/>
    <cellStyle name="Comma 4 3 3 2 3 2 3 2" xfId="31298" xr:uid="{DEA8321C-F812-4D99-B3C1-5043377ECF52}"/>
    <cellStyle name="Comma 4 3 3 2 3 2 4" xfId="22001" xr:uid="{DE418807-108F-4A79-A4EA-3398736CA611}"/>
    <cellStyle name="Comma 4 3 3 2 3 3" xfId="5448" xr:uid="{00000000-0005-0000-0000-000077090000}"/>
    <cellStyle name="Comma 4 3 3 2 3 3 2" xfId="14774" xr:uid="{03F19EB9-8ACC-4272-9100-9BFD617D83BF}"/>
    <cellStyle name="Comma 4 3 3 2 3 3 2 2" xfId="33370" xr:uid="{52B4D3D5-6EBD-464F-836F-978FAB1F4C03}"/>
    <cellStyle name="Comma 4 3 3 2 3 3 3" xfId="24073" xr:uid="{C227E88E-80C3-4E83-9AE9-5AE9B5E1E9C5}"/>
    <cellStyle name="Comma 4 3 3 2 3 4" xfId="10557" xr:uid="{CC9A3BEF-9D29-4460-9679-BB91B8D61876}"/>
    <cellStyle name="Comma 4 3 3 2 3 4 2" xfId="29153" xr:uid="{FD65530A-A071-42CE-B44A-D30EA874DB2E}"/>
    <cellStyle name="Comma 4 3 3 2 3 5" xfId="19856" xr:uid="{11BCC302-3B2C-43B1-967F-51E07F989893}"/>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D061183D-E55F-42A4-A90D-5DE746109CD3}"/>
    <cellStyle name="Comma 4 3 3 2 4 2 2 2 2" xfId="35928" xr:uid="{FD97BFD5-E293-475B-AE3B-9EC3F652FDAF}"/>
    <cellStyle name="Comma 4 3 3 2 4 2 2 3" xfId="26631" xr:uid="{8073FB4D-2F8E-4C18-8420-4D9E8902B4F4}"/>
    <cellStyle name="Comma 4 3 3 2 4 2 3" xfId="13115" xr:uid="{0B408943-DA95-4898-9C5C-626B67A12A70}"/>
    <cellStyle name="Comma 4 3 3 2 4 2 3 2" xfId="31711" xr:uid="{F83C67C5-07F5-434B-AEE6-5CD039C61E9F}"/>
    <cellStyle name="Comma 4 3 3 2 4 2 4" xfId="22414" xr:uid="{F97EEF7F-ADBE-4C68-B02E-11FFA15952D1}"/>
    <cellStyle name="Comma 4 3 3 2 4 3" xfId="5861" xr:uid="{00000000-0005-0000-0000-00007B090000}"/>
    <cellStyle name="Comma 4 3 3 2 4 3 2" xfId="15187" xr:uid="{E5EF25B3-2012-471B-8730-8B733981D595}"/>
    <cellStyle name="Comma 4 3 3 2 4 3 2 2" xfId="33783" xr:uid="{33698B7E-26D0-437F-84BE-103C4993CBA2}"/>
    <cellStyle name="Comma 4 3 3 2 4 3 3" xfId="24486" xr:uid="{391312CD-1183-4BC3-8B93-8549BC099403}"/>
    <cellStyle name="Comma 4 3 3 2 4 4" xfId="10970" xr:uid="{35781158-D009-410E-9E21-BC41F8EC5A05}"/>
    <cellStyle name="Comma 4 3 3 2 4 4 2" xfId="29566" xr:uid="{C0822EC8-4FE4-4326-85FF-3B3F34AF674E}"/>
    <cellStyle name="Comma 4 3 3 2 4 5" xfId="20269" xr:uid="{9EA17771-746A-4ABC-9654-5A0E398CBCFA}"/>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0BD19552-1132-476C-893D-F5F76A09F99E}"/>
    <cellStyle name="Comma 4 3 3 2 5 2 2 2 2" xfId="36341" xr:uid="{492181E8-3334-479C-BA20-1169A2902A89}"/>
    <cellStyle name="Comma 4 3 3 2 5 2 2 3" xfId="27044" xr:uid="{13C27FC0-E30B-46AF-9ABA-55D3E0621295}"/>
    <cellStyle name="Comma 4 3 3 2 5 2 3" xfId="13528" xr:uid="{F1262AF5-5D5C-43CF-A7E7-9282D61B9B7C}"/>
    <cellStyle name="Comma 4 3 3 2 5 2 3 2" xfId="32124" xr:uid="{D71A5391-8336-4A28-AFBC-A7FBB331BDF2}"/>
    <cellStyle name="Comma 4 3 3 2 5 2 4" xfId="22827" xr:uid="{3D1A665A-967A-4B65-84EB-6B5D2A1A1CC4}"/>
    <cellStyle name="Comma 4 3 3 2 5 3" xfId="6274" xr:uid="{00000000-0005-0000-0000-00007F090000}"/>
    <cellStyle name="Comma 4 3 3 2 5 3 2" xfId="15600" xr:uid="{865CA2F1-9B04-4AEC-9939-312004219F9D}"/>
    <cellStyle name="Comma 4 3 3 2 5 3 2 2" xfId="34196" xr:uid="{7BC13D69-6C6D-44AD-A124-E6336C5F8E42}"/>
    <cellStyle name="Comma 4 3 3 2 5 3 3" xfId="24899" xr:uid="{7B916BA2-6792-45BA-ABD9-87A86106B707}"/>
    <cellStyle name="Comma 4 3 3 2 5 4" xfId="11383" xr:uid="{92753249-7B87-4D78-9935-F524C54AC130}"/>
    <cellStyle name="Comma 4 3 3 2 5 4 2" xfId="29979" xr:uid="{E54BAB7A-651A-49C0-843A-D0614BC628EA}"/>
    <cellStyle name="Comma 4 3 3 2 5 5" xfId="20682" xr:uid="{99290BA7-C153-45F8-9F5D-B0151D8AEB23}"/>
    <cellStyle name="Comma 4 3 3 2 6" xfId="2403" xr:uid="{00000000-0005-0000-0000-000080090000}"/>
    <cellStyle name="Comma 4 3 3 2 6 2" xfId="6687" xr:uid="{00000000-0005-0000-0000-000081090000}"/>
    <cellStyle name="Comma 4 3 3 2 6 2 2" xfId="16013" xr:uid="{6A392FFE-F0BF-42F0-A040-56E75EF60811}"/>
    <cellStyle name="Comma 4 3 3 2 6 2 2 2" xfId="34609" xr:uid="{121FAED2-81AF-4F9C-BE5E-74EBDDF7B787}"/>
    <cellStyle name="Comma 4 3 3 2 6 2 3" xfId="25312" xr:uid="{DBD92AFA-3F28-4212-817F-E305AD20A2B5}"/>
    <cellStyle name="Comma 4 3 3 2 6 3" xfId="11796" xr:uid="{7851E81A-DF85-446C-8026-8AD9C07F441F}"/>
    <cellStyle name="Comma 4 3 3 2 6 3 2" xfId="30392" xr:uid="{74D483AD-EFF4-4F3A-9AD2-DCABC406F87D}"/>
    <cellStyle name="Comma 4 3 3 2 6 4" xfId="21095" xr:uid="{EC61E4FF-1BA3-4217-B945-42C716D77CE0}"/>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4C1F9AB0-848C-42B4-89F7-ACA402146F1B}"/>
    <cellStyle name="Comma 4 3 3 2 8 2 2 2" xfId="34926" xr:uid="{3200B217-1536-4DA5-9609-34EBFCE2EB85}"/>
    <cellStyle name="Comma 4 3 3 2 8 2 3" xfId="25629" xr:uid="{A8D47688-E269-4789-9C9C-C0704B444C18}"/>
    <cellStyle name="Comma 4 3 3 2 8 3" xfId="12113" xr:uid="{E26448A9-5526-4560-9534-F65D0595B4B4}"/>
    <cellStyle name="Comma 4 3 3 2 8 3 2" xfId="30709" xr:uid="{C2422D1C-8695-44B2-90E2-6F4682B4E7D3}"/>
    <cellStyle name="Comma 4 3 3 2 8 4" xfId="21412" xr:uid="{CE27EE97-E124-4F0E-AC97-C34EBFDFC2B4}"/>
    <cellStyle name="Comma 4 3 3 2 9" xfId="4621" xr:uid="{00000000-0005-0000-0000-000085090000}"/>
    <cellStyle name="Comma 4 3 3 2 9 2" xfId="13947" xr:uid="{A6DAACD6-AD3A-4F11-A22A-4EFE9665721F}"/>
    <cellStyle name="Comma 4 3 3 2 9 2 2" xfId="32543" xr:uid="{E45345B0-46FC-48F2-BD14-B57F72B48C24}"/>
    <cellStyle name="Comma 4 3 3 2 9 3" xfId="23246" xr:uid="{40C7621E-4CDC-468F-9998-42FD8519D4D5}"/>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7292C102-1533-4863-8294-CD34E89FFF73}"/>
    <cellStyle name="Comma 4 3 3 3 2 2 2 2" xfId="35101" xr:uid="{D9F1DB7E-D9B3-4DC3-87A2-7E332C6426B6}"/>
    <cellStyle name="Comma 4 3 3 3 2 2 3" xfId="25804" xr:uid="{73518964-4EED-407B-9B1C-C7B1825911D4}"/>
    <cellStyle name="Comma 4 3 3 3 2 3" xfId="12288" xr:uid="{41507355-2F27-4FB9-80A7-1E7D9C994D53}"/>
    <cellStyle name="Comma 4 3 3 3 2 3 2" xfId="30884" xr:uid="{D9A009A5-9987-46B9-82D6-FF966BC7954B}"/>
    <cellStyle name="Comma 4 3 3 3 2 4" xfId="21587" xr:uid="{2D4CFEA6-7E3B-4855-A4CF-45B2D73F2549}"/>
    <cellStyle name="Comma 4 3 3 3 3" xfId="5034" xr:uid="{00000000-0005-0000-0000-000089090000}"/>
    <cellStyle name="Comma 4 3 3 3 3 2" xfId="14360" xr:uid="{19599A6C-B464-41BA-861F-B9EB7FBCF4BA}"/>
    <cellStyle name="Comma 4 3 3 3 3 2 2" xfId="32956" xr:uid="{34ACB94C-2339-4D57-9915-82A11C62FB50}"/>
    <cellStyle name="Comma 4 3 3 3 3 3" xfId="23659" xr:uid="{335CFCE9-F99D-4BFF-BB1D-E1AFEE1BDE77}"/>
    <cellStyle name="Comma 4 3 3 3 4" xfId="9306" xr:uid="{6AC2749B-EC1D-4760-AD4B-F36381A669B6}"/>
    <cellStyle name="Comma 4 3 3 3 4 2" xfId="18621" xr:uid="{952EE140-E895-4F2F-8652-C4D30D37A802}"/>
    <cellStyle name="Comma 4 3 3 3 4 2 2" xfId="37215" xr:uid="{8A0D2D4C-26B4-40B8-B9DF-CE0D6E8CA1F4}"/>
    <cellStyle name="Comma 4 3 3 3 4 3" xfId="27918" xr:uid="{BE93C85B-9FDE-4960-B10B-41FA4744BCD4}"/>
    <cellStyle name="Comma 4 3 3 3 5" xfId="10143" xr:uid="{1B419417-DCD5-4B7C-B516-B6D82E24A896}"/>
    <cellStyle name="Comma 4 3 3 3 5 2" xfId="28739" xr:uid="{FD105062-0AF8-4DEB-B2C3-F1A8327982B3}"/>
    <cellStyle name="Comma 4 3 3 3 6" xfId="19442" xr:uid="{88E4BA90-A2E7-4B76-BEA9-A849895151A6}"/>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91372CE8-709B-4AB2-88B9-09D81D50D965}"/>
    <cellStyle name="Comma 4 3 3 4 2 2 2 2" xfId="35514" xr:uid="{1D8B94D1-2F21-473C-928C-0C75571D4E22}"/>
    <cellStyle name="Comma 4 3 3 4 2 2 3" xfId="26217" xr:uid="{979B640E-6437-407E-BCEA-EEC50D2F2D52}"/>
    <cellStyle name="Comma 4 3 3 4 2 3" xfId="12701" xr:uid="{7126D37A-A6F8-4177-B06A-17061138DB99}"/>
    <cellStyle name="Comma 4 3 3 4 2 3 2" xfId="31297" xr:uid="{18F9B6AE-E90B-4814-961C-EA89D6552003}"/>
    <cellStyle name="Comma 4 3 3 4 2 4" xfId="22000" xr:uid="{64E3800C-FA12-487E-9E5C-B73D806ADF0A}"/>
    <cellStyle name="Comma 4 3 3 4 3" xfId="5447" xr:uid="{00000000-0005-0000-0000-00008D090000}"/>
    <cellStyle name="Comma 4 3 3 4 3 2" xfId="14773" xr:uid="{73AC2079-732A-4D56-B45B-B6D3A0659D21}"/>
    <cellStyle name="Comma 4 3 3 4 3 2 2" xfId="33369" xr:uid="{F1A0771F-654E-4339-98D3-5A777051479E}"/>
    <cellStyle name="Comma 4 3 3 4 3 3" xfId="24072" xr:uid="{A2C877CA-A00C-4A2F-ADE3-547111294FB5}"/>
    <cellStyle name="Comma 4 3 3 4 4" xfId="10556" xr:uid="{6E8F4F4F-8235-4D5F-A43F-4FAFEF965B2B}"/>
    <cellStyle name="Comma 4 3 3 4 4 2" xfId="29152" xr:uid="{96887E9B-33C7-46A2-9286-6FBBDA9CAF4B}"/>
    <cellStyle name="Comma 4 3 3 4 5" xfId="19855" xr:uid="{D9B59D25-B869-41EC-9AA3-4327C7DF423E}"/>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C18B592B-7C70-46AE-AA8B-21D9E5622A44}"/>
    <cellStyle name="Comma 4 3 3 5 2 2 2 2" xfId="35927" xr:uid="{2F4AB835-0449-4AFF-A197-D5B526A6B3A4}"/>
    <cellStyle name="Comma 4 3 3 5 2 2 3" xfId="26630" xr:uid="{F63B7F34-AAC4-4E73-8D66-315C29344270}"/>
    <cellStyle name="Comma 4 3 3 5 2 3" xfId="13114" xr:uid="{0C43DC53-F926-4A96-A5AA-A54B74E6950C}"/>
    <cellStyle name="Comma 4 3 3 5 2 3 2" xfId="31710" xr:uid="{43E58A0A-CD5E-4AA7-BDD6-9D234C1B8BE5}"/>
    <cellStyle name="Comma 4 3 3 5 2 4" xfId="22413" xr:uid="{B622957C-C9A3-4CF1-93D9-F96F62B31862}"/>
    <cellStyle name="Comma 4 3 3 5 3" xfId="5860" xr:uid="{00000000-0005-0000-0000-000091090000}"/>
    <cellStyle name="Comma 4 3 3 5 3 2" xfId="15186" xr:uid="{9BFD5D17-B1C4-4D29-BD06-C9D2A53BB087}"/>
    <cellStyle name="Comma 4 3 3 5 3 2 2" xfId="33782" xr:uid="{215F07AF-9561-4940-A8A5-1660455E01F2}"/>
    <cellStyle name="Comma 4 3 3 5 3 3" xfId="24485" xr:uid="{C08E0B4F-05E4-4430-8D11-E27F27925598}"/>
    <cellStyle name="Comma 4 3 3 5 4" xfId="10969" xr:uid="{243B20ED-6C7D-4C0F-88D1-9BDA05162381}"/>
    <cellStyle name="Comma 4 3 3 5 4 2" xfId="29565" xr:uid="{7D67313B-0EEE-4D34-99F5-868790D396EC}"/>
    <cellStyle name="Comma 4 3 3 5 5" xfId="20268" xr:uid="{D731D5DB-5849-425F-9B37-B637820D0A54}"/>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792A9BBE-2614-4C78-B66B-14D652F5721C}"/>
    <cellStyle name="Comma 4 3 3 6 2 2 2 2" xfId="36340" xr:uid="{9552BE4E-05D6-4632-B29D-6531114CDD2C}"/>
    <cellStyle name="Comma 4 3 3 6 2 2 3" xfId="27043" xr:uid="{695FF4BE-CA6B-4E93-B04F-390C614D981C}"/>
    <cellStyle name="Comma 4 3 3 6 2 3" xfId="13527" xr:uid="{E0DAF7BA-3745-4085-8C4F-CB0F013D7417}"/>
    <cellStyle name="Comma 4 3 3 6 2 3 2" xfId="32123" xr:uid="{1750840E-2BA6-4E7A-A485-D3E12266863E}"/>
    <cellStyle name="Comma 4 3 3 6 2 4" xfId="22826" xr:uid="{B97998ED-C667-4EC2-81F6-C7471E413611}"/>
    <cellStyle name="Comma 4 3 3 6 3" xfId="6273" xr:uid="{00000000-0005-0000-0000-000095090000}"/>
    <cellStyle name="Comma 4 3 3 6 3 2" xfId="15599" xr:uid="{7CAC3528-15FC-4832-8EBD-4F837038D598}"/>
    <cellStyle name="Comma 4 3 3 6 3 2 2" xfId="34195" xr:uid="{6D988462-B3A6-4F33-8EDA-04A5674DA1E4}"/>
    <cellStyle name="Comma 4 3 3 6 3 3" xfId="24898" xr:uid="{0A8877FE-1153-406C-BCE5-580826DCA0CA}"/>
    <cellStyle name="Comma 4 3 3 6 4" xfId="11382" xr:uid="{F59C50F7-44B9-4818-9F1F-BBCD1C1AAD93}"/>
    <cellStyle name="Comma 4 3 3 6 4 2" xfId="29978" xr:uid="{80A3F497-9D9D-45ED-B2EE-750729E5F4A6}"/>
    <cellStyle name="Comma 4 3 3 6 5" xfId="20681" xr:uid="{4E7DA0AC-DDF6-4DA2-B99A-D1687D7A636F}"/>
    <cellStyle name="Comma 4 3 3 7" xfId="2402" xr:uid="{00000000-0005-0000-0000-000096090000}"/>
    <cellStyle name="Comma 4 3 3 7 2" xfId="6686" xr:uid="{00000000-0005-0000-0000-000097090000}"/>
    <cellStyle name="Comma 4 3 3 7 2 2" xfId="16012" xr:uid="{CFAB829A-7D20-4C6B-B6B2-3298F1DC4933}"/>
    <cellStyle name="Comma 4 3 3 7 2 2 2" xfId="34608" xr:uid="{09466E35-9B0B-482D-9CCD-4260FE708987}"/>
    <cellStyle name="Comma 4 3 3 7 2 3" xfId="25311" xr:uid="{E0F495FA-444A-462D-ADEA-4AF51345033E}"/>
    <cellStyle name="Comma 4 3 3 7 3" xfId="11795" xr:uid="{C6D54D71-33C0-4906-960C-00404A37C8AF}"/>
    <cellStyle name="Comma 4 3 3 7 3 2" xfId="30391" xr:uid="{7B4C9809-46E9-40A1-9599-29B29020BC7C}"/>
    <cellStyle name="Comma 4 3 3 7 4" xfId="21094" xr:uid="{21DA3311-0370-4888-A63E-97336875A4EA}"/>
    <cellStyle name="Comma 4 3 3 8" xfId="2361" xr:uid="{00000000-0005-0000-0000-000098090000}"/>
    <cellStyle name="Comma 4 3 3 9" xfId="2780" xr:uid="{00000000-0005-0000-0000-000099090000}"/>
    <cellStyle name="Comma 4 3 3 9 2" xfId="7003" xr:uid="{00000000-0005-0000-0000-00009A090000}"/>
    <cellStyle name="Comma 4 3 3 9 2 2" xfId="16329" xr:uid="{A6B311B9-37B5-412D-AA63-F05D90705546}"/>
    <cellStyle name="Comma 4 3 3 9 2 2 2" xfId="34925" xr:uid="{5D279780-A25D-4AAF-9C6F-7B7A3BF20FBD}"/>
    <cellStyle name="Comma 4 3 3 9 2 3" xfId="25628" xr:uid="{367E1468-FE01-4727-A212-C19D0460872B}"/>
    <cellStyle name="Comma 4 3 3 9 3" xfId="12112" xr:uid="{DC6F65EF-5783-46EF-B57A-C9DAAE680355}"/>
    <cellStyle name="Comma 4 3 3 9 3 2" xfId="30708" xr:uid="{521EFB41-5236-4680-91A1-3B87B3D3C568}"/>
    <cellStyle name="Comma 4 3 3 9 4" xfId="21411" xr:uid="{E206C593-EC98-4126-944D-0E532A0BF837}"/>
    <cellStyle name="Comma 4 3 4" xfId="151" xr:uid="{00000000-0005-0000-0000-00009B090000}"/>
    <cellStyle name="Comma 4 3 4 10" xfId="8985" xr:uid="{E965CEC1-A932-4F91-9E18-794CBF7DC7FC}"/>
    <cellStyle name="Comma 4 3 4 10 2" xfId="18309" xr:uid="{766DB412-822A-4F32-AF46-102CBD001BB7}"/>
    <cellStyle name="Comma 4 3 4 10 2 2" xfId="36904" xr:uid="{32598460-CD0E-484B-8BD4-CE12ABF7C568}"/>
    <cellStyle name="Comma 4 3 4 10 3" xfId="27607" xr:uid="{A6E67E2A-E4E9-4A9B-A6F0-434819F560EF}"/>
    <cellStyle name="Comma 4 3 4 11" xfId="9731" xr:uid="{44F9267B-FBFF-4FD5-9BD8-2C78E4EC72C8}"/>
    <cellStyle name="Comma 4 3 4 11 2" xfId="28327" xr:uid="{47F540DA-8A0D-443E-97DB-66C5AC75F1F1}"/>
    <cellStyle name="Comma 4 3 4 12" xfId="19030" xr:uid="{F0C1A46C-5A0E-4B02-8A42-A3F0BF7C673E}"/>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ACAF1567-4380-4754-8FD4-C8B99D1C1551}"/>
    <cellStyle name="Comma 4 3 4 2 2 2 2 2" xfId="35103" xr:uid="{B5685AC9-7BA3-4FBD-90F7-E64E645D0068}"/>
    <cellStyle name="Comma 4 3 4 2 2 2 3" xfId="25806" xr:uid="{7AFB6ACB-D259-4A18-ADCE-6F84D446C8AA}"/>
    <cellStyle name="Comma 4 3 4 2 2 3" xfId="12290" xr:uid="{19E05688-64E1-402D-AEA2-A21D587A30DF}"/>
    <cellStyle name="Comma 4 3 4 2 2 3 2" xfId="30886" xr:uid="{28DA89E8-9803-4028-B087-FE2C52F56637}"/>
    <cellStyle name="Comma 4 3 4 2 2 4" xfId="21589" xr:uid="{24CD9A51-FBFC-4F9F-9CF2-FC3775132A0F}"/>
    <cellStyle name="Comma 4 3 4 2 3" xfId="5036" xr:uid="{00000000-0005-0000-0000-00009F090000}"/>
    <cellStyle name="Comma 4 3 4 2 3 2" xfId="14362" xr:uid="{7B4FAB27-CA3A-4306-936C-BD8C6AEFA7D5}"/>
    <cellStyle name="Comma 4 3 4 2 3 2 2" xfId="32958" xr:uid="{D929B389-BC2E-46C0-BD44-BA5D9D97CEE5}"/>
    <cellStyle name="Comma 4 3 4 2 3 3" xfId="23661" xr:uid="{724F42FA-A438-4D7A-8E7C-D24EEE97D37E}"/>
    <cellStyle name="Comma 4 3 4 2 4" xfId="9410" xr:uid="{54DEC146-6204-4AAF-A15F-BAC0A12B5984}"/>
    <cellStyle name="Comma 4 3 4 2 4 2" xfId="18725" xr:uid="{4FDEBA29-11F3-4D1F-B773-41779578B4E4}"/>
    <cellStyle name="Comma 4 3 4 2 4 2 2" xfId="37319" xr:uid="{5B68F031-7E33-4B89-B1BD-F85E14A52320}"/>
    <cellStyle name="Comma 4 3 4 2 4 3" xfId="28022" xr:uid="{429D1AF9-15E6-4DF3-9B6C-F940A505BF5F}"/>
    <cellStyle name="Comma 4 3 4 2 5" xfId="10145" xr:uid="{DE57C8BC-0242-4263-BEAB-0B2CBC481150}"/>
    <cellStyle name="Comma 4 3 4 2 5 2" xfId="28741" xr:uid="{3757C444-27B1-45C0-87CF-D14CA60D027F}"/>
    <cellStyle name="Comma 4 3 4 2 6" xfId="19444" xr:uid="{2A344F23-161E-420E-BE99-97803A1F2FB8}"/>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8951F7FC-5741-4A44-BEE1-5B45C8DAAF81}"/>
    <cellStyle name="Comma 4 3 4 3 2 2 2 2" xfId="35516" xr:uid="{9E5EBFE4-B5CD-41C2-9165-386B1E9748A2}"/>
    <cellStyle name="Comma 4 3 4 3 2 2 3" xfId="26219" xr:uid="{5326B672-98D1-4B25-872F-C7505BF7AE88}"/>
    <cellStyle name="Comma 4 3 4 3 2 3" xfId="12703" xr:uid="{701DCD08-B7EB-4D56-A502-EA3C555F929E}"/>
    <cellStyle name="Comma 4 3 4 3 2 3 2" xfId="31299" xr:uid="{9B87B555-25DE-41DB-9B17-BAE78ED4C334}"/>
    <cellStyle name="Comma 4 3 4 3 2 4" xfId="22002" xr:uid="{46FA3204-BBC6-42E5-9FDA-07B699F09D69}"/>
    <cellStyle name="Comma 4 3 4 3 3" xfId="5449" xr:uid="{00000000-0005-0000-0000-0000A3090000}"/>
    <cellStyle name="Comma 4 3 4 3 3 2" xfId="14775" xr:uid="{26A66C07-C8F2-4784-B4C3-F401CC0CD1E1}"/>
    <cellStyle name="Comma 4 3 4 3 3 2 2" xfId="33371" xr:uid="{BB816FDE-9D32-4DF3-901B-16A61E6B6E0C}"/>
    <cellStyle name="Comma 4 3 4 3 3 3" xfId="24074" xr:uid="{6899DF79-05B5-4CC2-BB5F-673B7FF3233B}"/>
    <cellStyle name="Comma 4 3 4 3 4" xfId="10558" xr:uid="{82F95ABE-2D44-4045-B2A7-748D833A1334}"/>
    <cellStyle name="Comma 4 3 4 3 4 2" xfId="29154" xr:uid="{F79A602A-5616-438D-9164-A9419E577FE0}"/>
    <cellStyle name="Comma 4 3 4 3 5" xfId="19857" xr:uid="{834FBE14-1B1F-482C-A483-835D622ABF24}"/>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AFCE0BA1-1422-4237-BE7D-97B0B54D96FD}"/>
    <cellStyle name="Comma 4 3 4 4 2 2 2 2" xfId="35929" xr:uid="{92F11B91-A446-471D-8BD4-86832D6A1609}"/>
    <cellStyle name="Comma 4 3 4 4 2 2 3" xfId="26632" xr:uid="{42BD08A9-0905-44C2-B6CB-710E213E5A75}"/>
    <cellStyle name="Comma 4 3 4 4 2 3" xfId="13116" xr:uid="{038FE084-92E2-4201-BD74-16EAE2FD6B10}"/>
    <cellStyle name="Comma 4 3 4 4 2 3 2" xfId="31712" xr:uid="{E44D4B47-A0C3-45C3-A04E-07974EFA1CD7}"/>
    <cellStyle name="Comma 4 3 4 4 2 4" xfId="22415" xr:uid="{0C5E075B-0DEB-4B3A-ABCC-362A0AB8555F}"/>
    <cellStyle name="Comma 4 3 4 4 3" xfId="5862" xr:uid="{00000000-0005-0000-0000-0000A7090000}"/>
    <cellStyle name="Comma 4 3 4 4 3 2" xfId="15188" xr:uid="{60D0067B-DE5B-4921-AA93-F5F4D39E6D47}"/>
    <cellStyle name="Comma 4 3 4 4 3 2 2" xfId="33784" xr:uid="{F37382BE-241A-457D-A836-17D07CFAB000}"/>
    <cellStyle name="Comma 4 3 4 4 3 3" xfId="24487" xr:uid="{45DBE775-5186-438E-A767-9630FA7D1BB3}"/>
    <cellStyle name="Comma 4 3 4 4 4" xfId="10971" xr:uid="{E547E218-3647-447F-A9F7-ECA9FF3BF520}"/>
    <cellStyle name="Comma 4 3 4 4 4 2" xfId="29567" xr:uid="{AD11D02A-4509-4F06-A00C-8CD4A92D47A6}"/>
    <cellStyle name="Comma 4 3 4 4 5" xfId="20270" xr:uid="{56958226-CC4C-47A6-9DE1-8116D35EF941}"/>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94BD5236-37AD-42B0-BE8D-20329FB1AA3E}"/>
    <cellStyle name="Comma 4 3 4 5 2 2 2 2" xfId="36342" xr:uid="{AE650D52-8450-412F-9979-33304A61C94C}"/>
    <cellStyle name="Comma 4 3 4 5 2 2 3" xfId="27045" xr:uid="{BED9AF36-293A-44F7-88FD-98E341017138}"/>
    <cellStyle name="Comma 4 3 4 5 2 3" xfId="13529" xr:uid="{45A13A79-A286-4958-8D28-03673041D65B}"/>
    <cellStyle name="Comma 4 3 4 5 2 3 2" xfId="32125" xr:uid="{2FCE18D4-173F-43E9-AA59-AEAE069AF399}"/>
    <cellStyle name="Comma 4 3 4 5 2 4" xfId="22828" xr:uid="{C3D02692-32A1-4953-A87B-26E001ABB1C0}"/>
    <cellStyle name="Comma 4 3 4 5 3" xfId="6275" xr:uid="{00000000-0005-0000-0000-0000AB090000}"/>
    <cellStyle name="Comma 4 3 4 5 3 2" xfId="15601" xr:uid="{15009021-9553-4D3A-BE47-BE66DE0533DE}"/>
    <cellStyle name="Comma 4 3 4 5 3 2 2" xfId="34197" xr:uid="{67293748-F369-4BC3-8851-23E007C11C64}"/>
    <cellStyle name="Comma 4 3 4 5 3 3" xfId="24900" xr:uid="{21EB498B-E967-4D8B-96AB-7C9941F1B622}"/>
    <cellStyle name="Comma 4 3 4 5 4" xfId="11384" xr:uid="{A1DC80E8-749C-41BF-9DA7-B63CEFA5C4DC}"/>
    <cellStyle name="Comma 4 3 4 5 4 2" xfId="29980" xr:uid="{FA2333FA-3165-4E6C-8F1E-1035406D9068}"/>
    <cellStyle name="Comma 4 3 4 5 5" xfId="20683" xr:uid="{70396062-F082-4A2F-B1B8-F2DA404CEC22}"/>
    <cellStyle name="Comma 4 3 4 6" xfId="2404" xr:uid="{00000000-0005-0000-0000-0000AC090000}"/>
    <cellStyle name="Comma 4 3 4 6 2" xfId="6688" xr:uid="{00000000-0005-0000-0000-0000AD090000}"/>
    <cellStyle name="Comma 4 3 4 6 2 2" xfId="16014" xr:uid="{45E01700-CC55-4727-BDE2-814170F0D535}"/>
    <cellStyle name="Comma 4 3 4 6 2 2 2" xfId="34610" xr:uid="{36203558-8C1A-49A4-A6C5-AE0869D66743}"/>
    <cellStyle name="Comma 4 3 4 6 2 3" xfId="25313" xr:uid="{9A225737-F539-40AA-A210-24EA7118FFA1}"/>
    <cellStyle name="Comma 4 3 4 6 3" xfId="11797" xr:uid="{96EFEA55-6A5C-4ADA-9B46-A82D0E847BF9}"/>
    <cellStyle name="Comma 4 3 4 6 3 2" xfId="30393" xr:uid="{AEEF0B91-80E9-4353-AEC0-3F6E8C5D2093}"/>
    <cellStyle name="Comma 4 3 4 6 4" xfId="21096" xr:uid="{913D9FAB-8305-48FF-8577-F3A0ACC73AF5}"/>
    <cellStyle name="Comma 4 3 4 7" xfId="2700" xr:uid="{00000000-0005-0000-0000-0000AE090000}"/>
    <cellStyle name="Comma 4 3 4 8" xfId="2782" xr:uid="{00000000-0005-0000-0000-0000AF090000}"/>
    <cellStyle name="Comma 4 3 4 8 2" xfId="7005" xr:uid="{00000000-0005-0000-0000-0000B0090000}"/>
    <cellStyle name="Comma 4 3 4 8 2 2" xfId="16331" xr:uid="{A73B2F41-385A-497D-A2D4-EAEF26489BB9}"/>
    <cellStyle name="Comma 4 3 4 8 2 2 2" xfId="34927" xr:uid="{FE4919A3-06AC-49A2-BCD7-25B5C0B6B9BB}"/>
    <cellStyle name="Comma 4 3 4 8 2 3" xfId="25630" xr:uid="{EF4195D5-21C8-4A48-9096-820D7561F944}"/>
    <cellStyle name="Comma 4 3 4 8 3" xfId="12114" xr:uid="{859DE857-AC94-4638-B0C6-0BFF8EAA0623}"/>
    <cellStyle name="Comma 4 3 4 8 3 2" xfId="30710" xr:uid="{13D3A7FA-C777-4C60-900A-24730212135A}"/>
    <cellStyle name="Comma 4 3 4 8 4" xfId="21413" xr:uid="{12C4FF1A-21DB-4EB0-BB33-101C1F30B422}"/>
    <cellStyle name="Comma 4 3 4 9" xfId="4622" xr:uid="{00000000-0005-0000-0000-0000B1090000}"/>
    <cellStyle name="Comma 4 3 4 9 2" xfId="13948" xr:uid="{0C3FEA66-E4FA-461F-85F8-73364AE827E4}"/>
    <cellStyle name="Comma 4 3 4 9 2 2" xfId="32544" xr:uid="{F8ADDA53-2E11-419E-8F5C-5DB5FEB194F7}"/>
    <cellStyle name="Comma 4 3 4 9 3" xfId="23247" xr:uid="{F76903F8-45DA-447E-9610-F06C5A334ECC}"/>
    <cellStyle name="Comma 4 3 5" xfId="152" xr:uid="{00000000-0005-0000-0000-0000B2090000}"/>
    <cellStyle name="Comma 4 3 5 10" xfId="9202" xr:uid="{BF5456DA-E11C-47BD-8210-21F45D9E5F79}"/>
    <cellStyle name="Comma 4 3 5 10 2" xfId="18518" xr:uid="{3B4BA92A-AA0A-4D70-93DA-D19B8C279495}"/>
    <cellStyle name="Comma 4 3 5 10 2 2" xfId="37112" xr:uid="{3BD4468A-7A3D-43BE-8A36-FD79BBDE3D70}"/>
    <cellStyle name="Comma 4 3 5 10 3" xfId="27815" xr:uid="{53D7A3AD-4A3C-4996-875B-4C38D4377CE6}"/>
    <cellStyle name="Comma 4 3 5 11" xfId="9732" xr:uid="{6250B228-1DE1-4FD5-A51A-9E355FBE07C0}"/>
    <cellStyle name="Comma 4 3 5 11 2" xfId="28328" xr:uid="{EE2A5014-A906-4770-B0D8-0554F7649CC1}"/>
    <cellStyle name="Comma 4 3 5 12" xfId="19031" xr:uid="{1DE7C791-B0E1-4819-B335-ED74C3831390}"/>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811FEAEA-DF35-4E40-8919-B193977F1F78}"/>
    <cellStyle name="Comma 4 3 5 2 2 2 2 2" xfId="35104" xr:uid="{A6B5359C-9D66-4E7B-929F-1FE90E538518}"/>
    <cellStyle name="Comma 4 3 5 2 2 2 3" xfId="25807" xr:uid="{283E9B03-AE91-4DEC-A623-39CB47B52FF7}"/>
    <cellStyle name="Comma 4 3 5 2 2 3" xfId="12291" xr:uid="{C5DEE422-4E17-423B-AE98-BB03B2DD9939}"/>
    <cellStyle name="Comma 4 3 5 2 2 3 2" xfId="30887" xr:uid="{987FCEC3-85A7-41B3-9715-0ED6EA90C2E2}"/>
    <cellStyle name="Comma 4 3 5 2 2 4" xfId="21590" xr:uid="{F1331F2B-D1E4-46DB-8684-2AE3831B580A}"/>
    <cellStyle name="Comma 4 3 5 2 3" xfId="5037" xr:uid="{00000000-0005-0000-0000-0000B6090000}"/>
    <cellStyle name="Comma 4 3 5 2 3 2" xfId="14363" xr:uid="{22F77A21-00AF-4105-BD4B-6A4105012BA8}"/>
    <cellStyle name="Comma 4 3 5 2 3 2 2" xfId="32959" xr:uid="{6C4A352B-69CA-4D1F-8038-984D80ACBB25}"/>
    <cellStyle name="Comma 4 3 5 2 3 3" xfId="23662" xr:uid="{CB0EE75A-3C21-4882-923D-EAFC7259AA42}"/>
    <cellStyle name="Comma 4 3 5 2 4" xfId="9595" xr:uid="{3E6BF710-D2EA-4AFB-83F1-C6BF1C2192FF}"/>
    <cellStyle name="Comma 4 3 5 2 4 2" xfId="18899" xr:uid="{F4EAD50B-4910-4950-A2AF-C7B47B7701F8}"/>
    <cellStyle name="Comma 4 3 5 2 4 2 2" xfId="37493" xr:uid="{828ABAD6-7C7E-4F8C-B8F2-D05EFA361A4B}"/>
    <cellStyle name="Comma 4 3 5 2 4 3" xfId="28196" xr:uid="{07259F64-25B0-4008-A62C-F6ABC7105EB1}"/>
    <cellStyle name="Comma 4 3 5 2 5" xfId="10146" xr:uid="{4C3B0895-AF4B-41F9-8A6C-94FBFD458EDF}"/>
    <cellStyle name="Comma 4 3 5 2 5 2" xfId="28742" xr:uid="{CB0E177A-0C26-46A2-8282-93D6F45AB89F}"/>
    <cellStyle name="Comma 4 3 5 2 6" xfId="19445" xr:uid="{B4966488-39F9-47C9-A011-5DEE01D6F527}"/>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88D96251-5AEC-44B4-8F4A-A91236382E24}"/>
    <cellStyle name="Comma 4 3 5 3 2 2 2 2" xfId="35517" xr:uid="{FA1BFB3E-7AAA-46BB-A73A-3CBC7F74C9BA}"/>
    <cellStyle name="Comma 4 3 5 3 2 2 3" xfId="26220" xr:uid="{67FBAC5A-CC3E-4C37-863A-0E7F10E0C3D4}"/>
    <cellStyle name="Comma 4 3 5 3 2 3" xfId="12704" xr:uid="{AE24E44D-37F2-47BD-8578-59254D0B283C}"/>
    <cellStyle name="Comma 4 3 5 3 2 3 2" xfId="31300" xr:uid="{DBC974DF-BBE1-4F9B-80EB-62329DD7524A}"/>
    <cellStyle name="Comma 4 3 5 3 2 4" xfId="22003" xr:uid="{0C531DC6-CBF6-4E64-BDE4-6CA872EF0C1A}"/>
    <cellStyle name="Comma 4 3 5 3 3" xfId="5450" xr:uid="{00000000-0005-0000-0000-0000BA090000}"/>
    <cellStyle name="Comma 4 3 5 3 3 2" xfId="14776" xr:uid="{B166C97E-0B80-4F5F-A178-532134324F38}"/>
    <cellStyle name="Comma 4 3 5 3 3 2 2" xfId="33372" xr:uid="{27F6E55B-57F2-4981-B960-8D24A37C2C7E}"/>
    <cellStyle name="Comma 4 3 5 3 3 3" xfId="24075" xr:uid="{AE97FC45-243C-4695-AF5B-3E8FD7932C28}"/>
    <cellStyle name="Comma 4 3 5 3 4" xfId="10559" xr:uid="{93F47701-D8F4-4998-A916-B1F81C9CD62C}"/>
    <cellStyle name="Comma 4 3 5 3 4 2" xfId="29155" xr:uid="{9DA0C99A-DEC8-47B3-9232-28FA5F5D47CC}"/>
    <cellStyle name="Comma 4 3 5 3 5" xfId="19858" xr:uid="{4999E855-DEFB-489A-A9CC-A64271BDF3C8}"/>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4DD80782-1634-4A0C-9C7B-DCFDE2FD2683}"/>
    <cellStyle name="Comma 4 3 5 4 2 2 2 2" xfId="35930" xr:uid="{8AB13768-7947-423E-BA30-3B7667FB5B98}"/>
    <cellStyle name="Comma 4 3 5 4 2 2 3" xfId="26633" xr:uid="{CE46F577-1D8B-4EDC-B564-D39CD3DBA212}"/>
    <cellStyle name="Comma 4 3 5 4 2 3" xfId="13117" xr:uid="{473E09C5-7917-4099-B8BB-E505F07B078D}"/>
    <cellStyle name="Comma 4 3 5 4 2 3 2" xfId="31713" xr:uid="{0FB6FAF1-715D-4E1D-B734-80B83F36ED7C}"/>
    <cellStyle name="Comma 4 3 5 4 2 4" xfId="22416" xr:uid="{7DBF530D-9655-42A8-818E-140F7EE5D6E3}"/>
    <cellStyle name="Comma 4 3 5 4 3" xfId="5863" xr:uid="{00000000-0005-0000-0000-0000BE090000}"/>
    <cellStyle name="Comma 4 3 5 4 3 2" xfId="15189" xr:uid="{EB3F2D33-B5DD-418D-99C0-735D850AD7BF}"/>
    <cellStyle name="Comma 4 3 5 4 3 2 2" xfId="33785" xr:uid="{8CDF8C6B-8C4D-4ABA-A554-3A7D4AB86740}"/>
    <cellStyle name="Comma 4 3 5 4 3 3" xfId="24488" xr:uid="{9D9A8F1E-591B-49BE-94E9-DEDF868B258F}"/>
    <cellStyle name="Comma 4 3 5 4 4" xfId="10972" xr:uid="{AF408FAB-E64D-4EC3-A7D8-B78A7A58145E}"/>
    <cellStyle name="Comma 4 3 5 4 4 2" xfId="29568" xr:uid="{C1FBE9F5-4C81-42D9-9096-6C7F9470F09F}"/>
    <cellStyle name="Comma 4 3 5 4 5" xfId="20271" xr:uid="{50212500-0608-4ADB-91AA-E2AAA1AACC1C}"/>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FE78CD78-D2D6-4A07-93E1-770FF77645E4}"/>
    <cellStyle name="Comma 4 3 5 5 2 2 2 2" xfId="36343" xr:uid="{C4650556-3D36-44F0-9094-C7851D8C638E}"/>
    <cellStyle name="Comma 4 3 5 5 2 2 3" xfId="27046" xr:uid="{1EA79635-3AAF-40FA-9871-D0F32D27BAC5}"/>
    <cellStyle name="Comma 4 3 5 5 2 3" xfId="13530" xr:uid="{272EC038-39EB-4D59-8D53-7C25479F0F4C}"/>
    <cellStyle name="Comma 4 3 5 5 2 3 2" xfId="32126" xr:uid="{D9998A24-38CC-4CB4-8384-38C54FAB9011}"/>
    <cellStyle name="Comma 4 3 5 5 2 4" xfId="22829" xr:uid="{1FC25349-F4C2-4204-9F79-5CADF12FDCD1}"/>
    <cellStyle name="Comma 4 3 5 5 3" xfId="6276" xr:uid="{00000000-0005-0000-0000-0000C2090000}"/>
    <cellStyle name="Comma 4 3 5 5 3 2" xfId="15602" xr:uid="{A3C19598-A1C8-4448-90FF-5CE0CA3D91F8}"/>
    <cellStyle name="Comma 4 3 5 5 3 2 2" xfId="34198" xr:uid="{37A38AC8-EB48-4863-8ED2-C649EE07A0A7}"/>
    <cellStyle name="Comma 4 3 5 5 3 3" xfId="24901" xr:uid="{351DC1D4-86A7-4152-BB20-213ED9DD06B3}"/>
    <cellStyle name="Comma 4 3 5 5 4" xfId="11385" xr:uid="{C20284E7-0A7B-46D5-88E5-49D8ABFC7FB0}"/>
    <cellStyle name="Comma 4 3 5 5 4 2" xfId="29981" xr:uid="{BD3A77D2-11A7-4ADB-BCF2-81B01176491F}"/>
    <cellStyle name="Comma 4 3 5 5 5" xfId="20684" xr:uid="{E9705D82-B435-4776-9B92-9BF9F16EA07B}"/>
    <cellStyle name="Comma 4 3 5 6" xfId="2405" xr:uid="{00000000-0005-0000-0000-0000C3090000}"/>
    <cellStyle name="Comma 4 3 5 6 2" xfId="6689" xr:uid="{00000000-0005-0000-0000-0000C4090000}"/>
    <cellStyle name="Comma 4 3 5 6 2 2" xfId="16015" xr:uid="{BB4F47F1-6A99-475C-BA9A-6F00A9039E34}"/>
    <cellStyle name="Comma 4 3 5 6 2 2 2" xfId="34611" xr:uid="{83E672EB-29CF-480C-B0E1-41FE63D72A80}"/>
    <cellStyle name="Comma 4 3 5 6 2 3" xfId="25314" xr:uid="{666E69D5-6C02-47D8-A0F6-527FFF2CD48A}"/>
    <cellStyle name="Comma 4 3 5 6 3" xfId="11798" xr:uid="{8F4E6C6E-F079-4AE5-B743-C439970C8364}"/>
    <cellStyle name="Comma 4 3 5 6 3 2" xfId="30394" xr:uid="{C3EC3B90-BDA7-4C45-9B60-AA25BE28C1BB}"/>
    <cellStyle name="Comma 4 3 5 6 4" xfId="21097" xr:uid="{3C7D9155-231E-4DA8-A8F6-71308DA1095A}"/>
    <cellStyle name="Comma 4 3 5 7" xfId="2701" xr:uid="{00000000-0005-0000-0000-0000C5090000}"/>
    <cellStyle name="Comma 4 3 5 8" xfId="2783" xr:uid="{00000000-0005-0000-0000-0000C6090000}"/>
    <cellStyle name="Comma 4 3 5 8 2" xfId="7006" xr:uid="{00000000-0005-0000-0000-0000C7090000}"/>
    <cellStyle name="Comma 4 3 5 8 2 2" xfId="16332" xr:uid="{4965C15E-17E9-4CE2-9D9D-061F5FAD469F}"/>
    <cellStyle name="Comma 4 3 5 8 2 2 2" xfId="34928" xr:uid="{36408F90-2833-49C4-BF07-F5369E064941}"/>
    <cellStyle name="Comma 4 3 5 8 2 3" xfId="25631" xr:uid="{73A7A4D0-5FA0-48D3-988D-6411EDEE91E4}"/>
    <cellStyle name="Comma 4 3 5 8 3" xfId="12115" xr:uid="{02E010DA-42E8-428E-B186-5FEB23014E12}"/>
    <cellStyle name="Comma 4 3 5 8 3 2" xfId="30711" xr:uid="{9364A3E3-E431-4CFE-A73B-74DB38CBBDD6}"/>
    <cellStyle name="Comma 4 3 5 8 4" xfId="21414" xr:uid="{42433DDC-7CFB-49CF-BE35-1C5A40C28867}"/>
    <cellStyle name="Comma 4 3 5 9" xfId="4623" xr:uid="{00000000-0005-0000-0000-0000C8090000}"/>
    <cellStyle name="Comma 4 3 5 9 2" xfId="13949" xr:uid="{BBC07336-1B78-4AEE-B7FB-1789EB4F41AF}"/>
    <cellStyle name="Comma 4 3 5 9 2 2" xfId="32545" xr:uid="{FEC10091-7836-421E-95CF-10417F56CFDE}"/>
    <cellStyle name="Comma 4 3 5 9 3" xfId="23248" xr:uid="{D9DB2EFF-50C1-4764-B76F-BA2480A4E108}"/>
    <cellStyle name="Comma 4 3 6" xfId="9582" xr:uid="{F1B74700-6F25-44D3-B4B6-1EFC63A6078B}"/>
    <cellStyle name="Comma 4 3 7" xfId="8778" xr:uid="{01CB0168-3495-42C5-9A13-F25D4D0EF35E}"/>
    <cellStyle name="Comma 4 3 7 2" xfId="18102" xr:uid="{60B3BD5C-137D-4F9A-A013-3659B0439B84}"/>
    <cellStyle name="Comma 4 3 7 2 2" xfId="36697" xr:uid="{1381E10F-1B4F-4AE4-B9C9-929E8494244E}"/>
    <cellStyle name="Comma 4 3 7 3" xfId="27400" xr:uid="{2883ABCB-B59B-42F5-A09B-2E5782E0E3D5}"/>
    <cellStyle name="Comma 4 4" xfId="153" xr:uid="{00000000-0005-0000-0000-0000C9090000}"/>
    <cellStyle name="Comma 4 4 10" xfId="2784" xr:uid="{00000000-0005-0000-0000-0000CA090000}"/>
    <cellStyle name="Comma 4 4 10 2" xfId="7007" xr:uid="{00000000-0005-0000-0000-0000CB090000}"/>
    <cellStyle name="Comma 4 4 10 2 2" xfId="16333" xr:uid="{C97611E5-A9F7-4D6C-A998-CBE7CD4A4C3C}"/>
    <cellStyle name="Comma 4 4 10 2 2 2" xfId="34929" xr:uid="{563A9D0B-5F28-4E11-A79F-4E3616357E9E}"/>
    <cellStyle name="Comma 4 4 10 2 3" xfId="25632" xr:uid="{56ADFE62-C4C2-42CC-88E8-DF15FFDE0B68}"/>
    <cellStyle name="Comma 4 4 10 3" xfId="12116" xr:uid="{B59B9F78-1AB7-4DED-AD2F-3853ECE1B750}"/>
    <cellStyle name="Comma 4 4 10 3 2" xfId="30712" xr:uid="{BAA33DFD-2AF6-46A3-A669-FA3E919D87B9}"/>
    <cellStyle name="Comma 4 4 10 4" xfId="21415" xr:uid="{84D2E90D-A8E7-44A1-B58F-DDD0EA1DACD8}"/>
    <cellStyle name="Comma 4 4 11" xfId="4624" xr:uid="{00000000-0005-0000-0000-0000CC090000}"/>
    <cellStyle name="Comma 4 4 11 2" xfId="13950" xr:uid="{1C707E4F-41B1-4B7B-B7E9-FFFD0EECE7C7}"/>
    <cellStyle name="Comma 4 4 11 2 2" xfId="32546" xr:uid="{C5F78476-B8A5-4DBF-9FC9-3724E1F2553D}"/>
    <cellStyle name="Comma 4 4 11 3" xfId="23249" xr:uid="{CF2DFF94-D048-4954-8CD3-06319A149D0A}"/>
    <cellStyle name="Comma 4 4 12" xfId="8804" xr:uid="{A2BB6322-7771-45CD-845C-77E2FE03AC7A}"/>
    <cellStyle name="Comma 4 4 12 2" xfId="18128" xr:uid="{016CAC17-6A32-4DD0-9437-AD54EC9DF995}"/>
    <cellStyle name="Comma 4 4 12 2 2" xfId="36723" xr:uid="{997ED403-F6A9-40FC-8AE2-3762BD9F2146}"/>
    <cellStyle name="Comma 4 4 12 3" xfId="27426" xr:uid="{0BFB7E5D-BF0E-4FDF-A3D9-3DE93A91524C}"/>
    <cellStyle name="Comma 4 4 13" xfId="9733" xr:uid="{2C4203FF-68EA-4B97-BF3A-8FA65336BDCE}"/>
    <cellStyle name="Comma 4 4 13 2" xfId="28329" xr:uid="{5D556066-4287-44E9-B62A-AF8385EF2EF7}"/>
    <cellStyle name="Comma 4 4 14" xfId="19032" xr:uid="{CCC5E07D-86FB-4636-97EE-0A1B49160073}"/>
    <cellStyle name="Comma 4 4 2" xfId="154" xr:uid="{00000000-0005-0000-0000-0000CD090000}"/>
    <cellStyle name="Comma 4 4 2 10" xfId="4625" xr:uid="{00000000-0005-0000-0000-0000CE090000}"/>
    <cellStyle name="Comma 4 4 2 10 2" xfId="13951" xr:uid="{8E0DBB7E-3111-400A-9EF2-EC7498ED712D}"/>
    <cellStyle name="Comma 4 4 2 10 2 2" xfId="32547" xr:uid="{B2A483C6-FE41-4F3E-9AB4-7E29BAB404DE}"/>
    <cellStyle name="Comma 4 4 2 10 3" xfId="23250" xr:uid="{67F2AD76-FAC8-4C27-A9DB-29B59E20A73D}"/>
    <cellStyle name="Comma 4 4 2 11" xfId="8907" xr:uid="{F9F87618-3BA1-4211-A686-62CF5BBA5770}"/>
    <cellStyle name="Comma 4 4 2 11 2" xfId="18231" xr:uid="{F5795737-EAC9-4DEF-BD0E-D0AD3C7B4391}"/>
    <cellStyle name="Comma 4 4 2 11 2 2" xfId="36826" xr:uid="{F201E1E5-DF6F-4B09-B349-18DA528F90BE}"/>
    <cellStyle name="Comma 4 4 2 11 3" xfId="27529" xr:uid="{21F4AF8F-C1FB-4405-92BC-AF20BD68ED46}"/>
    <cellStyle name="Comma 4 4 2 12" xfId="9734" xr:uid="{4105E496-34D8-42FF-83DE-401C8646AA1A}"/>
    <cellStyle name="Comma 4 4 2 12 2" xfId="28330" xr:uid="{E8CB7F9B-4F38-4D70-AF65-560E927666A1}"/>
    <cellStyle name="Comma 4 4 2 13" xfId="19033" xr:uid="{5C21C165-F1AE-4856-BEC6-5E45DF1525DA}"/>
    <cellStyle name="Comma 4 4 2 2" xfId="155" xr:uid="{00000000-0005-0000-0000-0000CF090000}"/>
    <cellStyle name="Comma 4 4 2 2 10" xfId="9114" xr:uid="{871FAC03-A44E-4C24-806C-3CC0605FD124}"/>
    <cellStyle name="Comma 4 4 2 2 10 2" xfId="18438" xr:uid="{6404EBD5-F947-4265-9C8E-D6E5470D070A}"/>
    <cellStyle name="Comma 4 4 2 2 10 2 2" xfId="37033" xr:uid="{DA180886-C757-476A-9FD4-AFAB4BEEB918}"/>
    <cellStyle name="Comma 4 4 2 2 10 3" xfId="27736" xr:uid="{9307594D-D2A1-41F9-BACE-72730D4FBE9C}"/>
    <cellStyle name="Comma 4 4 2 2 11" xfId="9735" xr:uid="{8A12C01C-9FB7-42E0-BC49-4BC306B1FDD5}"/>
    <cellStyle name="Comma 4 4 2 2 11 2" xfId="28331" xr:uid="{7A3261BC-EE94-49AA-B37E-526BD2F089CA}"/>
    <cellStyle name="Comma 4 4 2 2 12" xfId="19034" xr:uid="{E85CB55E-22DC-4AA7-AA87-7A4748AE11F9}"/>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67660953-B652-4CA3-9BAD-1A6E7C2E1C9E}"/>
    <cellStyle name="Comma 4 4 2 2 2 2 2 2 2" xfId="35107" xr:uid="{7B8E9231-A3C6-4E70-B033-7D206BD2309D}"/>
    <cellStyle name="Comma 4 4 2 2 2 2 2 3" xfId="25810" xr:uid="{F59DB372-6B66-4702-9974-3952CFDECF41}"/>
    <cellStyle name="Comma 4 4 2 2 2 2 3" xfId="12294" xr:uid="{282A415E-41EB-4BD6-91F4-0B503A72C715}"/>
    <cellStyle name="Comma 4 4 2 2 2 2 3 2" xfId="30890" xr:uid="{C82F4208-EF2E-4850-8299-FFBAE8D51400}"/>
    <cellStyle name="Comma 4 4 2 2 2 2 4" xfId="21593" xr:uid="{512289B5-A92B-46E8-9C9C-BC96F07C5817}"/>
    <cellStyle name="Comma 4 4 2 2 2 3" xfId="5040" xr:uid="{00000000-0005-0000-0000-0000D3090000}"/>
    <cellStyle name="Comma 4 4 2 2 2 3 2" xfId="14366" xr:uid="{902CFC5F-980E-4BD2-9A6E-9B98A56A32E9}"/>
    <cellStyle name="Comma 4 4 2 2 2 3 2 2" xfId="32962" xr:uid="{E8B2E65D-5ACA-43F2-AC40-3AED4DA4BF56}"/>
    <cellStyle name="Comma 4 4 2 2 2 3 3" xfId="23665" xr:uid="{CB50B7C6-65C8-434C-9EEC-FEF8153C0B1D}"/>
    <cellStyle name="Comma 4 4 2 2 2 4" xfId="9539" xr:uid="{6209A471-8158-46C6-9ADA-C828BB6621B2}"/>
    <cellStyle name="Comma 4 4 2 2 2 4 2" xfId="18854" xr:uid="{FC4EA613-7E63-4D18-9FB7-2464E4C621C1}"/>
    <cellStyle name="Comma 4 4 2 2 2 4 2 2" xfId="37448" xr:uid="{1E6502D7-EBBF-4B8D-AC06-B59C3F0818E5}"/>
    <cellStyle name="Comma 4 4 2 2 2 4 3" xfId="28151" xr:uid="{48B77CC7-B065-4403-9FD4-B6574C5D9DA2}"/>
    <cellStyle name="Comma 4 4 2 2 2 5" xfId="10149" xr:uid="{56BEDF15-E13C-4965-A1EE-9D1FC3AF341E}"/>
    <cellStyle name="Comma 4 4 2 2 2 5 2" xfId="28745" xr:uid="{E3397699-F1C8-45FB-8689-B20A2B27EDDC}"/>
    <cellStyle name="Comma 4 4 2 2 2 6" xfId="19448" xr:uid="{BAFE3AB3-7EFA-42D0-BF3B-72F0891263B9}"/>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ECCC0B51-AAF2-43E3-AC6D-45477E8BE44B}"/>
    <cellStyle name="Comma 4 4 2 2 3 2 2 2 2" xfId="35520" xr:uid="{8D94D97D-7521-4A35-B4FE-5D649FF14684}"/>
    <cellStyle name="Comma 4 4 2 2 3 2 2 3" xfId="26223" xr:uid="{3C5680BB-86AD-4511-8F4C-9F2520A2DBE9}"/>
    <cellStyle name="Comma 4 4 2 2 3 2 3" xfId="12707" xr:uid="{11B1F8CA-A7A2-4463-AAC2-92EE7A3AB8E4}"/>
    <cellStyle name="Comma 4 4 2 2 3 2 3 2" xfId="31303" xr:uid="{14DE2142-01AD-4378-92B4-525E7185DB3F}"/>
    <cellStyle name="Comma 4 4 2 2 3 2 4" xfId="22006" xr:uid="{DDF0AFF1-84E4-400B-B821-49ADC3E7AB4F}"/>
    <cellStyle name="Comma 4 4 2 2 3 3" xfId="5453" xr:uid="{00000000-0005-0000-0000-0000D7090000}"/>
    <cellStyle name="Comma 4 4 2 2 3 3 2" xfId="14779" xr:uid="{68878772-D5F6-4078-BB46-77C419880371}"/>
    <cellStyle name="Comma 4 4 2 2 3 3 2 2" xfId="33375" xr:uid="{4337C936-64B3-4257-9B73-754D1B62A5E0}"/>
    <cellStyle name="Comma 4 4 2 2 3 3 3" xfId="24078" xr:uid="{85EDAF64-7837-4AF5-A725-0CC7D224B9B1}"/>
    <cellStyle name="Comma 4 4 2 2 3 4" xfId="10562" xr:uid="{86B37087-318F-49AC-B21F-366B5AB43295}"/>
    <cellStyle name="Comma 4 4 2 2 3 4 2" xfId="29158" xr:uid="{98B38877-A488-43B8-845B-7DD60673A638}"/>
    <cellStyle name="Comma 4 4 2 2 3 5" xfId="19861" xr:uid="{DE03CD50-35B8-4447-A64D-5C4C60C59374}"/>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1F79286C-30A6-4A6B-926C-E47F71ACDD71}"/>
    <cellStyle name="Comma 4 4 2 2 4 2 2 2 2" xfId="35933" xr:uid="{A3A234BD-F98A-424C-97D6-D7432F976282}"/>
    <cellStyle name="Comma 4 4 2 2 4 2 2 3" xfId="26636" xr:uid="{20E3F2D2-6851-497D-A5A6-F81885070840}"/>
    <cellStyle name="Comma 4 4 2 2 4 2 3" xfId="13120" xr:uid="{A397481D-3F32-49A7-97CA-CE8666D847BA}"/>
    <cellStyle name="Comma 4 4 2 2 4 2 3 2" xfId="31716" xr:uid="{0ED42120-A335-4A26-8D00-E434DBC7849D}"/>
    <cellStyle name="Comma 4 4 2 2 4 2 4" xfId="22419" xr:uid="{87BB6765-018B-43CB-A282-98290906F142}"/>
    <cellStyle name="Comma 4 4 2 2 4 3" xfId="5866" xr:uid="{00000000-0005-0000-0000-0000DB090000}"/>
    <cellStyle name="Comma 4 4 2 2 4 3 2" xfId="15192" xr:uid="{CA63C954-B5BD-4687-A613-1C5E18E6DC5C}"/>
    <cellStyle name="Comma 4 4 2 2 4 3 2 2" xfId="33788" xr:uid="{2C4F0E6D-2342-4768-9756-817173B78952}"/>
    <cellStyle name="Comma 4 4 2 2 4 3 3" xfId="24491" xr:uid="{4A6E6DE6-C9B6-4D3D-8FF6-A3492CDE9A86}"/>
    <cellStyle name="Comma 4 4 2 2 4 4" xfId="10975" xr:uid="{CA31B846-7C58-4DEF-BA41-CD6A1643D117}"/>
    <cellStyle name="Comma 4 4 2 2 4 4 2" xfId="29571" xr:uid="{8DD016B7-7AAC-48F1-83CE-6FF36C8B2D69}"/>
    <cellStyle name="Comma 4 4 2 2 4 5" xfId="20274" xr:uid="{4386959F-1583-4AF7-817A-9922F2D23F48}"/>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B9BC4D2B-58D9-417E-B49C-BC9BAA3DFAD5}"/>
    <cellStyle name="Comma 4 4 2 2 5 2 2 2 2" xfId="36346" xr:uid="{6F07AF24-ECD3-4ACC-B074-2A251CE44187}"/>
    <cellStyle name="Comma 4 4 2 2 5 2 2 3" xfId="27049" xr:uid="{518041AD-EAD3-46C3-83F6-BFCF6FF8C021}"/>
    <cellStyle name="Comma 4 4 2 2 5 2 3" xfId="13533" xr:uid="{7CFE5B92-DE68-41D1-A4AE-09834131B41F}"/>
    <cellStyle name="Comma 4 4 2 2 5 2 3 2" xfId="32129" xr:uid="{13B519AB-E70C-4ACA-8329-8EDD61079CD6}"/>
    <cellStyle name="Comma 4 4 2 2 5 2 4" xfId="22832" xr:uid="{28674390-AFF1-49A3-A4D6-D9FE61814B2D}"/>
    <cellStyle name="Comma 4 4 2 2 5 3" xfId="6279" xr:uid="{00000000-0005-0000-0000-0000DF090000}"/>
    <cellStyle name="Comma 4 4 2 2 5 3 2" xfId="15605" xr:uid="{F355B239-DCAB-487F-8144-B9E0E7248E80}"/>
    <cellStyle name="Comma 4 4 2 2 5 3 2 2" xfId="34201" xr:uid="{9D75D1A7-9EEA-49E6-92C6-0242512E024C}"/>
    <cellStyle name="Comma 4 4 2 2 5 3 3" xfId="24904" xr:uid="{A8AE078A-F82F-4898-9205-C4F7BE5BAE8C}"/>
    <cellStyle name="Comma 4 4 2 2 5 4" xfId="11388" xr:uid="{D83DFA11-6CC2-44DF-AF99-A51A46583436}"/>
    <cellStyle name="Comma 4 4 2 2 5 4 2" xfId="29984" xr:uid="{D8515BB8-3C6E-4782-841A-A01A1505F1F2}"/>
    <cellStyle name="Comma 4 4 2 2 5 5" xfId="20687" xr:uid="{349E5C5C-CB56-4182-A806-EF49C591D770}"/>
    <cellStyle name="Comma 4 4 2 2 6" xfId="2408" xr:uid="{00000000-0005-0000-0000-0000E0090000}"/>
    <cellStyle name="Comma 4 4 2 2 6 2" xfId="6692" xr:uid="{00000000-0005-0000-0000-0000E1090000}"/>
    <cellStyle name="Comma 4 4 2 2 6 2 2" xfId="16018" xr:uid="{340F004B-6A88-40EA-B35E-F753B8559FE1}"/>
    <cellStyle name="Comma 4 4 2 2 6 2 2 2" xfId="34614" xr:uid="{7413D426-6306-4C39-906D-70BDC8A084F3}"/>
    <cellStyle name="Comma 4 4 2 2 6 2 3" xfId="25317" xr:uid="{40E5D1B7-7417-4745-9690-7092CDBB9DE2}"/>
    <cellStyle name="Comma 4 4 2 2 6 3" xfId="11801" xr:uid="{8529CF9F-55A7-45A9-A3D4-02C345D0CBFE}"/>
    <cellStyle name="Comma 4 4 2 2 6 3 2" xfId="30397" xr:uid="{F9F4F13D-8314-4792-8401-D67ACF2F7D8F}"/>
    <cellStyle name="Comma 4 4 2 2 6 4" xfId="21100" xr:uid="{B5D04422-4571-40AD-8545-FAE10B34591C}"/>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5254A78D-F8E4-4F28-A027-BCE519736432}"/>
    <cellStyle name="Comma 4 4 2 2 8 2 2 2" xfId="34931" xr:uid="{D05EAECB-F7BD-4983-8DD4-599B87A1E54E}"/>
    <cellStyle name="Comma 4 4 2 2 8 2 3" xfId="25634" xr:uid="{1EC554B2-A7BD-4644-83CA-FC5F372DBDD3}"/>
    <cellStyle name="Comma 4 4 2 2 8 3" xfId="12118" xr:uid="{DAF534B1-2CCA-47F2-957A-382FF845EE79}"/>
    <cellStyle name="Comma 4 4 2 2 8 3 2" xfId="30714" xr:uid="{28D88DCE-413F-406F-A344-83EBD3A91EAC}"/>
    <cellStyle name="Comma 4 4 2 2 8 4" xfId="21417" xr:uid="{C727EB11-F111-4068-A3B7-C803427DD30C}"/>
    <cellStyle name="Comma 4 4 2 2 9" xfId="4626" xr:uid="{00000000-0005-0000-0000-0000E5090000}"/>
    <cellStyle name="Comma 4 4 2 2 9 2" xfId="13952" xr:uid="{BB7FD8BB-7E1F-4B3B-8D17-5C2CC85514D0}"/>
    <cellStyle name="Comma 4 4 2 2 9 2 2" xfId="32548" xr:uid="{552F3C84-3DCC-43AE-9026-2C5402B18BE1}"/>
    <cellStyle name="Comma 4 4 2 2 9 3" xfId="23251" xr:uid="{88291981-4C3C-41CC-860B-84C0BC821AE0}"/>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015FBA28-0B0A-4F8E-AC9A-B2855C8A7549}"/>
    <cellStyle name="Comma 4 4 2 3 2 2 2 2" xfId="35106" xr:uid="{57638C54-488E-4F55-AA70-5CBADF9BD4D0}"/>
    <cellStyle name="Comma 4 4 2 3 2 2 3" xfId="25809" xr:uid="{0498769D-1575-45EE-87D9-E9ABA1CED57F}"/>
    <cellStyle name="Comma 4 4 2 3 2 3" xfId="12293" xr:uid="{AA24141B-73FD-4873-9523-05F59CD0860D}"/>
    <cellStyle name="Comma 4 4 2 3 2 3 2" xfId="30889" xr:uid="{F462C392-612E-4216-92D8-930C4E4C94DB}"/>
    <cellStyle name="Comma 4 4 2 3 2 4" xfId="21592" xr:uid="{3524BBB5-26D0-4FD6-8BBC-C6B5F5C55479}"/>
    <cellStyle name="Comma 4 4 2 3 3" xfId="5039" xr:uid="{00000000-0005-0000-0000-0000E9090000}"/>
    <cellStyle name="Comma 4 4 2 3 3 2" xfId="14365" xr:uid="{3FBED673-D6B0-4378-AABE-6A40A9E8C28C}"/>
    <cellStyle name="Comma 4 4 2 3 3 2 2" xfId="32961" xr:uid="{279D59AC-92B2-4025-AAC4-99E3AB04F619}"/>
    <cellStyle name="Comma 4 4 2 3 3 3" xfId="23664" xr:uid="{6627A90B-5267-4E71-BF22-DA096E7F607D}"/>
    <cellStyle name="Comma 4 4 2 3 4" xfId="9332" xr:uid="{00F59ECD-64D7-476B-90FD-CD86F054AE4D}"/>
    <cellStyle name="Comma 4 4 2 3 4 2" xfId="18647" xr:uid="{7A3AA429-467D-4F6A-8D4F-7C7CC3AF023B}"/>
    <cellStyle name="Comma 4 4 2 3 4 2 2" xfId="37241" xr:uid="{FF62942F-AEDC-46C1-9202-E0C3DF6DA754}"/>
    <cellStyle name="Comma 4 4 2 3 4 3" xfId="27944" xr:uid="{E7AFC133-0590-4064-8A20-12A0A0C63E23}"/>
    <cellStyle name="Comma 4 4 2 3 5" xfId="10148" xr:uid="{9423E289-62C2-46AD-82B6-00702E4EBFD3}"/>
    <cellStyle name="Comma 4 4 2 3 5 2" xfId="28744" xr:uid="{54FA3686-BFB3-4117-A19E-2392197F69D0}"/>
    <cellStyle name="Comma 4 4 2 3 6" xfId="19447" xr:uid="{45AB1051-60EB-48AE-8CAA-8741CEAF202B}"/>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5BED3360-76CD-4348-A85F-747CE74F7B47}"/>
    <cellStyle name="Comma 4 4 2 4 2 2 2 2" xfId="35519" xr:uid="{4E02AE8E-A633-41C8-A053-598DFA7F97C1}"/>
    <cellStyle name="Comma 4 4 2 4 2 2 3" xfId="26222" xr:uid="{24F16AE1-004B-4206-82CF-F0C8DCDA1EEB}"/>
    <cellStyle name="Comma 4 4 2 4 2 3" xfId="12706" xr:uid="{E020597B-C929-413F-9050-0A27CDDA02E5}"/>
    <cellStyle name="Comma 4 4 2 4 2 3 2" xfId="31302" xr:uid="{4FDE6405-313C-46EA-9EDE-E893212E06FF}"/>
    <cellStyle name="Comma 4 4 2 4 2 4" xfId="22005" xr:uid="{784F7008-44A4-49FA-9203-A9DFB024DD72}"/>
    <cellStyle name="Comma 4 4 2 4 3" xfId="5452" xr:uid="{00000000-0005-0000-0000-0000ED090000}"/>
    <cellStyle name="Comma 4 4 2 4 3 2" xfId="14778" xr:uid="{D2435640-90F7-4E59-B0CC-A497701E4DE1}"/>
    <cellStyle name="Comma 4 4 2 4 3 2 2" xfId="33374" xr:uid="{AC4D1192-6761-4DAB-B5CB-5072BFBFFD3E}"/>
    <cellStyle name="Comma 4 4 2 4 3 3" xfId="24077" xr:uid="{EAD3A3DE-61C2-49B6-A116-5BF612467169}"/>
    <cellStyle name="Comma 4 4 2 4 4" xfId="10561" xr:uid="{E76F206D-7033-44E1-B23D-1D3785BDDE2B}"/>
    <cellStyle name="Comma 4 4 2 4 4 2" xfId="29157" xr:uid="{317D6046-5DD4-4D97-BE8B-5CC43DCE2A23}"/>
    <cellStyle name="Comma 4 4 2 4 5" xfId="19860" xr:uid="{7B84AF75-045C-412F-B955-F8FD2572F88F}"/>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5BBC943E-A3B8-4D29-B0D0-4304DDFF1961}"/>
    <cellStyle name="Comma 4 4 2 5 2 2 2 2" xfId="35932" xr:uid="{357B542E-3F87-44FF-91F7-BA56616BCA48}"/>
    <cellStyle name="Comma 4 4 2 5 2 2 3" xfId="26635" xr:uid="{7E35956E-413C-43D7-8ED4-E1095EAC9BCC}"/>
    <cellStyle name="Comma 4 4 2 5 2 3" xfId="13119" xr:uid="{2369C04B-62CF-41FB-95C8-E87C00997D78}"/>
    <cellStyle name="Comma 4 4 2 5 2 3 2" xfId="31715" xr:uid="{4ADD39D3-F176-4327-AF09-EE0F670E212C}"/>
    <cellStyle name="Comma 4 4 2 5 2 4" xfId="22418" xr:uid="{7E052C14-61E4-4E77-9C76-AF4A4556C3FC}"/>
    <cellStyle name="Comma 4 4 2 5 3" xfId="5865" xr:uid="{00000000-0005-0000-0000-0000F1090000}"/>
    <cellStyle name="Comma 4 4 2 5 3 2" xfId="15191" xr:uid="{C511A4B0-208D-4112-A416-760A6504B7E0}"/>
    <cellStyle name="Comma 4 4 2 5 3 2 2" xfId="33787" xr:uid="{2F833C3B-0652-4842-A82E-C7212E06F78B}"/>
    <cellStyle name="Comma 4 4 2 5 3 3" xfId="24490" xr:uid="{ACCB491C-B4D4-4F0B-BE80-275A9FF25555}"/>
    <cellStyle name="Comma 4 4 2 5 4" xfId="10974" xr:uid="{2E6225FE-E2C1-4489-9862-019D0FC067F4}"/>
    <cellStyle name="Comma 4 4 2 5 4 2" xfId="29570" xr:uid="{ED8A8144-0995-46D0-B80F-9DC08C101FEC}"/>
    <cellStyle name="Comma 4 4 2 5 5" xfId="20273" xr:uid="{35D0E870-C109-4398-8DA3-D3E6A5ABCF20}"/>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1E9D2258-4E09-4E74-95EE-A45B7482C4D6}"/>
    <cellStyle name="Comma 4 4 2 6 2 2 2 2" xfId="36345" xr:uid="{43037118-4037-46B3-8541-E7F71FD541F4}"/>
    <cellStyle name="Comma 4 4 2 6 2 2 3" xfId="27048" xr:uid="{DA4AC4C8-F36E-4D72-BA79-D29ADBD14884}"/>
    <cellStyle name="Comma 4 4 2 6 2 3" xfId="13532" xr:uid="{81B3AA76-785A-4B52-9B02-DC566AB37DCF}"/>
    <cellStyle name="Comma 4 4 2 6 2 3 2" xfId="32128" xr:uid="{CDF501D2-4B4D-412B-8480-BAAB74799FE4}"/>
    <cellStyle name="Comma 4 4 2 6 2 4" xfId="22831" xr:uid="{9B5F1AE1-E575-4CA9-96E5-D93058201350}"/>
    <cellStyle name="Comma 4 4 2 6 3" xfId="6278" xr:uid="{00000000-0005-0000-0000-0000F5090000}"/>
    <cellStyle name="Comma 4 4 2 6 3 2" xfId="15604" xr:uid="{66BAC164-369C-4B15-9414-EC878DA9932B}"/>
    <cellStyle name="Comma 4 4 2 6 3 2 2" xfId="34200" xr:uid="{ABAB38CC-0AB3-44C3-BD80-E9325CE8BF93}"/>
    <cellStyle name="Comma 4 4 2 6 3 3" xfId="24903" xr:uid="{ED5B97B2-849A-4FC1-B174-9AAB5F87B271}"/>
    <cellStyle name="Comma 4 4 2 6 4" xfId="11387" xr:uid="{95DA9D59-117F-4DC7-87E9-7A8F2F0EC928}"/>
    <cellStyle name="Comma 4 4 2 6 4 2" xfId="29983" xr:uid="{45CA02DF-7EA1-4648-ABD7-33BAF46CF400}"/>
    <cellStyle name="Comma 4 4 2 6 5" xfId="20686" xr:uid="{B8727477-18BC-4E5D-A67E-15E26A6BDC14}"/>
    <cellStyle name="Comma 4 4 2 7" xfId="2407" xr:uid="{00000000-0005-0000-0000-0000F6090000}"/>
    <cellStyle name="Comma 4 4 2 7 2" xfId="6691" xr:uid="{00000000-0005-0000-0000-0000F7090000}"/>
    <cellStyle name="Comma 4 4 2 7 2 2" xfId="16017" xr:uid="{C9D3D728-E2A6-4C40-8208-3C51A5CC29A5}"/>
    <cellStyle name="Comma 4 4 2 7 2 2 2" xfId="34613" xr:uid="{0DA17ACC-F388-4696-ADB2-5D8119A026C4}"/>
    <cellStyle name="Comma 4 4 2 7 2 3" xfId="25316" xr:uid="{A46F6CC9-B70F-4514-860D-84AC0AB5A10B}"/>
    <cellStyle name="Comma 4 4 2 7 3" xfId="11800" xr:uid="{34983197-95AD-4579-A78B-0D6A5982F7F8}"/>
    <cellStyle name="Comma 4 4 2 7 3 2" xfId="30396" xr:uid="{CCF7FA82-8F4F-4012-9F05-3E50B9DD7F57}"/>
    <cellStyle name="Comma 4 4 2 7 4" xfId="21099" xr:uid="{074AB05D-7159-498D-A6FE-07458462480A}"/>
    <cellStyle name="Comma 4 4 2 8" xfId="2703" xr:uid="{00000000-0005-0000-0000-0000F8090000}"/>
    <cellStyle name="Comma 4 4 2 9" xfId="2785" xr:uid="{00000000-0005-0000-0000-0000F9090000}"/>
    <cellStyle name="Comma 4 4 2 9 2" xfId="7008" xr:uid="{00000000-0005-0000-0000-0000FA090000}"/>
    <cellStyle name="Comma 4 4 2 9 2 2" xfId="16334" xr:uid="{C5FAE3A0-DF94-47A3-8261-A1BF6CF7958F}"/>
    <cellStyle name="Comma 4 4 2 9 2 2 2" xfId="34930" xr:uid="{1E8B8CBA-3F24-439B-A0CF-3923DD14E74C}"/>
    <cellStyle name="Comma 4 4 2 9 2 3" xfId="25633" xr:uid="{4AC6181C-8C06-4B82-BF59-BDF4248EFD2E}"/>
    <cellStyle name="Comma 4 4 2 9 3" xfId="12117" xr:uid="{81E9E3C3-2323-46D9-9026-10176EAF4469}"/>
    <cellStyle name="Comma 4 4 2 9 3 2" xfId="30713" xr:uid="{66E7CD2B-24DB-43C9-9678-1AB9EB0BED7E}"/>
    <cellStyle name="Comma 4 4 2 9 4" xfId="21416" xr:uid="{E3EAC4D1-A2AE-4541-A613-763BA1C26AE0}"/>
    <cellStyle name="Comma 4 4 3" xfId="156" xr:uid="{00000000-0005-0000-0000-0000FB090000}"/>
    <cellStyle name="Comma 4 4 3 10" xfId="9011" xr:uid="{31ED03AD-AB12-49AF-9AD4-B783F0BF7322}"/>
    <cellStyle name="Comma 4 4 3 10 2" xfId="18335" xr:uid="{1FCFD0F3-CB47-43F5-9C68-7F1AB4B7C18D}"/>
    <cellStyle name="Comma 4 4 3 10 2 2" xfId="36930" xr:uid="{381A4401-87F1-4125-B7B5-4B42F2D66D58}"/>
    <cellStyle name="Comma 4 4 3 10 3" xfId="27633" xr:uid="{39011135-4857-49A1-9718-FE6CA7DA1CF7}"/>
    <cellStyle name="Comma 4 4 3 11" xfId="9736" xr:uid="{A5F56A79-93FC-4149-9C3B-0376FB93DC24}"/>
    <cellStyle name="Comma 4 4 3 11 2" xfId="28332" xr:uid="{526E5904-BF8D-4692-9400-77540E578693}"/>
    <cellStyle name="Comma 4 4 3 12" xfId="19035" xr:uid="{4D802BAA-D1D9-4952-BE3E-68CD449AF7C3}"/>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3A1DC2CB-D50A-4D71-A680-B91F242D1E15}"/>
    <cellStyle name="Comma 4 4 3 2 2 2 2 2" xfId="35108" xr:uid="{353B79B3-D970-4E48-AF04-D62058DC04D2}"/>
    <cellStyle name="Comma 4 4 3 2 2 2 3" xfId="25811" xr:uid="{9EAD439A-E23A-4ACC-8838-38501B06C29E}"/>
    <cellStyle name="Comma 4 4 3 2 2 3" xfId="12295" xr:uid="{5B4B5B91-6BFC-4B32-982E-DC6ECCA8A47C}"/>
    <cellStyle name="Comma 4 4 3 2 2 3 2" xfId="30891" xr:uid="{D7FAC1E3-25A3-491B-A9E1-E0F5B6958EC5}"/>
    <cellStyle name="Comma 4 4 3 2 2 4" xfId="21594" xr:uid="{0CB176BB-3AAE-4840-A387-699533186D2C}"/>
    <cellStyle name="Comma 4 4 3 2 3" xfId="5041" xr:uid="{00000000-0005-0000-0000-0000FF090000}"/>
    <cellStyle name="Comma 4 4 3 2 3 2" xfId="14367" xr:uid="{902361BD-8385-48A0-A196-CC1AD5FDEE24}"/>
    <cellStyle name="Comma 4 4 3 2 3 2 2" xfId="32963" xr:uid="{3380C883-29AF-4498-B5AC-A5CB5B665564}"/>
    <cellStyle name="Comma 4 4 3 2 3 3" xfId="23666" xr:uid="{04208881-EE75-424A-AE86-63C22EE20F5C}"/>
    <cellStyle name="Comma 4 4 3 2 4" xfId="9436" xr:uid="{5B7DDC25-9095-4E8E-BD31-668F46BBD33F}"/>
    <cellStyle name="Comma 4 4 3 2 4 2" xfId="18751" xr:uid="{48BC6630-6EC5-43F6-B1C1-EF04D0C8E270}"/>
    <cellStyle name="Comma 4 4 3 2 4 2 2" xfId="37345" xr:uid="{4C268BC3-B1A8-4364-BF38-339B027025DC}"/>
    <cellStyle name="Comma 4 4 3 2 4 3" xfId="28048" xr:uid="{4255BB3E-1ADA-462B-B574-50ECB7F77AF2}"/>
    <cellStyle name="Comma 4 4 3 2 5" xfId="10150" xr:uid="{FFE86671-EB57-4D51-A89D-32F828AFEDE8}"/>
    <cellStyle name="Comma 4 4 3 2 5 2" xfId="28746" xr:uid="{823EB9CB-DD8A-457F-A794-8D6B36B0D453}"/>
    <cellStyle name="Comma 4 4 3 2 6" xfId="19449" xr:uid="{6250F202-56E8-465B-8E82-B94FE27022EE}"/>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A34085BC-C532-415E-A035-11671BDDE237}"/>
    <cellStyle name="Comma 4 4 3 3 2 2 2 2" xfId="35521" xr:uid="{B033DDC7-D8BD-4B3E-BF21-5B9CCBB8C13C}"/>
    <cellStyle name="Comma 4 4 3 3 2 2 3" xfId="26224" xr:uid="{1F1237E0-CD4F-452D-91DB-B4F0D6E4E57B}"/>
    <cellStyle name="Comma 4 4 3 3 2 3" xfId="12708" xr:uid="{DCE03620-E02F-4DF7-8DFA-BBB42AD8B55F}"/>
    <cellStyle name="Comma 4 4 3 3 2 3 2" xfId="31304" xr:uid="{29B088A2-2201-4675-AFA7-5EC11D2F2162}"/>
    <cellStyle name="Comma 4 4 3 3 2 4" xfId="22007" xr:uid="{1BDDE086-B85D-42ED-AFF7-32EEA56355AB}"/>
    <cellStyle name="Comma 4 4 3 3 3" xfId="5454" xr:uid="{00000000-0005-0000-0000-0000030A0000}"/>
    <cellStyle name="Comma 4 4 3 3 3 2" xfId="14780" xr:uid="{9FFEC576-8501-4911-A2FD-A55E66818B16}"/>
    <cellStyle name="Comma 4 4 3 3 3 2 2" xfId="33376" xr:uid="{E7F366C9-D212-4588-AEB7-2D6D40AC1883}"/>
    <cellStyle name="Comma 4 4 3 3 3 3" xfId="24079" xr:uid="{E7AC622F-644A-40E5-81B2-1D1137D23117}"/>
    <cellStyle name="Comma 4 4 3 3 4" xfId="10563" xr:uid="{F0721B1F-C8A1-4B25-97A2-4EC423EE06CF}"/>
    <cellStyle name="Comma 4 4 3 3 4 2" xfId="29159" xr:uid="{4A1AF10F-509F-4032-97DA-B22FAE13447D}"/>
    <cellStyle name="Comma 4 4 3 3 5" xfId="19862" xr:uid="{CA1AE6B5-8333-46E5-8F4E-AEDCA3B97F61}"/>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0AB3DCC9-11C7-4CBE-8D23-C71EA0524E0B}"/>
    <cellStyle name="Comma 4 4 3 4 2 2 2 2" xfId="35934" xr:uid="{323B2957-6761-40A2-BA29-7FCF35AB40F4}"/>
    <cellStyle name="Comma 4 4 3 4 2 2 3" xfId="26637" xr:uid="{F16C2D5D-3CAE-4620-8B70-2F7C6922D553}"/>
    <cellStyle name="Comma 4 4 3 4 2 3" xfId="13121" xr:uid="{DE4D9C2A-AD14-46E8-9F60-DCC46B83C2D3}"/>
    <cellStyle name="Comma 4 4 3 4 2 3 2" xfId="31717" xr:uid="{AD8FE5C2-F5BD-4CF4-B5D6-7422D393D8E3}"/>
    <cellStyle name="Comma 4 4 3 4 2 4" xfId="22420" xr:uid="{3B91BDA0-71A2-4A54-9AE9-84DC94346916}"/>
    <cellStyle name="Comma 4 4 3 4 3" xfId="5867" xr:uid="{00000000-0005-0000-0000-0000070A0000}"/>
    <cellStyle name="Comma 4 4 3 4 3 2" xfId="15193" xr:uid="{BF101CE0-7CAE-47A4-9588-49A67CC4DA77}"/>
    <cellStyle name="Comma 4 4 3 4 3 2 2" xfId="33789" xr:uid="{43A211DD-4FD0-4B8E-B8B2-C15CC755B186}"/>
    <cellStyle name="Comma 4 4 3 4 3 3" xfId="24492" xr:uid="{EF77D6F9-9367-4035-A721-E3FCE14403F1}"/>
    <cellStyle name="Comma 4 4 3 4 4" xfId="10976" xr:uid="{96ABB494-2DDB-4F42-B284-91C4FC0B35ED}"/>
    <cellStyle name="Comma 4 4 3 4 4 2" xfId="29572" xr:uid="{A91F6864-7919-47F3-9F1F-159C6C3C9C3B}"/>
    <cellStyle name="Comma 4 4 3 4 5" xfId="20275" xr:uid="{ABA41B5A-7ED0-490B-9674-74D43E2685CE}"/>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98FFE066-40C4-4378-9660-E7451B104672}"/>
    <cellStyle name="Comma 4 4 3 5 2 2 2 2" xfId="36347" xr:uid="{80A2E3B1-38AF-4CB8-8622-047569489F35}"/>
    <cellStyle name="Comma 4 4 3 5 2 2 3" xfId="27050" xr:uid="{8FBCCB9E-9730-4B0D-9EC6-B0F6AB9EFC35}"/>
    <cellStyle name="Comma 4 4 3 5 2 3" xfId="13534" xr:uid="{22E95523-DB1A-4D8D-BE72-657990ADA6A0}"/>
    <cellStyle name="Comma 4 4 3 5 2 3 2" xfId="32130" xr:uid="{F6996F37-872A-45CD-A1C5-8EB3DBF3B705}"/>
    <cellStyle name="Comma 4 4 3 5 2 4" xfId="22833" xr:uid="{C929A9AC-CE43-4EA9-A0C7-A975CC04F1CD}"/>
    <cellStyle name="Comma 4 4 3 5 3" xfId="6280" xr:uid="{00000000-0005-0000-0000-00000B0A0000}"/>
    <cellStyle name="Comma 4 4 3 5 3 2" xfId="15606" xr:uid="{8C1780B5-73AC-4593-8B2B-0AA9BABD2254}"/>
    <cellStyle name="Comma 4 4 3 5 3 2 2" xfId="34202" xr:uid="{E7452868-E300-4B3C-86CC-1DA699691DB6}"/>
    <cellStyle name="Comma 4 4 3 5 3 3" xfId="24905" xr:uid="{2221B1CC-3B8C-4A2D-94CC-2DD8859C84E4}"/>
    <cellStyle name="Comma 4 4 3 5 4" xfId="11389" xr:uid="{B20848BF-4742-4188-85F1-125D61B389AE}"/>
    <cellStyle name="Comma 4 4 3 5 4 2" xfId="29985" xr:uid="{24405F08-89BD-40D6-8E49-36FAFC1C92D7}"/>
    <cellStyle name="Comma 4 4 3 5 5" xfId="20688" xr:uid="{38541DAB-AC01-4DD6-9536-54F4C7A80058}"/>
    <cellStyle name="Comma 4 4 3 6" xfId="2409" xr:uid="{00000000-0005-0000-0000-00000C0A0000}"/>
    <cellStyle name="Comma 4 4 3 6 2" xfId="6693" xr:uid="{00000000-0005-0000-0000-00000D0A0000}"/>
    <cellStyle name="Comma 4 4 3 6 2 2" xfId="16019" xr:uid="{36B94BE4-6DD9-4474-A0C8-955A187BECBA}"/>
    <cellStyle name="Comma 4 4 3 6 2 2 2" xfId="34615" xr:uid="{03FAE5FF-5790-4E0E-ADF3-00C9D257C6E0}"/>
    <cellStyle name="Comma 4 4 3 6 2 3" xfId="25318" xr:uid="{66DBDEFB-B16B-4828-A031-FD701DBAD79D}"/>
    <cellStyle name="Comma 4 4 3 6 3" xfId="11802" xr:uid="{A3464DC2-7BEF-4995-94DB-DCECF44AB63E}"/>
    <cellStyle name="Comma 4 4 3 6 3 2" xfId="30398" xr:uid="{4C7D1A36-3631-40C1-891B-829FC512FCFE}"/>
    <cellStyle name="Comma 4 4 3 6 4" xfId="21101" xr:uid="{B8EC9FE5-F818-444F-805A-CC2F6261CF58}"/>
    <cellStyle name="Comma 4 4 3 7" xfId="2705" xr:uid="{00000000-0005-0000-0000-00000E0A0000}"/>
    <cellStyle name="Comma 4 4 3 8" xfId="2787" xr:uid="{00000000-0005-0000-0000-00000F0A0000}"/>
    <cellStyle name="Comma 4 4 3 8 2" xfId="7010" xr:uid="{00000000-0005-0000-0000-0000100A0000}"/>
    <cellStyle name="Comma 4 4 3 8 2 2" xfId="16336" xr:uid="{A979A756-A770-4689-A6BE-29AF491D305F}"/>
    <cellStyle name="Comma 4 4 3 8 2 2 2" xfId="34932" xr:uid="{AD80EDBB-BFB3-4E8E-A755-A22B70C74DE9}"/>
    <cellStyle name="Comma 4 4 3 8 2 3" xfId="25635" xr:uid="{B81282CB-20B6-4E9E-B2AD-DBFF16C85D97}"/>
    <cellStyle name="Comma 4 4 3 8 3" xfId="12119" xr:uid="{4BAC9205-2BD8-4EA2-99DD-C05C8D2D01D4}"/>
    <cellStyle name="Comma 4 4 3 8 3 2" xfId="30715" xr:uid="{7B4143B2-C2F3-4B40-81DF-0B406F13077C}"/>
    <cellStyle name="Comma 4 4 3 8 4" xfId="21418" xr:uid="{FB122DAE-03C0-4563-B089-D469A6365A00}"/>
    <cellStyle name="Comma 4 4 3 9" xfId="4627" xr:uid="{00000000-0005-0000-0000-0000110A0000}"/>
    <cellStyle name="Comma 4 4 3 9 2" xfId="13953" xr:uid="{D35B3FC4-C1EE-4D2D-9AF2-4C889107E5E6}"/>
    <cellStyle name="Comma 4 4 3 9 2 2" xfId="32549" xr:uid="{65337E7E-A626-4F5F-A14F-0BD64F53211E}"/>
    <cellStyle name="Comma 4 4 3 9 3" xfId="23252" xr:uid="{765EFCC1-F704-44EB-B27A-B14C59A1AE05}"/>
    <cellStyle name="Comma 4 4 4" xfId="690" xr:uid="{00000000-0005-0000-0000-0000120A0000}"/>
    <cellStyle name="Comma 4 4 4 2" xfId="2961" xr:uid="{00000000-0005-0000-0000-0000130A0000}"/>
    <cellStyle name="Comma 4 4 4 2 2" xfId="7183" xr:uid="{00000000-0005-0000-0000-0000140A0000}"/>
    <cellStyle name="Comma 4 4 4 2 2 2" xfId="16509" xr:uid="{39A856C2-DC7A-4E74-B2D1-89380753DEBE}"/>
    <cellStyle name="Comma 4 4 4 2 2 2 2" xfId="35105" xr:uid="{8664DD6C-042C-4B45-9EBE-35AABF53A917}"/>
    <cellStyle name="Comma 4 4 4 2 2 3" xfId="25808" xr:uid="{91A5043A-01BC-4251-AE15-790A3AB09773}"/>
    <cellStyle name="Comma 4 4 4 2 3" xfId="12292" xr:uid="{FB484E08-3F3A-4C51-8857-89798CD5D0AB}"/>
    <cellStyle name="Comma 4 4 4 2 3 2" xfId="30888" xr:uid="{C3D6E720-7554-48FC-9E4E-1CA6D42C4839}"/>
    <cellStyle name="Comma 4 4 4 2 4" xfId="21591" xr:uid="{873FB210-499A-4FEF-A3E1-45912A5A85B8}"/>
    <cellStyle name="Comma 4 4 4 3" xfId="5038" xr:uid="{00000000-0005-0000-0000-0000150A0000}"/>
    <cellStyle name="Comma 4 4 4 3 2" xfId="14364" xr:uid="{9D62CF10-5D82-4DF4-8F40-166423509737}"/>
    <cellStyle name="Comma 4 4 4 3 2 2" xfId="32960" xr:uid="{BEF47275-86F6-46E8-8A0F-2B49B85E4939}"/>
    <cellStyle name="Comma 4 4 4 3 3" xfId="23663" xr:uid="{5EEF8607-67CE-450C-9D11-396092FFE1F7}"/>
    <cellStyle name="Comma 4 4 4 4" xfId="9229" xr:uid="{5D655A80-2199-4116-9BF2-7327D5827395}"/>
    <cellStyle name="Comma 4 4 4 4 2" xfId="18544" xr:uid="{B3D917CE-EF0A-4E27-944B-462388B55B54}"/>
    <cellStyle name="Comma 4 4 4 4 2 2" xfId="37138" xr:uid="{516878DC-737A-4B93-91CD-D97FEAA558FA}"/>
    <cellStyle name="Comma 4 4 4 4 3" xfId="27841" xr:uid="{2F40B7F1-413F-4061-AE8C-E37EEF190048}"/>
    <cellStyle name="Comma 4 4 4 5" xfId="10147" xr:uid="{0D71A61E-B185-4E6F-8035-F57CA0BE3EF6}"/>
    <cellStyle name="Comma 4 4 4 5 2" xfId="28743" xr:uid="{37C024B6-BF73-4631-B14C-E028A2F8EF0A}"/>
    <cellStyle name="Comma 4 4 4 6" xfId="19446" xr:uid="{1A3F8B54-C752-4C5D-BF45-C340F9F53188}"/>
    <cellStyle name="Comma 4 4 5" xfId="1143" xr:uid="{00000000-0005-0000-0000-0000160A0000}"/>
    <cellStyle name="Comma 4 4 5 2" xfId="3374" xr:uid="{00000000-0005-0000-0000-0000170A0000}"/>
    <cellStyle name="Comma 4 4 5 2 2" xfId="7596" xr:uid="{00000000-0005-0000-0000-0000180A0000}"/>
    <cellStyle name="Comma 4 4 5 2 2 2" xfId="16922" xr:uid="{0B02C61C-9686-4B52-B73A-1CE390F4A52F}"/>
    <cellStyle name="Comma 4 4 5 2 2 2 2" xfId="35518" xr:uid="{373EE5AF-1244-4B80-9488-782CD625B863}"/>
    <cellStyle name="Comma 4 4 5 2 2 3" xfId="26221" xr:uid="{9D26CB47-6F78-4149-9CD0-98F845F76AFE}"/>
    <cellStyle name="Comma 4 4 5 2 3" xfId="12705" xr:uid="{37189E45-4EB1-42F9-9EDA-384F088DAEF2}"/>
    <cellStyle name="Comma 4 4 5 2 3 2" xfId="31301" xr:uid="{7CACD4D3-385D-442E-BD7C-6962DC77BF56}"/>
    <cellStyle name="Comma 4 4 5 2 4" xfId="22004" xr:uid="{17950A03-81B5-4DEA-8C25-F84847C6BD69}"/>
    <cellStyle name="Comma 4 4 5 3" xfId="5451" xr:uid="{00000000-0005-0000-0000-0000190A0000}"/>
    <cellStyle name="Comma 4 4 5 3 2" xfId="14777" xr:uid="{BB01A6A7-9B73-4F9F-96C2-0E2C2C4F96B5}"/>
    <cellStyle name="Comma 4 4 5 3 2 2" xfId="33373" xr:uid="{9BE72FCC-8CAC-4646-BCE6-7AE7BE1E2253}"/>
    <cellStyle name="Comma 4 4 5 3 3" xfId="24076" xr:uid="{E3863821-3E41-4F31-83D5-031CA9ABECBD}"/>
    <cellStyle name="Comma 4 4 5 4" xfId="10560" xr:uid="{DECE6E22-EFFD-492A-8DD6-BB14171BEC7E}"/>
    <cellStyle name="Comma 4 4 5 4 2" xfId="29156" xr:uid="{571173DD-8BD3-4160-95DC-164DAD153176}"/>
    <cellStyle name="Comma 4 4 5 5" xfId="19859" xr:uid="{16715442-66DA-4BB5-A8ED-4F28902364C7}"/>
    <cellStyle name="Comma 4 4 6" xfId="1557" xr:uid="{00000000-0005-0000-0000-00001A0A0000}"/>
    <cellStyle name="Comma 4 4 6 2" xfId="3787" xr:uid="{00000000-0005-0000-0000-00001B0A0000}"/>
    <cellStyle name="Comma 4 4 6 2 2" xfId="8009" xr:uid="{00000000-0005-0000-0000-00001C0A0000}"/>
    <cellStyle name="Comma 4 4 6 2 2 2" xfId="17335" xr:uid="{A8A33942-FB02-4D09-B94F-6E0FD275D2C2}"/>
    <cellStyle name="Comma 4 4 6 2 2 2 2" xfId="35931" xr:uid="{926CE60D-7786-4990-9C72-D1D98743A647}"/>
    <cellStyle name="Comma 4 4 6 2 2 3" xfId="26634" xr:uid="{42B04D37-5100-42AA-932D-AB1E0688DB0C}"/>
    <cellStyle name="Comma 4 4 6 2 3" xfId="13118" xr:uid="{16A576BD-50DE-4B47-A1BA-9D874B4972BD}"/>
    <cellStyle name="Comma 4 4 6 2 3 2" xfId="31714" xr:uid="{00F66ABF-92D0-4ACE-B54F-9BDEA12F5396}"/>
    <cellStyle name="Comma 4 4 6 2 4" xfId="22417" xr:uid="{25AD0D1A-7FB6-45F7-941C-F90544BEDCB0}"/>
    <cellStyle name="Comma 4 4 6 3" xfId="5864" xr:uid="{00000000-0005-0000-0000-00001D0A0000}"/>
    <cellStyle name="Comma 4 4 6 3 2" xfId="15190" xr:uid="{EC6263A1-B1BA-4D18-832D-3A47138A33F3}"/>
    <cellStyle name="Comma 4 4 6 3 2 2" xfId="33786" xr:uid="{7812C4BB-524F-491A-87F5-5B26D20BA97E}"/>
    <cellStyle name="Comma 4 4 6 3 3" xfId="24489" xr:uid="{4B2E8394-B821-4A3C-9366-CFE818873A45}"/>
    <cellStyle name="Comma 4 4 6 4" xfId="10973" xr:uid="{8F3FDCB7-405F-4652-969B-CD751823AD95}"/>
    <cellStyle name="Comma 4 4 6 4 2" xfId="29569" xr:uid="{9D03ABCE-B5A6-4113-AE55-FA9B7FEAAB35}"/>
    <cellStyle name="Comma 4 4 6 5" xfId="20272" xr:uid="{A656817D-A2FA-461D-8C54-52B8B27079C0}"/>
    <cellStyle name="Comma 4 4 7" xfId="1971" xr:uid="{00000000-0005-0000-0000-00001E0A0000}"/>
    <cellStyle name="Comma 4 4 7 2" xfId="4200" xr:uid="{00000000-0005-0000-0000-00001F0A0000}"/>
    <cellStyle name="Comma 4 4 7 2 2" xfId="8422" xr:uid="{00000000-0005-0000-0000-0000200A0000}"/>
    <cellStyle name="Comma 4 4 7 2 2 2" xfId="17748" xr:uid="{EE2D625C-7E00-4BEB-A23F-BAEB3D7BF4AC}"/>
    <cellStyle name="Comma 4 4 7 2 2 2 2" xfId="36344" xr:uid="{DDFB287F-EB48-4F17-B6A9-E3ECD612EBA6}"/>
    <cellStyle name="Comma 4 4 7 2 2 3" xfId="27047" xr:uid="{8415EB90-2AFF-4734-AE2A-59138DC29F3F}"/>
    <cellStyle name="Comma 4 4 7 2 3" xfId="13531" xr:uid="{57800B25-A015-4964-AB5B-E5663209E939}"/>
    <cellStyle name="Comma 4 4 7 2 3 2" xfId="32127" xr:uid="{4B31D91A-2313-441C-93BE-E4F43771190E}"/>
    <cellStyle name="Comma 4 4 7 2 4" xfId="22830" xr:uid="{56596284-91EC-41CF-9DB0-B779813BB124}"/>
    <cellStyle name="Comma 4 4 7 3" xfId="6277" xr:uid="{00000000-0005-0000-0000-0000210A0000}"/>
    <cellStyle name="Comma 4 4 7 3 2" xfId="15603" xr:uid="{F6791E63-AC14-4C07-ABD1-E2BEBDFB0468}"/>
    <cellStyle name="Comma 4 4 7 3 2 2" xfId="34199" xr:uid="{CA2F26E9-9C21-44B7-927A-A7A8365DFAA7}"/>
    <cellStyle name="Comma 4 4 7 3 3" xfId="24902" xr:uid="{EBE105EB-EF48-414D-8E96-892B07CBB9C7}"/>
    <cellStyle name="Comma 4 4 7 4" xfId="11386" xr:uid="{EE5C94A7-AF72-420F-A995-C76C1796AA00}"/>
    <cellStyle name="Comma 4 4 7 4 2" xfId="29982" xr:uid="{87D1084E-1CCB-4477-A454-E7CC5DB4E3A7}"/>
    <cellStyle name="Comma 4 4 7 5" xfId="20685" xr:uid="{91D7B80D-D731-47CD-8B48-A4E2C01702AC}"/>
    <cellStyle name="Comma 4 4 8" xfId="2406" xr:uid="{00000000-0005-0000-0000-0000220A0000}"/>
    <cellStyle name="Comma 4 4 8 2" xfId="6690" xr:uid="{00000000-0005-0000-0000-0000230A0000}"/>
    <cellStyle name="Comma 4 4 8 2 2" xfId="16016" xr:uid="{F622C9F9-48BF-4098-AA95-A152970A2147}"/>
    <cellStyle name="Comma 4 4 8 2 2 2" xfId="34612" xr:uid="{96D465BB-437B-4598-B484-FCFFE6C7A0F8}"/>
    <cellStyle name="Comma 4 4 8 2 3" xfId="25315" xr:uid="{FF68C48B-F261-4985-B2B2-4A38833DD7AA}"/>
    <cellStyle name="Comma 4 4 8 3" xfId="11799" xr:uid="{CE739A9B-B404-48D6-8746-1370413FDDE4}"/>
    <cellStyle name="Comma 4 4 8 3 2" xfId="30395" xr:uid="{35447F92-2D69-46F9-8151-E9946952170F}"/>
    <cellStyle name="Comma 4 4 8 4" xfId="21098" xr:uid="{846BF746-88AF-4E34-B280-2470FA805D8A}"/>
    <cellStyle name="Comma 4 4 9" xfId="2702" xr:uid="{00000000-0005-0000-0000-0000240A0000}"/>
    <cellStyle name="Comma 4 5" xfId="157" xr:uid="{00000000-0005-0000-0000-0000250A0000}"/>
    <cellStyle name="Comma 4 5 10" xfId="4628" xr:uid="{00000000-0005-0000-0000-0000260A0000}"/>
    <cellStyle name="Comma 4 5 10 2" xfId="13954" xr:uid="{3FC867EF-AF18-4278-9119-577A800403CF}"/>
    <cellStyle name="Comma 4 5 10 2 2" xfId="32550" xr:uid="{641329D9-5D9D-45A6-B521-0CCBBC3B6A40}"/>
    <cellStyle name="Comma 4 5 10 3" xfId="23253" xr:uid="{AD97E383-7FA1-47CB-83D8-E10595F2BBAC}"/>
    <cellStyle name="Comma 4 5 11" xfId="8849" xr:uid="{344CCE08-63E3-41E8-B38A-00347480820F}"/>
    <cellStyle name="Comma 4 5 11 2" xfId="18173" xr:uid="{C4C32085-82F6-4E4E-BE49-8D8F9A7A1B3D}"/>
    <cellStyle name="Comma 4 5 11 2 2" xfId="36768" xr:uid="{D1B06B20-781A-4EEF-94D4-2D4A5758007D}"/>
    <cellStyle name="Comma 4 5 11 3" xfId="27471" xr:uid="{E6311FFC-1654-4047-9368-8DBFA5F97A4D}"/>
    <cellStyle name="Comma 4 5 12" xfId="9737" xr:uid="{5ED96421-6CC2-483C-94D2-851D30461973}"/>
    <cellStyle name="Comma 4 5 12 2" xfId="28333" xr:uid="{202A547C-4C97-4D7B-B63A-3F1CCFBB5733}"/>
    <cellStyle name="Comma 4 5 13" xfId="19036" xr:uid="{7E452891-0E68-4938-953B-3EBE4D56C2B5}"/>
    <cellStyle name="Comma 4 5 2" xfId="158" xr:uid="{00000000-0005-0000-0000-0000270A0000}"/>
    <cellStyle name="Comma 4 5 2 10" xfId="9056" xr:uid="{C7C2153B-7EAA-4A13-9C28-1151ACD100A8}"/>
    <cellStyle name="Comma 4 5 2 10 2" xfId="18380" xr:uid="{AB02B567-CB5D-4924-9A7E-1E9D613603E2}"/>
    <cellStyle name="Comma 4 5 2 10 2 2" xfId="36975" xr:uid="{DC728E45-DDCD-4173-9B46-91E0ABF162B0}"/>
    <cellStyle name="Comma 4 5 2 10 3" xfId="27678" xr:uid="{6AAC0FBC-6607-4C6E-B576-12B6BF07E5F2}"/>
    <cellStyle name="Comma 4 5 2 11" xfId="9738" xr:uid="{D4B671D8-D5C9-4A4E-871B-8F86B4AF1860}"/>
    <cellStyle name="Comma 4 5 2 11 2" xfId="28334" xr:uid="{862BB064-F6BC-4A26-B8B9-CCC9C9BFA397}"/>
    <cellStyle name="Comma 4 5 2 12" xfId="19037" xr:uid="{71AB6100-F0ED-48E2-9ED5-394FE168B18C}"/>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D150A68A-90C2-4561-9078-F01D2C5C2DC2}"/>
    <cellStyle name="Comma 4 5 2 2 2 2 2 2" xfId="35110" xr:uid="{0DF12F3C-3089-42C3-AD24-83F7C829EACE}"/>
    <cellStyle name="Comma 4 5 2 2 2 2 3" xfId="25813" xr:uid="{D3B4275F-2235-4220-94BA-64137ADF174A}"/>
    <cellStyle name="Comma 4 5 2 2 2 3" xfId="12297" xr:uid="{0D1AB091-6D93-478E-BCD3-A45412EBF19F}"/>
    <cellStyle name="Comma 4 5 2 2 2 3 2" xfId="30893" xr:uid="{A983C2ED-2367-4656-9CAD-A3E56BCA77DE}"/>
    <cellStyle name="Comma 4 5 2 2 2 4" xfId="21596" xr:uid="{7A7F1602-51AF-4A4A-8B4D-152E17CF5B03}"/>
    <cellStyle name="Comma 4 5 2 2 3" xfId="5043" xr:uid="{00000000-0005-0000-0000-00002B0A0000}"/>
    <cellStyle name="Comma 4 5 2 2 3 2" xfId="14369" xr:uid="{A3FC784C-510E-4745-A164-02A701BECEF3}"/>
    <cellStyle name="Comma 4 5 2 2 3 2 2" xfId="32965" xr:uid="{DE896A89-4825-4FF8-BE94-7BFE1A506E06}"/>
    <cellStyle name="Comma 4 5 2 2 3 3" xfId="23668" xr:uid="{1D94A648-3CE0-49C7-9CB8-CCA6E86660EF}"/>
    <cellStyle name="Comma 4 5 2 2 4" xfId="9481" xr:uid="{47C88F6D-21B1-4457-908C-FFAB8FF83BD1}"/>
    <cellStyle name="Comma 4 5 2 2 4 2" xfId="18796" xr:uid="{5475E4F2-9BD2-4008-BBB6-681398160995}"/>
    <cellStyle name="Comma 4 5 2 2 4 2 2" xfId="37390" xr:uid="{0FF6669F-C1AD-4E7B-AB17-757247CC026C}"/>
    <cellStyle name="Comma 4 5 2 2 4 3" xfId="28093" xr:uid="{63CECD57-EA3E-4B45-BE79-D214183DCC8C}"/>
    <cellStyle name="Comma 4 5 2 2 5" xfId="10152" xr:uid="{E2739DF3-FCFE-412F-9969-49027CC29197}"/>
    <cellStyle name="Comma 4 5 2 2 5 2" xfId="28748" xr:uid="{EE93870D-A78F-4F2C-B2DE-4CF28614EC4F}"/>
    <cellStyle name="Comma 4 5 2 2 6" xfId="19451" xr:uid="{626D2FA9-CBD1-47C1-A580-AB920ADAA868}"/>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953273DA-7731-4327-ACDC-89A304FA0434}"/>
    <cellStyle name="Comma 4 5 2 3 2 2 2 2" xfId="35523" xr:uid="{5E5D0FCD-CA92-4482-9062-2588DA235C07}"/>
    <cellStyle name="Comma 4 5 2 3 2 2 3" xfId="26226" xr:uid="{2C7FEF14-0C82-4537-93F2-A9B3659E6EEF}"/>
    <cellStyle name="Comma 4 5 2 3 2 3" xfId="12710" xr:uid="{5E3B264D-74BA-4D92-9254-31E4DA30CE09}"/>
    <cellStyle name="Comma 4 5 2 3 2 3 2" xfId="31306" xr:uid="{19384BC1-FD6C-4DC7-90D1-D1F2C159DE2C}"/>
    <cellStyle name="Comma 4 5 2 3 2 4" xfId="22009" xr:uid="{FF12AC7D-4E82-4AC2-A10C-331DA06456D1}"/>
    <cellStyle name="Comma 4 5 2 3 3" xfId="5456" xr:uid="{00000000-0005-0000-0000-00002F0A0000}"/>
    <cellStyle name="Comma 4 5 2 3 3 2" xfId="14782" xr:uid="{70B8863C-CCBE-4F59-839B-85DA59FEFE21}"/>
    <cellStyle name="Comma 4 5 2 3 3 2 2" xfId="33378" xr:uid="{66DF48A1-AC6F-4EAB-95F3-DD15E8BCFEB6}"/>
    <cellStyle name="Comma 4 5 2 3 3 3" xfId="24081" xr:uid="{DE1E85CB-2A12-41E3-9BAB-FE337DB49630}"/>
    <cellStyle name="Comma 4 5 2 3 4" xfId="10565" xr:uid="{1A77416B-D63F-4144-88EE-98666FF6EC28}"/>
    <cellStyle name="Comma 4 5 2 3 4 2" xfId="29161" xr:uid="{6665D576-2CFB-4F62-8709-46C2690C3C71}"/>
    <cellStyle name="Comma 4 5 2 3 5" xfId="19864" xr:uid="{D194F04E-C500-4CF4-9265-FA33DDFDBBC0}"/>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73F33540-A70A-4FFF-AEF4-AA270D78CCC8}"/>
    <cellStyle name="Comma 4 5 2 4 2 2 2 2" xfId="35936" xr:uid="{D1A4F5AF-C789-4F56-97C8-108F5A3A352A}"/>
    <cellStyle name="Comma 4 5 2 4 2 2 3" xfId="26639" xr:uid="{7E822BF0-E1B9-4ECC-BDE7-694D8F4757E4}"/>
    <cellStyle name="Comma 4 5 2 4 2 3" xfId="13123" xr:uid="{07293DEE-76F7-44E6-9FE1-F409FF5A814B}"/>
    <cellStyle name="Comma 4 5 2 4 2 3 2" xfId="31719" xr:uid="{6FF2AB7F-929D-49A7-8ACD-0BB4CF50FC7F}"/>
    <cellStyle name="Comma 4 5 2 4 2 4" xfId="22422" xr:uid="{0395F88F-964D-4453-8F7B-DE13DAD4605A}"/>
    <cellStyle name="Comma 4 5 2 4 3" xfId="5869" xr:uid="{00000000-0005-0000-0000-0000330A0000}"/>
    <cellStyle name="Comma 4 5 2 4 3 2" xfId="15195" xr:uid="{D42AA441-2EA7-4D25-BB4E-CB83BB9A3AFF}"/>
    <cellStyle name="Comma 4 5 2 4 3 2 2" xfId="33791" xr:uid="{DDA16650-A49C-4471-8EA1-1CFCE0512095}"/>
    <cellStyle name="Comma 4 5 2 4 3 3" xfId="24494" xr:uid="{64E145E7-A2AF-4148-AD34-4AC2D45CC4D4}"/>
    <cellStyle name="Comma 4 5 2 4 4" xfId="10978" xr:uid="{D88D8946-3441-42DB-A04D-87B685FFFA00}"/>
    <cellStyle name="Comma 4 5 2 4 4 2" xfId="29574" xr:uid="{8CA9465B-2BF0-4225-AFF2-270EC2ADAC60}"/>
    <cellStyle name="Comma 4 5 2 4 5" xfId="20277" xr:uid="{7C9744C9-5942-42DF-B11B-8A1FA93ECEB8}"/>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6B5C9ADA-5727-4CDD-9DA3-FA72B79F31B5}"/>
    <cellStyle name="Comma 4 5 2 5 2 2 2 2" xfId="36349" xr:uid="{630A0F07-685A-4843-BBDC-3C497E008209}"/>
    <cellStyle name="Comma 4 5 2 5 2 2 3" xfId="27052" xr:uid="{40EDDDC0-263E-4D1B-8C96-F58E69C95E77}"/>
    <cellStyle name="Comma 4 5 2 5 2 3" xfId="13536" xr:uid="{7BDB7DF6-701F-40A7-A061-5CFDE8FDFD8D}"/>
    <cellStyle name="Comma 4 5 2 5 2 3 2" xfId="32132" xr:uid="{8EFA73A9-4E6A-4AFF-9D45-C7CD64563795}"/>
    <cellStyle name="Comma 4 5 2 5 2 4" xfId="22835" xr:uid="{CAA0B9D5-3980-413C-9788-53E92AA22CDF}"/>
    <cellStyle name="Comma 4 5 2 5 3" xfId="6282" xr:uid="{00000000-0005-0000-0000-0000370A0000}"/>
    <cellStyle name="Comma 4 5 2 5 3 2" xfId="15608" xr:uid="{4BF067D1-FDD0-457E-BB5C-04510B6F0994}"/>
    <cellStyle name="Comma 4 5 2 5 3 2 2" xfId="34204" xr:uid="{35041794-5C4B-4895-8487-3695B0986AE7}"/>
    <cellStyle name="Comma 4 5 2 5 3 3" xfId="24907" xr:uid="{25EA941A-EA5E-46B1-A831-584E42B75F40}"/>
    <cellStyle name="Comma 4 5 2 5 4" xfId="11391" xr:uid="{1A6E4960-6CCB-405D-975F-8BD1A48E356B}"/>
    <cellStyle name="Comma 4 5 2 5 4 2" xfId="29987" xr:uid="{C1F2F0BE-D480-45C7-BE2E-BA7C6F0E748D}"/>
    <cellStyle name="Comma 4 5 2 5 5" xfId="20690" xr:uid="{6F060798-E1A4-4F5A-884F-69543147D988}"/>
    <cellStyle name="Comma 4 5 2 6" xfId="2411" xr:uid="{00000000-0005-0000-0000-0000380A0000}"/>
    <cellStyle name="Comma 4 5 2 6 2" xfId="6695" xr:uid="{00000000-0005-0000-0000-0000390A0000}"/>
    <cellStyle name="Comma 4 5 2 6 2 2" xfId="16021" xr:uid="{208F336E-E5DC-4D86-B16E-B6C7AF95CAAC}"/>
    <cellStyle name="Comma 4 5 2 6 2 2 2" xfId="34617" xr:uid="{C53D0171-11E1-45C1-A4E5-29944E1E2311}"/>
    <cellStyle name="Comma 4 5 2 6 2 3" xfId="25320" xr:uid="{AC543BB4-0017-4907-BF3E-D20015412D85}"/>
    <cellStyle name="Comma 4 5 2 6 3" xfId="11804" xr:uid="{6DCE52B6-B7D1-42D5-81BE-79D510615841}"/>
    <cellStyle name="Comma 4 5 2 6 3 2" xfId="30400" xr:uid="{2CE6E622-0F54-4172-A5FA-CC9931AF1F18}"/>
    <cellStyle name="Comma 4 5 2 6 4" xfId="21103" xr:uid="{6030543D-5827-4425-A805-6A7F7DBAD47D}"/>
    <cellStyle name="Comma 4 5 2 7" xfId="2707" xr:uid="{00000000-0005-0000-0000-00003A0A0000}"/>
    <cellStyle name="Comma 4 5 2 8" xfId="2789" xr:uid="{00000000-0005-0000-0000-00003B0A0000}"/>
    <cellStyle name="Comma 4 5 2 8 2" xfId="7012" xr:uid="{00000000-0005-0000-0000-00003C0A0000}"/>
    <cellStyle name="Comma 4 5 2 8 2 2" xfId="16338" xr:uid="{A2AB33A1-69DA-4985-A2AC-9B51A6F4F4AD}"/>
    <cellStyle name="Comma 4 5 2 8 2 2 2" xfId="34934" xr:uid="{0919D00B-7878-43D7-8BCC-AB983823254E}"/>
    <cellStyle name="Comma 4 5 2 8 2 3" xfId="25637" xr:uid="{5550BDFD-4ADF-4E0D-890C-D89C144E2ECC}"/>
    <cellStyle name="Comma 4 5 2 8 3" xfId="12121" xr:uid="{14C00591-FE40-48FE-8960-CF8F122BC78B}"/>
    <cellStyle name="Comma 4 5 2 8 3 2" xfId="30717" xr:uid="{689C4A24-867D-4E15-A0DF-CFA0976C0B6B}"/>
    <cellStyle name="Comma 4 5 2 8 4" xfId="21420" xr:uid="{2F74A402-DB53-424A-8C56-FA9231556D5D}"/>
    <cellStyle name="Comma 4 5 2 9" xfId="4629" xr:uid="{00000000-0005-0000-0000-00003D0A0000}"/>
    <cellStyle name="Comma 4 5 2 9 2" xfId="13955" xr:uid="{DDB6FF23-C4C7-4DF6-824C-7F3055EA6BCA}"/>
    <cellStyle name="Comma 4 5 2 9 2 2" xfId="32551" xr:uid="{E7F94B98-B3AF-4E21-99CD-9CAC8283F671}"/>
    <cellStyle name="Comma 4 5 2 9 3" xfId="23254" xr:uid="{EFEC822D-B736-42A8-A3F9-2BA44B54CED3}"/>
    <cellStyle name="Comma 4 5 3" xfId="694" xr:uid="{00000000-0005-0000-0000-00003E0A0000}"/>
    <cellStyle name="Comma 4 5 3 2" xfId="2965" xr:uid="{00000000-0005-0000-0000-00003F0A0000}"/>
    <cellStyle name="Comma 4 5 3 2 2" xfId="7187" xr:uid="{00000000-0005-0000-0000-0000400A0000}"/>
    <cellStyle name="Comma 4 5 3 2 2 2" xfId="16513" xr:uid="{C6BA104C-E732-43A0-AF17-4BC583ADFEAE}"/>
    <cellStyle name="Comma 4 5 3 2 2 2 2" xfId="35109" xr:uid="{54A83047-1B0C-4210-8EFD-0E2E8E1A56E4}"/>
    <cellStyle name="Comma 4 5 3 2 2 3" xfId="25812" xr:uid="{F432DBCD-7CDB-4D94-9B70-C493DF47B93E}"/>
    <cellStyle name="Comma 4 5 3 2 3" xfId="12296" xr:uid="{566092BC-CB5D-49A0-BF7F-0255619F1BD3}"/>
    <cellStyle name="Comma 4 5 3 2 3 2" xfId="30892" xr:uid="{2BE28467-5EF5-4620-B641-B70F2077FD6D}"/>
    <cellStyle name="Comma 4 5 3 2 4" xfId="21595" xr:uid="{77AE739C-D53C-4F71-9C5F-766D0E19C466}"/>
    <cellStyle name="Comma 4 5 3 3" xfId="5042" xr:uid="{00000000-0005-0000-0000-0000410A0000}"/>
    <cellStyle name="Comma 4 5 3 3 2" xfId="14368" xr:uid="{19871619-3421-4C5E-ACB5-E42CA6878189}"/>
    <cellStyle name="Comma 4 5 3 3 2 2" xfId="32964" xr:uid="{597DFA8B-9EDD-458F-BE9E-4B799EE73685}"/>
    <cellStyle name="Comma 4 5 3 3 3" xfId="23667" xr:uid="{5E31130A-CDEF-4F61-BA14-24E299F0248B}"/>
    <cellStyle name="Comma 4 5 3 4" xfId="9274" xr:uid="{04AC3EF2-4A78-4DC5-BAB4-87936023C7E5}"/>
    <cellStyle name="Comma 4 5 3 4 2" xfId="18589" xr:uid="{8FA6F3A1-534B-4912-8D88-8B2CEB3F988C}"/>
    <cellStyle name="Comma 4 5 3 4 2 2" xfId="37183" xr:uid="{58225722-22B7-4568-8382-C54DE3BC3FD4}"/>
    <cellStyle name="Comma 4 5 3 4 3" xfId="27886" xr:uid="{63DE3B9B-4C4F-4196-B2C4-9AC017F8DF4E}"/>
    <cellStyle name="Comma 4 5 3 5" xfId="10151" xr:uid="{6D9DE087-2EAD-4B3D-8052-CFD23477526E}"/>
    <cellStyle name="Comma 4 5 3 5 2" xfId="28747" xr:uid="{D632BDA1-EED9-4374-9AEF-86D3D5B2C6A3}"/>
    <cellStyle name="Comma 4 5 3 6" xfId="19450" xr:uid="{ADEBCD24-33A9-4C7B-A64B-C445FF171482}"/>
    <cellStyle name="Comma 4 5 4" xfId="1147" xr:uid="{00000000-0005-0000-0000-0000420A0000}"/>
    <cellStyle name="Comma 4 5 4 2" xfId="3378" xr:uid="{00000000-0005-0000-0000-0000430A0000}"/>
    <cellStyle name="Comma 4 5 4 2 2" xfId="7600" xr:uid="{00000000-0005-0000-0000-0000440A0000}"/>
    <cellStyle name="Comma 4 5 4 2 2 2" xfId="16926" xr:uid="{23E38275-5A1E-4042-9CB4-56F87F50C4FF}"/>
    <cellStyle name="Comma 4 5 4 2 2 2 2" xfId="35522" xr:uid="{246B50AD-0D84-44E5-92B9-A157CA984EF7}"/>
    <cellStyle name="Comma 4 5 4 2 2 3" xfId="26225" xr:uid="{55331840-F325-47D7-A441-EF1C730A2359}"/>
    <cellStyle name="Comma 4 5 4 2 3" xfId="12709" xr:uid="{93903851-E87E-4A9C-8D35-14AFCE55152D}"/>
    <cellStyle name="Comma 4 5 4 2 3 2" xfId="31305" xr:uid="{026A71EE-94E6-4B17-B86B-A346C5B99652}"/>
    <cellStyle name="Comma 4 5 4 2 4" xfId="22008" xr:uid="{3FCE2D4F-C2B4-4EF7-9DF9-ACAA6566F360}"/>
    <cellStyle name="Comma 4 5 4 3" xfId="5455" xr:uid="{00000000-0005-0000-0000-0000450A0000}"/>
    <cellStyle name="Comma 4 5 4 3 2" xfId="14781" xr:uid="{6E1FF700-FB78-4294-9467-6CDA2593049A}"/>
    <cellStyle name="Comma 4 5 4 3 2 2" xfId="33377" xr:uid="{D139B245-A238-48B9-AC26-B6F03A9FA598}"/>
    <cellStyle name="Comma 4 5 4 3 3" xfId="24080" xr:uid="{6F71CDDA-C856-4463-93AD-57D2C78485F9}"/>
    <cellStyle name="Comma 4 5 4 4" xfId="10564" xr:uid="{B4FD3A0D-C72D-4EA6-8DB0-92E4B1A3AE37}"/>
    <cellStyle name="Comma 4 5 4 4 2" xfId="29160" xr:uid="{64152E9F-3AA6-42DB-981E-33D83CBB7F81}"/>
    <cellStyle name="Comma 4 5 4 5" xfId="19863" xr:uid="{30D8D936-ED7A-410C-91A9-D13850979F87}"/>
    <cellStyle name="Comma 4 5 5" xfId="1561" xr:uid="{00000000-0005-0000-0000-0000460A0000}"/>
    <cellStyle name="Comma 4 5 5 2" xfId="3791" xr:uid="{00000000-0005-0000-0000-0000470A0000}"/>
    <cellStyle name="Comma 4 5 5 2 2" xfId="8013" xr:uid="{00000000-0005-0000-0000-0000480A0000}"/>
    <cellStyle name="Comma 4 5 5 2 2 2" xfId="17339" xr:uid="{4D64EBA6-DBDF-4780-8224-7BFAD9C9D521}"/>
    <cellStyle name="Comma 4 5 5 2 2 2 2" xfId="35935" xr:uid="{21A0AF21-1C6E-42DC-AC24-28ABE3EEE27D}"/>
    <cellStyle name="Comma 4 5 5 2 2 3" xfId="26638" xr:uid="{62AB98FF-6255-4DA0-9E34-6A422C5E1791}"/>
    <cellStyle name="Comma 4 5 5 2 3" xfId="13122" xr:uid="{B7966E6B-DC1F-42C6-AABE-6C48E465EB9F}"/>
    <cellStyle name="Comma 4 5 5 2 3 2" xfId="31718" xr:uid="{CFA27011-4563-4E82-885A-565D9ECADFDF}"/>
    <cellStyle name="Comma 4 5 5 2 4" xfId="22421" xr:uid="{821F5E27-0B42-4B71-AF8C-04DB7F31E443}"/>
    <cellStyle name="Comma 4 5 5 3" xfId="5868" xr:uid="{00000000-0005-0000-0000-0000490A0000}"/>
    <cellStyle name="Comma 4 5 5 3 2" xfId="15194" xr:uid="{73D349B1-AC7E-4BB4-B8CA-4311C6916031}"/>
    <cellStyle name="Comma 4 5 5 3 2 2" xfId="33790" xr:uid="{A4D04C48-6AA9-40E7-B6B9-E8EF8023879C}"/>
    <cellStyle name="Comma 4 5 5 3 3" xfId="24493" xr:uid="{795838CB-DBA1-4E25-A622-B36820D8D4C9}"/>
    <cellStyle name="Comma 4 5 5 4" xfId="10977" xr:uid="{06A1ACEE-3211-4277-9B46-FA44F252AE46}"/>
    <cellStyle name="Comma 4 5 5 4 2" xfId="29573" xr:uid="{6C2A969F-FF54-428C-B556-72D94C39389C}"/>
    <cellStyle name="Comma 4 5 5 5" xfId="20276" xr:uid="{00B9C745-FA57-427D-ADDE-F51F5929AD82}"/>
    <cellStyle name="Comma 4 5 6" xfId="1975" xr:uid="{00000000-0005-0000-0000-00004A0A0000}"/>
    <cellStyle name="Comma 4 5 6 2" xfId="4204" xr:uid="{00000000-0005-0000-0000-00004B0A0000}"/>
    <cellStyle name="Comma 4 5 6 2 2" xfId="8426" xr:uid="{00000000-0005-0000-0000-00004C0A0000}"/>
    <cellStyle name="Comma 4 5 6 2 2 2" xfId="17752" xr:uid="{022E6A39-A259-4162-964C-424EF6A6815C}"/>
    <cellStyle name="Comma 4 5 6 2 2 2 2" xfId="36348" xr:uid="{D2AE4C4F-ECEB-4196-84E4-9C0E52B1A323}"/>
    <cellStyle name="Comma 4 5 6 2 2 3" xfId="27051" xr:uid="{DF6BCF71-A7E0-4ED7-8B91-C383F80AE64D}"/>
    <cellStyle name="Comma 4 5 6 2 3" xfId="13535" xr:uid="{0B626F31-D570-4E7A-B8A3-032053EB34B9}"/>
    <cellStyle name="Comma 4 5 6 2 3 2" xfId="32131" xr:uid="{4CE71C79-BA85-445B-BB35-D3B690E4B71B}"/>
    <cellStyle name="Comma 4 5 6 2 4" xfId="22834" xr:uid="{1B107B83-4805-4BEE-8CFA-7A0817AC5B76}"/>
    <cellStyle name="Comma 4 5 6 3" xfId="6281" xr:uid="{00000000-0005-0000-0000-00004D0A0000}"/>
    <cellStyle name="Comma 4 5 6 3 2" xfId="15607" xr:uid="{4155BC08-9F33-46D9-89DC-C9A62ED31BA6}"/>
    <cellStyle name="Comma 4 5 6 3 2 2" xfId="34203" xr:uid="{8D3F5EE7-DF26-4C4A-B6FD-692BCDE4E5BD}"/>
    <cellStyle name="Comma 4 5 6 3 3" xfId="24906" xr:uid="{77A4EB12-A3E2-44C8-8142-F7EE31583789}"/>
    <cellStyle name="Comma 4 5 6 4" xfId="11390" xr:uid="{4F429EF5-DC76-432F-8E73-8CE1048058F8}"/>
    <cellStyle name="Comma 4 5 6 4 2" xfId="29986" xr:uid="{0EEE8248-2E2B-4D6B-B9CA-D5A95A58215E}"/>
    <cellStyle name="Comma 4 5 6 5" xfId="20689" xr:uid="{CBCDE31E-F3D3-4EDF-A077-BDD639807713}"/>
    <cellStyle name="Comma 4 5 7" xfId="2410" xr:uid="{00000000-0005-0000-0000-00004E0A0000}"/>
    <cellStyle name="Comma 4 5 7 2" xfId="6694" xr:uid="{00000000-0005-0000-0000-00004F0A0000}"/>
    <cellStyle name="Comma 4 5 7 2 2" xfId="16020" xr:uid="{4AF45E9C-43D6-47BF-BC03-FA8DFF3671AB}"/>
    <cellStyle name="Comma 4 5 7 2 2 2" xfId="34616" xr:uid="{14FF0B3A-52AB-40FE-8A8F-84F050BAB05C}"/>
    <cellStyle name="Comma 4 5 7 2 3" xfId="25319" xr:uid="{EB5F85E0-A809-4C54-B6FD-0BC86369111B}"/>
    <cellStyle name="Comma 4 5 7 3" xfId="11803" xr:uid="{26160A3F-8969-4673-AC71-8F8FC1DAE3BD}"/>
    <cellStyle name="Comma 4 5 7 3 2" xfId="30399" xr:uid="{E2FEB99C-E40F-4F48-B4EA-3A61CF3D8865}"/>
    <cellStyle name="Comma 4 5 7 4" xfId="21102" xr:uid="{2940F9E3-EAE2-415A-B8F3-BD933898F582}"/>
    <cellStyle name="Comma 4 5 8" xfId="2706" xr:uid="{00000000-0005-0000-0000-0000500A0000}"/>
    <cellStyle name="Comma 4 5 9" xfId="2788" xr:uid="{00000000-0005-0000-0000-0000510A0000}"/>
    <cellStyle name="Comma 4 5 9 2" xfId="7011" xr:uid="{00000000-0005-0000-0000-0000520A0000}"/>
    <cellStyle name="Comma 4 5 9 2 2" xfId="16337" xr:uid="{19CA3731-0D63-4688-A411-FD99013C248C}"/>
    <cellStyle name="Comma 4 5 9 2 2 2" xfId="34933" xr:uid="{165621DF-1CCC-4FF9-8AFA-85D57D528345}"/>
    <cellStyle name="Comma 4 5 9 2 3" xfId="25636" xr:uid="{E4FC1BCC-4776-4A8D-9883-841A91E353B1}"/>
    <cellStyle name="Comma 4 5 9 3" xfId="12120" xr:uid="{DF1AABF3-207E-46B0-A6F1-AC927FD82085}"/>
    <cellStyle name="Comma 4 5 9 3 2" xfId="30716" xr:uid="{A149DB90-3B14-4D39-A48F-D1302CC96F26}"/>
    <cellStyle name="Comma 4 5 9 4" xfId="21419" xr:uid="{0677007C-12B0-4206-B559-A9FE5A586C92}"/>
    <cellStyle name="Comma 4 6" xfId="159" xr:uid="{00000000-0005-0000-0000-0000530A0000}"/>
    <cellStyle name="Comma 4 6 10" xfId="8965" xr:uid="{FDA33E7D-96B8-46F2-87D8-5CB6C30A4CC6}"/>
    <cellStyle name="Comma 4 6 10 2" xfId="18289" xr:uid="{A9ADFBA1-1325-4DDB-813A-EC1D0D6BC773}"/>
    <cellStyle name="Comma 4 6 10 2 2" xfId="36884" xr:uid="{A36DCBBD-0C29-47BB-9DF8-DA0729BB01C8}"/>
    <cellStyle name="Comma 4 6 10 3" xfId="27587" xr:uid="{FC320142-C14E-4CA4-8B7D-F08FAD10BDBC}"/>
    <cellStyle name="Comma 4 6 11" xfId="9739" xr:uid="{6136C741-5B19-4683-861F-144065E020C5}"/>
    <cellStyle name="Comma 4 6 11 2" xfId="28335" xr:uid="{E61D1432-F133-4041-A7B0-902EEA8291F8}"/>
    <cellStyle name="Comma 4 6 12" xfId="19038" xr:uid="{967D7C8B-195C-410B-B07F-43726A64F38F}"/>
    <cellStyle name="Comma 4 6 2" xfId="696" xr:uid="{00000000-0005-0000-0000-0000540A0000}"/>
    <cellStyle name="Comma 4 6 2 2" xfId="2967" xr:uid="{00000000-0005-0000-0000-0000550A0000}"/>
    <cellStyle name="Comma 4 6 2 2 2" xfId="7189" xr:uid="{00000000-0005-0000-0000-0000560A0000}"/>
    <cellStyle name="Comma 4 6 2 2 2 2" xfId="16515" xr:uid="{BE855881-3BBE-47B3-B674-B0C7B4A5B089}"/>
    <cellStyle name="Comma 4 6 2 2 2 2 2" xfId="35111" xr:uid="{216730D9-B4D5-4E3A-886E-91567A6FC55D}"/>
    <cellStyle name="Comma 4 6 2 2 2 3" xfId="25814" xr:uid="{48F9C7E8-4F35-4842-952F-1DDEA02EF8E1}"/>
    <cellStyle name="Comma 4 6 2 2 3" xfId="12298" xr:uid="{1070CD01-F488-4C9B-8B75-63C1F0950C11}"/>
    <cellStyle name="Comma 4 6 2 2 3 2" xfId="30894" xr:uid="{E6DF64D8-7EF2-4DBD-9A82-E58662FFE818}"/>
    <cellStyle name="Comma 4 6 2 2 4" xfId="21597" xr:uid="{80F9BEF8-9942-4844-AC5F-DCCCD33CF8D2}"/>
    <cellStyle name="Comma 4 6 2 3" xfId="5044" xr:uid="{00000000-0005-0000-0000-0000570A0000}"/>
    <cellStyle name="Comma 4 6 2 3 2" xfId="14370" xr:uid="{7098E842-5E63-4196-A6FE-FEF943C6FF3C}"/>
    <cellStyle name="Comma 4 6 2 3 2 2" xfId="32966" xr:uid="{9308E7A4-EC9B-46C5-9E39-9E46C56B94CC}"/>
    <cellStyle name="Comma 4 6 2 3 3" xfId="23669" xr:uid="{8F9EA0AA-A7C7-499F-89CF-0C0A7EB8EE2A}"/>
    <cellStyle name="Comma 4 6 2 4" xfId="9390" xr:uid="{F8012948-A58F-476A-B4CF-A63C8F36D5B6}"/>
    <cellStyle name="Comma 4 6 2 4 2" xfId="18705" xr:uid="{CC23FD30-191A-451F-95AD-7FD27F11AE26}"/>
    <cellStyle name="Comma 4 6 2 4 2 2" xfId="37299" xr:uid="{9155FEE8-A5CA-40B0-8192-B09D926A13C1}"/>
    <cellStyle name="Comma 4 6 2 4 3" xfId="28002" xr:uid="{7A217103-BAB0-42AB-A936-7FE7F2104802}"/>
    <cellStyle name="Comma 4 6 2 5" xfId="10153" xr:uid="{E1AC147F-4D78-4075-BCF0-7769FD6A39F0}"/>
    <cellStyle name="Comma 4 6 2 5 2" xfId="28749" xr:uid="{A40AE6A1-06DB-4FB3-BFE3-8EBD9DEBE163}"/>
    <cellStyle name="Comma 4 6 2 6" xfId="19452" xr:uid="{5ABC45F2-6253-46CB-A72A-D72850339812}"/>
    <cellStyle name="Comma 4 6 3" xfId="1149" xr:uid="{00000000-0005-0000-0000-0000580A0000}"/>
    <cellStyle name="Comma 4 6 3 2" xfId="3380" xr:uid="{00000000-0005-0000-0000-0000590A0000}"/>
    <cellStyle name="Comma 4 6 3 2 2" xfId="7602" xr:uid="{00000000-0005-0000-0000-00005A0A0000}"/>
    <cellStyle name="Comma 4 6 3 2 2 2" xfId="16928" xr:uid="{03BBB3D9-69D9-4EE0-9DAB-8407CD6EB0C9}"/>
    <cellStyle name="Comma 4 6 3 2 2 2 2" xfId="35524" xr:uid="{7E80BE76-A5B2-4C03-87D2-F3B2450CBBA3}"/>
    <cellStyle name="Comma 4 6 3 2 2 3" xfId="26227" xr:uid="{457518EC-3A08-40F7-9663-E83E79A25386}"/>
    <cellStyle name="Comma 4 6 3 2 3" xfId="12711" xr:uid="{F655AB0D-DDB3-44A8-9F19-70453ABB2C01}"/>
    <cellStyle name="Comma 4 6 3 2 3 2" xfId="31307" xr:uid="{6137DB2F-EB7A-439C-8E0D-00FECCF11F17}"/>
    <cellStyle name="Comma 4 6 3 2 4" xfId="22010" xr:uid="{63A9029A-A8B8-43F9-B998-ECDF6047ED85}"/>
    <cellStyle name="Comma 4 6 3 3" xfId="5457" xr:uid="{00000000-0005-0000-0000-00005B0A0000}"/>
    <cellStyle name="Comma 4 6 3 3 2" xfId="14783" xr:uid="{5C4D1B5D-D616-4409-AE5D-5D8294BB4511}"/>
    <cellStyle name="Comma 4 6 3 3 2 2" xfId="33379" xr:uid="{3146E47A-ACDD-4F74-90EF-412603B0F487}"/>
    <cellStyle name="Comma 4 6 3 3 3" xfId="24082" xr:uid="{D97701B9-0109-4202-87FB-5564325539F5}"/>
    <cellStyle name="Comma 4 6 3 4" xfId="10566" xr:uid="{F0CF1861-0AED-496B-9EF7-17C5FFA68AA3}"/>
    <cellStyle name="Comma 4 6 3 4 2" xfId="29162" xr:uid="{4ADC4F77-89D6-4D85-9956-21AC3BAB9000}"/>
    <cellStyle name="Comma 4 6 3 5" xfId="19865" xr:uid="{88A4BD80-34AF-49C0-9C42-14CDC1BD3DA7}"/>
    <cellStyle name="Comma 4 6 4" xfId="1563" xr:uid="{00000000-0005-0000-0000-00005C0A0000}"/>
    <cellStyle name="Comma 4 6 4 2" xfId="3793" xr:uid="{00000000-0005-0000-0000-00005D0A0000}"/>
    <cellStyle name="Comma 4 6 4 2 2" xfId="8015" xr:uid="{00000000-0005-0000-0000-00005E0A0000}"/>
    <cellStyle name="Comma 4 6 4 2 2 2" xfId="17341" xr:uid="{A986B202-9B9C-4DE7-B741-CD1C74690CA7}"/>
    <cellStyle name="Comma 4 6 4 2 2 2 2" xfId="35937" xr:uid="{8060E5A5-94EC-4E0F-9877-845E58143B64}"/>
    <cellStyle name="Comma 4 6 4 2 2 3" xfId="26640" xr:uid="{A6B43E90-366D-4A1A-9CED-F2849E3811AB}"/>
    <cellStyle name="Comma 4 6 4 2 3" xfId="13124" xr:uid="{66157F44-FF8A-4620-A35D-68576EE6D4FE}"/>
    <cellStyle name="Comma 4 6 4 2 3 2" xfId="31720" xr:uid="{6E66FFE5-F7A8-4262-B2FD-AB86775C0C3E}"/>
    <cellStyle name="Comma 4 6 4 2 4" xfId="22423" xr:uid="{3EC2C057-BACD-4810-A319-C768DCAFA227}"/>
    <cellStyle name="Comma 4 6 4 3" xfId="5870" xr:uid="{00000000-0005-0000-0000-00005F0A0000}"/>
    <cellStyle name="Comma 4 6 4 3 2" xfId="15196" xr:uid="{687A2F33-C3D7-4DB8-B794-DB237AC1A00C}"/>
    <cellStyle name="Comma 4 6 4 3 2 2" xfId="33792" xr:uid="{450989FC-783E-4183-968E-D410377E3D34}"/>
    <cellStyle name="Comma 4 6 4 3 3" xfId="24495" xr:uid="{69176E21-A2CF-41D9-827D-76EF0149CA6A}"/>
    <cellStyle name="Comma 4 6 4 4" xfId="10979" xr:uid="{F0958C57-1345-4C7B-8660-564F27521CB0}"/>
    <cellStyle name="Comma 4 6 4 4 2" xfId="29575" xr:uid="{B2C9E4C7-50B7-43C6-87DD-E70B9ACEC477}"/>
    <cellStyle name="Comma 4 6 4 5" xfId="20278" xr:uid="{DDCE41BD-2DF7-49F7-A71F-77B72A5C877A}"/>
    <cellStyle name="Comma 4 6 5" xfId="1977" xr:uid="{00000000-0005-0000-0000-0000600A0000}"/>
    <cellStyle name="Comma 4 6 5 2" xfId="4206" xr:uid="{00000000-0005-0000-0000-0000610A0000}"/>
    <cellStyle name="Comma 4 6 5 2 2" xfId="8428" xr:uid="{00000000-0005-0000-0000-0000620A0000}"/>
    <cellStyle name="Comma 4 6 5 2 2 2" xfId="17754" xr:uid="{D51E4F7A-D25E-4C1A-BB7E-37C72D6CBA2F}"/>
    <cellStyle name="Comma 4 6 5 2 2 2 2" xfId="36350" xr:uid="{4E0986AD-85AE-41DF-B77C-43808BEEEF8B}"/>
    <cellStyle name="Comma 4 6 5 2 2 3" xfId="27053" xr:uid="{8505DB6A-293D-4116-8307-79F5BC6CA7D3}"/>
    <cellStyle name="Comma 4 6 5 2 3" xfId="13537" xr:uid="{C7933BE9-0FD6-47AC-8700-68AB2343CCAA}"/>
    <cellStyle name="Comma 4 6 5 2 3 2" xfId="32133" xr:uid="{16AA1D66-C3BC-43CC-A1A5-44DE7811CF1E}"/>
    <cellStyle name="Comma 4 6 5 2 4" xfId="22836" xr:uid="{9155C3F2-31FE-48F2-9D99-9BCE46999EC6}"/>
    <cellStyle name="Comma 4 6 5 3" xfId="6283" xr:uid="{00000000-0005-0000-0000-0000630A0000}"/>
    <cellStyle name="Comma 4 6 5 3 2" xfId="15609" xr:uid="{8F40DD3A-DB73-416C-8354-72BD5AEEE375}"/>
    <cellStyle name="Comma 4 6 5 3 2 2" xfId="34205" xr:uid="{B0ED64E0-E103-4231-9F12-21549B5D434F}"/>
    <cellStyle name="Comma 4 6 5 3 3" xfId="24908" xr:uid="{1391E6B1-9E89-4628-B1BA-AC3E2DFA5E4C}"/>
    <cellStyle name="Comma 4 6 5 4" xfId="11392" xr:uid="{7884800B-D765-40C2-97D5-D4E58E63B7B0}"/>
    <cellStyle name="Comma 4 6 5 4 2" xfId="29988" xr:uid="{D54E018E-C784-4A16-8508-246239C946B7}"/>
    <cellStyle name="Comma 4 6 5 5" xfId="20691" xr:uid="{6757D72D-BA31-4352-86C3-9AAA76BC89F3}"/>
    <cellStyle name="Comma 4 6 6" xfId="2412" xr:uid="{00000000-0005-0000-0000-0000640A0000}"/>
    <cellStyle name="Comma 4 6 6 2" xfId="6696" xr:uid="{00000000-0005-0000-0000-0000650A0000}"/>
    <cellStyle name="Comma 4 6 6 2 2" xfId="16022" xr:uid="{93F6CD25-94EA-419E-BC89-119AA208ED51}"/>
    <cellStyle name="Comma 4 6 6 2 2 2" xfId="34618" xr:uid="{2F91EF03-B345-493F-B4D5-432919DAB02A}"/>
    <cellStyle name="Comma 4 6 6 2 3" xfId="25321" xr:uid="{754E08EB-6033-428D-9CCD-0941F82446DB}"/>
    <cellStyle name="Comma 4 6 6 3" xfId="11805" xr:uid="{6EDFD385-AF53-49EE-B88A-8216BBC4BA89}"/>
    <cellStyle name="Comma 4 6 6 3 2" xfId="30401" xr:uid="{8A7AB29E-CA8B-4451-8C55-8FAB9E479474}"/>
    <cellStyle name="Comma 4 6 6 4" xfId="21104" xr:uid="{D87D69D1-9E7F-44CB-8B03-FADE4CF1C5E5}"/>
    <cellStyle name="Comma 4 6 7" xfId="2708" xr:uid="{00000000-0005-0000-0000-0000660A0000}"/>
    <cellStyle name="Comma 4 6 8" xfId="2790" xr:uid="{00000000-0005-0000-0000-0000670A0000}"/>
    <cellStyle name="Comma 4 6 8 2" xfId="7013" xr:uid="{00000000-0005-0000-0000-0000680A0000}"/>
    <cellStyle name="Comma 4 6 8 2 2" xfId="16339" xr:uid="{28AA1FF4-1A01-43E0-A8B0-D215A9020348}"/>
    <cellStyle name="Comma 4 6 8 2 2 2" xfId="34935" xr:uid="{E7455631-7425-420C-9238-AE643AF4695D}"/>
    <cellStyle name="Comma 4 6 8 2 3" xfId="25638" xr:uid="{DB98FEAE-FA1B-4E6B-B86E-A360E2BC253F}"/>
    <cellStyle name="Comma 4 6 8 3" xfId="12122" xr:uid="{6A397209-6EC6-49F7-80EF-558E17FD4DCC}"/>
    <cellStyle name="Comma 4 6 8 3 2" xfId="30718" xr:uid="{FD875A60-6DEC-4DD7-BECF-ECD22834292B}"/>
    <cellStyle name="Comma 4 6 8 4" xfId="21421" xr:uid="{AD767E6D-ED10-4963-B32D-59C0417F7F93}"/>
    <cellStyle name="Comma 4 6 9" xfId="4630" xr:uid="{00000000-0005-0000-0000-0000690A0000}"/>
    <cellStyle name="Comma 4 6 9 2" xfId="13956" xr:uid="{0D480596-29EE-4587-A8D9-AC975F749609}"/>
    <cellStyle name="Comma 4 6 9 2 2" xfId="32552" xr:uid="{78992E8B-D992-4243-B9D7-D27BF33FB686}"/>
    <cellStyle name="Comma 4 6 9 3" xfId="23255" xr:uid="{64005918-B8CA-419B-A734-0C022FD01819}"/>
    <cellStyle name="Comma 4 7" xfId="160" xr:uid="{00000000-0005-0000-0000-00006A0A0000}"/>
    <cellStyle name="Comma 4 7 10" xfId="9168" xr:uid="{C5EF0C72-87BD-43A9-8A23-92F9D9423F50}"/>
    <cellStyle name="Comma 4 7 10 2" xfId="18486" xr:uid="{7AFC54D5-7B7D-4C06-AF1C-9B9F2B077DF6}"/>
    <cellStyle name="Comma 4 7 10 2 2" xfId="37080" xr:uid="{1482C523-7014-4E81-A0D6-A77EB8341DA7}"/>
    <cellStyle name="Comma 4 7 10 3" xfId="27783" xr:uid="{288ECC1A-4270-400A-974F-D36A12EDBA45}"/>
    <cellStyle name="Comma 4 7 11" xfId="9740" xr:uid="{E5AB278F-0678-4017-BA3C-5056D558B93F}"/>
    <cellStyle name="Comma 4 7 11 2" xfId="28336" xr:uid="{D6262577-6541-49C2-856E-8F92F4EA5326}"/>
    <cellStyle name="Comma 4 7 12" xfId="19039" xr:uid="{407F2C62-607B-4CC7-8616-226B766EDEA7}"/>
    <cellStyle name="Comma 4 7 2" xfId="697" xr:uid="{00000000-0005-0000-0000-00006B0A0000}"/>
    <cellStyle name="Comma 4 7 2 2" xfId="2968" xr:uid="{00000000-0005-0000-0000-00006C0A0000}"/>
    <cellStyle name="Comma 4 7 2 2 2" xfId="7190" xr:uid="{00000000-0005-0000-0000-00006D0A0000}"/>
    <cellStyle name="Comma 4 7 2 2 2 2" xfId="16516" xr:uid="{4B41E229-9FF0-4208-8FE1-6F821D19D1D0}"/>
    <cellStyle name="Comma 4 7 2 2 2 2 2" xfId="35112" xr:uid="{04367D77-25A8-4326-93AF-6E7E38C67872}"/>
    <cellStyle name="Comma 4 7 2 2 2 3" xfId="25815" xr:uid="{45133A01-C6EA-46B5-B3A9-2BCB3D1B6A27}"/>
    <cellStyle name="Comma 4 7 2 2 3" xfId="12299" xr:uid="{BB9E03E5-8026-4303-B238-DB4903DABE72}"/>
    <cellStyle name="Comma 4 7 2 2 3 2" xfId="30895" xr:uid="{A9001090-16BD-488D-9F7C-DC1D1DD0B102}"/>
    <cellStyle name="Comma 4 7 2 2 4" xfId="21598" xr:uid="{C89B1599-81AC-47A8-ADE9-A6FB02907449}"/>
    <cellStyle name="Comma 4 7 2 3" xfId="5045" xr:uid="{00000000-0005-0000-0000-00006E0A0000}"/>
    <cellStyle name="Comma 4 7 2 3 2" xfId="14371" xr:uid="{55287A57-3D72-4272-A9AE-95044B063952}"/>
    <cellStyle name="Comma 4 7 2 3 2 2" xfId="32967" xr:uid="{720F23FA-66C1-4BA0-A414-52093F006561}"/>
    <cellStyle name="Comma 4 7 2 3 3" xfId="23670" xr:uid="{1564BF45-6B51-4733-A5D5-A4237F96001F}"/>
    <cellStyle name="Comma 4 7 2 4" xfId="9596" xr:uid="{F4A1C070-02C1-4F2A-89F2-15465D9BEBB2}"/>
    <cellStyle name="Comma 4 7 2 4 2" xfId="18900" xr:uid="{AC9A8F30-F577-48C4-9B79-7187C1E53C1B}"/>
    <cellStyle name="Comma 4 7 2 4 2 2" xfId="37494" xr:uid="{D678B14C-6FF5-43BE-BBEA-E852D923D295}"/>
    <cellStyle name="Comma 4 7 2 4 3" xfId="28197" xr:uid="{082E1E92-827D-4AD0-8339-A50D9EDFA20E}"/>
    <cellStyle name="Comma 4 7 2 5" xfId="10154" xr:uid="{83528635-F13D-4977-B9C7-6E242E6F1F88}"/>
    <cellStyle name="Comma 4 7 2 5 2" xfId="28750" xr:uid="{C803D77A-2768-42B8-8FB3-56733CA2D003}"/>
    <cellStyle name="Comma 4 7 2 6" xfId="19453" xr:uid="{47E0224E-6554-4103-8492-D59A8DCFACEA}"/>
    <cellStyle name="Comma 4 7 3" xfId="1150" xr:uid="{00000000-0005-0000-0000-00006F0A0000}"/>
    <cellStyle name="Comma 4 7 3 2" xfId="3381" xr:uid="{00000000-0005-0000-0000-0000700A0000}"/>
    <cellStyle name="Comma 4 7 3 2 2" xfId="7603" xr:uid="{00000000-0005-0000-0000-0000710A0000}"/>
    <cellStyle name="Comma 4 7 3 2 2 2" xfId="16929" xr:uid="{7578B84F-4EC2-40A8-92B8-9F00006369CF}"/>
    <cellStyle name="Comma 4 7 3 2 2 2 2" xfId="35525" xr:uid="{AAE8005A-D9D5-468E-AE9F-7A17E36779D6}"/>
    <cellStyle name="Comma 4 7 3 2 2 3" xfId="26228" xr:uid="{C8C2DC75-0126-45A3-B8FD-842803C66321}"/>
    <cellStyle name="Comma 4 7 3 2 3" xfId="12712" xr:uid="{6C10BB34-89A2-4EED-97F7-39E9124D8249}"/>
    <cellStyle name="Comma 4 7 3 2 3 2" xfId="31308" xr:uid="{4EC77E98-DB70-4561-8EAA-361386FA09CB}"/>
    <cellStyle name="Comma 4 7 3 2 4" xfId="22011" xr:uid="{3F87DC37-8CA1-4AF1-9DD0-5E5A5A12C062}"/>
    <cellStyle name="Comma 4 7 3 3" xfId="5458" xr:uid="{00000000-0005-0000-0000-0000720A0000}"/>
    <cellStyle name="Comma 4 7 3 3 2" xfId="14784" xr:uid="{85B2B2B2-628A-4D70-9784-B896334D2700}"/>
    <cellStyle name="Comma 4 7 3 3 2 2" xfId="33380" xr:uid="{671C6991-052C-46D3-8E61-27534A06AD1B}"/>
    <cellStyle name="Comma 4 7 3 3 3" xfId="24083" xr:uid="{522C8DCC-F8F2-4E12-A30C-DD85C88C62FB}"/>
    <cellStyle name="Comma 4 7 3 4" xfId="10567" xr:uid="{EA86B16E-9A98-45BD-A4B1-316DD16BF45A}"/>
    <cellStyle name="Comma 4 7 3 4 2" xfId="29163" xr:uid="{AE0F21FB-D752-40BC-846A-C79A043CF879}"/>
    <cellStyle name="Comma 4 7 3 5" xfId="19866" xr:uid="{F3AB3BEF-CA5F-4B17-A262-67CB4321B576}"/>
    <cellStyle name="Comma 4 7 4" xfId="1564" xr:uid="{00000000-0005-0000-0000-0000730A0000}"/>
    <cellStyle name="Comma 4 7 4 2" xfId="3794" xr:uid="{00000000-0005-0000-0000-0000740A0000}"/>
    <cellStyle name="Comma 4 7 4 2 2" xfId="8016" xr:uid="{00000000-0005-0000-0000-0000750A0000}"/>
    <cellStyle name="Comma 4 7 4 2 2 2" xfId="17342" xr:uid="{46B8CC02-EA5A-4F72-9699-3420C116CEED}"/>
    <cellStyle name="Comma 4 7 4 2 2 2 2" xfId="35938" xr:uid="{29DD66B7-85EF-4E0D-9842-54239D448726}"/>
    <cellStyle name="Comma 4 7 4 2 2 3" xfId="26641" xr:uid="{A193EB04-EA36-4811-8D35-4EFDCE6C5E10}"/>
    <cellStyle name="Comma 4 7 4 2 3" xfId="13125" xr:uid="{A1F11D9A-4AAE-4BAD-8BC9-B2DBDDED2351}"/>
    <cellStyle name="Comma 4 7 4 2 3 2" xfId="31721" xr:uid="{F70A29CA-4B89-45BE-A6D1-6F99B3382153}"/>
    <cellStyle name="Comma 4 7 4 2 4" xfId="22424" xr:uid="{9960BAD6-C449-4044-8293-4EE7465486F8}"/>
    <cellStyle name="Comma 4 7 4 3" xfId="5871" xr:uid="{00000000-0005-0000-0000-0000760A0000}"/>
    <cellStyle name="Comma 4 7 4 3 2" xfId="15197" xr:uid="{CC9069C8-6841-4852-A51B-E91213ECE7D5}"/>
    <cellStyle name="Comma 4 7 4 3 2 2" xfId="33793" xr:uid="{EA85EED3-A2A2-4E04-A65F-251DD06C05B2}"/>
    <cellStyle name="Comma 4 7 4 3 3" xfId="24496" xr:uid="{74603CA9-A956-4B38-AF7C-2E0A789D0DB7}"/>
    <cellStyle name="Comma 4 7 4 4" xfId="10980" xr:uid="{9EEA2EF1-AC3D-483E-BEC3-84F0077E0774}"/>
    <cellStyle name="Comma 4 7 4 4 2" xfId="29576" xr:uid="{51DA3286-703D-4EA7-90A8-14082120A870}"/>
    <cellStyle name="Comma 4 7 4 5" xfId="20279" xr:uid="{33B84ABF-170D-4501-B7A0-7F5F59538D74}"/>
    <cellStyle name="Comma 4 7 5" xfId="1978" xr:uid="{00000000-0005-0000-0000-0000770A0000}"/>
    <cellStyle name="Comma 4 7 5 2" xfId="4207" xr:uid="{00000000-0005-0000-0000-0000780A0000}"/>
    <cellStyle name="Comma 4 7 5 2 2" xfId="8429" xr:uid="{00000000-0005-0000-0000-0000790A0000}"/>
    <cellStyle name="Comma 4 7 5 2 2 2" xfId="17755" xr:uid="{23541E65-C076-43F2-891A-193CB60256C2}"/>
    <cellStyle name="Comma 4 7 5 2 2 2 2" xfId="36351" xr:uid="{4B161D4A-D549-43FC-B2E6-CCAB10E28990}"/>
    <cellStyle name="Comma 4 7 5 2 2 3" xfId="27054" xr:uid="{F7374D7A-CD60-4FE9-BF2E-3F93FE5B4D6B}"/>
    <cellStyle name="Comma 4 7 5 2 3" xfId="13538" xr:uid="{292D03E2-9D00-4F1C-8027-12B645FD7513}"/>
    <cellStyle name="Comma 4 7 5 2 3 2" xfId="32134" xr:uid="{FA7F666A-15E2-425E-AD55-1016FA61EA81}"/>
    <cellStyle name="Comma 4 7 5 2 4" xfId="22837" xr:uid="{299B0168-D508-48CD-B6A2-5A72FE9C80AD}"/>
    <cellStyle name="Comma 4 7 5 3" xfId="6284" xr:uid="{00000000-0005-0000-0000-00007A0A0000}"/>
    <cellStyle name="Comma 4 7 5 3 2" xfId="15610" xr:uid="{20D05B8C-9211-4A6C-874C-A87E7506B634}"/>
    <cellStyle name="Comma 4 7 5 3 2 2" xfId="34206" xr:uid="{EF6CB4B6-F957-4823-8794-8E4DC81EE1A4}"/>
    <cellStyle name="Comma 4 7 5 3 3" xfId="24909" xr:uid="{8CB4C6EA-98EB-41FE-BA14-962C1D9C75BC}"/>
    <cellStyle name="Comma 4 7 5 4" xfId="11393" xr:uid="{D98C9B67-599A-4F77-8F4F-75CE7DA68D73}"/>
    <cellStyle name="Comma 4 7 5 4 2" xfId="29989" xr:uid="{53365723-AE9A-46F5-9CF5-15323877A457}"/>
    <cellStyle name="Comma 4 7 5 5" xfId="20692" xr:uid="{36F80EF8-F396-4675-909A-262BA046B93C}"/>
    <cellStyle name="Comma 4 7 6" xfId="2413" xr:uid="{00000000-0005-0000-0000-00007B0A0000}"/>
    <cellStyle name="Comma 4 7 6 2" xfId="6697" xr:uid="{00000000-0005-0000-0000-00007C0A0000}"/>
    <cellStyle name="Comma 4 7 6 2 2" xfId="16023" xr:uid="{D00F7CEE-07EA-4468-ACFE-1568DD3CE6DC}"/>
    <cellStyle name="Comma 4 7 6 2 2 2" xfId="34619" xr:uid="{3B163CFA-7FD7-4992-904F-153F3897B836}"/>
    <cellStyle name="Comma 4 7 6 2 3" xfId="25322" xr:uid="{14798168-A93F-40BE-A12A-AA5750AE75F9}"/>
    <cellStyle name="Comma 4 7 6 3" xfId="11806" xr:uid="{4097045C-849A-418B-83AD-FDD9BE00FEEE}"/>
    <cellStyle name="Comma 4 7 6 3 2" xfId="30402" xr:uid="{03BA9824-23B3-459D-8BE0-8B1D19359F7B}"/>
    <cellStyle name="Comma 4 7 6 4" xfId="21105" xr:uid="{00B62B9C-987F-4EAB-AFBE-1A8EE653FCC6}"/>
    <cellStyle name="Comma 4 7 7" xfId="2709" xr:uid="{00000000-0005-0000-0000-00007D0A0000}"/>
    <cellStyle name="Comma 4 7 8" xfId="2791" xr:uid="{00000000-0005-0000-0000-00007E0A0000}"/>
    <cellStyle name="Comma 4 7 8 2" xfId="7014" xr:uid="{00000000-0005-0000-0000-00007F0A0000}"/>
    <cellStyle name="Comma 4 7 8 2 2" xfId="16340" xr:uid="{6A80F05D-795A-4AC2-8293-01351F5BC2D9}"/>
    <cellStyle name="Comma 4 7 8 2 2 2" xfId="34936" xr:uid="{AAD97480-345D-4BAA-AA3E-80A48605634E}"/>
    <cellStyle name="Comma 4 7 8 2 3" xfId="25639" xr:uid="{218AEFCB-6B5C-4909-BD9A-145F53F261AA}"/>
    <cellStyle name="Comma 4 7 8 3" xfId="12123" xr:uid="{17B521E0-BB04-4044-86A6-63E626D6598E}"/>
    <cellStyle name="Comma 4 7 8 3 2" xfId="30719" xr:uid="{95228A32-5BCD-48BD-AABA-BEE15626491E}"/>
    <cellStyle name="Comma 4 7 8 4" xfId="21422" xr:uid="{EC50BCA5-CA91-4021-9C38-6D1E894645C6}"/>
    <cellStyle name="Comma 4 7 9" xfId="4631" xr:uid="{00000000-0005-0000-0000-0000800A0000}"/>
    <cellStyle name="Comma 4 7 9 2" xfId="13957" xr:uid="{4AB99856-CCF8-4FC6-B2DF-3553BD711D0E}"/>
    <cellStyle name="Comma 4 7 9 2 2" xfId="32553" xr:uid="{94E1A53C-B53A-49E7-AFD6-C023751B8397}"/>
    <cellStyle name="Comma 4 7 9 3" xfId="23256" xr:uid="{10AA2019-701B-4B6B-B7AC-5C6D678082D8}"/>
    <cellStyle name="Comma 4 8" xfId="9193" xr:uid="{D2F7B7D5-1187-4B94-96D8-1D61B28E4E34}"/>
    <cellStyle name="Comma 4 9" xfId="8746" xr:uid="{EB6F8E1D-15EE-4A1C-A7FF-36C2A43F5A26}"/>
    <cellStyle name="Comma 4 9 2" xfId="18070" xr:uid="{7D6528AC-D6DB-4E72-99F6-D744F09D74F2}"/>
    <cellStyle name="Comma 4 9 2 2" xfId="36665" xr:uid="{A231DCC3-C0F2-4F67-A4FC-02AEA0AFC343}"/>
    <cellStyle name="Comma 4 9 3" xfId="27368" xr:uid="{AC375486-6309-418B-A2CC-446A27A1C449}"/>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2 2" xfId="18895" xr:uid="{0AF28DA6-29BA-4A12-A61A-56E4A288BE7A}"/>
    <cellStyle name="Comma 7 2 2 2" xfId="37489" xr:uid="{5E28ED84-D218-40A0-8AE0-C4FBE4374C42}"/>
    <cellStyle name="Comma 7 2 3" xfId="28192" xr:uid="{E00B1711-4889-4890-9545-D712AFFB14C0}"/>
    <cellStyle name="Comma 7 3" xfId="9589" xr:uid="{E5FB568C-33F4-49EE-BE6E-4022B43BCBB9}"/>
    <cellStyle name="Comma 7 4" xfId="13825" xr:uid="{F08A8B39-85D3-4B01-81C0-B815CF538353}"/>
    <cellStyle name="Comma 7 4 2" xfId="32421" xr:uid="{34D27949-FB8D-4D85-B563-00F9EB30D42D}"/>
    <cellStyle name="Comma 7 5" xfId="23124" xr:uid="{1489A7AF-4368-40D0-AEE9-FB8E7AB548F8}"/>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1D5DE3B2-AD92-462C-8161-B1C56C4E83C7}"/>
    <cellStyle name="Currency 14 2 2 2" xfId="36638" xr:uid="{1ED93C64-ACA0-45CF-9F4D-F1463952F436}"/>
    <cellStyle name="Currency 14 2 3" xfId="27341" xr:uid="{02539EC4-8D3D-49CC-B0F6-282C71467B8F}"/>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2 2" xfId="18061" xr:uid="{9CBD1354-78D1-4153-994D-8661E158F101}"/>
    <cellStyle name="Currency 14 3 2 2 2 2 2 2 2" xfId="36657" xr:uid="{53B76E0F-DF04-414D-8B2D-0FABDFA1075F}"/>
    <cellStyle name="Currency 14 3 2 2 2 2 2 3" xfId="27360" xr:uid="{5EF4DD7D-F1F9-4BC0-924B-FB328B03016A}"/>
    <cellStyle name="Currency 14 3 2 2 2 2 3" xfId="18058" xr:uid="{A30325D7-E728-493D-A4CF-D7F4BD366B6D}"/>
    <cellStyle name="Currency 14 3 2 2 2 2 3 2" xfId="36654" xr:uid="{A1721EB9-3B67-4C06-ADDD-E92DCB2E4363}"/>
    <cellStyle name="Currency 14 3 2 2 2 2 4" xfId="27357" xr:uid="{35A607A4-8EB7-4D46-96FA-5E8C25C2D720}"/>
    <cellStyle name="Currency 14 3 2 2 2 3" xfId="18055" xr:uid="{6419726D-7B82-417C-B8BF-6D23C7612BAD}"/>
    <cellStyle name="Currency 14 3 2 2 2 3 2" xfId="36651" xr:uid="{44FCCB36-D4F5-424A-BB86-FE06A18493CF}"/>
    <cellStyle name="Currency 14 3 2 2 2 4" xfId="27354" xr:uid="{96BCCA03-B528-4FE5-93DB-76CDE2B34064}"/>
    <cellStyle name="Currency 14 3 2 2 3" xfId="18051" xr:uid="{90EED595-FA4F-418F-B9D4-4650CE5A6DF8}"/>
    <cellStyle name="Currency 14 3 2 2 3 2" xfId="36647" xr:uid="{BA94F4B7-5681-401C-836B-AC7E3A7D035A}"/>
    <cellStyle name="Currency 14 3 2 2 4" xfId="27350" xr:uid="{6F0D0A93-0AB2-4F29-A941-812264C50AD1}"/>
    <cellStyle name="Currency 14 3 2 3" xfId="18048" xr:uid="{53336C8F-7CCE-4458-AA20-E682D24C2AD6}"/>
    <cellStyle name="Currency 14 3 2 3 2" xfId="36644" xr:uid="{E82EAAB1-66F5-428A-9F97-4CEEAEF5D74E}"/>
    <cellStyle name="Currency 14 3 2 4" xfId="27347" xr:uid="{5F5F6609-4635-4B2F-8C3B-1E7FC6002C2E}"/>
    <cellStyle name="Currency 14 3 3" xfId="18045" xr:uid="{BEA68501-6F54-4D43-B87C-4509B102199B}"/>
    <cellStyle name="Currency 14 3 3 2" xfId="36641" xr:uid="{D1856349-8A89-4BAC-A5D6-244273F937AD}"/>
    <cellStyle name="Currency 14 3 4" xfId="27344" xr:uid="{6E378EEB-2DDF-4F4D-925C-5189DA98DF5C}"/>
    <cellStyle name="Currency 14 4" xfId="13828" xr:uid="{03EC00DB-B0FD-4373-A9BD-23557FFF722F}"/>
    <cellStyle name="Currency 14 4 2" xfId="32424" xr:uid="{9D1DFF6C-099F-4799-AD9D-FC76F9426734}"/>
    <cellStyle name="Currency 14 5" xfId="23127" xr:uid="{D9E6E641-4868-4F27-86F0-715E677E11B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30D24B25-8548-4C92-B70A-588AAF801C77}"/>
    <cellStyle name="Currency 3 2 2 10 2 2 2" xfId="34937" xr:uid="{3993117C-3522-4874-ACE5-BFFB02068776}"/>
    <cellStyle name="Currency 3 2 2 10 2 3" xfId="25640" xr:uid="{22948573-0926-432E-B73F-A915BFAB76AE}"/>
    <cellStyle name="Currency 3 2 2 10 3" xfId="12124" xr:uid="{FF64492B-8BE1-46F6-9406-2D6528FCFE5A}"/>
    <cellStyle name="Currency 3 2 2 10 3 2" xfId="30720" xr:uid="{6EDB0EC7-BB8F-4006-8172-1F9E96798005}"/>
    <cellStyle name="Currency 3 2 2 10 4" xfId="21423" xr:uid="{72B4EA71-AD62-4A8A-9C60-4DC60F5EC1A0}"/>
    <cellStyle name="Currency 3 2 2 11" xfId="4632" xr:uid="{00000000-0005-0000-0000-0000A50A0000}"/>
    <cellStyle name="Currency 3 2 2 11 2" xfId="13958" xr:uid="{85446ECD-CC1C-4CC5-BB07-397136891416}"/>
    <cellStyle name="Currency 3 2 2 11 2 2" xfId="32554" xr:uid="{BDA49CDF-B216-4035-8AE8-BBC2B74ECC38}"/>
    <cellStyle name="Currency 3 2 2 11 3" xfId="23257" xr:uid="{9CD19B75-8E94-4820-B911-A90852500193}"/>
    <cellStyle name="Currency 3 2 2 12" xfId="8808" xr:uid="{5CD24693-181E-456A-9199-DC057509AC96}"/>
    <cellStyle name="Currency 3 2 2 12 2" xfId="18132" xr:uid="{BF145A29-15E7-4EBF-8C8E-42489CB8E373}"/>
    <cellStyle name="Currency 3 2 2 12 2 2" xfId="36727" xr:uid="{243D446F-F3A0-4F9C-A0AF-22411DAFA10D}"/>
    <cellStyle name="Currency 3 2 2 12 3" xfId="27430" xr:uid="{5A4AD5D6-3125-423C-894E-8DBB9D03A807}"/>
    <cellStyle name="Currency 3 2 2 13" xfId="9741" xr:uid="{8051C0C0-EBFC-4981-9B50-587FA870F935}"/>
    <cellStyle name="Currency 3 2 2 13 2" xfId="28337" xr:uid="{89BA57A2-3A94-4947-A4EA-D7A593FB25EA}"/>
    <cellStyle name="Currency 3 2 2 14" xfId="19040" xr:uid="{DB2763B5-F2E3-4147-9BA4-70C4659183B4}"/>
    <cellStyle name="Currency 3 2 2 2" xfId="179" xr:uid="{00000000-0005-0000-0000-0000A60A0000}"/>
    <cellStyle name="Currency 3 2 2 2 10" xfId="4633" xr:uid="{00000000-0005-0000-0000-0000A70A0000}"/>
    <cellStyle name="Currency 3 2 2 2 10 2" xfId="13959" xr:uid="{A0607D98-88B2-4B19-B79F-E71D691F1440}"/>
    <cellStyle name="Currency 3 2 2 2 10 2 2" xfId="32555" xr:uid="{AB4FB003-C1EE-4206-A33E-DD8A600436B6}"/>
    <cellStyle name="Currency 3 2 2 2 10 3" xfId="23258" xr:uid="{4A1AA019-1B10-4FB8-8A53-D907450BD9D7}"/>
    <cellStyle name="Currency 3 2 2 2 11" xfId="8911" xr:uid="{177A45F7-B130-49DA-829A-AA3BF41B848C}"/>
    <cellStyle name="Currency 3 2 2 2 11 2" xfId="18235" xr:uid="{C1AC9093-E76D-4AC8-AA77-63516E889246}"/>
    <cellStyle name="Currency 3 2 2 2 11 2 2" xfId="36830" xr:uid="{CF5300B0-1B1F-4D2B-9DC7-FA9CAA8F4DB3}"/>
    <cellStyle name="Currency 3 2 2 2 11 3" xfId="27533" xr:uid="{2A821D5C-0162-4857-999B-C0044203589E}"/>
    <cellStyle name="Currency 3 2 2 2 12" xfId="9742" xr:uid="{0D2EE17D-88C8-4E99-B74F-5CCA406D6B17}"/>
    <cellStyle name="Currency 3 2 2 2 12 2" xfId="28338" xr:uid="{4454DA3A-1A00-49AB-941B-50CAD5E8A8DD}"/>
    <cellStyle name="Currency 3 2 2 2 13" xfId="19041" xr:uid="{BFCC1BE1-FE26-400E-B831-C68478871DE9}"/>
    <cellStyle name="Currency 3 2 2 2 2" xfId="180" xr:uid="{00000000-0005-0000-0000-0000A80A0000}"/>
    <cellStyle name="Currency 3 2 2 2 2 10" xfId="9118" xr:uid="{4DDBDF88-B997-49F5-AF34-322CC93508E5}"/>
    <cellStyle name="Currency 3 2 2 2 2 10 2" xfId="18442" xr:uid="{09FA7D8F-4534-4AB5-8669-2081635A3927}"/>
    <cellStyle name="Currency 3 2 2 2 2 10 2 2" xfId="37037" xr:uid="{32CBB0EE-ACA6-4C69-A29C-4FB618F62299}"/>
    <cellStyle name="Currency 3 2 2 2 2 10 3" xfId="27740" xr:uid="{D97CC407-10E6-43B6-9309-3162EE1725E0}"/>
    <cellStyle name="Currency 3 2 2 2 2 11" xfId="9743" xr:uid="{71972636-102B-409C-9086-F45540D01959}"/>
    <cellStyle name="Currency 3 2 2 2 2 11 2" xfId="28339" xr:uid="{5C15FACD-730D-434E-BC27-DBC78F5F6624}"/>
    <cellStyle name="Currency 3 2 2 2 2 12" xfId="19042" xr:uid="{52BFB58B-CBEA-4020-96DB-295B4DAA802D}"/>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0182B025-E728-4518-B1B1-A2EECF62036E}"/>
    <cellStyle name="Currency 3 2 2 2 2 2 2 2 2 2" xfId="35115" xr:uid="{5C2E167B-744A-422E-913D-42F8E79D7DA0}"/>
    <cellStyle name="Currency 3 2 2 2 2 2 2 2 3" xfId="25818" xr:uid="{981E1CF8-DBD1-4C68-8F24-669452FD899E}"/>
    <cellStyle name="Currency 3 2 2 2 2 2 2 3" xfId="12302" xr:uid="{16BF8044-1926-44CB-9562-EA28F9BD6EB3}"/>
    <cellStyle name="Currency 3 2 2 2 2 2 2 3 2" xfId="30898" xr:uid="{194E550F-C702-4175-9E24-3F10F8095FAD}"/>
    <cellStyle name="Currency 3 2 2 2 2 2 2 4" xfId="21601" xr:uid="{69743D1E-6643-4F67-821D-72D3AB21D64D}"/>
    <cellStyle name="Currency 3 2 2 2 2 2 3" xfId="5048" xr:uid="{00000000-0005-0000-0000-0000AC0A0000}"/>
    <cellStyle name="Currency 3 2 2 2 2 2 3 2" xfId="14374" xr:uid="{F5B32E33-E52A-4AA8-932B-CD6B2A452734}"/>
    <cellStyle name="Currency 3 2 2 2 2 2 3 2 2" xfId="32970" xr:uid="{8A30BF83-6168-4720-A387-B15A3DBA1631}"/>
    <cellStyle name="Currency 3 2 2 2 2 2 3 3" xfId="23673" xr:uid="{1B977BBB-94EC-4B68-A73A-1A25529809F4}"/>
    <cellStyle name="Currency 3 2 2 2 2 2 4" xfId="9543" xr:uid="{08990697-BAC1-4B06-A86B-C554A35267E6}"/>
    <cellStyle name="Currency 3 2 2 2 2 2 4 2" xfId="18858" xr:uid="{9B8C9AC2-FB1F-4523-BD77-19F1EC4E6F77}"/>
    <cellStyle name="Currency 3 2 2 2 2 2 4 2 2" xfId="37452" xr:uid="{3804F8EA-4716-4D01-B3D8-ACC9D51F1BBC}"/>
    <cellStyle name="Currency 3 2 2 2 2 2 4 3" xfId="28155" xr:uid="{BB544CF4-1674-43BF-9F58-0E5BD4D8D040}"/>
    <cellStyle name="Currency 3 2 2 2 2 2 5" xfId="10157" xr:uid="{4AA5BFFF-7647-42C0-855B-304A740DB3F1}"/>
    <cellStyle name="Currency 3 2 2 2 2 2 5 2" xfId="28753" xr:uid="{2CB98F6D-6E52-4E8A-B1E3-8490AC6E9D84}"/>
    <cellStyle name="Currency 3 2 2 2 2 2 6" xfId="19456" xr:uid="{144D25A2-A94C-4F01-8BF6-9EB9E94F3CE3}"/>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24350129-3F1A-410A-B3B5-4512634333E1}"/>
    <cellStyle name="Currency 3 2 2 2 2 3 2 2 2 2" xfId="35528" xr:uid="{E53536BA-4C2A-4EC4-9FBC-15664AFE187E}"/>
    <cellStyle name="Currency 3 2 2 2 2 3 2 2 3" xfId="26231" xr:uid="{75536A1F-A2A9-4A77-896E-2DED071EE4F2}"/>
    <cellStyle name="Currency 3 2 2 2 2 3 2 3" xfId="12715" xr:uid="{301FF860-4831-4C56-996B-AEA2061CF048}"/>
    <cellStyle name="Currency 3 2 2 2 2 3 2 3 2" xfId="31311" xr:uid="{0088324F-B3C1-4E45-BE63-68D4687D9842}"/>
    <cellStyle name="Currency 3 2 2 2 2 3 2 4" xfId="22014" xr:uid="{9257989F-1EDC-49AE-A52B-156D334DCA84}"/>
    <cellStyle name="Currency 3 2 2 2 2 3 3" xfId="5461" xr:uid="{00000000-0005-0000-0000-0000B00A0000}"/>
    <cellStyle name="Currency 3 2 2 2 2 3 3 2" xfId="14787" xr:uid="{8895FF55-1517-4764-8635-02254AE8FF21}"/>
    <cellStyle name="Currency 3 2 2 2 2 3 3 2 2" xfId="33383" xr:uid="{E8E45C96-E7D5-46EC-AF25-9E8F7D9E8EEA}"/>
    <cellStyle name="Currency 3 2 2 2 2 3 3 3" xfId="24086" xr:uid="{BF76DF7B-E125-49AD-BF86-9985C460AF06}"/>
    <cellStyle name="Currency 3 2 2 2 2 3 4" xfId="10570" xr:uid="{5B3EC6D7-3031-4FC5-8775-4FD8AEE768C7}"/>
    <cellStyle name="Currency 3 2 2 2 2 3 4 2" xfId="29166" xr:uid="{2D85229D-7529-4D04-9B8A-5A3F8C92F10C}"/>
    <cellStyle name="Currency 3 2 2 2 2 3 5" xfId="19869" xr:uid="{82149890-6D7A-4E2D-97F2-B171844024FB}"/>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25D5F323-74B8-441E-AFB2-84EF6315820D}"/>
    <cellStyle name="Currency 3 2 2 2 2 4 2 2 2 2" xfId="35941" xr:uid="{EAD2A638-D0E7-463E-8EAF-FBD85F42AA7C}"/>
    <cellStyle name="Currency 3 2 2 2 2 4 2 2 3" xfId="26644" xr:uid="{D2249F22-837B-4D60-8AA8-81ED1DCE4788}"/>
    <cellStyle name="Currency 3 2 2 2 2 4 2 3" xfId="13128" xr:uid="{69B83A51-7306-46C2-8BFF-9B00E3EAA708}"/>
    <cellStyle name="Currency 3 2 2 2 2 4 2 3 2" xfId="31724" xr:uid="{FBD049FD-9D9E-44CB-8F16-A20D39CBF6BF}"/>
    <cellStyle name="Currency 3 2 2 2 2 4 2 4" xfId="22427" xr:uid="{FD21EB82-E09E-4BE4-9BE7-9E80D4E6B63B}"/>
    <cellStyle name="Currency 3 2 2 2 2 4 3" xfId="5874" xr:uid="{00000000-0005-0000-0000-0000B40A0000}"/>
    <cellStyle name="Currency 3 2 2 2 2 4 3 2" xfId="15200" xr:uid="{4CBAB281-C836-4E1A-B1EB-80212E815C77}"/>
    <cellStyle name="Currency 3 2 2 2 2 4 3 2 2" xfId="33796" xr:uid="{BC6089B0-8946-4826-B8BD-03EC6E3E926F}"/>
    <cellStyle name="Currency 3 2 2 2 2 4 3 3" xfId="24499" xr:uid="{C56EE88C-27F8-40B8-96B0-F838B075E467}"/>
    <cellStyle name="Currency 3 2 2 2 2 4 4" xfId="10983" xr:uid="{F2E5047E-8B8F-482E-97DA-2B02A5661AD3}"/>
    <cellStyle name="Currency 3 2 2 2 2 4 4 2" xfId="29579" xr:uid="{E355232D-6D54-4CC2-B90B-B4DA1E76E283}"/>
    <cellStyle name="Currency 3 2 2 2 2 4 5" xfId="20282" xr:uid="{D0762B63-EAFB-4A7C-B09E-C1AC2B47A32F}"/>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EE0F00F3-A14B-40CE-BB15-BC067BCD6820}"/>
    <cellStyle name="Currency 3 2 2 2 2 5 2 2 2 2" xfId="36354" xr:uid="{6B9E02A5-BC90-4FA7-9A14-CEECCA674429}"/>
    <cellStyle name="Currency 3 2 2 2 2 5 2 2 3" xfId="27057" xr:uid="{9750A159-7DE1-4AFA-A923-0E2AE182034C}"/>
    <cellStyle name="Currency 3 2 2 2 2 5 2 3" xfId="13541" xr:uid="{3A906A62-1A4F-4261-8456-DDE9C38FE774}"/>
    <cellStyle name="Currency 3 2 2 2 2 5 2 3 2" xfId="32137" xr:uid="{1DF5037B-008E-43FF-9086-8097DE534B68}"/>
    <cellStyle name="Currency 3 2 2 2 2 5 2 4" xfId="22840" xr:uid="{F3CBE7F0-4B8D-485A-A068-9F6C7AC2C970}"/>
    <cellStyle name="Currency 3 2 2 2 2 5 3" xfId="6287" xr:uid="{00000000-0005-0000-0000-0000B80A0000}"/>
    <cellStyle name="Currency 3 2 2 2 2 5 3 2" xfId="15613" xr:uid="{62707F2D-56FF-4287-A2B7-D32CE1CC7AA3}"/>
    <cellStyle name="Currency 3 2 2 2 2 5 3 2 2" xfId="34209" xr:uid="{EBD3C2CC-AC0B-405F-89E5-11586BC235C5}"/>
    <cellStyle name="Currency 3 2 2 2 2 5 3 3" xfId="24912" xr:uid="{D619A83A-3BDB-48F7-87EA-B3F8C98E32DA}"/>
    <cellStyle name="Currency 3 2 2 2 2 5 4" xfId="11396" xr:uid="{941CF009-8B3B-4899-9859-75FCFF14570F}"/>
    <cellStyle name="Currency 3 2 2 2 2 5 4 2" xfId="29992" xr:uid="{EF58F985-0EA4-473E-867E-9B494A4079F8}"/>
    <cellStyle name="Currency 3 2 2 2 2 5 5" xfId="20695" xr:uid="{2D0B533C-C1D6-4A65-9979-A4F53E040EF9}"/>
    <cellStyle name="Currency 3 2 2 2 2 6" xfId="2416" xr:uid="{00000000-0005-0000-0000-0000B90A0000}"/>
    <cellStyle name="Currency 3 2 2 2 2 6 2" xfId="6700" xr:uid="{00000000-0005-0000-0000-0000BA0A0000}"/>
    <cellStyle name="Currency 3 2 2 2 2 6 2 2" xfId="16026" xr:uid="{2DA562F1-E1A7-48FA-B3EF-97ECCFC9A09A}"/>
    <cellStyle name="Currency 3 2 2 2 2 6 2 2 2" xfId="34622" xr:uid="{A77FE10B-8A3B-455F-AF09-E0F2F92749A9}"/>
    <cellStyle name="Currency 3 2 2 2 2 6 2 3" xfId="25325" xr:uid="{6A4BCC80-2040-4C3D-9BA6-2EA2594470F9}"/>
    <cellStyle name="Currency 3 2 2 2 2 6 3" xfId="11809" xr:uid="{514A9D57-1AC3-43B2-B80B-C2917AD26F3B}"/>
    <cellStyle name="Currency 3 2 2 2 2 6 3 2" xfId="30405" xr:uid="{9637E88E-3260-4A57-9069-4CFB559806FE}"/>
    <cellStyle name="Currency 3 2 2 2 2 6 4" xfId="21108" xr:uid="{3CA3FD37-6FDE-43C6-8EE6-EB046A2CBCA7}"/>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5684079B-F0AD-48D0-A5B7-A9BC025FF438}"/>
    <cellStyle name="Currency 3 2 2 2 2 8 2 2 2" xfId="34939" xr:uid="{65FE2194-E73F-4415-A920-4FD8D3640DAB}"/>
    <cellStyle name="Currency 3 2 2 2 2 8 2 3" xfId="25642" xr:uid="{73FD3912-989C-45E5-80DD-3C1620CAE359}"/>
    <cellStyle name="Currency 3 2 2 2 2 8 3" xfId="12126" xr:uid="{C892CFF1-74F5-4B49-B52C-884B18BAE134}"/>
    <cellStyle name="Currency 3 2 2 2 2 8 3 2" xfId="30722" xr:uid="{02241731-5DB0-423B-B6DA-77A1E91D3422}"/>
    <cellStyle name="Currency 3 2 2 2 2 8 4" xfId="21425" xr:uid="{12988074-A183-409A-A7CF-738EEFB81066}"/>
    <cellStyle name="Currency 3 2 2 2 2 9" xfId="4634" xr:uid="{00000000-0005-0000-0000-0000BE0A0000}"/>
    <cellStyle name="Currency 3 2 2 2 2 9 2" xfId="13960" xr:uid="{D6985451-23C7-4EDB-9253-4FC2F4628150}"/>
    <cellStyle name="Currency 3 2 2 2 2 9 2 2" xfId="32556" xr:uid="{94126FAF-3101-4CD8-8C12-2D0F02F95D4F}"/>
    <cellStyle name="Currency 3 2 2 2 2 9 3" xfId="23259" xr:uid="{0208D720-CCCC-42E9-9344-31A3A0D9AA3D}"/>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67231616-D22F-4FBE-AA42-9EE8C25B88DA}"/>
    <cellStyle name="Currency 3 2 2 2 3 2 2 2 2" xfId="35114" xr:uid="{7EE8C379-60D5-47CA-9847-73B7AB427B50}"/>
    <cellStyle name="Currency 3 2 2 2 3 2 2 3" xfId="25817" xr:uid="{680DC3E2-20BD-4A3D-8F21-96D478961E04}"/>
    <cellStyle name="Currency 3 2 2 2 3 2 3" xfId="12301" xr:uid="{EA60C1C4-26D4-45A0-8BEC-8108423184A2}"/>
    <cellStyle name="Currency 3 2 2 2 3 2 3 2" xfId="30897" xr:uid="{DB25A82F-A4BD-4BE1-8300-152B90A1C675}"/>
    <cellStyle name="Currency 3 2 2 2 3 2 4" xfId="21600" xr:uid="{EE35CF1F-632C-41A0-8EA7-1A228509C566}"/>
    <cellStyle name="Currency 3 2 2 2 3 3" xfId="5047" xr:uid="{00000000-0005-0000-0000-0000C20A0000}"/>
    <cellStyle name="Currency 3 2 2 2 3 3 2" xfId="14373" xr:uid="{FD261D07-0F9B-4F6F-8B32-64CE32B4766C}"/>
    <cellStyle name="Currency 3 2 2 2 3 3 2 2" xfId="32969" xr:uid="{B8C85789-FC25-4BFB-AB7C-87AC617E940F}"/>
    <cellStyle name="Currency 3 2 2 2 3 3 3" xfId="23672" xr:uid="{2C19BBC4-C6C3-41D8-A747-7B7106C144ED}"/>
    <cellStyle name="Currency 3 2 2 2 3 4" xfId="9336" xr:uid="{F86D5454-A503-484B-B8F3-81FF219E49D0}"/>
    <cellStyle name="Currency 3 2 2 2 3 4 2" xfId="18651" xr:uid="{94BA9055-453F-4946-89F7-57DEE12F0379}"/>
    <cellStyle name="Currency 3 2 2 2 3 4 2 2" xfId="37245" xr:uid="{17FE093D-1A2E-4C37-B5A2-74DDE225F993}"/>
    <cellStyle name="Currency 3 2 2 2 3 4 3" xfId="27948" xr:uid="{C04EE3AB-AD3D-469D-86AD-204091B6652E}"/>
    <cellStyle name="Currency 3 2 2 2 3 5" xfId="10156" xr:uid="{1D50451A-3174-4DE7-915C-0CB939F6E4EE}"/>
    <cellStyle name="Currency 3 2 2 2 3 5 2" xfId="28752" xr:uid="{2D482559-21FB-476A-BD64-B104E8F24A41}"/>
    <cellStyle name="Currency 3 2 2 2 3 6" xfId="19455" xr:uid="{8481A9EA-BE7D-46DF-AF55-7FBD40A7A36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C4C2F564-23E1-41FD-BD34-ABECC748EF90}"/>
    <cellStyle name="Currency 3 2 2 2 4 2 2 2 2" xfId="35527" xr:uid="{3A53E89D-2C38-43DD-AF31-A69A3EC0999A}"/>
    <cellStyle name="Currency 3 2 2 2 4 2 2 3" xfId="26230" xr:uid="{D226B9D3-0EC1-4B18-8691-CE3E8A128C96}"/>
    <cellStyle name="Currency 3 2 2 2 4 2 3" xfId="12714" xr:uid="{054DAB2B-2082-4A96-BB6E-782770DE80C7}"/>
    <cellStyle name="Currency 3 2 2 2 4 2 3 2" xfId="31310" xr:uid="{EA2BB1AA-761B-447C-BEE6-4B4CA75F435B}"/>
    <cellStyle name="Currency 3 2 2 2 4 2 4" xfId="22013" xr:uid="{065C7A3F-C763-468B-A3CD-8E8D7EECB7AF}"/>
    <cellStyle name="Currency 3 2 2 2 4 3" xfId="5460" xr:uid="{00000000-0005-0000-0000-0000C60A0000}"/>
    <cellStyle name="Currency 3 2 2 2 4 3 2" xfId="14786" xr:uid="{48CB5575-F2F2-4A93-A224-85A038609C60}"/>
    <cellStyle name="Currency 3 2 2 2 4 3 2 2" xfId="33382" xr:uid="{8E034FE2-6159-49E1-81EF-B93BF5D1C06A}"/>
    <cellStyle name="Currency 3 2 2 2 4 3 3" xfId="24085" xr:uid="{FDC646FA-3FB1-4436-B316-591A2CB40723}"/>
    <cellStyle name="Currency 3 2 2 2 4 4" xfId="10569" xr:uid="{379A0B5A-99E7-41EF-817A-B337D40BAA19}"/>
    <cellStyle name="Currency 3 2 2 2 4 4 2" xfId="29165" xr:uid="{9E231F83-5EB6-4643-B242-19DCA41CE183}"/>
    <cellStyle name="Currency 3 2 2 2 4 5" xfId="19868" xr:uid="{4DDC2964-8A20-46C4-8295-91C1C674B76E}"/>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E45BE35D-D514-46A2-9806-8A6D8BB69437}"/>
    <cellStyle name="Currency 3 2 2 2 5 2 2 2 2" xfId="35940" xr:uid="{E6CF7FAC-75D2-4484-9C61-55FC6E5028B1}"/>
    <cellStyle name="Currency 3 2 2 2 5 2 2 3" xfId="26643" xr:uid="{7C5BCB13-BB2F-4E23-80FD-392CF119D745}"/>
    <cellStyle name="Currency 3 2 2 2 5 2 3" xfId="13127" xr:uid="{658CA08F-7608-472B-8F69-72B73CFFE5D1}"/>
    <cellStyle name="Currency 3 2 2 2 5 2 3 2" xfId="31723" xr:uid="{0AD100D9-6659-4F1B-8760-0060AB0A131E}"/>
    <cellStyle name="Currency 3 2 2 2 5 2 4" xfId="22426" xr:uid="{84CA2876-A6FD-472F-8756-750175B26FA4}"/>
    <cellStyle name="Currency 3 2 2 2 5 3" xfId="5873" xr:uid="{00000000-0005-0000-0000-0000CA0A0000}"/>
    <cellStyle name="Currency 3 2 2 2 5 3 2" xfId="15199" xr:uid="{FA692D00-7538-48AA-A978-1EEACB5E2AFE}"/>
    <cellStyle name="Currency 3 2 2 2 5 3 2 2" xfId="33795" xr:uid="{7CA31E82-B8FD-4AA8-B2AB-5B73805C160A}"/>
    <cellStyle name="Currency 3 2 2 2 5 3 3" xfId="24498" xr:uid="{08A96D82-0822-4326-9D9E-786DF933E601}"/>
    <cellStyle name="Currency 3 2 2 2 5 4" xfId="10982" xr:uid="{88D5BE89-FF26-469B-A3F9-8B62F99B49D6}"/>
    <cellStyle name="Currency 3 2 2 2 5 4 2" xfId="29578" xr:uid="{B315AEBA-B546-4116-B439-EA2D6806CCB5}"/>
    <cellStyle name="Currency 3 2 2 2 5 5" xfId="20281" xr:uid="{DC7EEAD2-4768-4C06-97F1-4E037D6FE349}"/>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D1E4C085-294D-4BC0-9AC5-BE5FA0A4E7F1}"/>
    <cellStyle name="Currency 3 2 2 2 6 2 2 2 2" xfId="36353" xr:uid="{390C69FC-34FC-4056-8DB6-5816BA70E588}"/>
    <cellStyle name="Currency 3 2 2 2 6 2 2 3" xfId="27056" xr:uid="{2BB34F14-09F1-484F-91A5-BFD042CD6662}"/>
    <cellStyle name="Currency 3 2 2 2 6 2 3" xfId="13540" xr:uid="{35112508-95D7-4BA7-A4E3-7C241712B17C}"/>
    <cellStyle name="Currency 3 2 2 2 6 2 3 2" xfId="32136" xr:uid="{C766BCB3-D978-46DA-8DAD-86A9E90405F4}"/>
    <cellStyle name="Currency 3 2 2 2 6 2 4" xfId="22839" xr:uid="{44E64414-69D5-40EE-B10E-17B9EA2770C0}"/>
    <cellStyle name="Currency 3 2 2 2 6 3" xfId="6286" xr:uid="{00000000-0005-0000-0000-0000CE0A0000}"/>
    <cellStyle name="Currency 3 2 2 2 6 3 2" xfId="15612" xr:uid="{E4B84A65-33E8-45F3-8059-49E4E5346BB0}"/>
    <cellStyle name="Currency 3 2 2 2 6 3 2 2" xfId="34208" xr:uid="{159ACE1D-148B-43CA-A3EA-4E23FC257608}"/>
    <cellStyle name="Currency 3 2 2 2 6 3 3" xfId="24911" xr:uid="{ABF71149-EE56-4FD9-8A4B-195CA69418D9}"/>
    <cellStyle name="Currency 3 2 2 2 6 4" xfId="11395" xr:uid="{D800E84E-D960-4E73-BEC9-FAA79CCA6E2A}"/>
    <cellStyle name="Currency 3 2 2 2 6 4 2" xfId="29991" xr:uid="{45B29044-7B75-4C52-B91D-13AE1C453441}"/>
    <cellStyle name="Currency 3 2 2 2 6 5" xfId="20694" xr:uid="{CD5E955D-8052-4FDD-B5E3-294B84958B5B}"/>
    <cellStyle name="Currency 3 2 2 2 7" xfId="2415" xr:uid="{00000000-0005-0000-0000-0000CF0A0000}"/>
    <cellStyle name="Currency 3 2 2 2 7 2" xfId="6699" xr:uid="{00000000-0005-0000-0000-0000D00A0000}"/>
    <cellStyle name="Currency 3 2 2 2 7 2 2" xfId="16025" xr:uid="{0FC92ACA-52E4-4906-89F4-5924909C05F9}"/>
    <cellStyle name="Currency 3 2 2 2 7 2 2 2" xfId="34621" xr:uid="{4EF5C760-5DE2-44E0-9C7E-3A22071E6E77}"/>
    <cellStyle name="Currency 3 2 2 2 7 2 3" xfId="25324" xr:uid="{243BF02B-D350-4B30-BC7D-050CD7D1625B}"/>
    <cellStyle name="Currency 3 2 2 2 7 3" xfId="11808" xr:uid="{3498D834-5552-4132-86A6-D77162CE72D4}"/>
    <cellStyle name="Currency 3 2 2 2 7 3 2" xfId="30404" xr:uid="{6BE7E8D4-2A28-47EA-AF23-A29E45712817}"/>
    <cellStyle name="Currency 3 2 2 2 7 4" xfId="21107" xr:uid="{63FC27CE-EAD5-4297-BDBF-2B4E36D9CCF8}"/>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51F85412-FDBC-4F3B-A68B-0C7D55A4FB47}"/>
    <cellStyle name="Currency 3 2 2 2 9 2 2 2" xfId="34938" xr:uid="{5C1902C3-543A-4515-9EC4-719E3BD5B6CF}"/>
    <cellStyle name="Currency 3 2 2 2 9 2 3" xfId="25641" xr:uid="{03175092-FAAC-407C-B0AE-432D9B7F8639}"/>
    <cellStyle name="Currency 3 2 2 2 9 3" xfId="12125" xr:uid="{188E9457-F3AD-4AD0-9C7B-716B86CE6142}"/>
    <cellStyle name="Currency 3 2 2 2 9 3 2" xfId="30721" xr:uid="{41CCB719-6840-4300-ABAF-0D129CF7A8A0}"/>
    <cellStyle name="Currency 3 2 2 2 9 4" xfId="21424" xr:uid="{2EAE363C-0226-4620-97D6-2F96913751E6}"/>
    <cellStyle name="Currency 3 2 2 3" xfId="181" xr:uid="{00000000-0005-0000-0000-0000D40A0000}"/>
    <cellStyle name="Currency 3 2 2 3 10" xfId="9015" xr:uid="{A1C3FAFC-6FB9-45C5-A279-C90E61794A63}"/>
    <cellStyle name="Currency 3 2 2 3 10 2" xfId="18339" xr:uid="{D400936A-858C-4811-9632-ABEFE466A6A5}"/>
    <cellStyle name="Currency 3 2 2 3 10 2 2" xfId="36934" xr:uid="{5462874C-1157-4B14-8D90-B105A4ED7689}"/>
    <cellStyle name="Currency 3 2 2 3 10 3" xfId="27637" xr:uid="{73EAD01B-D3BB-424D-8580-11FE2CA9014A}"/>
    <cellStyle name="Currency 3 2 2 3 11" xfId="9744" xr:uid="{875DC499-F5CB-478A-96AE-7EAEE7A54615}"/>
    <cellStyle name="Currency 3 2 2 3 11 2" xfId="28340" xr:uid="{64CAB9A0-EB7A-4DB5-89D2-44527858182C}"/>
    <cellStyle name="Currency 3 2 2 3 12" xfId="19043" xr:uid="{EB7F4F36-8C5B-42CC-9317-91C3BF9C78DF}"/>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AAB34071-2492-46AA-B5FF-C1EE3EF81D4E}"/>
    <cellStyle name="Currency 3 2 2 3 2 2 2 2 2" xfId="35116" xr:uid="{942C070B-25AE-448D-BFC4-0F78F83A6952}"/>
    <cellStyle name="Currency 3 2 2 3 2 2 2 3" xfId="25819" xr:uid="{BF9602FF-C73B-4F71-8F05-2073065EA469}"/>
    <cellStyle name="Currency 3 2 2 3 2 2 3" xfId="12303" xr:uid="{FBE83311-7C6C-459F-881A-8DCA88BF78DB}"/>
    <cellStyle name="Currency 3 2 2 3 2 2 3 2" xfId="30899" xr:uid="{F70537EA-F365-4A58-AE1F-F86C5A4C6CE6}"/>
    <cellStyle name="Currency 3 2 2 3 2 2 4" xfId="21602" xr:uid="{75BD9B10-A8D1-430D-8B4E-25B627829E38}"/>
    <cellStyle name="Currency 3 2 2 3 2 3" xfId="5049" xr:uid="{00000000-0005-0000-0000-0000D80A0000}"/>
    <cellStyle name="Currency 3 2 2 3 2 3 2" xfId="14375" xr:uid="{A7745052-BF0E-4F3B-A7DF-5DBA7D1DDCFE}"/>
    <cellStyle name="Currency 3 2 2 3 2 3 2 2" xfId="32971" xr:uid="{DFEA45CF-75DC-4790-88D4-EF00F209116E}"/>
    <cellStyle name="Currency 3 2 2 3 2 3 3" xfId="23674" xr:uid="{BCC59A76-2C27-47C5-8C17-91ABF745826C}"/>
    <cellStyle name="Currency 3 2 2 3 2 4" xfId="9440" xr:uid="{774D5512-BCA5-4224-A909-3336A63369C8}"/>
    <cellStyle name="Currency 3 2 2 3 2 4 2" xfId="18755" xr:uid="{DD478DFA-D5A6-48CA-AC9A-A03FB217AD44}"/>
    <cellStyle name="Currency 3 2 2 3 2 4 2 2" xfId="37349" xr:uid="{CAC455EC-C57E-4CDF-AA65-6F946FD3C549}"/>
    <cellStyle name="Currency 3 2 2 3 2 4 3" xfId="28052" xr:uid="{2982E2FF-EF5D-4E8B-A06E-3A004A36ADB2}"/>
    <cellStyle name="Currency 3 2 2 3 2 5" xfId="10158" xr:uid="{B1A355C9-3E0A-4A53-842F-FDDFF7AD36B2}"/>
    <cellStyle name="Currency 3 2 2 3 2 5 2" xfId="28754" xr:uid="{B7C1E990-E73A-4A3E-AC7E-A9FE672D5B7A}"/>
    <cellStyle name="Currency 3 2 2 3 2 6" xfId="19457" xr:uid="{9059CA0E-34AD-4E04-8A8A-ED784DFC3EBC}"/>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1150C374-5B3D-4459-B6AB-0DD8234E80B9}"/>
    <cellStyle name="Currency 3 2 2 3 3 2 2 2 2" xfId="35529" xr:uid="{214516AE-388D-4833-900A-26B1E46CA231}"/>
    <cellStyle name="Currency 3 2 2 3 3 2 2 3" xfId="26232" xr:uid="{C782B69F-636A-488C-887A-299406531EE2}"/>
    <cellStyle name="Currency 3 2 2 3 3 2 3" xfId="12716" xr:uid="{FB430A5C-9733-4B48-98B7-190B9744ABF2}"/>
    <cellStyle name="Currency 3 2 2 3 3 2 3 2" xfId="31312" xr:uid="{EFA1B953-0856-47FA-8EEC-D1A842E1D75B}"/>
    <cellStyle name="Currency 3 2 2 3 3 2 4" xfId="22015" xr:uid="{2F742EA2-1FFC-487E-9F48-BBF943B5DF4B}"/>
    <cellStyle name="Currency 3 2 2 3 3 3" xfId="5462" xr:uid="{00000000-0005-0000-0000-0000DC0A0000}"/>
    <cellStyle name="Currency 3 2 2 3 3 3 2" xfId="14788" xr:uid="{F823BC62-6371-457C-9A53-1AB8FF3665B3}"/>
    <cellStyle name="Currency 3 2 2 3 3 3 2 2" xfId="33384" xr:uid="{5156ED6B-5C3A-4D44-B7C3-A4FF059BA26E}"/>
    <cellStyle name="Currency 3 2 2 3 3 3 3" xfId="24087" xr:uid="{1CCBC2D6-0DDB-41C0-8790-F1EE78888E14}"/>
    <cellStyle name="Currency 3 2 2 3 3 4" xfId="10571" xr:uid="{35F2319C-BBF7-43D4-A118-6743CFD05848}"/>
    <cellStyle name="Currency 3 2 2 3 3 4 2" xfId="29167" xr:uid="{16C7C85E-78B1-43D3-9F8C-F7394722783B}"/>
    <cellStyle name="Currency 3 2 2 3 3 5" xfId="19870" xr:uid="{03220D27-2894-47B8-9B97-9C26B84959ED}"/>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116FD051-3C28-4987-80E5-89F674C059D3}"/>
    <cellStyle name="Currency 3 2 2 3 4 2 2 2 2" xfId="35942" xr:uid="{4E52F66E-FF4E-45D9-BF68-6D86F2DC221B}"/>
    <cellStyle name="Currency 3 2 2 3 4 2 2 3" xfId="26645" xr:uid="{37DBDB3B-6E38-4715-A264-56A06A69460C}"/>
    <cellStyle name="Currency 3 2 2 3 4 2 3" xfId="13129" xr:uid="{424B1F8C-84C0-496E-912C-FBD3E2BB43CE}"/>
    <cellStyle name="Currency 3 2 2 3 4 2 3 2" xfId="31725" xr:uid="{B2BBC56D-1097-4E6F-A0BD-8949AE517672}"/>
    <cellStyle name="Currency 3 2 2 3 4 2 4" xfId="22428" xr:uid="{2FF89B3D-8496-48DC-9E63-8820B8D04F72}"/>
    <cellStyle name="Currency 3 2 2 3 4 3" xfId="5875" xr:uid="{00000000-0005-0000-0000-0000E00A0000}"/>
    <cellStyle name="Currency 3 2 2 3 4 3 2" xfId="15201" xr:uid="{3516FF73-F878-46FD-A5D1-3263D4731EB1}"/>
    <cellStyle name="Currency 3 2 2 3 4 3 2 2" xfId="33797" xr:uid="{35A03C3E-2500-4CAA-8793-4862CA81A72A}"/>
    <cellStyle name="Currency 3 2 2 3 4 3 3" xfId="24500" xr:uid="{87C1AE9B-C0A5-4FC1-BF0A-D944F3E05C8C}"/>
    <cellStyle name="Currency 3 2 2 3 4 4" xfId="10984" xr:uid="{0F238262-85AF-4A9E-8103-270BB4761BBC}"/>
    <cellStyle name="Currency 3 2 2 3 4 4 2" xfId="29580" xr:uid="{3BC7C14C-E655-4CDB-ABEB-00FEF5D4227E}"/>
    <cellStyle name="Currency 3 2 2 3 4 5" xfId="20283" xr:uid="{7984D39C-F3CB-41FA-A834-1C9E1E4A2A5A}"/>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7C10D766-4E0D-450E-BB97-C0272892E6F4}"/>
    <cellStyle name="Currency 3 2 2 3 5 2 2 2 2" xfId="36355" xr:uid="{DDDD1B7B-F22C-44B7-9BAE-4A3D104E9F5E}"/>
    <cellStyle name="Currency 3 2 2 3 5 2 2 3" xfId="27058" xr:uid="{D7AFB250-D2DC-4AC4-9A36-01B04BBBABBD}"/>
    <cellStyle name="Currency 3 2 2 3 5 2 3" xfId="13542" xr:uid="{AC73DB71-08E3-41EA-B40B-E8F75C591C76}"/>
    <cellStyle name="Currency 3 2 2 3 5 2 3 2" xfId="32138" xr:uid="{00218267-A12E-4603-869C-C81327FCAB91}"/>
    <cellStyle name="Currency 3 2 2 3 5 2 4" xfId="22841" xr:uid="{165C71A9-E403-4ADD-B4BE-FE4BF7556CCD}"/>
    <cellStyle name="Currency 3 2 2 3 5 3" xfId="6288" xr:uid="{00000000-0005-0000-0000-0000E40A0000}"/>
    <cellStyle name="Currency 3 2 2 3 5 3 2" xfId="15614" xr:uid="{30006ECF-DE32-4CF8-8270-6DCDFE454C2E}"/>
    <cellStyle name="Currency 3 2 2 3 5 3 2 2" xfId="34210" xr:uid="{37B8B24E-7C79-401C-9D6B-3035018B3810}"/>
    <cellStyle name="Currency 3 2 2 3 5 3 3" xfId="24913" xr:uid="{530CB611-E9A6-4A30-8CE5-355171F7A3A5}"/>
    <cellStyle name="Currency 3 2 2 3 5 4" xfId="11397" xr:uid="{6B74128C-A39B-46DD-A0B4-19C1D934EFA1}"/>
    <cellStyle name="Currency 3 2 2 3 5 4 2" xfId="29993" xr:uid="{4BCA943A-3202-44A7-BE25-DD44E859C819}"/>
    <cellStyle name="Currency 3 2 2 3 5 5" xfId="20696" xr:uid="{E1F8454F-6CD9-488E-8674-4201582625B3}"/>
    <cellStyle name="Currency 3 2 2 3 6" xfId="2417" xr:uid="{00000000-0005-0000-0000-0000E50A0000}"/>
    <cellStyle name="Currency 3 2 2 3 6 2" xfId="6701" xr:uid="{00000000-0005-0000-0000-0000E60A0000}"/>
    <cellStyle name="Currency 3 2 2 3 6 2 2" xfId="16027" xr:uid="{02A29C09-14BD-4C46-9CB2-1E004280A43C}"/>
    <cellStyle name="Currency 3 2 2 3 6 2 2 2" xfId="34623" xr:uid="{9D43635F-FC6B-4902-B9C9-57581CB83715}"/>
    <cellStyle name="Currency 3 2 2 3 6 2 3" xfId="25326" xr:uid="{6CF3F486-475F-4AD6-A774-40AC1AF6B48A}"/>
    <cellStyle name="Currency 3 2 2 3 6 3" xfId="11810" xr:uid="{6BAC27F6-D571-44E1-A687-242B2B85ED49}"/>
    <cellStyle name="Currency 3 2 2 3 6 3 2" xfId="30406" xr:uid="{A9282A06-2C56-4BB2-9850-3874FC5FCD0A}"/>
    <cellStyle name="Currency 3 2 2 3 6 4" xfId="21109" xr:uid="{8AB04317-0447-42B8-B05B-722673726BF6}"/>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9D52D939-2475-4AD0-B3AB-82765700CAD3}"/>
    <cellStyle name="Currency 3 2 2 3 8 2 2 2" xfId="34940" xr:uid="{5722F026-0907-4973-82DE-3A67DB739B43}"/>
    <cellStyle name="Currency 3 2 2 3 8 2 3" xfId="25643" xr:uid="{2BAD7552-5A9D-4A2C-9E1A-3F193BB4964A}"/>
    <cellStyle name="Currency 3 2 2 3 8 3" xfId="12127" xr:uid="{9343E6DE-0601-4AF6-90C1-B61AD1918C3A}"/>
    <cellStyle name="Currency 3 2 2 3 8 3 2" xfId="30723" xr:uid="{FD963FE9-10B8-43DF-9711-FBE0C650292F}"/>
    <cellStyle name="Currency 3 2 2 3 8 4" xfId="21426" xr:uid="{F09246DD-E866-48E8-B098-88A4AA3F00DA}"/>
    <cellStyle name="Currency 3 2 2 3 9" xfId="4635" xr:uid="{00000000-0005-0000-0000-0000EA0A0000}"/>
    <cellStyle name="Currency 3 2 2 3 9 2" xfId="13961" xr:uid="{7014B147-4F7F-4C9B-A2DB-1598566AED17}"/>
    <cellStyle name="Currency 3 2 2 3 9 2 2" xfId="32557" xr:uid="{23E1FB85-4E5B-46E5-B654-0D6718B5C223}"/>
    <cellStyle name="Currency 3 2 2 3 9 3" xfId="23260" xr:uid="{56044C80-5734-48AF-8989-09FF2935B59C}"/>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A84FFA2E-6C6A-446E-94BD-BD944B01BBD0}"/>
    <cellStyle name="Currency 3 2 2 4 2 2 2 2" xfId="35113" xr:uid="{9AF75DA2-E386-4524-9F0C-123B7F220251}"/>
    <cellStyle name="Currency 3 2 2 4 2 2 3" xfId="25816" xr:uid="{2AFEA6DD-4F4C-4A1E-8AC5-194F3545DA0D}"/>
    <cellStyle name="Currency 3 2 2 4 2 3" xfId="12300" xr:uid="{3DE25D9A-3541-44E2-A126-0A76DFB176EB}"/>
    <cellStyle name="Currency 3 2 2 4 2 3 2" xfId="30896" xr:uid="{69592605-41E4-453F-8BC1-CC3ABCCFBA70}"/>
    <cellStyle name="Currency 3 2 2 4 2 4" xfId="21599" xr:uid="{EA538A51-2673-41BC-98B2-AF8A2439A2C1}"/>
    <cellStyle name="Currency 3 2 2 4 3" xfId="5046" xr:uid="{00000000-0005-0000-0000-0000EE0A0000}"/>
    <cellStyle name="Currency 3 2 2 4 3 2" xfId="14372" xr:uid="{DB98DA07-7F84-4679-B3C6-4290D740123D}"/>
    <cellStyle name="Currency 3 2 2 4 3 2 2" xfId="32968" xr:uid="{CB21EF11-44D0-46E1-8102-A99483B8ADFA}"/>
    <cellStyle name="Currency 3 2 2 4 3 3" xfId="23671" xr:uid="{F1801DC7-8C27-4FD0-B033-0BB5C4DE0CC9}"/>
    <cellStyle name="Currency 3 2 2 4 4" xfId="9233" xr:uid="{A90843BF-65B1-48E5-9C93-A2651D7B4B13}"/>
    <cellStyle name="Currency 3 2 2 4 4 2" xfId="18548" xr:uid="{718901FA-081C-4779-80AF-AF87974D8F97}"/>
    <cellStyle name="Currency 3 2 2 4 4 2 2" xfId="37142" xr:uid="{38A514B3-730F-4922-BC58-DCD4D119FF43}"/>
    <cellStyle name="Currency 3 2 2 4 4 3" xfId="27845" xr:uid="{475D2BD7-A198-4667-A1AA-4A0A1CC3FEEA}"/>
    <cellStyle name="Currency 3 2 2 4 5" xfId="10155" xr:uid="{D61B6359-8CEB-4E84-8691-3EAC457D0A2D}"/>
    <cellStyle name="Currency 3 2 2 4 5 2" xfId="28751" xr:uid="{BF288F6D-B3FB-426A-8D06-FDF602783F27}"/>
    <cellStyle name="Currency 3 2 2 4 6" xfId="19454" xr:uid="{B6FB22C7-C444-4A4F-A9CB-7A0234C153C7}"/>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A36A1B17-28F2-4390-A014-CF1A32023845}"/>
    <cellStyle name="Currency 3 2 2 5 2 2 2 2" xfId="35526" xr:uid="{F663CA5F-D32B-4258-9E6B-27BC019AEED1}"/>
    <cellStyle name="Currency 3 2 2 5 2 2 3" xfId="26229" xr:uid="{5DE2E618-A7C5-48FB-9D2B-5AA91238CDAC}"/>
    <cellStyle name="Currency 3 2 2 5 2 3" xfId="12713" xr:uid="{BF94973F-EBEF-423B-B598-82C303515048}"/>
    <cellStyle name="Currency 3 2 2 5 2 3 2" xfId="31309" xr:uid="{C234B9F5-2C93-46B6-8A72-D47D91EB5B02}"/>
    <cellStyle name="Currency 3 2 2 5 2 4" xfId="22012" xr:uid="{3DE57878-5D93-4B0E-B588-EB5FEC624256}"/>
    <cellStyle name="Currency 3 2 2 5 3" xfId="5459" xr:uid="{00000000-0005-0000-0000-0000F20A0000}"/>
    <cellStyle name="Currency 3 2 2 5 3 2" xfId="14785" xr:uid="{7C010890-A326-4CD3-9966-10B9241582CB}"/>
    <cellStyle name="Currency 3 2 2 5 3 2 2" xfId="33381" xr:uid="{36FE8289-451C-4741-A402-77C10C8CAC84}"/>
    <cellStyle name="Currency 3 2 2 5 3 3" xfId="24084" xr:uid="{C454705D-7BFD-453D-9E4E-1EED790A413A}"/>
    <cellStyle name="Currency 3 2 2 5 4" xfId="10568" xr:uid="{BE755213-24B0-4DCE-A425-6B61DF007152}"/>
    <cellStyle name="Currency 3 2 2 5 4 2" xfId="29164" xr:uid="{4F6506C8-1DA6-4560-A5B6-CD735F894D71}"/>
    <cellStyle name="Currency 3 2 2 5 5" xfId="19867" xr:uid="{930EC399-D526-4A04-B15E-93D0BFB54737}"/>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C856BE95-B428-446B-BAC2-96E89B8D4A24}"/>
    <cellStyle name="Currency 3 2 2 6 2 2 2 2" xfId="35939" xr:uid="{19DDEB05-1A97-4C12-AB4F-FF824F236F83}"/>
    <cellStyle name="Currency 3 2 2 6 2 2 3" xfId="26642" xr:uid="{1DF97DFF-CCE3-475F-999D-51BDC45DCD77}"/>
    <cellStyle name="Currency 3 2 2 6 2 3" xfId="13126" xr:uid="{15B395F4-FB2E-47C7-AFB2-52F9F8105C2D}"/>
    <cellStyle name="Currency 3 2 2 6 2 3 2" xfId="31722" xr:uid="{D45AAF89-D731-4225-A737-7F41A112B580}"/>
    <cellStyle name="Currency 3 2 2 6 2 4" xfId="22425" xr:uid="{6349E441-E5A7-4CF8-BB7E-A50C0D007B35}"/>
    <cellStyle name="Currency 3 2 2 6 3" xfId="5872" xr:uid="{00000000-0005-0000-0000-0000F60A0000}"/>
    <cellStyle name="Currency 3 2 2 6 3 2" xfId="15198" xr:uid="{4D779640-220F-446D-8556-2741B51BC7EE}"/>
    <cellStyle name="Currency 3 2 2 6 3 2 2" xfId="33794" xr:uid="{B2EA2FA3-7D15-49EC-BCDA-8B30CBFCB419}"/>
    <cellStyle name="Currency 3 2 2 6 3 3" xfId="24497" xr:uid="{9E156C65-B743-4E9A-94DC-E120A5E98208}"/>
    <cellStyle name="Currency 3 2 2 6 4" xfId="10981" xr:uid="{9F8A33E8-552D-4CA6-BD72-D8B5491C7DBF}"/>
    <cellStyle name="Currency 3 2 2 6 4 2" xfId="29577" xr:uid="{FB6BA89C-E3F2-4A38-9F69-C383AEAAA66F}"/>
    <cellStyle name="Currency 3 2 2 6 5" xfId="20280" xr:uid="{A143FB98-A843-4F1C-9AA9-D7469CED7802}"/>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B9FC2A83-169E-4627-A9AF-DE90052BF2D2}"/>
    <cellStyle name="Currency 3 2 2 7 2 2 2 2" xfId="36352" xr:uid="{F9B5D5CE-0E38-4268-B787-42A48218227A}"/>
    <cellStyle name="Currency 3 2 2 7 2 2 3" xfId="27055" xr:uid="{F1A9379C-365E-49FB-BC6E-4AF4A51E2938}"/>
    <cellStyle name="Currency 3 2 2 7 2 3" xfId="13539" xr:uid="{A67AA2B6-19F8-4B4C-B7EE-CF7DA78CC07C}"/>
    <cellStyle name="Currency 3 2 2 7 2 3 2" xfId="32135" xr:uid="{C038498F-FEE1-4E5B-9E59-7CC6CCDE16AE}"/>
    <cellStyle name="Currency 3 2 2 7 2 4" xfId="22838" xr:uid="{26D56927-BE89-4A2E-94CA-E142C85AA7CB}"/>
    <cellStyle name="Currency 3 2 2 7 3" xfId="6285" xr:uid="{00000000-0005-0000-0000-0000FA0A0000}"/>
    <cellStyle name="Currency 3 2 2 7 3 2" xfId="15611" xr:uid="{221687A6-0F08-49CB-8A16-FBD1BD70C786}"/>
    <cellStyle name="Currency 3 2 2 7 3 2 2" xfId="34207" xr:uid="{2BA26E9D-F7F3-4769-9AA5-CCA77161F82A}"/>
    <cellStyle name="Currency 3 2 2 7 3 3" xfId="24910" xr:uid="{5B1A1086-10E0-445C-961A-AC82238A1870}"/>
    <cellStyle name="Currency 3 2 2 7 4" xfId="11394" xr:uid="{06CBA472-24A7-475C-A99F-DD41CBB3BDD9}"/>
    <cellStyle name="Currency 3 2 2 7 4 2" xfId="29990" xr:uid="{258F2CEA-F612-4632-B716-D03ED44F2450}"/>
    <cellStyle name="Currency 3 2 2 7 5" xfId="20693" xr:uid="{451FD367-2A9E-4D58-8201-EDA0D0115131}"/>
    <cellStyle name="Currency 3 2 2 8" xfId="2414" xr:uid="{00000000-0005-0000-0000-0000FB0A0000}"/>
    <cellStyle name="Currency 3 2 2 8 2" xfId="6698" xr:uid="{00000000-0005-0000-0000-0000FC0A0000}"/>
    <cellStyle name="Currency 3 2 2 8 2 2" xfId="16024" xr:uid="{F8E03B8F-78B7-4151-BF5B-857CD70955EB}"/>
    <cellStyle name="Currency 3 2 2 8 2 2 2" xfId="34620" xr:uid="{2C2D1EE2-5288-45D0-A242-54E69401C2A7}"/>
    <cellStyle name="Currency 3 2 2 8 2 3" xfId="25323" xr:uid="{CC226F65-1A13-4B28-84F9-9AF86D9DC6A6}"/>
    <cellStyle name="Currency 3 2 2 8 3" xfId="11807" xr:uid="{FF7DAA17-0619-44DE-9D54-4C53B0A23F5C}"/>
    <cellStyle name="Currency 3 2 2 8 3 2" xfId="30403" xr:uid="{4372BD55-ACB5-4C64-B0E4-78ECBEEADF5E}"/>
    <cellStyle name="Currency 3 2 2 8 4" xfId="21106" xr:uid="{7D10AD83-4B79-4DCF-879A-538EABB33D62}"/>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0146ED2F-FF4F-42DE-B695-9302EB37127B}"/>
    <cellStyle name="Currency 3 2 3 10 2 2" xfId="32558" xr:uid="{83758209-3A33-46D6-B173-87C76F61FEB7}"/>
    <cellStyle name="Currency 3 2 3 10 3" xfId="23261" xr:uid="{C1226A3F-4099-417D-89BB-9051D4824505}"/>
    <cellStyle name="Currency 3 2 3 11" xfId="8893" xr:uid="{8CE28714-D587-402C-9A17-1A08799662D4}"/>
    <cellStyle name="Currency 3 2 3 11 2" xfId="18217" xr:uid="{5E5E0AF1-787C-43CA-9135-7FA0E155A413}"/>
    <cellStyle name="Currency 3 2 3 11 2 2" xfId="36812" xr:uid="{36E9FB63-655B-4F61-B87E-326B872338A3}"/>
    <cellStyle name="Currency 3 2 3 11 3" xfId="27515" xr:uid="{A6F6B743-CC2E-4DCE-951D-CD46B88BAB21}"/>
    <cellStyle name="Currency 3 2 3 12" xfId="9745" xr:uid="{6A25B2C8-6745-4163-B78E-96BFE19E5750}"/>
    <cellStyle name="Currency 3 2 3 12 2" xfId="28341" xr:uid="{3BBEB5A6-D24D-4B95-9D65-8C9C246D358D}"/>
    <cellStyle name="Currency 3 2 3 13" xfId="19044" xr:uid="{6990AB4E-BAAB-4E75-822D-1E4E1C5906E2}"/>
    <cellStyle name="Currency 3 2 3 2" xfId="183" xr:uid="{00000000-0005-0000-0000-0000000B0000}"/>
    <cellStyle name="Currency 3 2 3 2 10" xfId="9100" xr:uid="{CEBE1F40-0923-46C6-AB84-DD4DAB20CD81}"/>
    <cellStyle name="Currency 3 2 3 2 10 2" xfId="18424" xr:uid="{98E51915-3339-4147-B438-8F8A0D33EEE4}"/>
    <cellStyle name="Currency 3 2 3 2 10 2 2" xfId="37019" xr:uid="{4355F691-3C86-4EED-9DF7-F85EF6D21E35}"/>
    <cellStyle name="Currency 3 2 3 2 10 3" xfId="27722" xr:uid="{BE5B7261-C543-4D38-B522-09225504607F}"/>
    <cellStyle name="Currency 3 2 3 2 11" xfId="9746" xr:uid="{64C45B7E-5006-404F-83A4-4D7AE4EF664B}"/>
    <cellStyle name="Currency 3 2 3 2 11 2" xfId="28342" xr:uid="{6A3D24F5-74AC-4EBE-8281-02963FB7612F}"/>
    <cellStyle name="Currency 3 2 3 2 12" xfId="19045" xr:uid="{F7321E66-9D56-43EC-95CF-43B495DCEF84}"/>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C8E0C70B-31B3-42E5-AC03-D8D9DCCEFE27}"/>
    <cellStyle name="Currency 3 2 3 2 2 2 2 2 2" xfId="35118" xr:uid="{08709A81-3B35-4077-AEFC-2FBBEDE3AFE7}"/>
    <cellStyle name="Currency 3 2 3 2 2 2 2 3" xfId="25821" xr:uid="{53EB126A-1262-411B-837D-73BCFA8B1082}"/>
    <cellStyle name="Currency 3 2 3 2 2 2 3" xfId="12305" xr:uid="{365B8AF0-199A-463B-A59E-927B13F4F5A5}"/>
    <cellStyle name="Currency 3 2 3 2 2 2 3 2" xfId="30901" xr:uid="{6B7F8D19-2825-4243-A03A-F0E4278BE283}"/>
    <cellStyle name="Currency 3 2 3 2 2 2 4" xfId="21604" xr:uid="{3AE0134B-8E11-4411-9F5D-B552A7491E62}"/>
    <cellStyle name="Currency 3 2 3 2 2 3" xfId="5051" xr:uid="{00000000-0005-0000-0000-0000040B0000}"/>
    <cellStyle name="Currency 3 2 3 2 2 3 2" xfId="14377" xr:uid="{A658DFD8-BE9E-4313-A023-B7723E6C0FC4}"/>
    <cellStyle name="Currency 3 2 3 2 2 3 2 2" xfId="32973" xr:uid="{04B68F09-4AAB-4A8F-AE26-8B39434E1A5C}"/>
    <cellStyle name="Currency 3 2 3 2 2 3 3" xfId="23676" xr:uid="{FC35C917-A934-425E-92D1-DD0AFFB92C11}"/>
    <cellStyle name="Currency 3 2 3 2 2 4" xfId="9525" xr:uid="{759374BA-DDD8-4F33-9655-B300986F8700}"/>
    <cellStyle name="Currency 3 2 3 2 2 4 2" xfId="18840" xr:uid="{90E605CD-20BA-4268-B6FA-D4BCB74ED4E9}"/>
    <cellStyle name="Currency 3 2 3 2 2 4 2 2" xfId="37434" xr:uid="{4C40DA4D-A0E8-42B8-9855-47E9A3391AC6}"/>
    <cellStyle name="Currency 3 2 3 2 2 4 3" xfId="28137" xr:uid="{C539BD65-C975-4225-B92D-D9E7BEBB1132}"/>
    <cellStyle name="Currency 3 2 3 2 2 5" xfId="10160" xr:uid="{02C67930-70AB-4BBE-81B1-BCD013662B99}"/>
    <cellStyle name="Currency 3 2 3 2 2 5 2" xfId="28756" xr:uid="{9DE5DCFC-58E1-4F3F-AC7F-6F403ACC6CFC}"/>
    <cellStyle name="Currency 3 2 3 2 2 6" xfId="19459" xr:uid="{88B36103-D067-4184-9339-3C82E0097AA8}"/>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A0F18BFB-86C0-4A21-AA3F-E05482409521}"/>
    <cellStyle name="Currency 3 2 3 2 3 2 2 2 2" xfId="35531" xr:uid="{37F3F1F0-145D-410B-AC88-7E8F5CF33F14}"/>
    <cellStyle name="Currency 3 2 3 2 3 2 2 3" xfId="26234" xr:uid="{693A5CE6-EF6E-464E-8E41-659463B2217D}"/>
    <cellStyle name="Currency 3 2 3 2 3 2 3" xfId="12718" xr:uid="{A0D20C49-98B9-4600-A40B-0EDCEB86A68E}"/>
    <cellStyle name="Currency 3 2 3 2 3 2 3 2" xfId="31314" xr:uid="{6F2AB559-4EF2-4A4A-8A1F-B37E3AEE06E6}"/>
    <cellStyle name="Currency 3 2 3 2 3 2 4" xfId="22017" xr:uid="{01E5B921-46C9-4EFB-995E-00A330AF09A9}"/>
    <cellStyle name="Currency 3 2 3 2 3 3" xfId="5464" xr:uid="{00000000-0005-0000-0000-0000080B0000}"/>
    <cellStyle name="Currency 3 2 3 2 3 3 2" xfId="14790" xr:uid="{9C914C55-5E6F-4A4A-B500-554063F49BF0}"/>
    <cellStyle name="Currency 3 2 3 2 3 3 2 2" xfId="33386" xr:uid="{2A9AE815-50F2-4619-B957-CB53330B86C6}"/>
    <cellStyle name="Currency 3 2 3 2 3 3 3" xfId="24089" xr:uid="{19436D1B-D8AA-407A-B2D9-4063EBC558B4}"/>
    <cellStyle name="Currency 3 2 3 2 3 4" xfId="10573" xr:uid="{E20166D0-5E56-402E-94AB-2B061D91B636}"/>
    <cellStyle name="Currency 3 2 3 2 3 4 2" xfId="29169" xr:uid="{59CA9DFF-85B1-4578-8125-F8452D708D93}"/>
    <cellStyle name="Currency 3 2 3 2 3 5" xfId="19872" xr:uid="{6E9BF186-A832-4D5D-8C7C-85A28224EA3C}"/>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E8DF91C9-7AD5-46FE-8B8E-FE7C5C683942}"/>
    <cellStyle name="Currency 3 2 3 2 4 2 2 2 2" xfId="35944" xr:uid="{416EECC5-DD56-4610-8F6A-A5209E4CBAFE}"/>
    <cellStyle name="Currency 3 2 3 2 4 2 2 3" xfId="26647" xr:uid="{311AF048-FDE7-4954-9F20-7D5B835C2E4E}"/>
    <cellStyle name="Currency 3 2 3 2 4 2 3" xfId="13131" xr:uid="{13447B1E-D2DB-4274-BBAC-2D1CA50C3669}"/>
    <cellStyle name="Currency 3 2 3 2 4 2 3 2" xfId="31727" xr:uid="{A3C6FD32-DFC9-4526-9979-8635C2F82141}"/>
    <cellStyle name="Currency 3 2 3 2 4 2 4" xfId="22430" xr:uid="{C47F307D-37C5-48FF-A04A-EF56D6FB08B1}"/>
    <cellStyle name="Currency 3 2 3 2 4 3" xfId="5877" xr:uid="{00000000-0005-0000-0000-00000C0B0000}"/>
    <cellStyle name="Currency 3 2 3 2 4 3 2" xfId="15203" xr:uid="{75F55DD6-21D0-4ED8-B795-DBD4C0358890}"/>
    <cellStyle name="Currency 3 2 3 2 4 3 2 2" xfId="33799" xr:uid="{0CDA28D1-BAAD-4CE2-93D6-882F0BD1C676}"/>
    <cellStyle name="Currency 3 2 3 2 4 3 3" xfId="24502" xr:uid="{DE83E4E7-440D-4623-A4B0-680E93B0F642}"/>
    <cellStyle name="Currency 3 2 3 2 4 4" xfId="10986" xr:uid="{CB4D44F3-BFBD-4C16-8CC5-EF8C39E43722}"/>
    <cellStyle name="Currency 3 2 3 2 4 4 2" xfId="29582" xr:uid="{1A1B06A3-4D8C-431E-A223-C9C599503470}"/>
    <cellStyle name="Currency 3 2 3 2 4 5" xfId="20285" xr:uid="{A9631FA7-244A-454D-B9E8-9C5AAFB90B14}"/>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16E9C793-39F7-4733-9461-EA8D7B68EFDF}"/>
    <cellStyle name="Currency 3 2 3 2 5 2 2 2 2" xfId="36357" xr:uid="{C0E626A3-D71A-41FF-9F81-8D110982031C}"/>
    <cellStyle name="Currency 3 2 3 2 5 2 2 3" xfId="27060" xr:uid="{CBE3E7FD-6FE2-4896-B45F-9FFEFFAD22E3}"/>
    <cellStyle name="Currency 3 2 3 2 5 2 3" xfId="13544" xr:uid="{099773CD-78F5-4CB6-9B94-C2D32B2D7C8E}"/>
    <cellStyle name="Currency 3 2 3 2 5 2 3 2" xfId="32140" xr:uid="{DA8592E2-5162-4AE0-A71D-592AA313B502}"/>
    <cellStyle name="Currency 3 2 3 2 5 2 4" xfId="22843" xr:uid="{BD0290CE-D4AA-42F4-80D0-1C7171E3A0F5}"/>
    <cellStyle name="Currency 3 2 3 2 5 3" xfId="6290" xr:uid="{00000000-0005-0000-0000-0000100B0000}"/>
    <cellStyle name="Currency 3 2 3 2 5 3 2" xfId="15616" xr:uid="{5DE6B692-7731-4EAC-8A44-2016A410BC7D}"/>
    <cellStyle name="Currency 3 2 3 2 5 3 2 2" xfId="34212" xr:uid="{35B08751-E682-4EB6-917E-341DA97F2785}"/>
    <cellStyle name="Currency 3 2 3 2 5 3 3" xfId="24915" xr:uid="{1B1A59C5-07AD-4FD2-AB0D-8D138E5E7629}"/>
    <cellStyle name="Currency 3 2 3 2 5 4" xfId="11399" xr:uid="{ACB0BFD3-66B0-435F-BD58-B2C585C680C5}"/>
    <cellStyle name="Currency 3 2 3 2 5 4 2" xfId="29995" xr:uid="{647B2F91-BF69-4169-BA4A-170C09120BD6}"/>
    <cellStyle name="Currency 3 2 3 2 5 5" xfId="20698" xr:uid="{557A4BF8-4C25-457E-BC2F-6A62D52049CC}"/>
    <cellStyle name="Currency 3 2 3 2 6" xfId="2419" xr:uid="{00000000-0005-0000-0000-0000110B0000}"/>
    <cellStyle name="Currency 3 2 3 2 6 2" xfId="6703" xr:uid="{00000000-0005-0000-0000-0000120B0000}"/>
    <cellStyle name="Currency 3 2 3 2 6 2 2" xfId="16029" xr:uid="{66C94416-4009-4CD0-9219-6EFF369E40C9}"/>
    <cellStyle name="Currency 3 2 3 2 6 2 2 2" xfId="34625" xr:uid="{60AC9EF5-3EF5-4489-B026-6E5671455066}"/>
    <cellStyle name="Currency 3 2 3 2 6 2 3" xfId="25328" xr:uid="{89D396C9-420F-4313-B85D-8517FE7711B1}"/>
    <cellStyle name="Currency 3 2 3 2 6 3" xfId="11812" xr:uid="{C73E57B9-8BA3-4FC3-B334-7900F999BED5}"/>
    <cellStyle name="Currency 3 2 3 2 6 3 2" xfId="30408" xr:uid="{4FE212D1-BFA5-4080-BABD-919BC6AFF89D}"/>
    <cellStyle name="Currency 3 2 3 2 6 4" xfId="21111" xr:uid="{E5ECAFCB-668B-4EE8-BD24-27304D893D97}"/>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7F5DA96D-62E1-4E7E-A633-55687A31F530}"/>
    <cellStyle name="Currency 3 2 3 2 8 2 2 2" xfId="34942" xr:uid="{60E5F71D-ABB5-4505-926F-789C466AD415}"/>
    <cellStyle name="Currency 3 2 3 2 8 2 3" xfId="25645" xr:uid="{A324D82D-7077-4DCD-84DF-CCE4AF4A3317}"/>
    <cellStyle name="Currency 3 2 3 2 8 3" xfId="12129" xr:uid="{A91491CB-BCDC-4A5F-81C1-7407323F6B00}"/>
    <cellStyle name="Currency 3 2 3 2 8 3 2" xfId="30725" xr:uid="{2EE627AB-D458-4868-8CE4-703DADB1976A}"/>
    <cellStyle name="Currency 3 2 3 2 8 4" xfId="21428" xr:uid="{72E879B4-398F-47D4-BF5B-BDF7DBEC82F2}"/>
    <cellStyle name="Currency 3 2 3 2 9" xfId="4637" xr:uid="{00000000-0005-0000-0000-0000160B0000}"/>
    <cellStyle name="Currency 3 2 3 2 9 2" xfId="13963" xr:uid="{BC45BACB-627B-4F45-AE09-3F0D1E6DE527}"/>
    <cellStyle name="Currency 3 2 3 2 9 2 2" xfId="32559" xr:uid="{63A9C020-53EE-42EF-8AC7-102C92A7B448}"/>
    <cellStyle name="Currency 3 2 3 2 9 3" xfId="23262" xr:uid="{A84C5ED1-81E3-4F3E-8A16-3BAFA3555BA2}"/>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18BAD7E0-58B5-47BB-BA8B-DDB10A0268A9}"/>
    <cellStyle name="Currency 3 2 3 3 2 2 2 2" xfId="35117" xr:uid="{D4203ED3-C4BB-420B-BFE2-3A738B61F5E6}"/>
    <cellStyle name="Currency 3 2 3 3 2 2 3" xfId="25820" xr:uid="{32298A25-B9DB-4E98-81D3-1387D8224C71}"/>
    <cellStyle name="Currency 3 2 3 3 2 3" xfId="12304" xr:uid="{309DA02A-489A-4EC0-8B17-CA89EDE3306F}"/>
    <cellStyle name="Currency 3 2 3 3 2 3 2" xfId="30900" xr:uid="{A90C0BE5-A20B-49B7-9A63-A35572472CB2}"/>
    <cellStyle name="Currency 3 2 3 3 2 4" xfId="21603" xr:uid="{F97524E2-B516-442C-ADC2-4DC6733241F3}"/>
    <cellStyle name="Currency 3 2 3 3 3" xfId="5050" xr:uid="{00000000-0005-0000-0000-00001A0B0000}"/>
    <cellStyle name="Currency 3 2 3 3 3 2" xfId="14376" xr:uid="{CC81F971-1110-457B-BA38-5F66183A4DE6}"/>
    <cellStyle name="Currency 3 2 3 3 3 2 2" xfId="32972" xr:uid="{92D0D29A-5A6E-46B5-9B6B-F16AA952ACFC}"/>
    <cellStyle name="Currency 3 2 3 3 3 3" xfId="23675" xr:uid="{9E7E78DC-405B-49F9-9140-426B220D357E}"/>
    <cellStyle name="Currency 3 2 3 3 4" xfId="9318" xr:uid="{AA73873E-8E72-4FDE-A22E-F5D80E2A87B1}"/>
    <cellStyle name="Currency 3 2 3 3 4 2" xfId="18633" xr:uid="{611B8FE3-1856-43AC-8DC3-072DD8F9851A}"/>
    <cellStyle name="Currency 3 2 3 3 4 2 2" xfId="37227" xr:uid="{8FA8A079-B01C-465F-A22F-A070AB5569D6}"/>
    <cellStyle name="Currency 3 2 3 3 4 3" xfId="27930" xr:uid="{A92CED6B-278E-4AD3-93B7-A762DA160EBA}"/>
    <cellStyle name="Currency 3 2 3 3 5" xfId="10159" xr:uid="{14C997E0-F4AD-47DA-A4A9-C37CFD219D53}"/>
    <cellStyle name="Currency 3 2 3 3 5 2" xfId="28755" xr:uid="{88BC3E98-DE12-4A00-AE51-8588FEFC4288}"/>
    <cellStyle name="Currency 3 2 3 3 6" xfId="19458" xr:uid="{D54C070A-847F-4AE8-B0A1-F142D74B1B22}"/>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6E10088B-F868-4DB8-9307-FA476D17A9CD}"/>
    <cellStyle name="Currency 3 2 3 4 2 2 2 2" xfId="35530" xr:uid="{E5BC0D90-E69F-4C33-BABB-1B6CCF8A2E25}"/>
    <cellStyle name="Currency 3 2 3 4 2 2 3" xfId="26233" xr:uid="{D57F3634-CE87-401C-8156-35078E8B4F00}"/>
    <cellStyle name="Currency 3 2 3 4 2 3" xfId="12717" xr:uid="{FCEE40B7-4ACC-48D9-8AE5-B10D3AC04C93}"/>
    <cellStyle name="Currency 3 2 3 4 2 3 2" xfId="31313" xr:uid="{9EB1BA80-F7ED-4AFB-B8A5-7FC0359182F7}"/>
    <cellStyle name="Currency 3 2 3 4 2 4" xfId="22016" xr:uid="{0E47C9CB-D2BA-43E5-9040-7DDC158A085B}"/>
    <cellStyle name="Currency 3 2 3 4 3" xfId="5463" xr:uid="{00000000-0005-0000-0000-00001E0B0000}"/>
    <cellStyle name="Currency 3 2 3 4 3 2" xfId="14789" xr:uid="{A285A4CE-A4D3-40C2-82C7-E4C05CE5B4F5}"/>
    <cellStyle name="Currency 3 2 3 4 3 2 2" xfId="33385" xr:uid="{F82CEF93-4E87-4846-A261-D6FA979756FC}"/>
    <cellStyle name="Currency 3 2 3 4 3 3" xfId="24088" xr:uid="{53A0693F-CE0C-4C0E-9A32-A20EE4EDCEC3}"/>
    <cellStyle name="Currency 3 2 3 4 4" xfId="10572" xr:uid="{8B814DC9-0B40-4A2F-B5E5-787BE5D1F0C0}"/>
    <cellStyle name="Currency 3 2 3 4 4 2" xfId="29168" xr:uid="{380C1093-2A82-48D9-9F20-AEECCCC7B838}"/>
    <cellStyle name="Currency 3 2 3 4 5" xfId="19871" xr:uid="{51970100-DC93-49DE-96B2-0E3E000FC9B4}"/>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080E3542-41E9-47FF-9F7A-43383DCA927B}"/>
    <cellStyle name="Currency 3 2 3 5 2 2 2 2" xfId="35943" xr:uid="{42A81404-1D7D-4932-B0BD-9034036F3BA7}"/>
    <cellStyle name="Currency 3 2 3 5 2 2 3" xfId="26646" xr:uid="{DA5E3229-E90B-4A95-AF23-C3A606F0479A}"/>
    <cellStyle name="Currency 3 2 3 5 2 3" xfId="13130" xr:uid="{C785BDA8-8A62-4387-ACCF-989607A06E55}"/>
    <cellStyle name="Currency 3 2 3 5 2 3 2" xfId="31726" xr:uid="{94A13439-5712-4328-B259-A2E1C2224D5B}"/>
    <cellStyle name="Currency 3 2 3 5 2 4" xfId="22429" xr:uid="{D63C20C6-6DA1-443C-85F1-766943931A09}"/>
    <cellStyle name="Currency 3 2 3 5 3" xfId="5876" xr:uid="{00000000-0005-0000-0000-0000220B0000}"/>
    <cellStyle name="Currency 3 2 3 5 3 2" xfId="15202" xr:uid="{14FFCA1B-2C8D-4EF9-B295-588271198CB9}"/>
    <cellStyle name="Currency 3 2 3 5 3 2 2" xfId="33798" xr:uid="{9A0334B1-0BF0-40EC-9829-DE32A5703D46}"/>
    <cellStyle name="Currency 3 2 3 5 3 3" xfId="24501" xr:uid="{6F314552-F698-4068-862A-14390225D6A1}"/>
    <cellStyle name="Currency 3 2 3 5 4" xfId="10985" xr:uid="{5E9353E0-A5CC-4B30-8B17-4302DE63675A}"/>
    <cellStyle name="Currency 3 2 3 5 4 2" xfId="29581" xr:uid="{3DFF183E-EFBC-48D0-84F8-81CC8760582B}"/>
    <cellStyle name="Currency 3 2 3 5 5" xfId="20284" xr:uid="{4F187DE8-6E67-4C55-A136-DD9D58BE751D}"/>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0F4E358D-E32C-4C46-90A7-26BE86E53D34}"/>
    <cellStyle name="Currency 3 2 3 6 2 2 2 2" xfId="36356" xr:uid="{472F5D23-A88D-4214-BCCB-78B9DE46F8A5}"/>
    <cellStyle name="Currency 3 2 3 6 2 2 3" xfId="27059" xr:uid="{E47548E3-5C84-4AB6-824E-028E1037D030}"/>
    <cellStyle name="Currency 3 2 3 6 2 3" xfId="13543" xr:uid="{39B008DB-1C23-43D9-A1CC-DF60ED7DAAED}"/>
    <cellStyle name="Currency 3 2 3 6 2 3 2" xfId="32139" xr:uid="{94091B5F-BA03-4ADB-B1B6-EC9490E8D46B}"/>
    <cellStyle name="Currency 3 2 3 6 2 4" xfId="22842" xr:uid="{660AEC6D-4A61-4D24-8BF3-518BC3903C56}"/>
    <cellStyle name="Currency 3 2 3 6 3" xfId="6289" xr:uid="{00000000-0005-0000-0000-0000260B0000}"/>
    <cellStyle name="Currency 3 2 3 6 3 2" xfId="15615" xr:uid="{E338E74D-EDDC-4B88-A01D-CB230099B651}"/>
    <cellStyle name="Currency 3 2 3 6 3 2 2" xfId="34211" xr:uid="{BB43E6EC-5D26-443B-BB3F-5AFD79E097E5}"/>
    <cellStyle name="Currency 3 2 3 6 3 3" xfId="24914" xr:uid="{5162D796-0647-48B4-83E7-C1999C8CF134}"/>
    <cellStyle name="Currency 3 2 3 6 4" xfId="11398" xr:uid="{CEF39504-C2A5-4262-968F-4ABB6FAD41D5}"/>
    <cellStyle name="Currency 3 2 3 6 4 2" xfId="29994" xr:uid="{67C9AA85-5E01-4892-8BD4-2075176217C5}"/>
    <cellStyle name="Currency 3 2 3 6 5" xfId="20697" xr:uid="{5E8F214B-D89B-4974-8BBA-42FE7DBF2302}"/>
    <cellStyle name="Currency 3 2 3 7" xfId="2418" xr:uid="{00000000-0005-0000-0000-0000270B0000}"/>
    <cellStyle name="Currency 3 2 3 7 2" xfId="6702" xr:uid="{00000000-0005-0000-0000-0000280B0000}"/>
    <cellStyle name="Currency 3 2 3 7 2 2" xfId="16028" xr:uid="{72B9FAF1-F001-4087-B25E-5BE9BE1F6BDA}"/>
    <cellStyle name="Currency 3 2 3 7 2 2 2" xfId="34624" xr:uid="{60332450-4991-47E6-AA1D-4FE96AE42496}"/>
    <cellStyle name="Currency 3 2 3 7 2 3" xfId="25327" xr:uid="{B154271F-29B4-4302-8021-4C2360A696BB}"/>
    <cellStyle name="Currency 3 2 3 7 3" xfId="11811" xr:uid="{1DC393D8-CCA5-4145-94E2-2B6988799F6D}"/>
    <cellStyle name="Currency 3 2 3 7 3 2" xfId="30407" xr:uid="{2B982C5C-9755-4DA6-971A-D3969B8D51C9}"/>
    <cellStyle name="Currency 3 2 3 7 4" xfId="21110" xr:uid="{BBEA6DA6-C422-4002-ACFD-93C6E1F07094}"/>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185E9111-6EC3-40C7-B5E1-8DE03954141F}"/>
    <cellStyle name="Currency 3 2 3 9 2 2 2" xfId="34941" xr:uid="{21E7ED54-222A-465E-9AD8-FAE217D2C67F}"/>
    <cellStyle name="Currency 3 2 3 9 2 3" xfId="25644" xr:uid="{7FB07E0B-AAFD-438D-AEB3-E8A0ADA37008}"/>
    <cellStyle name="Currency 3 2 3 9 3" xfId="12128" xr:uid="{42630B48-690A-4F05-ADEE-E61912A33BA1}"/>
    <cellStyle name="Currency 3 2 3 9 3 2" xfId="30724" xr:uid="{05374118-00C3-4CA2-A92F-3226E2664990}"/>
    <cellStyle name="Currency 3 2 3 9 4" xfId="21427" xr:uid="{9818BF72-6104-420B-A270-A7EE850B792F}"/>
    <cellStyle name="Currency 3 2 4" xfId="184" xr:uid="{00000000-0005-0000-0000-00002C0B0000}"/>
    <cellStyle name="Currency 3 2 4 10" xfId="8997" xr:uid="{DF9FC022-A382-4135-990F-F43A472E13BA}"/>
    <cellStyle name="Currency 3 2 4 10 2" xfId="18321" xr:uid="{35908EAE-3171-49EA-A26A-630005ACEB2B}"/>
    <cellStyle name="Currency 3 2 4 10 2 2" xfId="36916" xr:uid="{A7AD45F4-26AB-41D3-8599-4D1FECC06E1F}"/>
    <cellStyle name="Currency 3 2 4 10 3" xfId="27619" xr:uid="{CB36BD67-03E8-489C-B328-790BFE7C6D49}"/>
    <cellStyle name="Currency 3 2 4 11" xfId="9747" xr:uid="{4EEAC71C-E5C3-466E-ACE1-EA0E63D20AD7}"/>
    <cellStyle name="Currency 3 2 4 11 2" xfId="28343" xr:uid="{091A4962-334D-4B30-9274-BD417561D9D7}"/>
    <cellStyle name="Currency 3 2 4 12" xfId="19046" xr:uid="{7E7E45A3-607C-4528-9D02-DF2B55151B6C}"/>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87EB48E3-72A1-4C5A-AF69-3D478D31BFB2}"/>
    <cellStyle name="Currency 3 2 4 2 2 2 2 2" xfId="35119" xr:uid="{B774E124-04BC-4D80-8043-D6330111F2E1}"/>
    <cellStyle name="Currency 3 2 4 2 2 2 3" xfId="25822" xr:uid="{3E1334F4-2488-4A70-BFB6-458A0EBA2F92}"/>
    <cellStyle name="Currency 3 2 4 2 2 3" xfId="12306" xr:uid="{467C2013-FDEE-42DC-B91B-198A3C971255}"/>
    <cellStyle name="Currency 3 2 4 2 2 3 2" xfId="30902" xr:uid="{2F13E343-751D-4ED6-839D-CF9CFA36626C}"/>
    <cellStyle name="Currency 3 2 4 2 2 4" xfId="21605" xr:uid="{F8552648-55F6-4868-AA02-0ABC3C018778}"/>
    <cellStyle name="Currency 3 2 4 2 3" xfId="5052" xr:uid="{00000000-0005-0000-0000-0000300B0000}"/>
    <cellStyle name="Currency 3 2 4 2 3 2" xfId="14378" xr:uid="{C2848774-B742-43B6-978D-AF5BFB1678DB}"/>
    <cellStyle name="Currency 3 2 4 2 3 2 2" xfId="32974" xr:uid="{0E86383A-C728-4752-A704-2D9AA6ABC98D}"/>
    <cellStyle name="Currency 3 2 4 2 3 3" xfId="23677" xr:uid="{4144F3F3-BBBD-408F-BEF5-1D265815751B}"/>
    <cellStyle name="Currency 3 2 4 2 4" xfId="9422" xr:uid="{3049B7CE-611E-437A-AD0B-2E3AA5E2E50D}"/>
    <cellStyle name="Currency 3 2 4 2 4 2" xfId="18737" xr:uid="{9F41A4D8-F79D-4EAE-9802-B3E3FE599585}"/>
    <cellStyle name="Currency 3 2 4 2 4 2 2" xfId="37331" xr:uid="{D2AF6B1C-8911-4ABF-AA8E-628D33C0AC79}"/>
    <cellStyle name="Currency 3 2 4 2 4 3" xfId="28034" xr:uid="{6EAA3340-EEA4-4E33-9879-0525C17D35BA}"/>
    <cellStyle name="Currency 3 2 4 2 5" xfId="10161" xr:uid="{E9A50AC9-9229-4B62-8C05-D7CCAAEA31A2}"/>
    <cellStyle name="Currency 3 2 4 2 5 2" xfId="28757" xr:uid="{A52423E3-B60B-434E-A361-8EB279AC8692}"/>
    <cellStyle name="Currency 3 2 4 2 6" xfId="19460" xr:uid="{85C75628-0753-4AE0-8132-997A7DA8A2A5}"/>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BB8D5812-0D3D-4B2C-BAB2-0BD6028A1200}"/>
    <cellStyle name="Currency 3 2 4 3 2 2 2 2" xfId="35532" xr:uid="{EE5E6DF6-628A-4161-8ED5-7595D90292BF}"/>
    <cellStyle name="Currency 3 2 4 3 2 2 3" xfId="26235" xr:uid="{46F087B7-E077-4F00-A4DE-A4AA066AC377}"/>
    <cellStyle name="Currency 3 2 4 3 2 3" xfId="12719" xr:uid="{DE05B96E-9ADC-4EB2-ADA1-1145ECF6A7C5}"/>
    <cellStyle name="Currency 3 2 4 3 2 3 2" xfId="31315" xr:uid="{10EF2ECD-50C9-474D-AC31-85E5487F921F}"/>
    <cellStyle name="Currency 3 2 4 3 2 4" xfId="22018" xr:uid="{7876626B-8040-483A-8A8D-CB983EE7F604}"/>
    <cellStyle name="Currency 3 2 4 3 3" xfId="5465" xr:uid="{00000000-0005-0000-0000-0000340B0000}"/>
    <cellStyle name="Currency 3 2 4 3 3 2" xfId="14791" xr:uid="{A244AC8A-3D90-44ED-8D01-3FE5671D50AB}"/>
    <cellStyle name="Currency 3 2 4 3 3 2 2" xfId="33387" xr:uid="{05FED372-DFD4-44BC-B191-E1C9F05A12E5}"/>
    <cellStyle name="Currency 3 2 4 3 3 3" xfId="24090" xr:uid="{9F4A5FB6-CDE0-4A28-9A7F-02C0908B2C9B}"/>
    <cellStyle name="Currency 3 2 4 3 4" xfId="10574" xr:uid="{CA36341E-D78A-472F-AD7C-C6D5C5E97587}"/>
    <cellStyle name="Currency 3 2 4 3 4 2" xfId="29170" xr:uid="{D62192AD-3457-4856-BBEF-BFB815113403}"/>
    <cellStyle name="Currency 3 2 4 3 5" xfId="19873" xr:uid="{CF24EBD5-F47B-47DD-9256-E51CC7476CB5}"/>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37BBFB5A-4EF6-4480-AB30-4D3CFB497621}"/>
    <cellStyle name="Currency 3 2 4 4 2 2 2 2" xfId="35945" xr:uid="{F8FD0756-FE34-4D8C-BB5A-2655B2B5CE81}"/>
    <cellStyle name="Currency 3 2 4 4 2 2 3" xfId="26648" xr:uid="{0DE49845-917F-46B0-B068-1C1EE8814025}"/>
    <cellStyle name="Currency 3 2 4 4 2 3" xfId="13132" xr:uid="{A3760914-A2F5-4412-AA49-0A0F1D9419C5}"/>
    <cellStyle name="Currency 3 2 4 4 2 3 2" xfId="31728" xr:uid="{FA40C035-5389-49F9-84FF-32A17056BA9A}"/>
    <cellStyle name="Currency 3 2 4 4 2 4" xfId="22431" xr:uid="{428AEC42-C2F1-4586-89EA-50B32D8A4C55}"/>
    <cellStyle name="Currency 3 2 4 4 3" xfId="5878" xr:uid="{00000000-0005-0000-0000-0000380B0000}"/>
    <cellStyle name="Currency 3 2 4 4 3 2" xfId="15204" xr:uid="{A426D437-302B-433F-883D-10C15DB17303}"/>
    <cellStyle name="Currency 3 2 4 4 3 2 2" xfId="33800" xr:uid="{49A03688-9DE2-4A58-99C1-05B786FC4B2F}"/>
    <cellStyle name="Currency 3 2 4 4 3 3" xfId="24503" xr:uid="{9AE2B184-C459-401B-87BA-8165700C7725}"/>
    <cellStyle name="Currency 3 2 4 4 4" xfId="10987" xr:uid="{016E5ED3-EB98-413B-BD69-81DFDC28021C}"/>
    <cellStyle name="Currency 3 2 4 4 4 2" xfId="29583" xr:uid="{7C943909-8AEC-4AF1-8D2C-30689C89CAB3}"/>
    <cellStyle name="Currency 3 2 4 4 5" xfId="20286" xr:uid="{1FD399E0-C129-4C5F-9438-EE3A6C9CF69B}"/>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5DA4F7A6-FB26-4F79-AF29-6CDB5701C46E}"/>
    <cellStyle name="Currency 3 2 4 5 2 2 2 2" xfId="36358" xr:uid="{1C1C9A42-83A3-4528-8CB3-A99D13CDF2C9}"/>
    <cellStyle name="Currency 3 2 4 5 2 2 3" xfId="27061" xr:uid="{9A0DACA4-2CCC-4C19-8019-C8BAD22F9792}"/>
    <cellStyle name="Currency 3 2 4 5 2 3" xfId="13545" xr:uid="{284070BF-E935-44EE-AE78-EFDCF2C3046B}"/>
    <cellStyle name="Currency 3 2 4 5 2 3 2" xfId="32141" xr:uid="{2F2550CB-5218-4C90-ABCA-F998433F67D8}"/>
    <cellStyle name="Currency 3 2 4 5 2 4" xfId="22844" xr:uid="{457FCF0A-00D3-4757-A71A-580542E660A8}"/>
    <cellStyle name="Currency 3 2 4 5 3" xfId="6291" xr:uid="{00000000-0005-0000-0000-00003C0B0000}"/>
    <cellStyle name="Currency 3 2 4 5 3 2" xfId="15617" xr:uid="{063C3F13-D943-4524-8C92-E2F289E913F3}"/>
    <cellStyle name="Currency 3 2 4 5 3 2 2" xfId="34213" xr:uid="{2523A354-D412-4894-ACFA-DC82FC3D9351}"/>
    <cellStyle name="Currency 3 2 4 5 3 3" xfId="24916" xr:uid="{C6EE3768-9F73-414D-921B-A03EF25A8EC3}"/>
    <cellStyle name="Currency 3 2 4 5 4" xfId="11400" xr:uid="{8F248457-3E3B-448C-8EA5-5F16D455A216}"/>
    <cellStyle name="Currency 3 2 4 5 4 2" xfId="29996" xr:uid="{B2A17FD6-0795-4323-B865-58AE94ED402C}"/>
    <cellStyle name="Currency 3 2 4 5 5" xfId="20699" xr:uid="{7DB73077-0883-4DCF-AB06-3FD91484FA3F}"/>
    <cellStyle name="Currency 3 2 4 6" xfId="2420" xr:uid="{00000000-0005-0000-0000-00003D0B0000}"/>
    <cellStyle name="Currency 3 2 4 6 2" xfId="6704" xr:uid="{00000000-0005-0000-0000-00003E0B0000}"/>
    <cellStyle name="Currency 3 2 4 6 2 2" xfId="16030" xr:uid="{74694E93-5F50-446E-9404-FAB7EAEB1144}"/>
    <cellStyle name="Currency 3 2 4 6 2 2 2" xfId="34626" xr:uid="{8F015B03-1CA1-4E6C-9465-E612E70BF3AB}"/>
    <cellStyle name="Currency 3 2 4 6 2 3" xfId="25329" xr:uid="{36DDDDAD-4000-4A09-97D9-9AB77C6A3AAC}"/>
    <cellStyle name="Currency 3 2 4 6 3" xfId="11813" xr:uid="{DDCEB3D1-4A55-4A2D-8E67-9399F6AFA4D6}"/>
    <cellStyle name="Currency 3 2 4 6 3 2" xfId="30409" xr:uid="{D70D9450-9E59-4FE3-A117-650895720A48}"/>
    <cellStyle name="Currency 3 2 4 6 4" xfId="21112" xr:uid="{9C351FD0-7DC3-4264-9D5E-9EAD703859A9}"/>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094E6456-A2CC-46C8-922F-7BE38F9F2DB4}"/>
    <cellStyle name="Currency 3 2 4 8 2 2 2" xfId="34943" xr:uid="{2248228B-2422-4FF9-A6EA-C5F93DB1A327}"/>
    <cellStyle name="Currency 3 2 4 8 2 3" xfId="25646" xr:uid="{A2781989-D388-4B86-A9C2-D930B05265F2}"/>
    <cellStyle name="Currency 3 2 4 8 3" xfId="12130" xr:uid="{D1A476B9-1CA3-44D4-A2A7-AE2118513ADC}"/>
    <cellStyle name="Currency 3 2 4 8 3 2" xfId="30726" xr:uid="{AA82E86E-B465-4771-B203-99BB97DBA49E}"/>
    <cellStyle name="Currency 3 2 4 8 4" xfId="21429" xr:uid="{C1E620DD-E6C5-44E3-B704-29F0F97AA2BC}"/>
    <cellStyle name="Currency 3 2 4 9" xfId="4638" xr:uid="{00000000-0005-0000-0000-0000420B0000}"/>
    <cellStyle name="Currency 3 2 4 9 2" xfId="13964" xr:uid="{C7FFD51D-7862-4951-92B9-3C96B8CA592D}"/>
    <cellStyle name="Currency 3 2 4 9 2 2" xfId="32560" xr:uid="{AC0EEFE7-8140-4FB7-BBE1-857F38CADABB}"/>
    <cellStyle name="Currency 3 2 4 9 3" xfId="23263" xr:uid="{346ABB59-40B3-4C55-A6AF-22F67DF4C5CA}"/>
    <cellStyle name="Currency 3 2 5" xfId="185" xr:uid="{00000000-0005-0000-0000-0000430B0000}"/>
    <cellStyle name="Currency 3 2 5 10" xfId="9214" xr:uid="{3D0A867F-0B9D-4759-A509-3EC1084E197B}"/>
    <cellStyle name="Currency 3 2 5 10 2" xfId="18530" xr:uid="{C7960B8D-DC99-4BFD-A3FA-F2DEA58C60F4}"/>
    <cellStyle name="Currency 3 2 5 10 2 2" xfId="37124" xr:uid="{6D7F93E5-F7C8-4781-AA01-8707E7017D7F}"/>
    <cellStyle name="Currency 3 2 5 10 3" xfId="27827" xr:uid="{0159F9D9-8070-48C5-81A3-F1F0BC65B45B}"/>
    <cellStyle name="Currency 3 2 5 11" xfId="9748" xr:uid="{481BA8DC-1795-4B42-9C75-2E3928C290E3}"/>
    <cellStyle name="Currency 3 2 5 11 2" xfId="28344" xr:uid="{DF2BF5C8-E459-4891-A3E3-80C9A31AAEF8}"/>
    <cellStyle name="Currency 3 2 5 12" xfId="19047" xr:uid="{FA6D460F-E418-4787-B313-45DFB72E43DA}"/>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CC5544FB-6264-4005-A1B7-0F3BF404803E}"/>
    <cellStyle name="Currency 3 2 5 2 2 2 2 2" xfId="35120" xr:uid="{BA5331AC-8A30-46F8-BD8E-8A2AA6DCB196}"/>
    <cellStyle name="Currency 3 2 5 2 2 2 3" xfId="25823" xr:uid="{5F62AE6A-CF24-4ACD-9E93-D4BBCAB1840C}"/>
    <cellStyle name="Currency 3 2 5 2 2 3" xfId="12307" xr:uid="{B7BED9A0-CD07-4143-9F49-D9306EA90994}"/>
    <cellStyle name="Currency 3 2 5 2 2 3 2" xfId="30903" xr:uid="{70D17585-CD91-4EFC-BB61-545A97E8340B}"/>
    <cellStyle name="Currency 3 2 5 2 2 4" xfId="21606" xr:uid="{F294D005-C8CA-4F2B-BB7E-AE4C2B33C55C}"/>
    <cellStyle name="Currency 3 2 5 2 3" xfId="5053" xr:uid="{00000000-0005-0000-0000-0000470B0000}"/>
    <cellStyle name="Currency 3 2 5 2 3 2" xfId="14379" xr:uid="{6F1DE328-021E-4684-B8CF-BBA0F84B1D9C}"/>
    <cellStyle name="Currency 3 2 5 2 3 2 2" xfId="32975" xr:uid="{DC681D68-96CF-4F45-934B-45043E178F4B}"/>
    <cellStyle name="Currency 3 2 5 2 3 3" xfId="23678" xr:uid="{0009F359-66A4-49CF-A2EC-129AB9D99354}"/>
    <cellStyle name="Currency 3 2 5 2 4" xfId="9597" xr:uid="{6E2F978E-96E4-4AD8-B4BD-1BE9D7E96A2F}"/>
    <cellStyle name="Currency 3 2 5 2 4 2" xfId="18901" xr:uid="{CD0333DF-4224-4752-97D4-B4CAF1022111}"/>
    <cellStyle name="Currency 3 2 5 2 4 2 2" xfId="37495" xr:uid="{8FAD7137-F305-42F7-B523-E664E53834F3}"/>
    <cellStyle name="Currency 3 2 5 2 4 3" xfId="28198" xr:uid="{B35D591E-C820-45C7-989D-050DC07B57E3}"/>
    <cellStyle name="Currency 3 2 5 2 5" xfId="10162" xr:uid="{FF1D2F0D-C586-4D64-ABFE-7EA345F0D2B8}"/>
    <cellStyle name="Currency 3 2 5 2 5 2" xfId="28758" xr:uid="{22DF54AA-7352-4CC3-A0D0-9F793F34CD52}"/>
    <cellStyle name="Currency 3 2 5 2 6" xfId="19461" xr:uid="{EF60D21C-2A9A-46D5-92B0-FA89CA157659}"/>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D054E0CF-FA60-44BB-A08B-723195A54DFD}"/>
    <cellStyle name="Currency 3 2 5 3 2 2 2 2" xfId="35533" xr:uid="{ECCC4921-4347-415D-AAAF-166AEEE35BCC}"/>
    <cellStyle name="Currency 3 2 5 3 2 2 3" xfId="26236" xr:uid="{BA4EA8BB-E4DB-4128-94C8-587CA8A9F888}"/>
    <cellStyle name="Currency 3 2 5 3 2 3" xfId="12720" xr:uid="{0AF0F02B-8165-4E78-8CE2-E7D32587325D}"/>
    <cellStyle name="Currency 3 2 5 3 2 3 2" xfId="31316" xr:uid="{F1FA00A2-0145-454E-86A1-724C9870C73C}"/>
    <cellStyle name="Currency 3 2 5 3 2 4" xfId="22019" xr:uid="{B3688CE7-796C-4602-919C-5A6CA9C9A52F}"/>
    <cellStyle name="Currency 3 2 5 3 3" xfId="5466" xr:uid="{00000000-0005-0000-0000-00004B0B0000}"/>
    <cellStyle name="Currency 3 2 5 3 3 2" xfId="14792" xr:uid="{F1FA1D67-F60C-4119-A255-E6FB3B830B11}"/>
    <cellStyle name="Currency 3 2 5 3 3 2 2" xfId="33388" xr:uid="{B5E1BF9A-4DAD-4AC3-BEAF-14BC33358A86}"/>
    <cellStyle name="Currency 3 2 5 3 3 3" xfId="24091" xr:uid="{5018C9D5-D3D5-48D8-87F3-7B94836CB11C}"/>
    <cellStyle name="Currency 3 2 5 3 4" xfId="10575" xr:uid="{7C8E696E-C27C-4C98-AD78-1D8C900BC773}"/>
    <cellStyle name="Currency 3 2 5 3 4 2" xfId="29171" xr:uid="{B3D2B684-E794-4509-815E-74C1BFA7562F}"/>
    <cellStyle name="Currency 3 2 5 3 5" xfId="19874" xr:uid="{9F4BFEB0-3611-4B48-BBD6-466CDA53B50C}"/>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D642E8C3-65A1-48F5-8BEA-4E3695D2B5BC}"/>
    <cellStyle name="Currency 3 2 5 4 2 2 2 2" xfId="35946" xr:uid="{2065BB7A-7342-4386-ABB4-C74BDE2602AF}"/>
    <cellStyle name="Currency 3 2 5 4 2 2 3" xfId="26649" xr:uid="{A306C421-6749-4BA1-A4B4-623C49C4EADC}"/>
    <cellStyle name="Currency 3 2 5 4 2 3" xfId="13133" xr:uid="{DFAF48A5-5594-4254-A654-F187C982B662}"/>
    <cellStyle name="Currency 3 2 5 4 2 3 2" xfId="31729" xr:uid="{EF1C1AA9-F4B4-40B4-A024-E75970973E0B}"/>
    <cellStyle name="Currency 3 2 5 4 2 4" xfId="22432" xr:uid="{06582FA4-0304-430D-A805-B5F6DA044B0B}"/>
    <cellStyle name="Currency 3 2 5 4 3" xfId="5879" xr:uid="{00000000-0005-0000-0000-00004F0B0000}"/>
    <cellStyle name="Currency 3 2 5 4 3 2" xfId="15205" xr:uid="{5701DE38-7C65-449E-B339-AA73E0F84825}"/>
    <cellStyle name="Currency 3 2 5 4 3 2 2" xfId="33801" xr:uid="{FB89E1BA-1532-4EB2-8660-18382C5F9A6A}"/>
    <cellStyle name="Currency 3 2 5 4 3 3" xfId="24504" xr:uid="{10F043CF-33D0-4495-85D6-34C5028BD860}"/>
    <cellStyle name="Currency 3 2 5 4 4" xfId="10988" xr:uid="{271DD2BB-153C-4C74-9FCA-F8692563EBF1}"/>
    <cellStyle name="Currency 3 2 5 4 4 2" xfId="29584" xr:uid="{CBDBDBBE-CAD4-4155-BC11-32277DB79B89}"/>
    <cellStyle name="Currency 3 2 5 4 5" xfId="20287" xr:uid="{BA7A8915-7F8C-48CB-B886-99866A6C14F3}"/>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1F2C993D-2E82-4ADE-B377-C8F9B928A6B8}"/>
    <cellStyle name="Currency 3 2 5 5 2 2 2 2" xfId="36359" xr:uid="{685252BC-5492-4DEC-8D7E-A6B8B55397BC}"/>
    <cellStyle name="Currency 3 2 5 5 2 2 3" xfId="27062" xr:uid="{188D02D9-A2B2-43FB-8818-8958A859BD21}"/>
    <cellStyle name="Currency 3 2 5 5 2 3" xfId="13546" xr:uid="{5F02A167-73D9-4FCE-A00C-EA7FCDD6E995}"/>
    <cellStyle name="Currency 3 2 5 5 2 3 2" xfId="32142" xr:uid="{DB958FB2-BAF8-4DA4-BEA6-832A7676568E}"/>
    <cellStyle name="Currency 3 2 5 5 2 4" xfId="22845" xr:uid="{C21F47C5-8952-41AD-A2A0-7105A2EA945D}"/>
    <cellStyle name="Currency 3 2 5 5 3" xfId="6292" xr:uid="{00000000-0005-0000-0000-0000530B0000}"/>
    <cellStyle name="Currency 3 2 5 5 3 2" xfId="15618" xr:uid="{B9F0F421-24E5-4744-85E7-71AFCB3BCFC5}"/>
    <cellStyle name="Currency 3 2 5 5 3 2 2" xfId="34214" xr:uid="{9B93026E-ED82-46EA-AE3E-91A767465F76}"/>
    <cellStyle name="Currency 3 2 5 5 3 3" xfId="24917" xr:uid="{9BD4C9D4-2809-4F5D-B3F3-AABCD4709285}"/>
    <cellStyle name="Currency 3 2 5 5 4" xfId="11401" xr:uid="{C85E01ED-985E-4FAB-89C7-C928C35F94CA}"/>
    <cellStyle name="Currency 3 2 5 5 4 2" xfId="29997" xr:uid="{F8937C54-2B7B-40CB-BB6E-E1E0118FF5A7}"/>
    <cellStyle name="Currency 3 2 5 5 5" xfId="20700" xr:uid="{275859F9-A1DD-40C0-B140-595F1E6826B4}"/>
    <cellStyle name="Currency 3 2 5 6" xfId="2421" xr:uid="{00000000-0005-0000-0000-0000540B0000}"/>
    <cellStyle name="Currency 3 2 5 6 2" xfId="6705" xr:uid="{00000000-0005-0000-0000-0000550B0000}"/>
    <cellStyle name="Currency 3 2 5 6 2 2" xfId="16031" xr:uid="{C8C845AA-C8BB-42E1-B7A0-97877237DE85}"/>
    <cellStyle name="Currency 3 2 5 6 2 2 2" xfId="34627" xr:uid="{6D288F3A-559D-41CE-8295-B2123669BA89}"/>
    <cellStyle name="Currency 3 2 5 6 2 3" xfId="25330" xr:uid="{293A01F0-2A5D-40A7-83F8-59201DD74A7E}"/>
    <cellStyle name="Currency 3 2 5 6 3" xfId="11814" xr:uid="{6D8EC2E1-BE5E-43B5-B5E1-D81B86854E4B}"/>
    <cellStyle name="Currency 3 2 5 6 3 2" xfId="30410" xr:uid="{9D692159-2552-4B20-A3FF-27575FA048AD}"/>
    <cellStyle name="Currency 3 2 5 6 4" xfId="21113" xr:uid="{0D76C699-E37A-4A78-A953-4371A3805A29}"/>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F1BA2454-236E-49B4-BEFD-EAD408BC2EF6}"/>
    <cellStyle name="Currency 3 2 5 8 2 2 2" xfId="34944" xr:uid="{50E65738-AA53-45C7-9BAA-359994270A92}"/>
    <cellStyle name="Currency 3 2 5 8 2 3" xfId="25647" xr:uid="{B1808DDD-1B2C-4C65-B29C-F769264BBBBD}"/>
    <cellStyle name="Currency 3 2 5 8 3" xfId="12131" xr:uid="{70265004-65DF-49DF-9ADB-3D1D9D1EC8DE}"/>
    <cellStyle name="Currency 3 2 5 8 3 2" xfId="30727" xr:uid="{B69A7508-A9BF-4823-BC16-154151F6C43F}"/>
    <cellStyle name="Currency 3 2 5 8 4" xfId="21430" xr:uid="{17D34E7C-0E91-43B0-A51B-DEF5EAE14DFE}"/>
    <cellStyle name="Currency 3 2 5 9" xfId="4639" xr:uid="{00000000-0005-0000-0000-0000590B0000}"/>
    <cellStyle name="Currency 3 2 5 9 2" xfId="13965" xr:uid="{3330B539-481E-4900-B765-EE86374F400E}"/>
    <cellStyle name="Currency 3 2 5 9 2 2" xfId="32561" xr:uid="{9B960FD0-6A55-4956-8F25-DCF117E3D39F}"/>
    <cellStyle name="Currency 3 2 5 9 3" xfId="23264" xr:uid="{968305C7-C830-4841-8238-96DFDA4101FC}"/>
    <cellStyle name="Currency 3 2 6" xfId="9583" xr:uid="{653EC571-6DFB-4D44-8156-8097E74D2DD4}"/>
    <cellStyle name="Currency 3 2 7" xfId="8790" xr:uid="{4F16186C-C154-4E9A-B12A-0E13D64C3701}"/>
    <cellStyle name="Currency 3 2 7 2" xfId="18114" xr:uid="{D1033513-45CE-41CC-9304-55837EC85785}"/>
    <cellStyle name="Currency 3 2 7 2 2" xfId="36709" xr:uid="{8984E794-85B1-4097-9B8F-909F7A2B2703}"/>
    <cellStyle name="Currency 3 2 7 3" xfId="27412" xr:uid="{F1F7FB0B-3606-4D41-9680-525765004837}"/>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218C75AA-6AFB-4B4D-96E0-0D49528D0BCE}"/>
    <cellStyle name="Currency 5 2 2 2 10 2 2 2" xfId="34945" xr:uid="{FF4AF6F9-D579-4FB7-8EB5-3C3A7BE4400D}"/>
    <cellStyle name="Currency 5 2 2 2 10 2 3" xfId="25648" xr:uid="{707A18FD-3332-49C6-9473-2EC32F98836C}"/>
    <cellStyle name="Currency 5 2 2 2 10 3" xfId="12132" xr:uid="{04C75C84-D484-4E5B-8489-16ED2AAA1635}"/>
    <cellStyle name="Currency 5 2 2 2 10 3 2" xfId="30728" xr:uid="{9F81AF27-F83E-4C0B-9811-C1F60076A943}"/>
    <cellStyle name="Currency 5 2 2 2 10 4" xfId="21431" xr:uid="{62F67026-30F8-424C-B6F3-E95CFC264BF5}"/>
    <cellStyle name="Currency 5 2 2 2 11" xfId="4640" xr:uid="{00000000-0005-0000-0000-00006C0B0000}"/>
    <cellStyle name="Currency 5 2 2 2 11 2" xfId="13966" xr:uid="{CF6B4BE9-1A06-4C7B-9889-7109CC1DB8DB}"/>
    <cellStyle name="Currency 5 2 2 2 11 2 2" xfId="32562" xr:uid="{BE77165E-F201-4777-9F4D-4AE01DB9AD74}"/>
    <cellStyle name="Currency 5 2 2 2 11 3" xfId="23265" xr:uid="{5FE34089-9971-46C1-85CA-900C75132986}"/>
    <cellStyle name="Currency 5 2 2 2 12" xfId="8809" xr:uid="{6E2B58BA-BC61-49BF-A0FE-5BC79A050654}"/>
    <cellStyle name="Currency 5 2 2 2 12 2" xfId="18133" xr:uid="{D8058EC7-F263-475B-A0FC-51F85DEE5AC4}"/>
    <cellStyle name="Currency 5 2 2 2 12 2 2" xfId="36728" xr:uid="{6E485480-493B-48C9-B4FA-A1C811FF3FCD}"/>
    <cellStyle name="Currency 5 2 2 2 12 3" xfId="27431" xr:uid="{3B60D3AF-9DA7-4C22-9729-1CBF3CABD2DE}"/>
    <cellStyle name="Currency 5 2 2 2 13" xfId="9749" xr:uid="{CD2BDCFD-44AD-4832-ABD3-D2DD19A15C40}"/>
    <cellStyle name="Currency 5 2 2 2 13 2" xfId="28345" xr:uid="{7D4A4CF7-5D84-4A3D-9F7A-768B510C7AC9}"/>
    <cellStyle name="Currency 5 2 2 2 14" xfId="19048" xr:uid="{87889909-E206-49F2-B3A2-7D97B0288FA3}"/>
    <cellStyle name="Currency 5 2 2 2 2" xfId="197" xr:uid="{00000000-0005-0000-0000-00006D0B0000}"/>
    <cellStyle name="Currency 5 2 2 2 2 10" xfId="4641" xr:uid="{00000000-0005-0000-0000-00006E0B0000}"/>
    <cellStyle name="Currency 5 2 2 2 2 10 2" xfId="13967" xr:uid="{57904AC2-EE8C-45FD-BF6D-B163951D6288}"/>
    <cellStyle name="Currency 5 2 2 2 2 10 2 2" xfId="32563" xr:uid="{ADD831D3-789A-43D3-85A2-5C6609627009}"/>
    <cellStyle name="Currency 5 2 2 2 2 10 3" xfId="23266" xr:uid="{3BE45C84-12CA-4219-BB1C-404AE7B4FB9E}"/>
    <cellStyle name="Currency 5 2 2 2 2 11" xfId="8912" xr:uid="{4079D27E-F98B-4445-AE20-FFD848158756}"/>
    <cellStyle name="Currency 5 2 2 2 2 11 2" xfId="18236" xr:uid="{EC79DC37-C4BD-479A-8862-E8D1A0FDC742}"/>
    <cellStyle name="Currency 5 2 2 2 2 11 2 2" xfId="36831" xr:uid="{F6A2303F-7EC2-4957-AA79-9817FD336ABB}"/>
    <cellStyle name="Currency 5 2 2 2 2 11 3" xfId="27534" xr:uid="{F70B06AF-0F28-4A35-B7CF-E8467BEFC83F}"/>
    <cellStyle name="Currency 5 2 2 2 2 12" xfId="9750" xr:uid="{1D082D21-4348-4B0D-8CE7-D0D4C4379544}"/>
    <cellStyle name="Currency 5 2 2 2 2 12 2" xfId="28346" xr:uid="{D63DFFFC-53A0-4CFF-8977-BC9D5C440889}"/>
    <cellStyle name="Currency 5 2 2 2 2 13" xfId="19049" xr:uid="{9CEF7DDD-5F12-400A-B190-1B6DBD5FCA09}"/>
    <cellStyle name="Currency 5 2 2 2 2 2" xfId="198" xr:uid="{00000000-0005-0000-0000-00006F0B0000}"/>
    <cellStyle name="Currency 5 2 2 2 2 2 10" xfId="9119" xr:uid="{2B97CFE9-E9FD-476D-A341-C695293642F3}"/>
    <cellStyle name="Currency 5 2 2 2 2 2 10 2" xfId="18443" xr:uid="{6D018668-6193-433A-9232-02D4C770B6B8}"/>
    <cellStyle name="Currency 5 2 2 2 2 2 10 2 2" xfId="37038" xr:uid="{DC8D84A9-786E-44A2-A131-0BB157D1F193}"/>
    <cellStyle name="Currency 5 2 2 2 2 2 10 3" xfId="27741" xr:uid="{180313A8-CCF5-4E52-933D-C29E5D5CD758}"/>
    <cellStyle name="Currency 5 2 2 2 2 2 11" xfId="9751" xr:uid="{C6C27B29-EF50-4C8B-94EF-18A447771EF5}"/>
    <cellStyle name="Currency 5 2 2 2 2 2 11 2" xfId="28347" xr:uid="{10D57190-8E6B-4576-8BE9-972BC056B1DB}"/>
    <cellStyle name="Currency 5 2 2 2 2 2 12" xfId="19050" xr:uid="{21836FB7-D142-44B4-B86F-5AF57561CC9E}"/>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B7830E36-475A-4696-8F76-E131C30207D2}"/>
    <cellStyle name="Currency 5 2 2 2 2 2 2 2 2 2 2" xfId="35123" xr:uid="{59E688B0-5571-475E-8800-D5A0622616B4}"/>
    <cellStyle name="Currency 5 2 2 2 2 2 2 2 2 3" xfId="25826" xr:uid="{D09F35F2-CD72-43C3-B972-9BDF75303627}"/>
    <cellStyle name="Currency 5 2 2 2 2 2 2 2 3" xfId="12310" xr:uid="{5A2EBADE-B3C6-4794-AD15-A02EF3CE3CA8}"/>
    <cellStyle name="Currency 5 2 2 2 2 2 2 2 3 2" xfId="30906" xr:uid="{FA0AF711-C1F5-463B-962F-8C07DF001F35}"/>
    <cellStyle name="Currency 5 2 2 2 2 2 2 2 4" xfId="21609" xr:uid="{7247FEB2-0361-4986-BC65-547841A30661}"/>
    <cellStyle name="Currency 5 2 2 2 2 2 2 3" xfId="5056" xr:uid="{00000000-0005-0000-0000-0000730B0000}"/>
    <cellStyle name="Currency 5 2 2 2 2 2 2 3 2" xfId="14382" xr:uid="{B6AE8EA6-AE53-408B-9B89-0966F84A254E}"/>
    <cellStyle name="Currency 5 2 2 2 2 2 2 3 2 2" xfId="32978" xr:uid="{F1723557-FF7B-43BD-ABB9-3DAE077CAA6B}"/>
    <cellStyle name="Currency 5 2 2 2 2 2 2 3 3" xfId="23681" xr:uid="{0FA16909-0A00-4320-BF3A-775BE844535B}"/>
    <cellStyle name="Currency 5 2 2 2 2 2 2 4" xfId="9544" xr:uid="{77881B28-843C-4677-B92C-D2A5804BDB97}"/>
    <cellStyle name="Currency 5 2 2 2 2 2 2 4 2" xfId="18859" xr:uid="{8CB685B8-D2B2-488F-867B-C8D0E8C3603E}"/>
    <cellStyle name="Currency 5 2 2 2 2 2 2 4 2 2" xfId="37453" xr:uid="{5BCD2B64-B8DC-4B1F-A294-A31384E0F829}"/>
    <cellStyle name="Currency 5 2 2 2 2 2 2 4 3" xfId="28156" xr:uid="{9E845B1F-B0FB-481E-9AC0-F892C4858576}"/>
    <cellStyle name="Currency 5 2 2 2 2 2 2 5" xfId="10165" xr:uid="{EE2A92F6-E807-4067-B03B-2A43FF0BE846}"/>
    <cellStyle name="Currency 5 2 2 2 2 2 2 5 2" xfId="28761" xr:uid="{6E165263-0601-4298-8236-584CAD7B72F4}"/>
    <cellStyle name="Currency 5 2 2 2 2 2 2 6" xfId="19464" xr:uid="{184CCCFF-9DE3-4865-A01E-9AAB4E91E61B}"/>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BB927EBE-C3D5-4680-99DF-BF87CF71D566}"/>
    <cellStyle name="Currency 5 2 2 2 2 2 3 2 2 2 2" xfId="35536" xr:uid="{CACBF0D3-3AE6-4C8D-8B4B-21DBF318921E}"/>
    <cellStyle name="Currency 5 2 2 2 2 2 3 2 2 3" xfId="26239" xr:uid="{A53883DE-30C3-46CB-ACBD-0DCB8C7C3508}"/>
    <cellStyle name="Currency 5 2 2 2 2 2 3 2 3" xfId="12723" xr:uid="{AE555F03-501A-44D2-8740-AC54809801EA}"/>
    <cellStyle name="Currency 5 2 2 2 2 2 3 2 3 2" xfId="31319" xr:uid="{2CDBEE77-6989-439B-A535-20E200C1B1A5}"/>
    <cellStyle name="Currency 5 2 2 2 2 2 3 2 4" xfId="22022" xr:uid="{2BA9CFD4-A974-4B9C-B91E-2933B11C9E7C}"/>
    <cellStyle name="Currency 5 2 2 2 2 2 3 3" xfId="5469" xr:uid="{00000000-0005-0000-0000-0000770B0000}"/>
    <cellStyle name="Currency 5 2 2 2 2 2 3 3 2" xfId="14795" xr:uid="{81DF239A-0526-4ED4-B0E7-A1999D07072D}"/>
    <cellStyle name="Currency 5 2 2 2 2 2 3 3 2 2" xfId="33391" xr:uid="{E619EA09-1F10-49DC-9619-59EAAFA734E2}"/>
    <cellStyle name="Currency 5 2 2 2 2 2 3 3 3" xfId="24094" xr:uid="{AB4AA286-FF2B-4E99-B06C-5B728D438B26}"/>
    <cellStyle name="Currency 5 2 2 2 2 2 3 4" xfId="10578" xr:uid="{6BA9AB04-C321-4493-BBAD-A249B8F4F473}"/>
    <cellStyle name="Currency 5 2 2 2 2 2 3 4 2" xfId="29174" xr:uid="{660150A5-92C8-402D-929B-F544CDE69A90}"/>
    <cellStyle name="Currency 5 2 2 2 2 2 3 5" xfId="19877" xr:uid="{D326EEE2-6767-48C7-AF58-950EFE698A29}"/>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E0F29E1B-783A-49DD-98CD-38632DC6D753}"/>
    <cellStyle name="Currency 5 2 2 2 2 2 4 2 2 2 2" xfId="35949" xr:uid="{3E662489-07E0-457C-81FD-3B976A3191E4}"/>
    <cellStyle name="Currency 5 2 2 2 2 2 4 2 2 3" xfId="26652" xr:uid="{EEA8D742-F637-49A6-B296-9CDCAACF2FD8}"/>
    <cellStyle name="Currency 5 2 2 2 2 2 4 2 3" xfId="13136" xr:uid="{78618DF2-6663-4977-8968-4B015477203D}"/>
    <cellStyle name="Currency 5 2 2 2 2 2 4 2 3 2" xfId="31732" xr:uid="{5C5F1FCC-8601-4CFD-95D7-458697047197}"/>
    <cellStyle name="Currency 5 2 2 2 2 2 4 2 4" xfId="22435" xr:uid="{5D7265B3-0B4D-4D35-BBEB-91D1914DFC9F}"/>
    <cellStyle name="Currency 5 2 2 2 2 2 4 3" xfId="5882" xr:uid="{00000000-0005-0000-0000-00007B0B0000}"/>
    <cellStyle name="Currency 5 2 2 2 2 2 4 3 2" xfId="15208" xr:uid="{56D7AAE0-0B1B-45D0-90D1-6AE1DD727074}"/>
    <cellStyle name="Currency 5 2 2 2 2 2 4 3 2 2" xfId="33804" xr:uid="{9F0C5C6E-F187-4528-8E99-9F168E881726}"/>
    <cellStyle name="Currency 5 2 2 2 2 2 4 3 3" xfId="24507" xr:uid="{69B609E8-474D-40E5-B465-A3D668E3EED1}"/>
    <cellStyle name="Currency 5 2 2 2 2 2 4 4" xfId="10991" xr:uid="{C231434E-ED5D-487F-A343-B4CA69A532DD}"/>
    <cellStyle name="Currency 5 2 2 2 2 2 4 4 2" xfId="29587" xr:uid="{19273BC2-5F77-4047-8F7F-DCA658241228}"/>
    <cellStyle name="Currency 5 2 2 2 2 2 4 5" xfId="20290" xr:uid="{62FF0407-08B2-4D4C-ADE5-FD9722730285}"/>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2B72EED5-BCEA-4A0E-A043-9B51AAC29F1E}"/>
    <cellStyle name="Currency 5 2 2 2 2 2 5 2 2 2 2" xfId="36362" xr:uid="{28361221-AC27-484B-ABB0-06D28022C6B2}"/>
    <cellStyle name="Currency 5 2 2 2 2 2 5 2 2 3" xfId="27065" xr:uid="{65C9C168-26C4-4353-915D-6C4228720946}"/>
    <cellStyle name="Currency 5 2 2 2 2 2 5 2 3" xfId="13549" xr:uid="{A287ACE1-8B23-49AC-8052-34641FF396AC}"/>
    <cellStyle name="Currency 5 2 2 2 2 2 5 2 3 2" xfId="32145" xr:uid="{4A909993-FA70-4C9A-80DE-CA0107154ADA}"/>
    <cellStyle name="Currency 5 2 2 2 2 2 5 2 4" xfId="22848" xr:uid="{48DE10CA-13D9-4927-979A-EFDB5B4AA4DB}"/>
    <cellStyle name="Currency 5 2 2 2 2 2 5 3" xfId="6295" xr:uid="{00000000-0005-0000-0000-00007F0B0000}"/>
    <cellStyle name="Currency 5 2 2 2 2 2 5 3 2" xfId="15621" xr:uid="{D8C7ECD5-F476-40EB-9DC2-B47D939A3F96}"/>
    <cellStyle name="Currency 5 2 2 2 2 2 5 3 2 2" xfId="34217" xr:uid="{258BB223-97F8-47F0-B456-51CB47435DFA}"/>
    <cellStyle name="Currency 5 2 2 2 2 2 5 3 3" xfId="24920" xr:uid="{4C356F6C-58F9-4D1C-96D3-EE61B2323B6C}"/>
    <cellStyle name="Currency 5 2 2 2 2 2 5 4" xfId="11404" xr:uid="{CDE3A6AE-1ED0-45E0-AD78-C7DF016593A5}"/>
    <cellStyle name="Currency 5 2 2 2 2 2 5 4 2" xfId="30000" xr:uid="{C55E1BAF-A82A-4DEB-BC08-59E7D6F0AEFB}"/>
    <cellStyle name="Currency 5 2 2 2 2 2 5 5" xfId="20703" xr:uid="{D2426AE9-7C72-4A7E-B2FC-F324F6DF41AF}"/>
    <cellStyle name="Currency 5 2 2 2 2 2 6" xfId="2424" xr:uid="{00000000-0005-0000-0000-0000800B0000}"/>
    <cellStyle name="Currency 5 2 2 2 2 2 6 2" xfId="6708" xr:uid="{00000000-0005-0000-0000-0000810B0000}"/>
    <cellStyle name="Currency 5 2 2 2 2 2 6 2 2" xfId="16034" xr:uid="{78853554-5433-4D56-988F-6CA3C6578C3C}"/>
    <cellStyle name="Currency 5 2 2 2 2 2 6 2 2 2" xfId="34630" xr:uid="{9ABE3562-642E-45EB-9A13-567777F55FB0}"/>
    <cellStyle name="Currency 5 2 2 2 2 2 6 2 3" xfId="25333" xr:uid="{3924B095-1F94-4C3E-A6BE-141EB8D29B7C}"/>
    <cellStyle name="Currency 5 2 2 2 2 2 6 3" xfId="11817" xr:uid="{A9687B3D-38D8-44D2-A180-95A56E8BE403}"/>
    <cellStyle name="Currency 5 2 2 2 2 2 6 3 2" xfId="30413" xr:uid="{82D5B96B-A76F-4837-9D44-B8CB8FA16D08}"/>
    <cellStyle name="Currency 5 2 2 2 2 2 6 4" xfId="21116" xr:uid="{71E2B746-5209-44A8-9E27-AB2AA5D10066}"/>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3565B8CD-FBC2-4185-AC8A-73CC346CC215}"/>
    <cellStyle name="Currency 5 2 2 2 2 2 8 2 2 2" xfId="34947" xr:uid="{A0929DE0-B123-40C2-90E1-07D7A6B8B490}"/>
    <cellStyle name="Currency 5 2 2 2 2 2 8 2 3" xfId="25650" xr:uid="{C5A0E767-4142-4E31-88C0-82EAABC77162}"/>
    <cellStyle name="Currency 5 2 2 2 2 2 8 3" xfId="12134" xr:uid="{40382427-0931-4994-8716-C452E10F49AE}"/>
    <cellStyle name="Currency 5 2 2 2 2 2 8 3 2" xfId="30730" xr:uid="{AD6D79E1-72A6-4AAC-9FDB-4489AB277EAC}"/>
    <cellStyle name="Currency 5 2 2 2 2 2 8 4" xfId="21433" xr:uid="{B5EB6588-04BC-46C6-96BD-E5164CC9459F}"/>
    <cellStyle name="Currency 5 2 2 2 2 2 9" xfId="4642" xr:uid="{00000000-0005-0000-0000-0000850B0000}"/>
    <cellStyle name="Currency 5 2 2 2 2 2 9 2" xfId="13968" xr:uid="{BB10401D-61F6-47F9-B6AA-E708794AA28D}"/>
    <cellStyle name="Currency 5 2 2 2 2 2 9 2 2" xfId="32564" xr:uid="{746CE5B9-150B-4B9F-93B1-AF01F6E9E730}"/>
    <cellStyle name="Currency 5 2 2 2 2 2 9 3" xfId="23267" xr:uid="{06FF68DC-B9B9-4D13-A324-95C435C039C6}"/>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7FD8DDD1-FE91-4404-B621-7EBB8F42F78D}"/>
    <cellStyle name="Currency 5 2 2 2 2 3 2 2 2 2" xfId="35122" xr:uid="{C042DDBF-DFD1-49CD-A8E4-9A74C3520215}"/>
    <cellStyle name="Currency 5 2 2 2 2 3 2 2 3" xfId="25825" xr:uid="{6DEDF169-7FA6-4D82-B6C9-1DA6CDB2B29A}"/>
    <cellStyle name="Currency 5 2 2 2 2 3 2 3" xfId="12309" xr:uid="{A482F533-C706-48CE-B3FB-008C0DDB5C92}"/>
    <cellStyle name="Currency 5 2 2 2 2 3 2 3 2" xfId="30905" xr:uid="{63D8B425-E41A-4BE3-8CB6-D06374B1A500}"/>
    <cellStyle name="Currency 5 2 2 2 2 3 2 4" xfId="21608" xr:uid="{6F6CA403-843E-4F7A-A9AD-E4FB76176A7E}"/>
    <cellStyle name="Currency 5 2 2 2 2 3 3" xfId="5055" xr:uid="{00000000-0005-0000-0000-0000890B0000}"/>
    <cellStyle name="Currency 5 2 2 2 2 3 3 2" xfId="14381" xr:uid="{9EF8BA71-21EE-4142-B807-D9497C3CD39F}"/>
    <cellStyle name="Currency 5 2 2 2 2 3 3 2 2" xfId="32977" xr:uid="{1EA5F10C-209B-4838-AEB1-A38B5A0C9275}"/>
    <cellStyle name="Currency 5 2 2 2 2 3 3 3" xfId="23680" xr:uid="{1859207A-409D-4DAA-8742-6EE4072B47E6}"/>
    <cellStyle name="Currency 5 2 2 2 2 3 4" xfId="9337" xr:uid="{A1FF44B9-A8E0-4A4E-9BE9-DA7FD7E326AE}"/>
    <cellStyle name="Currency 5 2 2 2 2 3 4 2" xfId="18652" xr:uid="{263E1A5E-FD96-45B1-8A61-B7E6667D5828}"/>
    <cellStyle name="Currency 5 2 2 2 2 3 4 2 2" xfId="37246" xr:uid="{52DB14CD-6D5B-43EF-B2D8-A57B6021D663}"/>
    <cellStyle name="Currency 5 2 2 2 2 3 4 3" xfId="27949" xr:uid="{67394A8D-417E-4E8A-957D-6097A478A0F9}"/>
    <cellStyle name="Currency 5 2 2 2 2 3 5" xfId="10164" xr:uid="{F2CAD5C2-2952-4F18-A298-CEC189076632}"/>
    <cellStyle name="Currency 5 2 2 2 2 3 5 2" xfId="28760" xr:uid="{04810A22-26AB-4810-A24F-689389AA464B}"/>
    <cellStyle name="Currency 5 2 2 2 2 3 6" xfId="19463" xr:uid="{3E9B6509-B527-4C5D-A825-433B0CA74C54}"/>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953EFFCD-104F-4E8E-BDF0-52E232C17160}"/>
    <cellStyle name="Currency 5 2 2 2 2 4 2 2 2 2" xfId="35535" xr:uid="{F688CAA9-3870-475C-953B-A8390C3AB23E}"/>
    <cellStyle name="Currency 5 2 2 2 2 4 2 2 3" xfId="26238" xr:uid="{8AA0967E-9636-4FAD-9913-7F29B8DC681F}"/>
    <cellStyle name="Currency 5 2 2 2 2 4 2 3" xfId="12722" xr:uid="{8CC05097-9EE6-4242-85CB-35C544B4731D}"/>
    <cellStyle name="Currency 5 2 2 2 2 4 2 3 2" xfId="31318" xr:uid="{EA25917D-35B4-49F3-8B8C-9042D4315CB3}"/>
    <cellStyle name="Currency 5 2 2 2 2 4 2 4" xfId="22021" xr:uid="{0679721B-DEE5-4EC2-9CB9-03D2531AEC93}"/>
    <cellStyle name="Currency 5 2 2 2 2 4 3" xfId="5468" xr:uid="{00000000-0005-0000-0000-00008D0B0000}"/>
    <cellStyle name="Currency 5 2 2 2 2 4 3 2" xfId="14794" xr:uid="{9B45DAEC-83C3-4483-94E3-5161024ED65E}"/>
    <cellStyle name="Currency 5 2 2 2 2 4 3 2 2" xfId="33390" xr:uid="{8BDB733F-A50C-4CFE-9258-591D5ACEB3E3}"/>
    <cellStyle name="Currency 5 2 2 2 2 4 3 3" xfId="24093" xr:uid="{EF9A2915-BB76-4805-A4DC-66204ED26925}"/>
    <cellStyle name="Currency 5 2 2 2 2 4 4" xfId="10577" xr:uid="{BE3350F2-AC84-4AB2-8279-D57CD9DB5ADC}"/>
    <cellStyle name="Currency 5 2 2 2 2 4 4 2" xfId="29173" xr:uid="{0F26E4D5-12BB-4F35-8097-2A6F0B643317}"/>
    <cellStyle name="Currency 5 2 2 2 2 4 5" xfId="19876" xr:uid="{2DA0A178-47E9-4C98-A93B-7188E2CDEE24}"/>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7432C133-311D-4F3D-B999-2FEB8D4E88B7}"/>
    <cellStyle name="Currency 5 2 2 2 2 5 2 2 2 2" xfId="35948" xr:uid="{4D05E4BF-89D7-4B95-B1D0-A874BB40D42F}"/>
    <cellStyle name="Currency 5 2 2 2 2 5 2 2 3" xfId="26651" xr:uid="{7F6866CD-9D68-43CD-9C95-B19EE52C5FDA}"/>
    <cellStyle name="Currency 5 2 2 2 2 5 2 3" xfId="13135" xr:uid="{487AA522-0655-43B0-A0F0-CD318365A0D2}"/>
    <cellStyle name="Currency 5 2 2 2 2 5 2 3 2" xfId="31731" xr:uid="{ED76C245-D3D0-42A9-8077-93A9C8895B4F}"/>
    <cellStyle name="Currency 5 2 2 2 2 5 2 4" xfId="22434" xr:uid="{1802B306-D3B5-46EE-BDDB-0E388D809DB8}"/>
    <cellStyle name="Currency 5 2 2 2 2 5 3" xfId="5881" xr:uid="{00000000-0005-0000-0000-0000910B0000}"/>
    <cellStyle name="Currency 5 2 2 2 2 5 3 2" xfId="15207" xr:uid="{CAB49424-885D-427E-B586-338A300D4CCB}"/>
    <cellStyle name="Currency 5 2 2 2 2 5 3 2 2" xfId="33803" xr:uid="{45339565-802E-449C-A822-118A1C14A856}"/>
    <cellStyle name="Currency 5 2 2 2 2 5 3 3" xfId="24506" xr:uid="{87EB9F7D-6BE6-4EC2-93F8-758CCF20CDFC}"/>
    <cellStyle name="Currency 5 2 2 2 2 5 4" xfId="10990" xr:uid="{CED8C68D-3B50-48BE-A509-053BF3EAE701}"/>
    <cellStyle name="Currency 5 2 2 2 2 5 4 2" xfId="29586" xr:uid="{23FAAB6F-E6A1-4E54-804E-7BDB98096A4B}"/>
    <cellStyle name="Currency 5 2 2 2 2 5 5" xfId="20289" xr:uid="{AACDA05D-B34D-4925-BDF8-FAD66C64B3E1}"/>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E214699A-3E80-4B36-BEEF-9D51BA3DABD2}"/>
    <cellStyle name="Currency 5 2 2 2 2 6 2 2 2 2" xfId="36361" xr:uid="{84E2A9D4-9B60-4E61-A00C-82074DAC62A2}"/>
    <cellStyle name="Currency 5 2 2 2 2 6 2 2 3" xfId="27064" xr:uid="{54755BD6-D4E4-48BF-96AD-B946CA5AB19D}"/>
    <cellStyle name="Currency 5 2 2 2 2 6 2 3" xfId="13548" xr:uid="{3A639E5B-5231-4D82-B860-584C42FE8B7E}"/>
    <cellStyle name="Currency 5 2 2 2 2 6 2 3 2" xfId="32144" xr:uid="{C745476A-B4DC-4D17-8CE9-3F4B80853950}"/>
    <cellStyle name="Currency 5 2 2 2 2 6 2 4" xfId="22847" xr:uid="{3DF6CF1F-52B3-4655-AB85-F94FE8981DB9}"/>
    <cellStyle name="Currency 5 2 2 2 2 6 3" xfId="6294" xr:uid="{00000000-0005-0000-0000-0000950B0000}"/>
    <cellStyle name="Currency 5 2 2 2 2 6 3 2" xfId="15620" xr:uid="{803282B6-F500-4139-BD51-892D2ED4924B}"/>
    <cellStyle name="Currency 5 2 2 2 2 6 3 2 2" xfId="34216" xr:uid="{5F2F9143-5AEB-4EF9-9239-3F2E618207B2}"/>
    <cellStyle name="Currency 5 2 2 2 2 6 3 3" xfId="24919" xr:uid="{E0F1A653-97AC-4682-BB80-431DE8960E0B}"/>
    <cellStyle name="Currency 5 2 2 2 2 6 4" xfId="11403" xr:uid="{401E18F7-DE64-465C-BCF6-7DC9780E71C6}"/>
    <cellStyle name="Currency 5 2 2 2 2 6 4 2" xfId="29999" xr:uid="{5D4ADD1F-9447-4D63-A505-5FBE5FAEC538}"/>
    <cellStyle name="Currency 5 2 2 2 2 6 5" xfId="20702" xr:uid="{57DB65C3-449B-46FD-AE82-3805A3FFAC0D}"/>
    <cellStyle name="Currency 5 2 2 2 2 7" xfId="2423" xr:uid="{00000000-0005-0000-0000-0000960B0000}"/>
    <cellStyle name="Currency 5 2 2 2 2 7 2" xfId="6707" xr:uid="{00000000-0005-0000-0000-0000970B0000}"/>
    <cellStyle name="Currency 5 2 2 2 2 7 2 2" xfId="16033" xr:uid="{2EB5814E-127A-497E-9978-C13018800A4E}"/>
    <cellStyle name="Currency 5 2 2 2 2 7 2 2 2" xfId="34629" xr:uid="{8B1CD882-2409-4CB5-ABAC-DEE06C8C7728}"/>
    <cellStyle name="Currency 5 2 2 2 2 7 2 3" xfId="25332" xr:uid="{150683DC-7207-43EA-8968-C7875043BF99}"/>
    <cellStyle name="Currency 5 2 2 2 2 7 3" xfId="11816" xr:uid="{E5CF0A9E-CC8E-4E86-8434-E5CE5F1D7048}"/>
    <cellStyle name="Currency 5 2 2 2 2 7 3 2" xfId="30412" xr:uid="{828DCA9B-2593-43A3-A1D9-5C43D0A4F353}"/>
    <cellStyle name="Currency 5 2 2 2 2 7 4" xfId="21115" xr:uid="{5743B5F7-1817-48B7-98B8-A66A6E3C5CB8}"/>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34F70FBE-45AB-44A2-88DA-3D3882EA9794}"/>
    <cellStyle name="Currency 5 2 2 2 2 9 2 2 2" xfId="34946" xr:uid="{DD3CCA95-65A2-46F8-AC73-9B5CDB306F3E}"/>
    <cellStyle name="Currency 5 2 2 2 2 9 2 3" xfId="25649" xr:uid="{DCDB1CDD-A3FA-48DF-A155-7CD28015D7A2}"/>
    <cellStyle name="Currency 5 2 2 2 2 9 3" xfId="12133" xr:uid="{00C8FCE1-7371-4BB2-8B72-3EE84BB64718}"/>
    <cellStyle name="Currency 5 2 2 2 2 9 3 2" xfId="30729" xr:uid="{4337286F-B12D-464D-AFB5-A487B8805DFE}"/>
    <cellStyle name="Currency 5 2 2 2 2 9 4" xfId="21432" xr:uid="{5C778626-657C-4B71-9FAB-BE014F8D162D}"/>
    <cellStyle name="Currency 5 2 2 2 3" xfId="199" xr:uid="{00000000-0005-0000-0000-00009B0B0000}"/>
    <cellStyle name="Currency 5 2 2 2 3 10" xfId="9016" xr:uid="{706F9706-E49D-4995-B402-A842C879DBC8}"/>
    <cellStyle name="Currency 5 2 2 2 3 10 2" xfId="18340" xr:uid="{2A5636A5-E078-4E19-A2CF-AC6BC4BBC575}"/>
    <cellStyle name="Currency 5 2 2 2 3 10 2 2" xfId="36935" xr:uid="{C838BFBB-67CB-48D5-A8D5-C61014217CBE}"/>
    <cellStyle name="Currency 5 2 2 2 3 10 3" xfId="27638" xr:uid="{90CBB268-AF34-4593-9DB7-CCD81AA2010D}"/>
    <cellStyle name="Currency 5 2 2 2 3 11" xfId="9752" xr:uid="{1687C262-DB57-4648-952E-92DBEAC4C6A7}"/>
    <cellStyle name="Currency 5 2 2 2 3 11 2" xfId="28348" xr:uid="{8DBA30B6-EE89-4F37-846C-CE0A6F05869D}"/>
    <cellStyle name="Currency 5 2 2 2 3 12" xfId="19051" xr:uid="{CF94205B-98F3-4D35-A90E-31A943C214FA}"/>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D18DE1DB-3BEC-48B9-868F-2B1B0454C961}"/>
    <cellStyle name="Currency 5 2 2 2 3 2 2 2 2 2" xfId="35124" xr:uid="{CD55A4DD-0245-42F0-AF29-1BDF6D5DCE4E}"/>
    <cellStyle name="Currency 5 2 2 2 3 2 2 2 3" xfId="25827" xr:uid="{A0F853BF-5A3E-4AFE-8498-8FBD08AB8A24}"/>
    <cellStyle name="Currency 5 2 2 2 3 2 2 3" xfId="12311" xr:uid="{062D3986-CDC6-4C84-97C2-5539425ABB7C}"/>
    <cellStyle name="Currency 5 2 2 2 3 2 2 3 2" xfId="30907" xr:uid="{7D10F964-3E68-4C94-A9CA-3486B01E11FF}"/>
    <cellStyle name="Currency 5 2 2 2 3 2 2 4" xfId="21610" xr:uid="{5CA99FC3-D0C6-43F7-845F-1C91B2848D77}"/>
    <cellStyle name="Currency 5 2 2 2 3 2 3" xfId="5057" xr:uid="{00000000-0005-0000-0000-00009F0B0000}"/>
    <cellStyle name="Currency 5 2 2 2 3 2 3 2" xfId="14383" xr:uid="{777B0389-0F7D-4708-A703-3172BB53EEBE}"/>
    <cellStyle name="Currency 5 2 2 2 3 2 3 2 2" xfId="32979" xr:uid="{5DDDBC71-290B-4F1A-826B-826344D4F7DE}"/>
    <cellStyle name="Currency 5 2 2 2 3 2 3 3" xfId="23682" xr:uid="{A67B3033-A1A6-4AD3-B4F3-914197AB4226}"/>
    <cellStyle name="Currency 5 2 2 2 3 2 4" xfId="9441" xr:uid="{B7048274-E02F-4E6A-9C9A-FAD4299F19B1}"/>
    <cellStyle name="Currency 5 2 2 2 3 2 4 2" xfId="18756" xr:uid="{82043AC2-E1F5-476F-A512-6BB0BD24A910}"/>
    <cellStyle name="Currency 5 2 2 2 3 2 4 2 2" xfId="37350" xr:uid="{BFBF0DCF-44FC-428C-A0DC-C87828ECF428}"/>
    <cellStyle name="Currency 5 2 2 2 3 2 4 3" xfId="28053" xr:uid="{82C2E2CC-5A13-409B-AAD5-3ECC4C4A7129}"/>
    <cellStyle name="Currency 5 2 2 2 3 2 5" xfId="10166" xr:uid="{12ED1394-2DB7-4BD7-9EC2-EDA9DBC24C4F}"/>
    <cellStyle name="Currency 5 2 2 2 3 2 5 2" xfId="28762" xr:uid="{D2097619-4624-4F13-BE26-572D39F752C0}"/>
    <cellStyle name="Currency 5 2 2 2 3 2 6" xfId="19465" xr:uid="{E026E91E-0057-44C0-9C2B-A70A20335A3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A4587D38-ACBC-4969-9D3F-B919C48CC8CB}"/>
    <cellStyle name="Currency 5 2 2 2 3 3 2 2 2 2" xfId="35537" xr:uid="{1F6CC41A-4ACB-4526-9FD1-9DE8891AC872}"/>
    <cellStyle name="Currency 5 2 2 2 3 3 2 2 3" xfId="26240" xr:uid="{12F4DFA3-675B-416C-91B3-50CF27EEF5A7}"/>
    <cellStyle name="Currency 5 2 2 2 3 3 2 3" xfId="12724" xr:uid="{915553A5-4AA1-45D0-B885-B3D970682DA0}"/>
    <cellStyle name="Currency 5 2 2 2 3 3 2 3 2" xfId="31320" xr:uid="{BD94FDA7-17BC-4743-9A6E-0985317E5588}"/>
    <cellStyle name="Currency 5 2 2 2 3 3 2 4" xfId="22023" xr:uid="{38805B76-46F6-4E2D-A1E4-A93DE2E99861}"/>
    <cellStyle name="Currency 5 2 2 2 3 3 3" xfId="5470" xr:uid="{00000000-0005-0000-0000-0000A30B0000}"/>
    <cellStyle name="Currency 5 2 2 2 3 3 3 2" xfId="14796" xr:uid="{67E38A6C-EC85-4657-B961-1565ABEF2CD6}"/>
    <cellStyle name="Currency 5 2 2 2 3 3 3 2 2" xfId="33392" xr:uid="{415357D4-4448-4485-BB83-E7EB47E7DFB1}"/>
    <cellStyle name="Currency 5 2 2 2 3 3 3 3" xfId="24095" xr:uid="{11061D40-1835-412A-AA16-DB9D29600523}"/>
    <cellStyle name="Currency 5 2 2 2 3 3 4" xfId="10579" xr:uid="{F4ADC6CC-6346-4C83-BEEA-F2C5F0471916}"/>
    <cellStyle name="Currency 5 2 2 2 3 3 4 2" xfId="29175" xr:uid="{C4174F9D-5D40-4769-B4EC-F609747F41A7}"/>
    <cellStyle name="Currency 5 2 2 2 3 3 5" xfId="19878" xr:uid="{25A40DB7-1E93-4F83-A74D-3F1A44110B7D}"/>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7A53605F-5FCB-4D1C-AAC2-6E6746D57F43}"/>
    <cellStyle name="Currency 5 2 2 2 3 4 2 2 2 2" xfId="35950" xr:uid="{C5433C05-56B6-4DB4-ADD6-E81359297325}"/>
    <cellStyle name="Currency 5 2 2 2 3 4 2 2 3" xfId="26653" xr:uid="{495A7AFD-5744-4581-8B9D-66A82BD51234}"/>
    <cellStyle name="Currency 5 2 2 2 3 4 2 3" xfId="13137" xr:uid="{89422FE0-60CD-4D56-BD73-0888DC69BE2E}"/>
    <cellStyle name="Currency 5 2 2 2 3 4 2 3 2" xfId="31733" xr:uid="{2307D6C6-EC0B-4B69-B85A-7B3260AE8AF6}"/>
    <cellStyle name="Currency 5 2 2 2 3 4 2 4" xfId="22436" xr:uid="{EF99BD46-CEFA-4380-A735-7774AA361E6C}"/>
    <cellStyle name="Currency 5 2 2 2 3 4 3" xfId="5883" xr:uid="{00000000-0005-0000-0000-0000A70B0000}"/>
    <cellStyle name="Currency 5 2 2 2 3 4 3 2" xfId="15209" xr:uid="{3146B20A-3E77-4F7E-8218-ECAB4F49763C}"/>
    <cellStyle name="Currency 5 2 2 2 3 4 3 2 2" xfId="33805" xr:uid="{9D964B75-1E97-4CD1-8F49-042BC219394A}"/>
    <cellStyle name="Currency 5 2 2 2 3 4 3 3" xfId="24508" xr:uid="{F8B51877-B7D6-4EAE-9AD7-D0A91EEDD20B}"/>
    <cellStyle name="Currency 5 2 2 2 3 4 4" xfId="10992" xr:uid="{1A4A6FA4-A112-4023-BB26-8A1D88890FD5}"/>
    <cellStyle name="Currency 5 2 2 2 3 4 4 2" xfId="29588" xr:uid="{C785FFD1-3B78-47B0-92E5-518B3FA3CCE1}"/>
    <cellStyle name="Currency 5 2 2 2 3 4 5" xfId="20291" xr:uid="{0DB73183-53FB-400C-99AF-59B51A71A92C}"/>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D7A75098-B498-41D3-B12C-384BE7F464F1}"/>
    <cellStyle name="Currency 5 2 2 2 3 5 2 2 2 2" xfId="36363" xr:uid="{AC79EA2A-DABA-4083-A759-ABEDC9D747DF}"/>
    <cellStyle name="Currency 5 2 2 2 3 5 2 2 3" xfId="27066" xr:uid="{B3E8FBF4-D714-4170-B7FB-0FB9A13C9367}"/>
    <cellStyle name="Currency 5 2 2 2 3 5 2 3" xfId="13550" xr:uid="{6865B62D-FD1E-4883-8AFE-FBC9D5127DCC}"/>
    <cellStyle name="Currency 5 2 2 2 3 5 2 3 2" xfId="32146" xr:uid="{77A21441-ACCB-4567-84A9-963C1B93A576}"/>
    <cellStyle name="Currency 5 2 2 2 3 5 2 4" xfId="22849" xr:uid="{0658738F-DC24-41BB-A015-CEBB1E3DBA33}"/>
    <cellStyle name="Currency 5 2 2 2 3 5 3" xfId="6296" xr:uid="{00000000-0005-0000-0000-0000AB0B0000}"/>
    <cellStyle name="Currency 5 2 2 2 3 5 3 2" xfId="15622" xr:uid="{97DD831A-EC6E-4731-8868-A51762F7EBC2}"/>
    <cellStyle name="Currency 5 2 2 2 3 5 3 2 2" xfId="34218" xr:uid="{DBCE8135-9F15-42A5-B406-F4AC7F075BEC}"/>
    <cellStyle name="Currency 5 2 2 2 3 5 3 3" xfId="24921" xr:uid="{EA00BE32-40C0-4C30-AFE9-EEC70F20BDAE}"/>
    <cellStyle name="Currency 5 2 2 2 3 5 4" xfId="11405" xr:uid="{D0C98B31-1C8D-4942-A90A-1F0F0B88078F}"/>
    <cellStyle name="Currency 5 2 2 2 3 5 4 2" xfId="30001" xr:uid="{74BE0D90-B7A2-49D7-B1E8-49EA14FC2452}"/>
    <cellStyle name="Currency 5 2 2 2 3 5 5" xfId="20704" xr:uid="{02435C32-D3CE-4E8B-A925-7AF115E0E81D}"/>
    <cellStyle name="Currency 5 2 2 2 3 6" xfId="2425" xr:uid="{00000000-0005-0000-0000-0000AC0B0000}"/>
    <cellStyle name="Currency 5 2 2 2 3 6 2" xfId="6709" xr:uid="{00000000-0005-0000-0000-0000AD0B0000}"/>
    <cellStyle name="Currency 5 2 2 2 3 6 2 2" xfId="16035" xr:uid="{22DAE10B-2826-48C0-89C7-6410455C491E}"/>
    <cellStyle name="Currency 5 2 2 2 3 6 2 2 2" xfId="34631" xr:uid="{871CB105-456F-4DEC-83CA-B0C2CFB1F28D}"/>
    <cellStyle name="Currency 5 2 2 2 3 6 2 3" xfId="25334" xr:uid="{C1C17E79-318E-4A62-96B2-F08155EB0561}"/>
    <cellStyle name="Currency 5 2 2 2 3 6 3" xfId="11818" xr:uid="{83C347EE-F24C-469D-86FE-64ED8329234F}"/>
    <cellStyle name="Currency 5 2 2 2 3 6 3 2" xfId="30414" xr:uid="{2B52B043-EFF2-4B29-89BA-D81917AE2319}"/>
    <cellStyle name="Currency 5 2 2 2 3 6 4" xfId="21117" xr:uid="{F5CED03B-92ED-488C-AB72-10A5C270924B}"/>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F399B90C-03BC-422E-BDF8-52A406FEBFDA}"/>
    <cellStyle name="Currency 5 2 2 2 3 8 2 2 2" xfId="34948" xr:uid="{2C5BDE51-7279-48F0-AD54-980B85BC385B}"/>
    <cellStyle name="Currency 5 2 2 2 3 8 2 3" xfId="25651" xr:uid="{292E6BF2-2F5F-4091-876D-3A591357C731}"/>
    <cellStyle name="Currency 5 2 2 2 3 8 3" xfId="12135" xr:uid="{F2407F56-C8F9-43E6-B95E-BD84B578088F}"/>
    <cellStyle name="Currency 5 2 2 2 3 8 3 2" xfId="30731" xr:uid="{CDC803DD-E7D4-4A08-8D62-868E43795FF6}"/>
    <cellStyle name="Currency 5 2 2 2 3 8 4" xfId="21434" xr:uid="{B2F30BEF-CF0F-4AF4-809C-371C0A6441E1}"/>
    <cellStyle name="Currency 5 2 2 2 3 9" xfId="4643" xr:uid="{00000000-0005-0000-0000-0000B10B0000}"/>
    <cellStyle name="Currency 5 2 2 2 3 9 2" xfId="13969" xr:uid="{4679B392-A56D-44BB-B2ED-79405A8C2A3F}"/>
    <cellStyle name="Currency 5 2 2 2 3 9 2 2" xfId="32565" xr:uid="{58AFDEF6-370E-4957-9DCC-50FF0B2C3C7E}"/>
    <cellStyle name="Currency 5 2 2 2 3 9 3" xfId="23268" xr:uid="{18183DE5-C8ED-487A-A11E-95F2647E66ED}"/>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EC1DBC6D-44AD-437C-9896-522D45681D49}"/>
    <cellStyle name="Currency 5 2 2 2 4 2 2 2 2" xfId="35121" xr:uid="{5880F2F9-2DF9-4DE6-9A86-BF502A8F8AC5}"/>
    <cellStyle name="Currency 5 2 2 2 4 2 2 3" xfId="25824" xr:uid="{1FFFB09B-3D1C-4909-802F-C0428AA7B64E}"/>
    <cellStyle name="Currency 5 2 2 2 4 2 3" xfId="12308" xr:uid="{C6478BF8-44CE-465B-ABFF-F3833FCE3371}"/>
    <cellStyle name="Currency 5 2 2 2 4 2 3 2" xfId="30904" xr:uid="{469904DB-9880-4748-901B-C0AA863E1842}"/>
    <cellStyle name="Currency 5 2 2 2 4 2 4" xfId="21607" xr:uid="{C11307E5-390B-472B-931C-EF0238968530}"/>
    <cellStyle name="Currency 5 2 2 2 4 3" xfId="5054" xr:uid="{00000000-0005-0000-0000-0000B50B0000}"/>
    <cellStyle name="Currency 5 2 2 2 4 3 2" xfId="14380" xr:uid="{688F936A-1486-48C7-A7C9-804496FD9950}"/>
    <cellStyle name="Currency 5 2 2 2 4 3 2 2" xfId="32976" xr:uid="{492EDE12-5C38-4CCD-9A5D-0F1AC32D9419}"/>
    <cellStyle name="Currency 5 2 2 2 4 3 3" xfId="23679" xr:uid="{75194FB2-5D69-49DE-B0EF-45CDA8A29686}"/>
    <cellStyle name="Currency 5 2 2 2 4 4" xfId="9234" xr:uid="{AAF147FE-13D8-48BD-A722-062B96166D61}"/>
    <cellStyle name="Currency 5 2 2 2 4 4 2" xfId="18549" xr:uid="{53D1A683-D3F4-482B-934C-5E21D20BAF28}"/>
    <cellStyle name="Currency 5 2 2 2 4 4 2 2" xfId="37143" xr:uid="{3CE44F9F-0F12-4957-8541-2F35B59094D8}"/>
    <cellStyle name="Currency 5 2 2 2 4 4 3" xfId="27846" xr:uid="{0FDF78E0-9DF4-4DB8-B2CB-DDBF3875A674}"/>
    <cellStyle name="Currency 5 2 2 2 4 5" xfId="10163" xr:uid="{121F1314-E7AE-41EB-B981-41F32D1423D2}"/>
    <cellStyle name="Currency 5 2 2 2 4 5 2" xfId="28759" xr:uid="{9EA44196-7D7D-43B2-AF1E-ACFCA6AC0C4C}"/>
    <cellStyle name="Currency 5 2 2 2 4 6" xfId="19462" xr:uid="{15A4E904-6FE7-4C02-9CF1-7124BDE1FEF9}"/>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44E2F406-9DD5-449B-86C3-821BF930C366}"/>
    <cellStyle name="Currency 5 2 2 2 5 2 2 2 2" xfId="35534" xr:uid="{86E5469B-14BF-44C6-94B0-6CDE202BFC88}"/>
    <cellStyle name="Currency 5 2 2 2 5 2 2 3" xfId="26237" xr:uid="{C038AB78-A670-4226-8064-1A69FA5F41D6}"/>
    <cellStyle name="Currency 5 2 2 2 5 2 3" xfId="12721" xr:uid="{4F9A9EF0-B7E3-4BDE-BB55-4A4A85DA1352}"/>
    <cellStyle name="Currency 5 2 2 2 5 2 3 2" xfId="31317" xr:uid="{0582930F-1644-405F-8FC9-B3FF8921A2C0}"/>
    <cellStyle name="Currency 5 2 2 2 5 2 4" xfId="22020" xr:uid="{D5BE5C1F-EAB2-4D8B-A281-8DF7B0F24B12}"/>
    <cellStyle name="Currency 5 2 2 2 5 3" xfId="5467" xr:uid="{00000000-0005-0000-0000-0000B90B0000}"/>
    <cellStyle name="Currency 5 2 2 2 5 3 2" xfId="14793" xr:uid="{9A2681DA-F7A2-4D88-B648-CB641F0939A5}"/>
    <cellStyle name="Currency 5 2 2 2 5 3 2 2" xfId="33389" xr:uid="{919ED2A4-BBD9-488F-A025-22860ED09250}"/>
    <cellStyle name="Currency 5 2 2 2 5 3 3" xfId="24092" xr:uid="{3875699D-0BFC-4C8F-9C79-E9C078F90D9D}"/>
    <cellStyle name="Currency 5 2 2 2 5 4" xfId="10576" xr:uid="{F12710D8-5689-4C33-8E38-82A05A5F89CB}"/>
    <cellStyle name="Currency 5 2 2 2 5 4 2" xfId="29172" xr:uid="{8CA418FD-789A-4774-B5BF-8C79CF799898}"/>
    <cellStyle name="Currency 5 2 2 2 5 5" xfId="19875" xr:uid="{163A11E7-D18E-4C95-A630-56305EB27939}"/>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C5378EC2-0672-4A6D-807A-0E4E58B67010}"/>
    <cellStyle name="Currency 5 2 2 2 6 2 2 2 2" xfId="35947" xr:uid="{E692B70D-ABB3-419F-8795-C8FDB84C400A}"/>
    <cellStyle name="Currency 5 2 2 2 6 2 2 3" xfId="26650" xr:uid="{C3DAE1A4-4D78-4025-BCE8-5CB9D2FE5713}"/>
    <cellStyle name="Currency 5 2 2 2 6 2 3" xfId="13134" xr:uid="{DE81DB66-6162-46D5-8B81-914366358BBC}"/>
    <cellStyle name="Currency 5 2 2 2 6 2 3 2" xfId="31730" xr:uid="{0FB19652-1B9D-4833-8498-976E7DF97096}"/>
    <cellStyle name="Currency 5 2 2 2 6 2 4" xfId="22433" xr:uid="{319B25FE-D8B9-4F57-9196-BB7C87A4BFA3}"/>
    <cellStyle name="Currency 5 2 2 2 6 3" xfId="5880" xr:uid="{00000000-0005-0000-0000-0000BD0B0000}"/>
    <cellStyle name="Currency 5 2 2 2 6 3 2" xfId="15206" xr:uid="{E49D2753-FF78-41C2-8A08-8A50DC4CC63F}"/>
    <cellStyle name="Currency 5 2 2 2 6 3 2 2" xfId="33802" xr:uid="{8C1E6A39-7B1C-4CC9-9682-A3CB8EBC1B6E}"/>
    <cellStyle name="Currency 5 2 2 2 6 3 3" xfId="24505" xr:uid="{2AA3B67F-F842-44F4-A05F-A8F66D0E7556}"/>
    <cellStyle name="Currency 5 2 2 2 6 4" xfId="10989" xr:uid="{1437AE27-AAE3-4B6B-AD46-FB087D2E47D4}"/>
    <cellStyle name="Currency 5 2 2 2 6 4 2" xfId="29585" xr:uid="{CD2B0BBD-B41B-432E-B525-AC56DCBF1384}"/>
    <cellStyle name="Currency 5 2 2 2 6 5" xfId="20288" xr:uid="{F0723041-9A7F-46EB-8C35-70760CB730FA}"/>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E3AFDEBE-7ED3-45DE-BD44-0D7758CA6E42}"/>
    <cellStyle name="Currency 5 2 2 2 7 2 2 2 2" xfId="36360" xr:uid="{16AD56F1-9666-4C0C-A3FF-2775119E4AE0}"/>
    <cellStyle name="Currency 5 2 2 2 7 2 2 3" xfId="27063" xr:uid="{EE4B0158-4587-40F4-ACCF-69214E28CD46}"/>
    <cellStyle name="Currency 5 2 2 2 7 2 3" xfId="13547" xr:uid="{71B7D6A0-255E-449D-A511-79879FC8B3D1}"/>
    <cellStyle name="Currency 5 2 2 2 7 2 3 2" xfId="32143" xr:uid="{E4E9C9C9-5EED-4F55-96E8-8A12DF82F3F0}"/>
    <cellStyle name="Currency 5 2 2 2 7 2 4" xfId="22846" xr:uid="{99264CA8-E669-4974-BE23-B4DA44FA1B86}"/>
    <cellStyle name="Currency 5 2 2 2 7 3" xfId="6293" xr:uid="{00000000-0005-0000-0000-0000C10B0000}"/>
    <cellStyle name="Currency 5 2 2 2 7 3 2" xfId="15619" xr:uid="{DEF6EDFD-D7C9-446A-B503-82E35A7D9079}"/>
    <cellStyle name="Currency 5 2 2 2 7 3 2 2" xfId="34215" xr:uid="{7AD7762F-A7AE-4828-83AA-72ABAD4977E1}"/>
    <cellStyle name="Currency 5 2 2 2 7 3 3" xfId="24918" xr:uid="{DE0BF91C-DFA4-4B4F-A8F7-FE934357AF9D}"/>
    <cellStyle name="Currency 5 2 2 2 7 4" xfId="11402" xr:uid="{E7676935-652E-47CD-92CA-4C06FEAD1103}"/>
    <cellStyle name="Currency 5 2 2 2 7 4 2" xfId="29998" xr:uid="{4D2BF13A-391A-42B8-8373-F8414DF1C423}"/>
    <cellStyle name="Currency 5 2 2 2 7 5" xfId="20701" xr:uid="{7B4DFA96-BEC4-4FC8-9947-B91F08F74EE8}"/>
    <cellStyle name="Currency 5 2 2 2 8" xfId="2422" xr:uid="{00000000-0005-0000-0000-0000C20B0000}"/>
    <cellStyle name="Currency 5 2 2 2 8 2" xfId="6706" xr:uid="{00000000-0005-0000-0000-0000C30B0000}"/>
    <cellStyle name="Currency 5 2 2 2 8 2 2" xfId="16032" xr:uid="{2C6F8AE8-7BC4-4238-B1DF-5427032E3422}"/>
    <cellStyle name="Currency 5 2 2 2 8 2 2 2" xfId="34628" xr:uid="{3FED22A0-7577-4E44-94C8-CC8E76E3D2FB}"/>
    <cellStyle name="Currency 5 2 2 2 8 2 3" xfId="25331" xr:uid="{8F9A8F21-23F7-4B3F-B2A6-F29632ED69DE}"/>
    <cellStyle name="Currency 5 2 2 2 8 3" xfId="11815" xr:uid="{C5A4FA11-D338-4333-8FE3-CFF821725311}"/>
    <cellStyle name="Currency 5 2 2 2 8 3 2" xfId="30411" xr:uid="{CEEFADD8-EDD8-41EA-A0BF-2E47F61B16B7}"/>
    <cellStyle name="Currency 5 2 2 2 8 4" xfId="21114" xr:uid="{74A30FF0-D293-4D95-BFAF-778C23B233A9}"/>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9E52C2D2-9BC4-42CC-9B37-57BA7CD82F87}"/>
    <cellStyle name="Currency 5 2 2 3 10 2 2" xfId="32566" xr:uid="{37F734C4-ABAF-4833-A7B1-571E7363D2A9}"/>
    <cellStyle name="Currency 5 2 2 3 10 3" xfId="23269" xr:uid="{E2E5FFBC-EFC1-48CF-B58F-AAB093269769}"/>
    <cellStyle name="Currency 5 2 2 3 11" xfId="8890" xr:uid="{F313D4EC-7666-4BAA-9452-39176957C213}"/>
    <cellStyle name="Currency 5 2 2 3 11 2" xfId="18214" xr:uid="{3EC29B4A-5E71-4501-BC29-72A6ED971424}"/>
    <cellStyle name="Currency 5 2 2 3 11 2 2" xfId="36809" xr:uid="{03457461-1645-4991-95E7-ED362686916B}"/>
    <cellStyle name="Currency 5 2 2 3 11 3" xfId="27512" xr:uid="{18D830A4-E97E-4682-82D4-FE9D15C760EB}"/>
    <cellStyle name="Currency 5 2 2 3 12" xfId="9753" xr:uid="{1376A5B0-ED5D-4454-AE35-09A819A41B0C}"/>
    <cellStyle name="Currency 5 2 2 3 12 2" xfId="28349" xr:uid="{E97F2369-96CA-4E4F-9462-669F5E28C3C7}"/>
    <cellStyle name="Currency 5 2 2 3 13" xfId="19052" xr:uid="{93A87DB2-EB81-4A13-A7A4-6C832EA12364}"/>
    <cellStyle name="Currency 5 2 2 3 2" xfId="201" xr:uid="{00000000-0005-0000-0000-0000C70B0000}"/>
    <cellStyle name="Currency 5 2 2 3 2 10" xfId="9097" xr:uid="{74199D2F-F17A-42DD-AC8B-D958FBFFCA8B}"/>
    <cellStyle name="Currency 5 2 2 3 2 10 2" xfId="18421" xr:uid="{2B46714D-D6B4-4B92-B35B-8CC91C29174B}"/>
    <cellStyle name="Currency 5 2 2 3 2 10 2 2" xfId="37016" xr:uid="{3D6A9FB4-7461-4458-A7BF-E41DFB883929}"/>
    <cellStyle name="Currency 5 2 2 3 2 10 3" xfId="27719" xr:uid="{4B45722F-4AB4-414B-8B23-2E006DE4FD62}"/>
    <cellStyle name="Currency 5 2 2 3 2 11" xfId="9754" xr:uid="{AA08EB25-BF8B-4916-A566-83954843317A}"/>
    <cellStyle name="Currency 5 2 2 3 2 11 2" xfId="28350" xr:uid="{26567894-6B63-460F-A936-85859522C4AF}"/>
    <cellStyle name="Currency 5 2 2 3 2 12" xfId="19053" xr:uid="{F7BEFB08-F717-44E9-BEE8-9E8EABA4028C}"/>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EC907E00-19F9-42BC-B07C-2277F2A4C20F}"/>
    <cellStyle name="Currency 5 2 2 3 2 2 2 2 2 2" xfId="35126" xr:uid="{B723695E-B757-4C62-B71D-98114F47314C}"/>
    <cellStyle name="Currency 5 2 2 3 2 2 2 2 3" xfId="25829" xr:uid="{4992BFEF-B9C5-4984-9DF0-D8B217B77DFF}"/>
    <cellStyle name="Currency 5 2 2 3 2 2 2 3" xfId="12313" xr:uid="{638EA601-61B9-498C-BBAA-9A7C5150F286}"/>
    <cellStyle name="Currency 5 2 2 3 2 2 2 3 2" xfId="30909" xr:uid="{34804D47-0420-4D81-831B-434BD0185BC0}"/>
    <cellStyle name="Currency 5 2 2 3 2 2 2 4" xfId="21612" xr:uid="{7BAF1F46-102B-4FBF-9D75-8DBEEA42F4AD}"/>
    <cellStyle name="Currency 5 2 2 3 2 2 3" xfId="5059" xr:uid="{00000000-0005-0000-0000-0000CB0B0000}"/>
    <cellStyle name="Currency 5 2 2 3 2 2 3 2" xfId="14385" xr:uid="{C658E214-74A1-4EC9-B24A-E6ACEDE233BB}"/>
    <cellStyle name="Currency 5 2 2 3 2 2 3 2 2" xfId="32981" xr:uid="{C47F7EED-B7B2-460A-AFCB-67F38AA92417}"/>
    <cellStyle name="Currency 5 2 2 3 2 2 3 3" xfId="23684" xr:uid="{3C8999E2-7548-422D-AE9F-EC3098B57110}"/>
    <cellStyle name="Currency 5 2 2 3 2 2 4" xfId="9522" xr:uid="{58EAFCD4-DA5B-47CB-A637-29DA003AA3FD}"/>
    <cellStyle name="Currency 5 2 2 3 2 2 4 2" xfId="18837" xr:uid="{481FBECC-B609-4876-8D55-8D1A4BC90002}"/>
    <cellStyle name="Currency 5 2 2 3 2 2 4 2 2" xfId="37431" xr:uid="{17FCAF39-C84A-45D8-832A-8A2E607B1753}"/>
    <cellStyle name="Currency 5 2 2 3 2 2 4 3" xfId="28134" xr:uid="{43B2542B-3A46-4205-B74B-D69B4CD9E7C4}"/>
    <cellStyle name="Currency 5 2 2 3 2 2 5" xfId="10168" xr:uid="{1EAF4F05-0B15-4282-951C-733B5A625976}"/>
    <cellStyle name="Currency 5 2 2 3 2 2 5 2" xfId="28764" xr:uid="{CA1DD9CB-11B9-4A12-9048-E10F250D53C8}"/>
    <cellStyle name="Currency 5 2 2 3 2 2 6" xfId="19467" xr:uid="{FB829A7B-1D03-44B8-8F67-3E0ACDC90362}"/>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763BCE2A-82DD-48FB-8FA0-2383F1124CCC}"/>
    <cellStyle name="Currency 5 2 2 3 2 3 2 2 2 2" xfId="35539" xr:uid="{279921F0-C41F-44FF-8F33-E4A496C4CECD}"/>
    <cellStyle name="Currency 5 2 2 3 2 3 2 2 3" xfId="26242" xr:uid="{FA487497-5F68-404D-8ACE-2178A090B32B}"/>
    <cellStyle name="Currency 5 2 2 3 2 3 2 3" xfId="12726" xr:uid="{3B7685AE-AAB9-4D82-838E-945A5FB8DB07}"/>
    <cellStyle name="Currency 5 2 2 3 2 3 2 3 2" xfId="31322" xr:uid="{7F9A349D-8F0F-4053-A436-0244BBE2DAA9}"/>
    <cellStyle name="Currency 5 2 2 3 2 3 2 4" xfId="22025" xr:uid="{4D490202-BDE3-448F-BEA0-9E55ED87D8DE}"/>
    <cellStyle name="Currency 5 2 2 3 2 3 3" xfId="5472" xr:uid="{00000000-0005-0000-0000-0000CF0B0000}"/>
    <cellStyle name="Currency 5 2 2 3 2 3 3 2" xfId="14798" xr:uid="{7D8C6E27-74CB-4125-8BDE-FD0E32DE031D}"/>
    <cellStyle name="Currency 5 2 2 3 2 3 3 2 2" xfId="33394" xr:uid="{27C3037B-289E-4C7E-A66F-222C364198C1}"/>
    <cellStyle name="Currency 5 2 2 3 2 3 3 3" xfId="24097" xr:uid="{47D8F22D-9E14-4700-9980-78A74C762683}"/>
    <cellStyle name="Currency 5 2 2 3 2 3 4" xfId="10581" xr:uid="{9378E77E-EDEC-4928-BB4D-8538FF8A6EF3}"/>
    <cellStyle name="Currency 5 2 2 3 2 3 4 2" xfId="29177" xr:uid="{1D92C37D-1AC7-42BC-88E8-196A44EA1FF6}"/>
    <cellStyle name="Currency 5 2 2 3 2 3 5" xfId="19880" xr:uid="{40D06682-2E1F-46E4-B546-649DBACBFE5C}"/>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71807B73-AF93-40BC-9126-B7E2649640F5}"/>
    <cellStyle name="Currency 5 2 2 3 2 4 2 2 2 2" xfId="35952" xr:uid="{BA2FC852-DAD2-4D61-815E-FEF2884CD0B9}"/>
    <cellStyle name="Currency 5 2 2 3 2 4 2 2 3" xfId="26655" xr:uid="{D09D954A-8A1E-413F-9C83-52173BE292F6}"/>
    <cellStyle name="Currency 5 2 2 3 2 4 2 3" xfId="13139" xr:uid="{07E60CDC-0655-4DBF-9EE4-A6BB4AAC71E1}"/>
    <cellStyle name="Currency 5 2 2 3 2 4 2 3 2" xfId="31735" xr:uid="{FFB74697-B5E9-4742-91B1-8F883B5F2ADA}"/>
    <cellStyle name="Currency 5 2 2 3 2 4 2 4" xfId="22438" xr:uid="{8D97CAB2-737B-4ECE-BF74-7B33C9D02415}"/>
    <cellStyle name="Currency 5 2 2 3 2 4 3" xfId="5885" xr:uid="{00000000-0005-0000-0000-0000D30B0000}"/>
    <cellStyle name="Currency 5 2 2 3 2 4 3 2" xfId="15211" xr:uid="{95557A2B-6FBA-45AF-93EB-69C3696650BC}"/>
    <cellStyle name="Currency 5 2 2 3 2 4 3 2 2" xfId="33807" xr:uid="{D0B7D194-4A9F-408B-80E4-CA7BDF32A72B}"/>
    <cellStyle name="Currency 5 2 2 3 2 4 3 3" xfId="24510" xr:uid="{46AFE649-F63F-4312-AD19-0BCD3396A298}"/>
    <cellStyle name="Currency 5 2 2 3 2 4 4" xfId="10994" xr:uid="{635A9D1B-4148-4301-BD56-5ED1C853CE2A}"/>
    <cellStyle name="Currency 5 2 2 3 2 4 4 2" xfId="29590" xr:uid="{2ADEDB79-5443-4E42-BD6D-55B3CAF9FCAA}"/>
    <cellStyle name="Currency 5 2 2 3 2 4 5" xfId="20293" xr:uid="{9F184FDB-3D71-471D-894D-5B5D88BB7B8F}"/>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8D167AD2-A184-4863-A543-832975624BE3}"/>
    <cellStyle name="Currency 5 2 2 3 2 5 2 2 2 2" xfId="36365" xr:uid="{D2CC21C7-A52D-4D0E-AF78-79EEEC327E28}"/>
    <cellStyle name="Currency 5 2 2 3 2 5 2 2 3" xfId="27068" xr:uid="{46E2969D-3B74-48BD-AE8F-08131F778B48}"/>
    <cellStyle name="Currency 5 2 2 3 2 5 2 3" xfId="13552" xr:uid="{C7494FCB-1EA9-4419-8608-9589F2DADFF0}"/>
    <cellStyle name="Currency 5 2 2 3 2 5 2 3 2" xfId="32148" xr:uid="{DE6255CF-10F4-4FFA-A352-B5D618329A60}"/>
    <cellStyle name="Currency 5 2 2 3 2 5 2 4" xfId="22851" xr:uid="{EC8382DA-58B8-4184-8FC6-C6EDF45CC41C}"/>
    <cellStyle name="Currency 5 2 2 3 2 5 3" xfId="6298" xr:uid="{00000000-0005-0000-0000-0000D70B0000}"/>
    <cellStyle name="Currency 5 2 2 3 2 5 3 2" xfId="15624" xr:uid="{2C0A0400-C57C-4E3F-A031-7017D208D313}"/>
    <cellStyle name="Currency 5 2 2 3 2 5 3 2 2" xfId="34220" xr:uid="{DC9C6E4E-8E4A-4573-BF58-79047EC3761A}"/>
    <cellStyle name="Currency 5 2 2 3 2 5 3 3" xfId="24923" xr:uid="{B8C52EA5-37A6-4CBE-A084-911BFC5C0CFC}"/>
    <cellStyle name="Currency 5 2 2 3 2 5 4" xfId="11407" xr:uid="{6CBC9A21-E47C-41BA-A403-FABBD4E60D5D}"/>
    <cellStyle name="Currency 5 2 2 3 2 5 4 2" xfId="30003" xr:uid="{B533FDFB-E5B5-44FA-871A-4C5CB9EEC506}"/>
    <cellStyle name="Currency 5 2 2 3 2 5 5" xfId="20706" xr:uid="{5382960B-339D-4C5C-9E22-E9B61C340912}"/>
    <cellStyle name="Currency 5 2 2 3 2 6" xfId="2427" xr:uid="{00000000-0005-0000-0000-0000D80B0000}"/>
    <cellStyle name="Currency 5 2 2 3 2 6 2" xfId="6711" xr:uid="{00000000-0005-0000-0000-0000D90B0000}"/>
    <cellStyle name="Currency 5 2 2 3 2 6 2 2" xfId="16037" xr:uid="{524B0C36-2B50-4051-B343-A5C767220675}"/>
    <cellStyle name="Currency 5 2 2 3 2 6 2 2 2" xfId="34633" xr:uid="{4CFEC5BA-00CE-420B-9DD5-623BA078BFDB}"/>
    <cellStyle name="Currency 5 2 2 3 2 6 2 3" xfId="25336" xr:uid="{04E18FF3-134E-433B-A7C6-42D60089759C}"/>
    <cellStyle name="Currency 5 2 2 3 2 6 3" xfId="11820" xr:uid="{90686F3A-79BC-4BC6-BA15-BD7FE4AB5867}"/>
    <cellStyle name="Currency 5 2 2 3 2 6 3 2" xfId="30416" xr:uid="{6527D273-CFD4-433A-B14E-207A1A372FF9}"/>
    <cellStyle name="Currency 5 2 2 3 2 6 4" xfId="21119" xr:uid="{22068FE5-626C-48B3-966B-F44AA7F378C7}"/>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B6C641A9-33D3-44C6-944D-2FD3E77F0A9C}"/>
    <cellStyle name="Currency 5 2 2 3 2 8 2 2 2" xfId="34950" xr:uid="{65567C1E-2E4B-410B-AFC3-B63B10A68FEF}"/>
    <cellStyle name="Currency 5 2 2 3 2 8 2 3" xfId="25653" xr:uid="{4314DC80-90A7-40BA-AAAA-ED5956E49A66}"/>
    <cellStyle name="Currency 5 2 2 3 2 8 3" xfId="12137" xr:uid="{476277CA-DC12-4504-B3A4-F49BD325D445}"/>
    <cellStyle name="Currency 5 2 2 3 2 8 3 2" xfId="30733" xr:uid="{031755A9-A50C-4044-9ED1-3BD1B7342396}"/>
    <cellStyle name="Currency 5 2 2 3 2 8 4" xfId="21436" xr:uid="{E79C1B26-1DB6-420A-BBEA-463975B96206}"/>
    <cellStyle name="Currency 5 2 2 3 2 9" xfId="4645" xr:uid="{00000000-0005-0000-0000-0000DD0B0000}"/>
    <cellStyle name="Currency 5 2 2 3 2 9 2" xfId="13971" xr:uid="{AEEBB1F5-01FE-4EC0-93B9-738AC08FB76A}"/>
    <cellStyle name="Currency 5 2 2 3 2 9 2 2" xfId="32567" xr:uid="{1145866F-84AB-41A2-8C7B-D234A29702F9}"/>
    <cellStyle name="Currency 5 2 2 3 2 9 3" xfId="23270" xr:uid="{6E586E54-5376-49E9-8BD2-2E9DD46A215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97B0570E-8BAB-4F79-8FA0-1E533035494D}"/>
    <cellStyle name="Currency 5 2 2 3 3 2 2 2 2" xfId="35125" xr:uid="{A3CE2027-211B-4599-8205-7D3ED2418646}"/>
    <cellStyle name="Currency 5 2 2 3 3 2 2 3" xfId="25828" xr:uid="{17048EF1-4E48-4B02-9154-915BD4BBC3AF}"/>
    <cellStyle name="Currency 5 2 2 3 3 2 3" xfId="12312" xr:uid="{32B0C678-F4AB-483A-994B-6FB76FBF9F66}"/>
    <cellStyle name="Currency 5 2 2 3 3 2 3 2" xfId="30908" xr:uid="{A6EC6EEC-3891-44EF-AB5E-A397DA9EF6A1}"/>
    <cellStyle name="Currency 5 2 2 3 3 2 4" xfId="21611" xr:uid="{6F461DF3-0FBC-4AAB-B5DC-FDC6B832A829}"/>
    <cellStyle name="Currency 5 2 2 3 3 3" xfId="5058" xr:uid="{00000000-0005-0000-0000-0000E10B0000}"/>
    <cellStyle name="Currency 5 2 2 3 3 3 2" xfId="14384" xr:uid="{32475168-D271-414A-A027-986B87FE91C1}"/>
    <cellStyle name="Currency 5 2 2 3 3 3 2 2" xfId="32980" xr:uid="{14AD54C6-1F83-4FC0-9CE0-76E1BC95CE98}"/>
    <cellStyle name="Currency 5 2 2 3 3 3 3" xfId="23683" xr:uid="{CBBA87EB-29AA-45E2-A7B9-A7375B12CFB7}"/>
    <cellStyle name="Currency 5 2 2 3 3 4" xfId="9315" xr:uid="{A76EC348-1CDB-41C1-B9B8-9215FF30C619}"/>
    <cellStyle name="Currency 5 2 2 3 3 4 2" xfId="18630" xr:uid="{6DFCC481-5C21-408B-B720-2984A0023BB1}"/>
    <cellStyle name="Currency 5 2 2 3 3 4 2 2" xfId="37224" xr:uid="{3E7E77CF-935A-466A-8F51-E0509D8C5BBC}"/>
    <cellStyle name="Currency 5 2 2 3 3 4 3" xfId="27927" xr:uid="{C5DA7D5F-605F-4801-BC16-75DFF8F4B709}"/>
    <cellStyle name="Currency 5 2 2 3 3 5" xfId="10167" xr:uid="{DDAB25A9-5223-4061-BFB8-24277585C53B}"/>
    <cellStyle name="Currency 5 2 2 3 3 5 2" xfId="28763" xr:uid="{B8FF50B9-C09E-4D7B-8731-77E1A4F93EB8}"/>
    <cellStyle name="Currency 5 2 2 3 3 6" xfId="19466" xr:uid="{E5361B6B-5795-4FC9-AE5F-ECB656294B4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0A196054-949D-42E9-9DD0-1ED851F11EAF}"/>
    <cellStyle name="Currency 5 2 2 3 4 2 2 2 2" xfId="35538" xr:uid="{7A5A0C6F-1FFB-4CA9-A8E1-ED7DD891B494}"/>
    <cellStyle name="Currency 5 2 2 3 4 2 2 3" xfId="26241" xr:uid="{EBBC86F3-3FB3-4E1C-AAC4-13BC77A31603}"/>
    <cellStyle name="Currency 5 2 2 3 4 2 3" xfId="12725" xr:uid="{C39F71E9-1143-44B3-9E35-284FC6CB23EF}"/>
    <cellStyle name="Currency 5 2 2 3 4 2 3 2" xfId="31321" xr:uid="{74B5681D-2CFA-4D78-9B70-EC74AFB5B330}"/>
    <cellStyle name="Currency 5 2 2 3 4 2 4" xfId="22024" xr:uid="{0CFDAC58-356D-47E0-A626-6F94D66E1938}"/>
    <cellStyle name="Currency 5 2 2 3 4 3" xfId="5471" xr:uid="{00000000-0005-0000-0000-0000E50B0000}"/>
    <cellStyle name="Currency 5 2 2 3 4 3 2" xfId="14797" xr:uid="{028258CD-332A-463C-92FA-2BD4752B76C6}"/>
    <cellStyle name="Currency 5 2 2 3 4 3 2 2" xfId="33393" xr:uid="{C31A0A51-3AEB-4215-8220-01917B917DDD}"/>
    <cellStyle name="Currency 5 2 2 3 4 3 3" xfId="24096" xr:uid="{6637AC67-07E6-4C8C-AAB1-E06788E08ABB}"/>
    <cellStyle name="Currency 5 2 2 3 4 4" xfId="10580" xr:uid="{EC7F5567-C7FD-44BE-A7B5-866F4AF814FC}"/>
    <cellStyle name="Currency 5 2 2 3 4 4 2" xfId="29176" xr:uid="{9D38A123-E934-40B0-8E56-5311A30083F9}"/>
    <cellStyle name="Currency 5 2 2 3 4 5" xfId="19879" xr:uid="{98D557BF-BAB7-4174-B0D1-9DB178AACABD}"/>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F88DA394-4E6E-4495-AE57-EF7A4A10ABC9}"/>
    <cellStyle name="Currency 5 2 2 3 5 2 2 2 2" xfId="35951" xr:uid="{D7072354-545C-4E7A-87D7-F135F291DFF4}"/>
    <cellStyle name="Currency 5 2 2 3 5 2 2 3" xfId="26654" xr:uid="{61DC4BF7-D00B-421A-A816-F13AE480E17D}"/>
    <cellStyle name="Currency 5 2 2 3 5 2 3" xfId="13138" xr:uid="{634CDF48-4EE9-4878-8B65-A25B318F42ED}"/>
    <cellStyle name="Currency 5 2 2 3 5 2 3 2" xfId="31734" xr:uid="{64C286A0-7E17-4855-8B4D-7BF6F90F4C3D}"/>
    <cellStyle name="Currency 5 2 2 3 5 2 4" xfId="22437" xr:uid="{3D7100C9-0F83-4B4E-A9C5-C91DACE32FDA}"/>
    <cellStyle name="Currency 5 2 2 3 5 3" xfId="5884" xr:uid="{00000000-0005-0000-0000-0000E90B0000}"/>
    <cellStyle name="Currency 5 2 2 3 5 3 2" xfId="15210" xr:uid="{9FEC5353-B13C-45B8-974B-337E32CC15DD}"/>
    <cellStyle name="Currency 5 2 2 3 5 3 2 2" xfId="33806" xr:uid="{34775AE6-BA80-413C-9F5C-960F22D6F45B}"/>
    <cellStyle name="Currency 5 2 2 3 5 3 3" xfId="24509" xr:uid="{C26D4E88-EAAE-4C07-B090-69BED0CDAD4D}"/>
    <cellStyle name="Currency 5 2 2 3 5 4" xfId="10993" xr:uid="{D892E92E-2611-422F-BA8E-8DC0B71229C4}"/>
    <cellStyle name="Currency 5 2 2 3 5 4 2" xfId="29589" xr:uid="{58E38C9E-08C2-4DB6-BBD5-F606858227F2}"/>
    <cellStyle name="Currency 5 2 2 3 5 5" xfId="20292" xr:uid="{3EC388FD-7F60-4426-B4D7-B0EDFBCAEE68}"/>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E4F74791-8383-40DC-93E6-3845B0ABFF23}"/>
    <cellStyle name="Currency 5 2 2 3 6 2 2 2 2" xfId="36364" xr:uid="{AB95EEF7-CD31-49BE-971C-BF3DF3FF4460}"/>
    <cellStyle name="Currency 5 2 2 3 6 2 2 3" xfId="27067" xr:uid="{C42B20D8-223B-4AA1-9C29-A3EF5B087519}"/>
    <cellStyle name="Currency 5 2 2 3 6 2 3" xfId="13551" xr:uid="{7F06B7B8-72B9-4F93-A562-F1012DF4D21D}"/>
    <cellStyle name="Currency 5 2 2 3 6 2 3 2" xfId="32147" xr:uid="{32A68C24-6DA8-4517-BFEA-5648EAC993C5}"/>
    <cellStyle name="Currency 5 2 2 3 6 2 4" xfId="22850" xr:uid="{50CB487A-DF2A-45E6-8396-4A779C6F84CA}"/>
    <cellStyle name="Currency 5 2 2 3 6 3" xfId="6297" xr:uid="{00000000-0005-0000-0000-0000ED0B0000}"/>
    <cellStyle name="Currency 5 2 2 3 6 3 2" xfId="15623" xr:uid="{82CA5AEA-D0EE-43EA-A772-1155D157C60A}"/>
    <cellStyle name="Currency 5 2 2 3 6 3 2 2" xfId="34219" xr:uid="{9130D841-7C71-47C6-8612-347527BDA278}"/>
    <cellStyle name="Currency 5 2 2 3 6 3 3" xfId="24922" xr:uid="{A7937B5D-C77F-478C-A609-04C15675505B}"/>
    <cellStyle name="Currency 5 2 2 3 6 4" xfId="11406" xr:uid="{3D8D98C4-1F5A-430F-BCE0-21C7269A977D}"/>
    <cellStyle name="Currency 5 2 2 3 6 4 2" xfId="30002" xr:uid="{76D7D225-6D7C-4674-ADD8-E85C4F61BE11}"/>
    <cellStyle name="Currency 5 2 2 3 6 5" xfId="20705" xr:uid="{3EED467B-C63A-4776-8169-E1E6617EE1FE}"/>
    <cellStyle name="Currency 5 2 2 3 7" xfId="2426" xr:uid="{00000000-0005-0000-0000-0000EE0B0000}"/>
    <cellStyle name="Currency 5 2 2 3 7 2" xfId="6710" xr:uid="{00000000-0005-0000-0000-0000EF0B0000}"/>
    <cellStyle name="Currency 5 2 2 3 7 2 2" xfId="16036" xr:uid="{D0FFFBE5-6F4E-4572-BB43-D234123AFCB9}"/>
    <cellStyle name="Currency 5 2 2 3 7 2 2 2" xfId="34632" xr:uid="{29D514CF-DEC9-4C20-99A4-2F6AA622BE4F}"/>
    <cellStyle name="Currency 5 2 2 3 7 2 3" xfId="25335" xr:uid="{F80B6B42-161A-46B2-8B68-22211391B22E}"/>
    <cellStyle name="Currency 5 2 2 3 7 3" xfId="11819" xr:uid="{A2B2F86E-8D21-4759-840E-7ACEBAF4031E}"/>
    <cellStyle name="Currency 5 2 2 3 7 3 2" xfId="30415" xr:uid="{B3551DD3-3FCB-4362-9800-1932A78CFB26}"/>
    <cellStyle name="Currency 5 2 2 3 7 4" xfId="21118" xr:uid="{A65801BF-C6DC-4E33-B53B-8E739F18CC47}"/>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7607EEE6-BCB4-4422-87D0-ED6672BA8E35}"/>
    <cellStyle name="Currency 5 2 2 3 9 2 2 2" xfId="34949" xr:uid="{7326C781-2BF3-46BE-9B7C-81D70483E9E8}"/>
    <cellStyle name="Currency 5 2 2 3 9 2 3" xfId="25652" xr:uid="{A8EE79FA-9868-4020-A866-D0CB2BE55499}"/>
    <cellStyle name="Currency 5 2 2 3 9 3" xfId="12136" xr:uid="{DDA1256C-EF8D-4BC0-8027-CAADE5BDA93C}"/>
    <cellStyle name="Currency 5 2 2 3 9 3 2" xfId="30732" xr:uid="{3CED105F-F612-4778-9845-BA71E5B5B535}"/>
    <cellStyle name="Currency 5 2 2 3 9 4" xfId="21435" xr:uid="{25642121-DBBE-4D4A-A7A5-9E4BE079AB8B}"/>
    <cellStyle name="Currency 5 2 2 4" xfId="202" xr:uid="{00000000-0005-0000-0000-0000F30B0000}"/>
    <cellStyle name="Currency 5 2 2 4 10" xfId="8994" xr:uid="{484CCE7A-1288-4C7F-ABD6-C45948DC4EC0}"/>
    <cellStyle name="Currency 5 2 2 4 10 2" xfId="18318" xr:uid="{D432D934-1FC6-43D1-AABF-7E8DEF2F3572}"/>
    <cellStyle name="Currency 5 2 2 4 10 2 2" xfId="36913" xr:uid="{F78D16CF-5787-48B9-8A41-DBAEDC6E52AE}"/>
    <cellStyle name="Currency 5 2 2 4 10 3" xfId="27616" xr:uid="{E27D5D70-8F42-4814-BE70-E4130F9BFF9C}"/>
    <cellStyle name="Currency 5 2 2 4 11" xfId="9755" xr:uid="{07C935CE-1F70-4F05-8F65-E0007F613B00}"/>
    <cellStyle name="Currency 5 2 2 4 11 2" xfId="28351" xr:uid="{2A060F74-3C33-403E-8A92-44F3A2B538A2}"/>
    <cellStyle name="Currency 5 2 2 4 12" xfId="19054" xr:uid="{2C25881F-77EF-487C-83D7-CCEE828C0821}"/>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CD95BBC1-8A32-4B42-9A7D-5D0F8847EC25}"/>
    <cellStyle name="Currency 5 2 2 4 2 2 2 2 2" xfId="35127" xr:uid="{0E2EBFF6-F44B-4BF9-B1F6-2CC57DEB48EF}"/>
    <cellStyle name="Currency 5 2 2 4 2 2 2 3" xfId="25830" xr:uid="{35F222D1-4829-4254-98AB-F1ECD4DE8BE7}"/>
    <cellStyle name="Currency 5 2 2 4 2 2 3" xfId="12314" xr:uid="{AD2D6CDF-7329-440C-824C-3D411D8BE162}"/>
    <cellStyle name="Currency 5 2 2 4 2 2 3 2" xfId="30910" xr:uid="{D737E5B5-9756-4A6A-8BFA-C03EBF5D056B}"/>
    <cellStyle name="Currency 5 2 2 4 2 2 4" xfId="21613" xr:uid="{8A5F439B-D951-4291-AF18-63AB77BD02A2}"/>
    <cellStyle name="Currency 5 2 2 4 2 3" xfId="5060" xr:uid="{00000000-0005-0000-0000-0000F70B0000}"/>
    <cellStyle name="Currency 5 2 2 4 2 3 2" xfId="14386" xr:uid="{05EC8D39-E251-443E-A472-ECF45309F4FC}"/>
    <cellStyle name="Currency 5 2 2 4 2 3 2 2" xfId="32982" xr:uid="{C9E64044-5F60-4965-9018-4B4CF56C7DE3}"/>
    <cellStyle name="Currency 5 2 2 4 2 3 3" xfId="23685" xr:uid="{A88264EF-0061-4B3E-8688-0CC8E40FD66A}"/>
    <cellStyle name="Currency 5 2 2 4 2 4" xfId="9419" xr:uid="{F03E4D2E-3BA9-4D5B-9C35-959DB128CBAE}"/>
    <cellStyle name="Currency 5 2 2 4 2 4 2" xfId="18734" xr:uid="{8BDB4519-2318-4999-A8A4-B1045505D877}"/>
    <cellStyle name="Currency 5 2 2 4 2 4 2 2" xfId="37328" xr:uid="{9EDC8B9C-D27B-489E-95A9-EFC11E74F8A1}"/>
    <cellStyle name="Currency 5 2 2 4 2 4 3" xfId="28031" xr:uid="{DC1B4B49-6001-4815-99BB-A099CF0B6238}"/>
    <cellStyle name="Currency 5 2 2 4 2 5" xfId="10169" xr:uid="{D3611858-DAA9-48D8-B42A-2479E07A8EE7}"/>
    <cellStyle name="Currency 5 2 2 4 2 5 2" xfId="28765" xr:uid="{D653407B-85EB-4F45-AFDA-65C60BC9830C}"/>
    <cellStyle name="Currency 5 2 2 4 2 6" xfId="19468" xr:uid="{0BF1C84B-0B26-4D43-BF27-8F5221582655}"/>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C1FFA449-FDF7-437F-AD48-C8B245E4E7B2}"/>
    <cellStyle name="Currency 5 2 2 4 3 2 2 2 2" xfId="35540" xr:uid="{7FD7C4BC-7EA5-416F-919F-69C1A3623C37}"/>
    <cellStyle name="Currency 5 2 2 4 3 2 2 3" xfId="26243" xr:uid="{556705FC-B8FE-4782-AEFC-F0B85CB1C256}"/>
    <cellStyle name="Currency 5 2 2 4 3 2 3" xfId="12727" xr:uid="{53AD4319-26A3-4902-BDB6-BCFEF4A9C194}"/>
    <cellStyle name="Currency 5 2 2 4 3 2 3 2" xfId="31323" xr:uid="{614EE00A-D18B-483B-86CC-7BC5C4856378}"/>
    <cellStyle name="Currency 5 2 2 4 3 2 4" xfId="22026" xr:uid="{4521ACF7-3ED2-444E-BE9F-2F61D9352FF8}"/>
    <cellStyle name="Currency 5 2 2 4 3 3" xfId="5473" xr:uid="{00000000-0005-0000-0000-0000FB0B0000}"/>
    <cellStyle name="Currency 5 2 2 4 3 3 2" xfId="14799" xr:uid="{3047075A-6F9F-4694-ACA8-FF6DDC478A78}"/>
    <cellStyle name="Currency 5 2 2 4 3 3 2 2" xfId="33395" xr:uid="{852445BB-821B-4CF8-BD44-88FA0950088B}"/>
    <cellStyle name="Currency 5 2 2 4 3 3 3" xfId="24098" xr:uid="{05608F89-2F31-44AA-B3FE-FB2CCF280D91}"/>
    <cellStyle name="Currency 5 2 2 4 3 4" xfId="10582" xr:uid="{31122517-C7A8-4981-84EE-68B1EA6E7BF6}"/>
    <cellStyle name="Currency 5 2 2 4 3 4 2" xfId="29178" xr:uid="{F1098BA1-0DBC-4850-971F-CEFE34FB192C}"/>
    <cellStyle name="Currency 5 2 2 4 3 5" xfId="19881" xr:uid="{702381DD-EBF4-4AED-ACE7-52326972D149}"/>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67BCFD03-18AB-4DE3-9DC5-39247F125583}"/>
    <cellStyle name="Currency 5 2 2 4 4 2 2 2 2" xfId="35953" xr:uid="{0E23A693-164C-4A01-8158-16763E50054D}"/>
    <cellStyle name="Currency 5 2 2 4 4 2 2 3" xfId="26656" xr:uid="{2FFBAF8A-B95A-4943-8922-4885515D9D57}"/>
    <cellStyle name="Currency 5 2 2 4 4 2 3" xfId="13140" xr:uid="{A0CAF0D2-A320-4994-96A9-75E3E24F352B}"/>
    <cellStyle name="Currency 5 2 2 4 4 2 3 2" xfId="31736" xr:uid="{20DD87B2-5D81-4B2A-AB84-23E8127239D0}"/>
    <cellStyle name="Currency 5 2 2 4 4 2 4" xfId="22439" xr:uid="{B4609B76-4591-46E0-87E8-5EC863DA3834}"/>
    <cellStyle name="Currency 5 2 2 4 4 3" xfId="5886" xr:uid="{00000000-0005-0000-0000-0000FF0B0000}"/>
    <cellStyle name="Currency 5 2 2 4 4 3 2" xfId="15212" xr:uid="{C2E20A26-07C0-49C9-89B4-AF768DA59251}"/>
    <cellStyle name="Currency 5 2 2 4 4 3 2 2" xfId="33808" xr:uid="{430562F1-098A-4DC6-905F-757558D8208B}"/>
    <cellStyle name="Currency 5 2 2 4 4 3 3" xfId="24511" xr:uid="{905BEEC8-CFAD-46F8-A7DE-C7F7311038D2}"/>
    <cellStyle name="Currency 5 2 2 4 4 4" xfId="10995" xr:uid="{89EA483F-956F-4A35-8866-5D1B4A44379D}"/>
    <cellStyle name="Currency 5 2 2 4 4 4 2" xfId="29591" xr:uid="{30F69432-3BBA-4DB1-8991-12910EA4B0E0}"/>
    <cellStyle name="Currency 5 2 2 4 4 5" xfId="20294" xr:uid="{627E6D47-E03D-470F-B04A-D2EE2089F309}"/>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1F7469D3-A0EF-4438-9EB2-4985DDB85AF2}"/>
    <cellStyle name="Currency 5 2 2 4 5 2 2 2 2" xfId="36366" xr:uid="{2F132C70-42A5-424C-8794-87284B80151C}"/>
    <cellStyle name="Currency 5 2 2 4 5 2 2 3" xfId="27069" xr:uid="{9AD1F5A9-6D88-4A78-9949-2971B6EED5FD}"/>
    <cellStyle name="Currency 5 2 2 4 5 2 3" xfId="13553" xr:uid="{CF67498E-975B-4819-9817-C7296B6A12DC}"/>
    <cellStyle name="Currency 5 2 2 4 5 2 3 2" xfId="32149" xr:uid="{6E51D11B-8306-4BE1-BBB5-E887CC41CE45}"/>
    <cellStyle name="Currency 5 2 2 4 5 2 4" xfId="22852" xr:uid="{A3D9B834-F727-4DD0-9F98-7505D104A25C}"/>
    <cellStyle name="Currency 5 2 2 4 5 3" xfId="6299" xr:uid="{00000000-0005-0000-0000-0000030C0000}"/>
    <cellStyle name="Currency 5 2 2 4 5 3 2" xfId="15625" xr:uid="{706F1D40-B4F6-498C-BCB9-BE9E7E0B6567}"/>
    <cellStyle name="Currency 5 2 2 4 5 3 2 2" xfId="34221" xr:uid="{3DDB03D0-626B-4A5C-A938-25E6FD66976A}"/>
    <cellStyle name="Currency 5 2 2 4 5 3 3" xfId="24924" xr:uid="{1BFB6DA9-6794-4D1C-BF06-1CB03426CA96}"/>
    <cellStyle name="Currency 5 2 2 4 5 4" xfId="11408" xr:uid="{7BBA758B-9BB4-401A-BD32-C325EA0658C6}"/>
    <cellStyle name="Currency 5 2 2 4 5 4 2" xfId="30004" xr:uid="{20E7083F-781B-4F34-BD34-B20CB9A01B70}"/>
    <cellStyle name="Currency 5 2 2 4 5 5" xfId="20707" xr:uid="{2831567A-9CCF-48A7-966E-7DF7A2F058EA}"/>
    <cellStyle name="Currency 5 2 2 4 6" xfId="2428" xr:uid="{00000000-0005-0000-0000-0000040C0000}"/>
    <cellStyle name="Currency 5 2 2 4 6 2" xfId="6712" xr:uid="{00000000-0005-0000-0000-0000050C0000}"/>
    <cellStyle name="Currency 5 2 2 4 6 2 2" xfId="16038" xr:uid="{4F648E91-A866-406E-90D3-66878E94627F}"/>
    <cellStyle name="Currency 5 2 2 4 6 2 2 2" xfId="34634" xr:uid="{91F0F517-CD7B-43BB-BE98-5BD2FB7E0053}"/>
    <cellStyle name="Currency 5 2 2 4 6 2 3" xfId="25337" xr:uid="{2E30F773-77F6-4CEC-95FC-DEB81C4D7598}"/>
    <cellStyle name="Currency 5 2 2 4 6 3" xfId="11821" xr:uid="{FB734958-1D05-430A-A25D-51B0063C649E}"/>
    <cellStyle name="Currency 5 2 2 4 6 3 2" xfId="30417" xr:uid="{9367064D-C1C8-48F4-A8FE-C39692E20643}"/>
    <cellStyle name="Currency 5 2 2 4 6 4" xfId="21120" xr:uid="{EC20F186-6643-489D-A2ED-6749F18EC1D8}"/>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A1A0F158-A391-49FD-9734-2278E25AA33A}"/>
    <cellStyle name="Currency 5 2 2 4 8 2 2 2" xfId="34951" xr:uid="{1AB5E48B-31BD-4DA4-9450-0710F2B586C4}"/>
    <cellStyle name="Currency 5 2 2 4 8 2 3" xfId="25654" xr:uid="{85B7B2CA-958C-45BE-8656-1F04DD64FE93}"/>
    <cellStyle name="Currency 5 2 2 4 8 3" xfId="12138" xr:uid="{D3AD3FA2-2AA4-43DC-8F4D-BC8D2B76A5FD}"/>
    <cellStyle name="Currency 5 2 2 4 8 3 2" xfId="30734" xr:uid="{95E3024E-10CB-4A36-BBC7-CDC3705D0ABF}"/>
    <cellStyle name="Currency 5 2 2 4 8 4" xfId="21437" xr:uid="{85CF9B5B-BC7D-4500-9EE3-BEF47D58F8F5}"/>
    <cellStyle name="Currency 5 2 2 4 9" xfId="4646" xr:uid="{00000000-0005-0000-0000-0000090C0000}"/>
    <cellStyle name="Currency 5 2 2 4 9 2" xfId="13972" xr:uid="{DDBD0D9D-E485-49FF-9F1F-EA9A101D2FCF}"/>
    <cellStyle name="Currency 5 2 2 4 9 2 2" xfId="32568" xr:uid="{5615B40B-76A7-4D7A-A64D-E66F1474F661}"/>
    <cellStyle name="Currency 5 2 2 4 9 3" xfId="23271" xr:uid="{1B4400C4-FF6C-4CB9-AD2B-22252655CF24}"/>
    <cellStyle name="Currency 5 2 2 5" xfId="203" xr:uid="{00000000-0005-0000-0000-00000A0C0000}"/>
    <cellStyle name="Currency 5 2 2 5 10" xfId="9211" xr:uid="{586E1D8D-A72F-44A2-BAB5-A0BAD4827F6D}"/>
    <cellStyle name="Currency 5 2 2 5 10 2" xfId="18527" xr:uid="{B15D1720-3300-4C8F-8554-9A74AE934D0C}"/>
    <cellStyle name="Currency 5 2 2 5 10 2 2" xfId="37121" xr:uid="{F65B4894-D4A8-424C-8B88-D3EA23328D39}"/>
    <cellStyle name="Currency 5 2 2 5 10 3" xfId="27824" xr:uid="{4B7744F1-3B1F-4D3F-B774-0E940CFDAF5E}"/>
    <cellStyle name="Currency 5 2 2 5 11" xfId="9756" xr:uid="{54E24D2A-5522-4EF8-967A-1B0BF71F596F}"/>
    <cellStyle name="Currency 5 2 2 5 11 2" xfId="28352" xr:uid="{219858BD-B0DE-4433-B410-886A2420750F}"/>
    <cellStyle name="Currency 5 2 2 5 12" xfId="19055" xr:uid="{DA3AA357-8CB2-4077-BD39-523B0D32C104}"/>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3847889C-E91A-4427-93F3-D3C13BD7830C}"/>
    <cellStyle name="Currency 5 2 2 5 2 2 2 2 2" xfId="35128" xr:uid="{5DDF7C49-A96C-4D6F-B035-DEB3E94CE1FD}"/>
    <cellStyle name="Currency 5 2 2 5 2 2 2 3" xfId="25831" xr:uid="{99F03F70-9289-4B55-A4C8-B647C080C449}"/>
    <cellStyle name="Currency 5 2 2 5 2 2 3" xfId="12315" xr:uid="{03AFD573-9AEE-486B-A292-BB917F7E6168}"/>
    <cellStyle name="Currency 5 2 2 5 2 2 3 2" xfId="30911" xr:uid="{E854FF89-8912-4D8B-BC3B-EE543DD2F87F}"/>
    <cellStyle name="Currency 5 2 2 5 2 2 4" xfId="21614" xr:uid="{928F960F-F95C-480E-8B93-16572E4049DC}"/>
    <cellStyle name="Currency 5 2 2 5 2 3" xfId="5061" xr:uid="{00000000-0005-0000-0000-00000E0C0000}"/>
    <cellStyle name="Currency 5 2 2 5 2 3 2" xfId="14387" xr:uid="{4E1450AC-0287-4CF5-AC5D-3FE292B2B6B5}"/>
    <cellStyle name="Currency 5 2 2 5 2 3 2 2" xfId="32983" xr:uid="{E0360942-F391-42CC-8E4D-AA903E864D5E}"/>
    <cellStyle name="Currency 5 2 2 5 2 3 3" xfId="23686" xr:uid="{1721FB9E-DB8C-4407-8909-FD4F2A842C83}"/>
    <cellStyle name="Currency 5 2 2 5 2 4" xfId="9598" xr:uid="{EBD3270B-608E-49E1-8A20-C5ADF81FBC1B}"/>
    <cellStyle name="Currency 5 2 2 5 2 4 2" xfId="18902" xr:uid="{E42A8F9F-0CA2-4733-99B6-BF21FD2A59DC}"/>
    <cellStyle name="Currency 5 2 2 5 2 4 2 2" xfId="37496" xr:uid="{AC607F34-E1EF-41C9-9B4C-2DC9A09A3C0A}"/>
    <cellStyle name="Currency 5 2 2 5 2 4 3" xfId="28199" xr:uid="{D52E980C-8D34-427F-896F-964929434242}"/>
    <cellStyle name="Currency 5 2 2 5 2 5" xfId="10170" xr:uid="{B6DBC50C-42C1-44D1-8238-BEFFBE9A281B}"/>
    <cellStyle name="Currency 5 2 2 5 2 5 2" xfId="28766" xr:uid="{32EA8C95-058D-4D5F-B35F-8D670B328EF7}"/>
    <cellStyle name="Currency 5 2 2 5 2 6" xfId="19469" xr:uid="{CDDDFF01-DAD1-44AD-A478-FB714898F0E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3152EB25-9442-4063-BFBB-32BCAD6C82F6}"/>
    <cellStyle name="Currency 5 2 2 5 3 2 2 2 2" xfId="35541" xr:uid="{D3080EDE-016E-4BDD-848B-A41C0CA23CF4}"/>
    <cellStyle name="Currency 5 2 2 5 3 2 2 3" xfId="26244" xr:uid="{24A9920D-E205-4F33-8492-00B804FD2E49}"/>
    <cellStyle name="Currency 5 2 2 5 3 2 3" xfId="12728" xr:uid="{D7780995-CC3C-4607-B25A-7B2D2BC34903}"/>
    <cellStyle name="Currency 5 2 2 5 3 2 3 2" xfId="31324" xr:uid="{A26338E7-B6E6-444A-A9D0-9F6F88377507}"/>
    <cellStyle name="Currency 5 2 2 5 3 2 4" xfId="22027" xr:uid="{878EB5B8-F136-4082-84A6-DE907D42204E}"/>
    <cellStyle name="Currency 5 2 2 5 3 3" xfId="5474" xr:uid="{00000000-0005-0000-0000-0000120C0000}"/>
    <cellStyle name="Currency 5 2 2 5 3 3 2" xfId="14800" xr:uid="{2B99F932-9F4B-445A-88D9-D1BF8DB31E1D}"/>
    <cellStyle name="Currency 5 2 2 5 3 3 2 2" xfId="33396" xr:uid="{7E2A5D0B-8271-4FAC-9142-DBE19D9FBA53}"/>
    <cellStyle name="Currency 5 2 2 5 3 3 3" xfId="24099" xr:uid="{F61863DE-6F2C-4A19-8083-701EC56ECEF2}"/>
    <cellStyle name="Currency 5 2 2 5 3 4" xfId="10583" xr:uid="{81781051-E803-4327-82BA-64E311AA9766}"/>
    <cellStyle name="Currency 5 2 2 5 3 4 2" xfId="29179" xr:uid="{78EE3B28-DE8F-457D-80BB-444FDC952B6C}"/>
    <cellStyle name="Currency 5 2 2 5 3 5" xfId="19882" xr:uid="{2AFDE6E2-E643-46F1-AE45-6146E35B055A}"/>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9D8950A9-7E35-4A4B-8541-74707BDB4E42}"/>
    <cellStyle name="Currency 5 2 2 5 4 2 2 2 2" xfId="35954" xr:uid="{4EBBD4FD-FB12-4A40-AB58-DD44B63B7F00}"/>
    <cellStyle name="Currency 5 2 2 5 4 2 2 3" xfId="26657" xr:uid="{DACCB220-9529-4255-9298-872093734B67}"/>
    <cellStyle name="Currency 5 2 2 5 4 2 3" xfId="13141" xr:uid="{136C3608-D889-47D0-A89E-507939558099}"/>
    <cellStyle name="Currency 5 2 2 5 4 2 3 2" xfId="31737" xr:uid="{74C72FE0-0213-4FDB-A34A-CBEC1CA36C30}"/>
    <cellStyle name="Currency 5 2 2 5 4 2 4" xfId="22440" xr:uid="{70C6211E-D2C7-4417-99A6-316A4BA1934C}"/>
    <cellStyle name="Currency 5 2 2 5 4 3" xfId="5887" xr:uid="{00000000-0005-0000-0000-0000160C0000}"/>
    <cellStyle name="Currency 5 2 2 5 4 3 2" xfId="15213" xr:uid="{FCB804AB-EEE9-4963-B1DD-313EF7AC6213}"/>
    <cellStyle name="Currency 5 2 2 5 4 3 2 2" xfId="33809" xr:uid="{32C2BC19-1FFF-491C-A0CD-DD7E2D477A27}"/>
    <cellStyle name="Currency 5 2 2 5 4 3 3" xfId="24512" xr:uid="{3F994465-91B7-44A0-8381-D4ABA5546136}"/>
    <cellStyle name="Currency 5 2 2 5 4 4" xfId="10996" xr:uid="{1DDBC6EC-1FB2-4E13-8083-925BE8CFFB21}"/>
    <cellStyle name="Currency 5 2 2 5 4 4 2" xfId="29592" xr:uid="{0B76391E-B429-4CC6-A8E4-44EA71DAD150}"/>
    <cellStyle name="Currency 5 2 2 5 4 5" xfId="20295" xr:uid="{DC70312E-9452-47DE-B139-12CB280CD174}"/>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C1D548E3-29C0-4F87-95DB-7FEFD00DF078}"/>
    <cellStyle name="Currency 5 2 2 5 5 2 2 2 2" xfId="36367" xr:uid="{8663003B-3127-4BBA-ABFC-19AA76F7741C}"/>
    <cellStyle name="Currency 5 2 2 5 5 2 2 3" xfId="27070" xr:uid="{509D9362-705D-4AB3-B9F6-9299B0C5E76A}"/>
    <cellStyle name="Currency 5 2 2 5 5 2 3" xfId="13554" xr:uid="{ED6E3775-4C3E-4363-A84E-DE26AEFE3285}"/>
    <cellStyle name="Currency 5 2 2 5 5 2 3 2" xfId="32150" xr:uid="{F6F6D12E-DE7E-45B2-A069-95BFA11C0B2E}"/>
    <cellStyle name="Currency 5 2 2 5 5 2 4" xfId="22853" xr:uid="{025BFD7E-C887-4D13-98D8-C3F7A5E92B2E}"/>
    <cellStyle name="Currency 5 2 2 5 5 3" xfId="6300" xr:uid="{00000000-0005-0000-0000-00001A0C0000}"/>
    <cellStyle name="Currency 5 2 2 5 5 3 2" xfId="15626" xr:uid="{0FAF3DEC-A136-4D7A-99D8-1D4C40BF7255}"/>
    <cellStyle name="Currency 5 2 2 5 5 3 2 2" xfId="34222" xr:uid="{46648C52-9AC8-4D6D-ACC8-95EC95EFEFBF}"/>
    <cellStyle name="Currency 5 2 2 5 5 3 3" xfId="24925" xr:uid="{EFA9D17B-47C6-461A-AEDB-B9066451272A}"/>
    <cellStyle name="Currency 5 2 2 5 5 4" xfId="11409" xr:uid="{ECFE1CED-8D61-45E2-B01D-FD36EC0FC0F9}"/>
    <cellStyle name="Currency 5 2 2 5 5 4 2" xfId="30005" xr:uid="{8D7AD1F4-80B0-44D2-BD66-666C66288EEA}"/>
    <cellStyle name="Currency 5 2 2 5 5 5" xfId="20708" xr:uid="{60C7E16C-C5D6-4980-9B70-C2FC49CE3BAD}"/>
    <cellStyle name="Currency 5 2 2 5 6" xfId="2429" xr:uid="{00000000-0005-0000-0000-00001B0C0000}"/>
    <cellStyle name="Currency 5 2 2 5 6 2" xfId="6713" xr:uid="{00000000-0005-0000-0000-00001C0C0000}"/>
    <cellStyle name="Currency 5 2 2 5 6 2 2" xfId="16039" xr:uid="{5818DBB6-F4EF-4483-BFE1-494190B95169}"/>
    <cellStyle name="Currency 5 2 2 5 6 2 2 2" xfId="34635" xr:uid="{4DB27317-55B0-4E87-881D-33F2C857B7D8}"/>
    <cellStyle name="Currency 5 2 2 5 6 2 3" xfId="25338" xr:uid="{1D9E345B-300F-4612-B722-F25E1D449D6F}"/>
    <cellStyle name="Currency 5 2 2 5 6 3" xfId="11822" xr:uid="{32F102CD-6950-44BB-99DD-EA72F3C27896}"/>
    <cellStyle name="Currency 5 2 2 5 6 3 2" xfId="30418" xr:uid="{4FE64248-5CCF-43AE-96B6-B381FB856E2B}"/>
    <cellStyle name="Currency 5 2 2 5 6 4" xfId="21121" xr:uid="{661059F7-C8DB-4867-8149-618E55A7A893}"/>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60086D76-9BB2-43B2-889C-9AA1593FBD74}"/>
    <cellStyle name="Currency 5 2 2 5 8 2 2 2" xfId="34952" xr:uid="{1ABFB9F5-C64B-4D77-9136-005E5D63C434}"/>
    <cellStyle name="Currency 5 2 2 5 8 2 3" xfId="25655" xr:uid="{F00C1934-BA3B-465E-9095-F0BF53CC70D6}"/>
    <cellStyle name="Currency 5 2 2 5 8 3" xfId="12139" xr:uid="{DC0394D2-2456-4AAB-9FC0-BE429BE4F1DC}"/>
    <cellStyle name="Currency 5 2 2 5 8 3 2" xfId="30735" xr:uid="{CC481229-142E-4C73-9C58-A090A5C853C8}"/>
    <cellStyle name="Currency 5 2 2 5 8 4" xfId="21438" xr:uid="{C336E7B3-BF76-4D79-93B7-DFD494CE2606}"/>
    <cellStyle name="Currency 5 2 2 5 9" xfId="4647" xr:uid="{00000000-0005-0000-0000-0000200C0000}"/>
    <cellStyle name="Currency 5 2 2 5 9 2" xfId="13973" xr:uid="{5FC78B6B-2925-47E4-B556-5E8902FEA1B8}"/>
    <cellStyle name="Currency 5 2 2 5 9 2 2" xfId="32569" xr:uid="{12D3A0DB-00AE-4CCB-8399-8B3EBFA16656}"/>
    <cellStyle name="Currency 5 2 2 5 9 3" xfId="23272" xr:uid="{E5CF197D-5C3F-459E-A43F-D88E7756FA00}"/>
    <cellStyle name="Currency 5 2 2 6" xfId="9584" xr:uid="{DC5749FB-A314-4F8C-B61F-309C27A570F5}"/>
    <cellStyle name="Currency 5 2 2 7" xfId="8787" xr:uid="{822EE7D8-70A6-49D7-843D-E84C848DC397}"/>
    <cellStyle name="Currency 5 2 2 7 2" xfId="18111" xr:uid="{D2380D4A-D1E0-4E55-99CA-72B055AA5C0E}"/>
    <cellStyle name="Currency 5 2 2 7 2 2" xfId="36706" xr:uid="{4288A491-371E-4C22-9BA5-25F95A728A83}"/>
    <cellStyle name="Currency 5 2 2 7 3" xfId="27409" xr:uid="{C349292E-03D1-4143-A324-A6FE0669B86E}"/>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8762227B-EC0C-4F83-AD4E-F291F7E629C9}"/>
    <cellStyle name="Currency 5 2 4 10 2 2" xfId="32570" xr:uid="{7EBA397B-41B2-4BCA-921B-B36476CE787B}"/>
    <cellStyle name="Currency 5 2 4 10 3" xfId="23273" xr:uid="{0D7C7462-AA6B-41E9-9408-9FCFB05780A2}"/>
    <cellStyle name="Currency 5 2 4 11" xfId="8859" xr:uid="{D3A5F8AD-5F4E-4BEA-A9B4-9A705A015524}"/>
    <cellStyle name="Currency 5 2 4 11 2" xfId="18183" xr:uid="{7AF79656-732B-4EB5-B7FC-052202039852}"/>
    <cellStyle name="Currency 5 2 4 11 2 2" xfId="36778" xr:uid="{3DBC10A9-CFEC-4A12-895B-234864BE311A}"/>
    <cellStyle name="Currency 5 2 4 11 3" xfId="27481" xr:uid="{1D3FDAED-6237-47C0-A7CC-DD8093ABB55C}"/>
    <cellStyle name="Currency 5 2 4 12" xfId="9757" xr:uid="{F2AE1BAB-CD86-4000-B384-04FAC839C042}"/>
    <cellStyle name="Currency 5 2 4 12 2" xfId="28353" xr:uid="{C7510ED9-EA33-4DB9-B083-3930DE7BA0D0}"/>
    <cellStyle name="Currency 5 2 4 13" xfId="19056" xr:uid="{FD27F669-EE20-425F-A614-C30BD9760372}"/>
    <cellStyle name="Currency 5 2 4 2" xfId="206" xr:uid="{00000000-0005-0000-0000-0000250C0000}"/>
    <cellStyle name="Currency 5 2 4 2 10" xfId="9066" xr:uid="{2F7A28AF-2120-4AAF-A58B-33C2E07F597D}"/>
    <cellStyle name="Currency 5 2 4 2 10 2" xfId="18390" xr:uid="{51A80236-B435-4EEA-B377-DF577F87732C}"/>
    <cellStyle name="Currency 5 2 4 2 10 2 2" xfId="36985" xr:uid="{0D798452-0C29-4D16-ADB9-2389960A857A}"/>
    <cellStyle name="Currency 5 2 4 2 10 3" xfId="27688" xr:uid="{26F35C5D-A0A4-4FD8-BEDD-B9AAF9635076}"/>
    <cellStyle name="Currency 5 2 4 2 11" xfId="9758" xr:uid="{DEE6169F-03D9-4745-A755-03CEDB8AE082}"/>
    <cellStyle name="Currency 5 2 4 2 11 2" xfId="28354" xr:uid="{5B925D43-9C99-45AE-9BB4-D6EC07909859}"/>
    <cellStyle name="Currency 5 2 4 2 12" xfId="19057" xr:uid="{098BD691-626A-41BF-B331-45A18CA864FB}"/>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492FCC66-4FC7-413B-B4CB-C97CC63196B7}"/>
    <cellStyle name="Currency 5 2 4 2 2 2 2 2 2" xfId="35130" xr:uid="{094C2137-6061-45D3-B96A-3EE11AF11A82}"/>
    <cellStyle name="Currency 5 2 4 2 2 2 2 3" xfId="25833" xr:uid="{E6086986-335B-411D-BF85-9734903D8EDB}"/>
    <cellStyle name="Currency 5 2 4 2 2 2 3" xfId="12317" xr:uid="{71884D9A-8716-444B-95C3-5F85A478D10D}"/>
    <cellStyle name="Currency 5 2 4 2 2 2 3 2" xfId="30913" xr:uid="{B2020043-BADA-434A-A2F9-13F6522AC7BE}"/>
    <cellStyle name="Currency 5 2 4 2 2 2 4" xfId="21616" xr:uid="{A56AD682-1E37-4540-8CB7-E88E05A81EDB}"/>
    <cellStyle name="Currency 5 2 4 2 2 3" xfId="5063" xr:uid="{00000000-0005-0000-0000-0000290C0000}"/>
    <cellStyle name="Currency 5 2 4 2 2 3 2" xfId="14389" xr:uid="{F70E1104-CB56-4FFF-BF4D-49899FF5A5BB}"/>
    <cellStyle name="Currency 5 2 4 2 2 3 2 2" xfId="32985" xr:uid="{B1C350F9-3EE9-4313-8038-785D2AD74D16}"/>
    <cellStyle name="Currency 5 2 4 2 2 3 3" xfId="23688" xr:uid="{316E636E-3F98-4D7B-BE66-FEEE36CDA73A}"/>
    <cellStyle name="Currency 5 2 4 2 2 4" xfId="9491" xr:uid="{64B868C7-9024-4970-9E74-7DF82417BD7A}"/>
    <cellStyle name="Currency 5 2 4 2 2 4 2" xfId="18806" xr:uid="{A26199C5-D83D-48E2-8362-715F4CAE9954}"/>
    <cellStyle name="Currency 5 2 4 2 2 4 2 2" xfId="37400" xr:uid="{B19DB698-26D8-4884-9003-8AC494D5DB48}"/>
    <cellStyle name="Currency 5 2 4 2 2 4 3" xfId="28103" xr:uid="{1AA58A70-3B83-491A-9A00-17F8DFDFF2B7}"/>
    <cellStyle name="Currency 5 2 4 2 2 5" xfId="10172" xr:uid="{EC77B094-E6B7-4753-B8BF-5311B84B63DC}"/>
    <cellStyle name="Currency 5 2 4 2 2 5 2" xfId="28768" xr:uid="{B8FBDF6E-EF76-4E65-936F-05BD5488CA28}"/>
    <cellStyle name="Currency 5 2 4 2 2 6" xfId="19471" xr:uid="{7A558E1F-4282-4917-8EDA-0D546CB9FC0C}"/>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F0674A95-6F5A-46C4-A391-C6CA5C611AE3}"/>
    <cellStyle name="Currency 5 2 4 2 3 2 2 2 2" xfId="35543" xr:uid="{0C1CCE83-033B-4B25-8FEC-D8019922329B}"/>
    <cellStyle name="Currency 5 2 4 2 3 2 2 3" xfId="26246" xr:uid="{51084E84-3F47-4AE6-925B-7C426804E984}"/>
    <cellStyle name="Currency 5 2 4 2 3 2 3" xfId="12730" xr:uid="{81A6F173-677F-43C8-B294-13B29D624282}"/>
    <cellStyle name="Currency 5 2 4 2 3 2 3 2" xfId="31326" xr:uid="{B229F316-20F2-424A-8B0A-2C73BEB0ADCD}"/>
    <cellStyle name="Currency 5 2 4 2 3 2 4" xfId="22029" xr:uid="{7353E040-3172-4FAA-9D5C-7D29EB2207F0}"/>
    <cellStyle name="Currency 5 2 4 2 3 3" xfId="5476" xr:uid="{00000000-0005-0000-0000-00002D0C0000}"/>
    <cellStyle name="Currency 5 2 4 2 3 3 2" xfId="14802" xr:uid="{A20E9F59-559F-49C5-87E7-6C5AE9198667}"/>
    <cellStyle name="Currency 5 2 4 2 3 3 2 2" xfId="33398" xr:uid="{9FFCEE98-6B7A-4197-A4D1-77C54965F309}"/>
    <cellStyle name="Currency 5 2 4 2 3 3 3" xfId="24101" xr:uid="{23270D33-72BA-4382-B1C3-49005375810E}"/>
    <cellStyle name="Currency 5 2 4 2 3 4" xfId="10585" xr:uid="{6EDAFFA6-AA66-4D9D-A50C-A0A44664A17A}"/>
    <cellStyle name="Currency 5 2 4 2 3 4 2" xfId="29181" xr:uid="{D693C920-31A4-4F92-A715-9B5FE2A1B067}"/>
    <cellStyle name="Currency 5 2 4 2 3 5" xfId="19884" xr:uid="{3CE7A513-3580-4218-95C9-3508C85C25E2}"/>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2C44D811-0027-4632-A313-9721A0A8903E}"/>
    <cellStyle name="Currency 5 2 4 2 4 2 2 2 2" xfId="35956" xr:uid="{AEE782E3-BB0E-4860-86DD-6D750FC19F0E}"/>
    <cellStyle name="Currency 5 2 4 2 4 2 2 3" xfId="26659" xr:uid="{E12EFA65-5106-4091-B2F1-336E17113403}"/>
    <cellStyle name="Currency 5 2 4 2 4 2 3" xfId="13143" xr:uid="{AB64A5C5-DE88-43A1-B5DA-655E3AA492E3}"/>
    <cellStyle name="Currency 5 2 4 2 4 2 3 2" xfId="31739" xr:uid="{535799C6-CF50-48E8-8CB8-35D1577FD2C7}"/>
    <cellStyle name="Currency 5 2 4 2 4 2 4" xfId="22442" xr:uid="{4550D9B8-AD28-484B-B7A1-173C25C1097A}"/>
    <cellStyle name="Currency 5 2 4 2 4 3" xfId="5889" xr:uid="{00000000-0005-0000-0000-0000310C0000}"/>
    <cellStyle name="Currency 5 2 4 2 4 3 2" xfId="15215" xr:uid="{CC5C480F-C297-43C1-A97F-14CC0A6A089E}"/>
    <cellStyle name="Currency 5 2 4 2 4 3 2 2" xfId="33811" xr:uid="{62FCA916-6BCA-4F20-AF5D-807CF38C393F}"/>
    <cellStyle name="Currency 5 2 4 2 4 3 3" xfId="24514" xr:uid="{B1134623-DFD7-4945-8915-03DF72853237}"/>
    <cellStyle name="Currency 5 2 4 2 4 4" xfId="10998" xr:uid="{3E5AC76A-61F6-4489-90F9-152E7439179B}"/>
    <cellStyle name="Currency 5 2 4 2 4 4 2" xfId="29594" xr:uid="{AED77383-5603-4208-A92B-80AE1501DADF}"/>
    <cellStyle name="Currency 5 2 4 2 4 5" xfId="20297" xr:uid="{5B87F516-F173-4B02-A630-4ED3285B4A9E}"/>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0B764F1D-1CA5-4AFD-A8B0-2F5DBE7ECE94}"/>
    <cellStyle name="Currency 5 2 4 2 5 2 2 2 2" xfId="36369" xr:uid="{4625635A-8740-41EA-9CCD-62EE628403A6}"/>
    <cellStyle name="Currency 5 2 4 2 5 2 2 3" xfId="27072" xr:uid="{764423A9-2E4D-461A-A4FE-9D59BDA05D75}"/>
    <cellStyle name="Currency 5 2 4 2 5 2 3" xfId="13556" xr:uid="{1BED3ADE-5864-4D63-9F7E-B364AE6EE6AD}"/>
    <cellStyle name="Currency 5 2 4 2 5 2 3 2" xfId="32152" xr:uid="{04AB3B2A-6643-4F86-91F7-D2B1BB3FA4C9}"/>
    <cellStyle name="Currency 5 2 4 2 5 2 4" xfId="22855" xr:uid="{A5D3986B-03E8-4769-9A7E-510A3E49B6F6}"/>
    <cellStyle name="Currency 5 2 4 2 5 3" xfId="6302" xr:uid="{00000000-0005-0000-0000-0000350C0000}"/>
    <cellStyle name="Currency 5 2 4 2 5 3 2" xfId="15628" xr:uid="{39DF9698-40DC-44AD-8E15-2554D726C7F5}"/>
    <cellStyle name="Currency 5 2 4 2 5 3 2 2" xfId="34224" xr:uid="{9AA8F907-AD54-483F-8017-F85D88F3FAA6}"/>
    <cellStyle name="Currency 5 2 4 2 5 3 3" xfId="24927" xr:uid="{78843DFE-0319-4580-BCA2-326468DD6807}"/>
    <cellStyle name="Currency 5 2 4 2 5 4" xfId="11411" xr:uid="{D3944093-AECE-4076-8F84-C7566EDF51CF}"/>
    <cellStyle name="Currency 5 2 4 2 5 4 2" xfId="30007" xr:uid="{2EFE18DE-FD1B-4B14-93DD-26C1942FF4EF}"/>
    <cellStyle name="Currency 5 2 4 2 5 5" xfId="20710" xr:uid="{41D9613D-A95C-44B1-A46B-637816DA102E}"/>
    <cellStyle name="Currency 5 2 4 2 6" xfId="2431" xr:uid="{00000000-0005-0000-0000-0000360C0000}"/>
    <cellStyle name="Currency 5 2 4 2 6 2" xfId="6715" xr:uid="{00000000-0005-0000-0000-0000370C0000}"/>
    <cellStyle name="Currency 5 2 4 2 6 2 2" xfId="16041" xr:uid="{E0E46E81-2B2F-4874-8AF4-707235D9ADBB}"/>
    <cellStyle name="Currency 5 2 4 2 6 2 2 2" xfId="34637" xr:uid="{00920AF8-E2EC-4E34-9679-E7C4014D6B82}"/>
    <cellStyle name="Currency 5 2 4 2 6 2 3" xfId="25340" xr:uid="{6354332F-4478-4D1E-8022-C3A8723EFEDC}"/>
    <cellStyle name="Currency 5 2 4 2 6 3" xfId="11824" xr:uid="{A2978270-70A5-4E7D-B4DD-1434A1AE8030}"/>
    <cellStyle name="Currency 5 2 4 2 6 3 2" xfId="30420" xr:uid="{9F13BF57-8C62-433B-B5A5-DC7F863B56AE}"/>
    <cellStyle name="Currency 5 2 4 2 6 4" xfId="21123" xr:uid="{16E29DC6-2602-4385-96C6-30CEDCCF192F}"/>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49EBE978-9619-47EB-BBAD-8D109FBD1D83}"/>
    <cellStyle name="Currency 5 2 4 2 8 2 2 2" xfId="34954" xr:uid="{61D969A4-49A4-4788-9BC8-B9BAD3952187}"/>
    <cellStyle name="Currency 5 2 4 2 8 2 3" xfId="25657" xr:uid="{9DA7D07E-16BC-4B29-916C-6660AF87379D}"/>
    <cellStyle name="Currency 5 2 4 2 8 3" xfId="12141" xr:uid="{2F0E48EE-7915-4C2B-9807-F7CC0B49A433}"/>
    <cellStyle name="Currency 5 2 4 2 8 3 2" xfId="30737" xr:uid="{6E7206EF-79B6-4A19-85B7-44C84A62399E}"/>
    <cellStyle name="Currency 5 2 4 2 8 4" xfId="21440" xr:uid="{2FA61DC3-0178-4B95-B237-FBDE6D5413DD}"/>
    <cellStyle name="Currency 5 2 4 2 9" xfId="4649" xr:uid="{00000000-0005-0000-0000-00003B0C0000}"/>
    <cellStyle name="Currency 5 2 4 2 9 2" xfId="13975" xr:uid="{74CEAA2B-383F-4F60-A3C9-70A9016370C2}"/>
    <cellStyle name="Currency 5 2 4 2 9 2 2" xfId="32571" xr:uid="{9719C525-8E38-4D70-B581-2C62E62953E7}"/>
    <cellStyle name="Currency 5 2 4 2 9 3" xfId="23274" xr:uid="{859AF47D-F61B-4F2C-9BE2-36493A552A26}"/>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CA741AA8-A727-44F9-B70C-91D412F8D131}"/>
    <cellStyle name="Currency 5 2 4 3 2 2 2 2" xfId="35129" xr:uid="{EAE8FDCD-1E0E-41BD-A2EB-73DE1385FFA1}"/>
    <cellStyle name="Currency 5 2 4 3 2 2 3" xfId="25832" xr:uid="{24E815C5-5856-4FBB-BE2B-5EDC8C0837E7}"/>
    <cellStyle name="Currency 5 2 4 3 2 3" xfId="12316" xr:uid="{39865779-B797-4EDC-B44C-AC22DF3C2EE9}"/>
    <cellStyle name="Currency 5 2 4 3 2 3 2" xfId="30912" xr:uid="{BA15A92C-FB51-42D8-BF4E-21E4D1545B7C}"/>
    <cellStyle name="Currency 5 2 4 3 2 4" xfId="21615" xr:uid="{BD9714AB-A9D1-4BE7-BBA0-F54A3FBB6976}"/>
    <cellStyle name="Currency 5 2 4 3 3" xfId="5062" xr:uid="{00000000-0005-0000-0000-00003F0C0000}"/>
    <cellStyle name="Currency 5 2 4 3 3 2" xfId="14388" xr:uid="{C7BBCA80-948B-45A6-BEC3-570F7EC26DDA}"/>
    <cellStyle name="Currency 5 2 4 3 3 2 2" xfId="32984" xr:uid="{473F177B-D518-4C16-878F-F6F358860D15}"/>
    <cellStyle name="Currency 5 2 4 3 3 3" xfId="23687" xr:uid="{4C78275E-62A7-48D7-AC66-C6CBBD6E5A94}"/>
    <cellStyle name="Currency 5 2 4 3 4" xfId="9284" xr:uid="{1D0B72AC-AFAC-428F-8BF0-6DFF9565613D}"/>
    <cellStyle name="Currency 5 2 4 3 4 2" xfId="18599" xr:uid="{14703444-9A5B-475A-88CF-3368BDE14E77}"/>
    <cellStyle name="Currency 5 2 4 3 4 2 2" xfId="37193" xr:uid="{2F2FA4C7-CB01-4475-93C7-545405D14346}"/>
    <cellStyle name="Currency 5 2 4 3 4 3" xfId="27896" xr:uid="{4F34C279-025F-4D85-93C3-37C77D501537}"/>
    <cellStyle name="Currency 5 2 4 3 5" xfId="10171" xr:uid="{0A171788-0AD0-4C09-873B-A49DA4863A42}"/>
    <cellStyle name="Currency 5 2 4 3 5 2" xfId="28767" xr:uid="{00315F02-1912-47E3-878A-EF0A6E1EEE8C}"/>
    <cellStyle name="Currency 5 2 4 3 6" xfId="19470" xr:uid="{C9F8099E-72B2-4F3E-90CC-D9D15C37DA24}"/>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F67833FA-2968-4484-A613-0D58D7FBD83A}"/>
    <cellStyle name="Currency 5 2 4 4 2 2 2 2" xfId="35542" xr:uid="{C2E859A1-ACB7-4FA7-A73A-CC8CBD25B29C}"/>
    <cellStyle name="Currency 5 2 4 4 2 2 3" xfId="26245" xr:uid="{2161694D-D4C6-4911-BBE8-52A46BAAA1DA}"/>
    <cellStyle name="Currency 5 2 4 4 2 3" xfId="12729" xr:uid="{1A1E320B-07CE-41AA-BEF2-92C67385ED85}"/>
    <cellStyle name="Currency 5 2 4 4 2 3 2" xfId="31325" xr:uid="{B0F5F752-39C6-4DF0-BBBA-B6FB6A43AC88}"/>
    <cellStyle name="Currency 5 2 4 4 2 4" xfId="22028" xr:uid="{774AE0A1-1312-434D-B3B6-070153A9B94F}"/>
    <cellStyle name="Currency 5 2 4 4 3" xfId="5475" xr:uid="{00000000-0005-0000-0000-0000430C0000}"/>
    <cellStyle name="Currency 5 2 4 4 3 2" xfId="14801" xr:uid="{FB6C5325-430E-4DBD-A863-AE27C09ABD85}"/>
    <cellStyle name="Currency 5 2 4 4 3 2 2" xfId="33397" xr:uid="{F8F20F78-7D36-499D-B90D-AAE9EB55F767}"/>
    <cellStyle name="Currency 5 2 4 4 3 3" xfId="24100" xr:uid="{5988CA69-F316-4E3A-A2E4-507516FE0F88}"/>
    <cellStyle name="Currency 5 2 4 4 4" xfId="10584" xr:uid="{5BCE95FA-32C5-4D5B-A364-7A704E3641DF}"/>
    <cellStyle name="Currency 5 2 4 4 4 2" xfId="29180" xr:uid="{CD33387D-D70E-40A3-BBAC-F7509ECDED58}"/>
    <cellStyle name="Currency 5 2 4 4 5" xfId="19883" xr:uid="{5C554F12-585C-46CB-B0DE-BB629CA722CB}"/>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F346055B-4CAE-4829-B145-48A4FD952946}"/>
    <cellStyle name="Currency 5 2 4 5 2 2 2 2" xfId="35955" xr:uid="{524D2483-CE81-4E8C-BB12-075F09ABFC33}"/>
    <cellStyle name="Currency 5 2 4 5 2 2 3" xfId="26658" xr:uid="{C19EC603-90AB-4D25-B6CA-5537A7FF073A}"/>
    <cellStyle name="Currency 5 2 4 5 2 3" xfId="13142" xr:uid="{0FA19014-E51C-4BA0-A967-96A96B68BED3}"/>
    <cellStyle name="Currency 5 2 4 5 2 3 2" xfId="31738" xr:uid="{6C04B3DC-D300-4DDC-9A31-BB36E7D7C766}"/>
    <cellStyle name="Currency 5 2 4 5 2 4" xfId="22441" xr:uid="{8EE6B577-8749-48DB-802F-3AB8914FE384}"/>
    <cellStyle name="Currency 5 2 4 5 3" xfId="5888" xr:uid="{00000000-0005-0000-0000-0000470C0000}"/>
    <cellStyle name="Currency 5 2 4 5 3 2" xfId="15214" xr:uid="{C65A2E6B-FCC5-48A9-AA8A-A3A347832CD2}"/>
    <cellStyle name="Currency 5 2 4 5 3 2 2" xfId="33810" xr:uid="{176C6B3F-313B-4BA5-B86C-D2DDA5636883}"/>
    <cellStyle name="Currency 5 2 4 5 3 3" xfId="24513" xr:uid="{8FD336EE-1E30-4D40-8973-CC723779EEC0}"/>
    <cellStyle name="Currency 5 2 4 5 4" xfId="10997" xr:uid="{5DEF10DB-CBC9-460F-B917-8135EBBBF3DD}"/>
    <cellStyle name="Currency 5 2 4 5 4 2" xfId="29593" xr:uid="{8C8393A8-31FC-4613-824C-B9BD587C77C4}"/>
    <cellStyle name="Currency 5 2 4 5 5" xfId="20296" xr:uid="{AF6FF495-9864-4F08-8FBF-0158EFB03FDD}"/>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BBDB0D62-902E-41BB-9B5A-6E1BDC61283C}"/>
    <cellStyle name="Currency 5 2 4 6 2 2 2 2" xfId="36368" xr:uid="{1FA42E9C-5A4C-4B86-AC1B-7C2C5290D9AF}"/>
    <cellStyle name="Currency 5 2 4 6 2 2 3" xfId="27071" xr:uid="{D05F498C-788B-40B6-B378-51000C60A83D}"/>
    <cellStyle name="Currency 5 2 4 6 2 3" xfId="13555" xr:uid="{7FEB73A8-29DE-49A4-9D1C-F52C075BA16C}"/>
    <cellStyle name="Currency 5 2 4 6 2 3 2" xfId="32151" xr:uid="{31E8CDD2-BFE9-4A12-85F8-23C13202D73F}"/>
    <cellStyle name="Currency 5 2 4 6 2 4" xfId="22854" xr:uid="{BD61723D-7A92-4127-9FD2-C3E3558184AF}"/>
    <cellStyle name="Currency 5 2 4 6 3" xfId="6301" xr:uid="{00000000-0005-0000-0000-00004B0C0000}"/>
    <cellStyle name="Currency 5 2 4 6 3 2" xfId="15627" xr:uid="{A53148E4-0F49-4686-987B-F8488F8DC672}"/>
    <cellStyle name="Currency 5 2 4 6 3 2 2" xfId="34223" xr:uid="{AF387EA6-F81D-4B4D-9E4E-FF3EE717DCA2}"/>
    <cellStyle name="Currency 5 2 4 6 3 3" xfId="24926" xr:uid="{1ECEFBB2-7F50-4873-B26D-C589DCD596F5}"/>
    <cellStyle name="Currency 5 2 4 6 4" xfId="11410" xr:uid="{2F860AA8-DA9B-4702-A54F-202D077300B4}"/>
    <cellStyle name="Currency 5 2 4 6 4 2" xfId="30006" xr:uid="{7F093BB4-E76B-4C25-8875-666E3C413B56}"/>
    <cellStyle name="Currency 5 2 4 6 5" xfId="20709" xr:uid="{AE1F60F9-9E10-4F74-A4F3-3D9F0D0F3A9B}"/>
    <cellStyle name="Currency 5 2 4 7" xfId="2430" xr:uid="{00000000-0005-0000-0000-00004C0C0000}"/>
    <cellStyle name="Currency 5 2 4 7 2" xfId="6714" xr:uid="{00000000-0005-0000-0000-00004D0C0000}"/>
    <cellStyle name="Currency 5 2 4 7 2 2" xfId="16040" xr:uid="{A2014C4F-1987-403E-8BAB-13A5FE476A9C}"/>
    <cellStyle name="Currency 5 2 4 7 2 2 2" xfId="34636" xr:uid="{55A366D6-EAFF-4E09-862F-B0253F157D31}"/>
    <cellStyle name="Currency 5 2 4 7 2 3" xfId="25339" xr:uid="{434FD643-3C54-4B64-8916-3537EF34FE2B}"/>
    <cellStyle name="Currency 5 2 4 7 3" xfId="11823" xr:uid="{7A689BCB-D663-464C-B880-1B5AA2D992EC}"/>
    <cellStyle name="Currency 5 2 4 7 3 2" xfId="30419" xr:uid="{F18E596B-BFA4-4522-B05A-1DC241776274}"/>
    <cellStyle name="Currency 5 2 4 7 4" xfId="21122" xr:uid="{369D66EE-00B2-4E0C-ACDC-BB37E751B661}"/>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317C238E-9177-47BB-B271-37ECC5242E1F}"/>
    <cellStyle name="Currency 5 2 4 9 2 2 2" xfId="34953" xr:uid="{614ADF94-A846-4B99-A75E-96F172936BBB}"/>
    <cellStyle name="Currency 5 2 4 9 2 3" xfId="25656" xr:uid="{D2680627-FCD2-427D-9E24-DAEA10BE7C77}"/>
    <cellStyle name="Currency 5 2 4 9 3" xfId="12140" xr:uid="{B7672149-8326-405D-AB88-E3013AEFE4CB}"/>
    <cellStyle name="Currency 5 2 4 9 3 2" xfId="30736" xr:uid="{02DF089A-0FCB-4E12-9FE1-27590BB7D974}"/>
    <cellStyle name="Currency 5 2 4 9 4" xfId="21439" xr:uid="{CE3A2D0C-80C6-44A3-B12B-16CB67CCC08F}"/>
    <cellStyle name="Currency 5 2 5" xfId="207" xr:uid="{00000000-0005-0000-0000-0000510C0000}"/>
    <cellStyle name="Currency 5 2 5 10" xfId="8975" xr:uid="{3422EC31-C47F-46E0-A50C-FE05B1979387}"/>
    <cellStyle name="Currency 5 2 5 10 2" xfId="18299" xr:uid="{806F051C-34F9-421E-8E2E-7EBF8DB92861}"/>
    <cellStyle name="Currency 5 2 5 10 2 2" xfId="36894" xr:uid="{7FB3D6FC-49CB-4AD6-8C40-FDF49EC3265E}"/>
    <cellStyle name="Currency 5 2 5 10 3" xfId="27597" xr:uid="{E06AAA09-5911-4E0A-B047-531FB6E0D126}"/>
    <cellStyle name="Currency 5 2 5 11" xfId="9759" xr:uid="{18761423-7D0B-45FF-BDFE-46ED0F90DC4B}"/>
    <cellStyle name="Currency 5 2 5 11 2" xfId="28355" xr:uid="{F3202E02-7F29-4E04-8B1B-3317C7BA2836}"/>
    <cellStyle name="Currency 5 2 5 12" xfId="19058" xr:uid="{8B465AA9-08BC-4984-B1A8-A344EE5D4D8A}"/>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1CE9B1C8-41CC-4254-85F7-DA41712C7618}"/>
    <cellStyle name="Currency 5 2 5 2 2 2 2 2" xfId="35131" xr:uid="{C2A30ACB-3736-40C0-9975-9EFD7B069405}"/>
    <cellStyle name="Currency 5 2 5 2 2 2 3" xfId="25834" xr:uid="{62C67058-C744-44C0-B380-44422C430847}"/>
    <cellStyle name="Currency 5 2 5 2 2 3" xfId="12318" xr:uid="{87FD2075-49C9-4E35-8EB5-04D1DF04FDFF}"/>
    <cellStyle name="Currency 5 2 5 2 2 3 2" xfId="30914" xr:uid="{09D59ECC-534F-4AD4-90AA-BC9C29CDE3CE}"/>
    <cellStyle name="Currency 5 2 5 2 2 4" xfId="21617" xr:uid="{24EA74DC-7600-4F4D-80C4-C38D7FAEAFC0}"/>
    <cellStyle name="Currency 5 2 5 2 3" xfId="5064" xr:uid="{00000000-0005-0000-0000-0000550C0000}"/>
    <cellStyle name="Currency 5 2 5 2 3 2" xfId="14390" xr:uid="{EB65748B-D2AB-4B69-B303-31DCFA5D0DDD}"/>
    <cellStyle name="Currency 5 2 5 2 3 2 2" xfId="32986" xr:uid="{10BAAF87-FB49-4AD6-A2E8-9A4518F52B8C}"/>
    <cellStyle name="Currency 5 2 5 2 3 3" xfId="23689" xr:uid="{498E9C1D-DE36-4295-8B20-AAAD70312DD5}"/>
    <cellStyle name="Currency 5 2 5 2 4" xfId="9400" xr:uid="{6620DDCD-05C0-4AFD-8A83-F1190101CCB3}"/>
    <cellStyle name="Currency 5 2 5 2 4 2" xfId="18715" xr:uid="{77B03D90-7AEB-4E4F-B8D7-9E60A451AADD}"/>
    <cellStyle name="Currency 5 2 5 2 4 2 2" xfId="37309" xr:uid="{74F06C7A-C867-498E-95C6-23F87CC630F0}"/>
    <cellStyle name="Currency 5 2 5 2 4 3" xfId="28012" xr:uid="{360EC6CC-C4CB-404F-B3C3-0A5F088698E5}"/>
    <cellStyle name="Currency 5 2 5 2 5" xfId="10173" xr:uid="{3FED4DF9-CE98-4611-8D51-BE5C0934308A}"/>
    <cellStyle name="Currency 5 2 5 2 5 2" xfId="28769" xr:uid="{7907EB04-6234-4F7D-826B-037FE7733084}"/>
    <cellStyle name="Currency 5 2 5 2 6" xfId="19472" xr:uid="{0E1B7BBC-5E26-4C98-BB8E-0C2053012973}"/>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DE067CF7-32A0-47CA-A69C-4C7873BFE852}"/>
    <cellStyle name="Currency 5 2 5 3 2 2 2 2" xfId="35544" xr:uid="{AD39CA79-DB92-424C-AD2A-AB822C16FE9D}"/>
    <cellStyle name="Currency 5 2 5 3 2 2 3" xfId="26247" xr:uid="{DF71DED4-8340-4F86-A602-9A8DAA248170}"/>
    <cellStyle name="Currency 5 2 5 3 2 3" xfId="12731" xr:uid="{9733172F-9275-4C53-B0AA-F248F5F444F7}"/>
    <cellStyle name="Currency 5 2 5 3 2 3 2" xfId="31327" xr:uid="{5889CF7A-4BC7-495B-800C-93DADEA8DA95}"/>
    <cellStyle name="Currency 5 2 5 3 2 4" xfId="22030" xr:uid="{CFD5512C-5452-4DC2-BB39-7043F6CE2251}"/>
    <cellStyle name="Currency 5 2 5 3 3" xfId="5477" xr:uid="{00000000-0005-0000-0000-0000590C0000}"/>
    <cellStyle name="Currency 5 2 5 3 3 2" xfId="14803" xr:uid="{E1DE303E-BCD9-4333-9A90-A5CEEEA6E315}"/>
    <cellStyle name="Currency 5 2 5 3 3 2 2" xfId="33399" xr:uid="{279B1610-9EBF-4C1D-BFD5-BC7043B83EAC}"/>
    <cellStyle name="Currency 5 2 5 3 3 3" xfId="24102" xr:uid="{13E67768-DC70-477B-A137-DA913DA26C3C}"/>
    <cellStyle name="Currency 5 2 5 3 4" xfId="10586" xr:uid="{8EDFF9C8-5F67-41C5-8125-A216FEA891FE}"/>
    <cellStyle name="Currency 5 2 5 3 4 2" xfId="29182" xr:uid="{006A478F-653C-4733-B975-5D50D91B7DB0}"/>
    <cellStyle name="Currency 5 2 5 3 5" xfId="19885" xr:uid="{15C0690D-A2F1-4E09-A6BE-16B25987D94E}"/>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E83E1FA2-45A7-4FB6-98B8-906AE0DCD62D}"/>
    <cellStyle name="Currency 5 2 5 4 2 2 2 2" xfId="35957" xr:uid="{B09A9F0B-37FD-4B89-A2BE-8EC7BC4036E2}"/>
    <cellStyle name="Currency 5 2 5 4 2 2 3" xfId="26660" xr:uid="{EFD4BE0D-F96F-48FF-BF7A-1B0E11192DD9}"/>
    <cellStyle name="Currency 5 2 5 4 2 3" xfId="13144" xr:uid="{A4F01EA7-4C1C-4C2E-A294-0918E7FE549A}"/>
    <cellStyle name="Currency 5 2 5 4 2 3 2" xfId="31740" xr:uid="{2B226CB0-21F5-4658-AC5F-27418EB7752C}"/>
    <cellStyle name="Currency 5 2 5 4 2 4" xfId="22443" xr:uid="{A9576DC9-2C2E-471A-8E6C-17FA686C5EF6}"/>
    <cellStyle name="Currency 5 2 5 4 3" xfId="5890" xr:uid="{00000000-0005-0000-0000-00005D0C0000}"/>
    <cellStyle name="Currency 5 2 5 4 3 2" xfId="15216" xr:uid="{68273E82-6566-4B8D-B11C-8061716C9C20}"/>
    <cellStyle name="Currency 5 2 5 4 3 2 2" xfId="33812" xr:uid="{90A39A92-D311-47FB-8A83-2D507D8EA897}"/>
    <cellStyle name="Currency 5 2 5 4 3 3" xfId="24515" xr:uid="{5D1973E8-E390-46C1-AF04-9C675B5F3013}"/>
    <cellStyle name="Currency 5 2 5 4 4" xfId="10999" xr:uid="{CD3AA05C-2EBC-4E92-88CB-9C06383BFC19}"/>
    <cellStyle name="Currency 5 2 5 4 4 2" xfId="29595" xr:uid="{652A436C-5F9D-4BFC-B8EE-003D298B766A}"/>
    <cellStyle name="Currency 5 2 5 4 5" xfId="20298" xr:uid="{369FB442-23C6-4ED7-ADD5-A98EDD7CEC1E}"/>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5B69F87C-7787-4EAA-851D-C2A27EAC8284}"/>
    <cellStyle name="Currency 5 2 5 5 2 2 2 2" xfId="36370" xr:uid="{17A4C38A-27A1-452F-A7D4-B0F7889A6F76}"/>
    <cellStyle name="Currency 5 2 5 5 2 2 3" xfId="27073" xr:uid="{26D5D2B8-E4FE-4950-8E62-F368469E8472}"/>
    <cellStyle name="Currency 5 2 5 5 2 3" xfId="13557" xr:uid="{A40E7F2E-C8F8-446D-B74A-DADF8F625941}"/>
    <cellStyle name="Currency 5 2 5 5 2 3 2" xfId="32153" xr:uid="{DD64C66D-CB13-4E01-9BDB-5F1C2FC68FD2}"/>
    <cellStyle name="Currency 5 2 5 5 2 4" xfId="22856" xr:uid="{CAC6F764-C146-4DAA-93B7-084F56645DC3}"/>
    <cellStyle name="Currency 5 2 5 5 3" xfId="6303" xr:uid="{00000000-0005-0000-0000-0000610C0000}"/>
    <cellStyle name="Currency 5 2 5 5 3 2" xfId="15629" xr:uid="{AA7E2BB3-7DF4-4FEA-9609-589F5518CB2C}"/>
    <cellStyle name="Currency 5 2 5 5 3 2 2" xfId="34225" xr:uid="{D07FB731-3126-43EF-8086-20020755690D}"/>
    <cellStyle name="Currency 5 2 5 5 3 3" xfId="24928" xr:uid="{8DEEFFF5-96B2-4477-98B0-612336EB1250}"/>
    <cellStyle name="Currency 5 2 5 5 4" xfId="11412" xr:uid="{F68E50F6-0BC2-4B97-8E29-7AD4AAE3C1C2}"/>
    <cellStyle name="Currency 5 2 5 5 4 2" xfId="30008" xr:uid="{AE09A7B1-A80A-42C7-8A5D-75CEAAA283B0}"/>
    <cellStyle name="Currency 5 2 5 5 5" xfId="20711" xr:uid="{3FF06A8E-E35A-4A45-91C5-E2A77BBCF6BA}"/>
    <cellStyle name="Currency 5 2 5 6" xfId="2432" xr:uid="{00000000-0005-0000-0000-0000620C0000}"/>
    <cellStyle name="Currency 5 2 5 6 2" xfId="6716" xr:uid="{00000000-0005-0000-0000-0000630C0000}"/>
    <cellStyle name="Currency 5 2 5 6 2 2" xfId="16042" xr:uid="{B4B2B55C-6E5C-4B33-AB94-3D848CE4A916}"/>
    <cellStyle name="Currency 5 2 5 6 2 2 2" xfId="34638" xr:uid="{A42204FF-7A31-4718-87D9-D432392E8C0B}"/>
    <cellStyle name="Currency 5 2 5 6 2 3" xfId="25341" xr:uid="{974E8D4A-9C70-4DF2-9E3D-14D0EE02E814}"/>
    <cellStyle name="Currency 5 2 5 6 3" xfId="11825" xr:uid="{8A4715E0-B5C7-4349-A06A-59DE2E24F010}"/>
    <cellStyle name="Currency 5 2 5 6 3 2" xfId="30421" xr:uid="{E378A217-F22B-4C30-A61C-4F0F8C0A1355}"/>
    <cellStyle name="Currency 5 2 5 6 4" xfId="21124" xr:uid="{66E5B9B9-5B2B-4FE0-8BB3-D31A4B363607}"/>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33D6270D-B66B-4CC3-A30E-C75A2EC5BE8B}"/>
    <cellStyle name="Currency 5 2 5 8 2 2 2" xfId="34955" xr:uid="{8DB8E097-5C11-4870-ADDD-74FFA9FFBE80}"/>
    <cellStyle name="Currency 5 2 5 8 2 3" xfId="25658" xr:uid="{BBF7CAAA-2895-4F9C-9F50-2513793396C6}"/>
    <cellStyle name="Currency 5 2 5 8 3" xfId="12142" xr:uid="{F2706F41-EC7A-4413-B8A1-4FF0B6BBD9C4}"/>
    <cellStyle name="Currency 5 2 5 8 3 2" xfId="30738" xr:uid="{4F76EB0E-4C8C-4549-A528-EA6A325DA0F9}"/>
    <cellStyle name="Currency 5 2 5 8 4" xfId="21441" xr:uid="{EDA314CB-5326-46F3-BDC6-8D0672B645EA}"/>
    <cellStyle name="Currency 5 2 5 9" xfId="4650" xr:uid="{00000000-0005-0000-0000-0000670C0000}"/>
    <cellStyle name="Currency 5 2 5 9 2" xfId="13976" xr:uid="{B4591DA6-B446-4E12-943A-3ACA96B8589D}"/>
    <cellStyle name="Currency 5 2 5 9 2 2" xfId="32572" xr:uid="{FD841BA6-4850-4F2C-9A5E-CE06939486C4}"/>
    <cellStyle name="Currency 5 2 5 9 3" xfId="23275" xr:uid="{7CCDE0A2-387E-42C9-BF0B-ED35AA15FD32}"/>
    <cellStyle name="Currency 5 2 6" xfId="208" xr:uid="{00000000-0005-0000-0000-0000680C0000}"/>
    <cellStyle name="Currency 5 2 6 10" xfId="9178" xr:uid="{19F6D70E-88E4-4E39-A1A9-3FF3D840E2F9}"/>
    <cellStyle name="Currency 5 2 6 10 2" xfId="18496" xr:uid="{46AC4F70-4345-46D1-B794-F3D440803090}"/>
    <cellStyle name="Currency 5 2 6 10 2 2" xfId="37090" xr:uid="{119987EA-89C5-41F2-A05B-AD52F0A8A269}"/>
    <cellStyle name="Currency 5 2 6 10 3" xfId="27793" xr:uid="{670E4935-2BCE-429B-8D87-B3F004ADF871}"/>
    <cellStyle name="Currency 5 2 6 11" xfId="9760" xr:uid="{18170F65-0E04-41F6-BB95-CA84749FD228}"/>
    <cellStyle name="Currency 5 2 6 11 2" xfId="28356" xr:uid="{D833990F-463C-4BE9-BA00-A07C6BE00C7A}"/>
    <cellStyle name="Currency 5 2 6 12" xfId="19059" xr:uid="{B5F9E523-2FA4-4282-AE50-A4AD8904165E}"/>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30D4599B-978D-4EA1-B0F6-71CC577DDDE9}"/>
    <cellStyle name="Currency 5 2 6 2 2 2 2 2" xfId="35132" xr:uid="{2F8475DE-01B0-4BDE-B723-2031EF1CF089}"/>
    <cellStyle name="Currency 5 2 6 2 2 2 3" xfId="25835" xr:uid="{9DFCAAF8-B470-4D46-AA81-5F072C720855}"/>
    <cellStyle name="Currency 5 2 6 2 2 3" xfId="12319" xr:uid="{489479A2-4D90-477C-A814-A731515E8B04}"/>
    <cellStyle name="Currency 5 2 6 2 2 3 2" xfId="30915" xr:uid="{910E2E98-1BAB-458A-83FC-65E0EAF57E6D}"/>
    <cellStyle name="Currency 5 2 6 2 2 4" xfId="21618" xr:uid="{56E79388-E23A-457F-82A9-319FD5EAFEAA}"/>
    <cellStyle name="Currency 5 2 6 2 3" xfId="5065" xr:uid="{00000000-0005-0000-0000-00006C0C0000}"/>
    <cellStyle name="Currency 5 2 6 2 3 2" xfId="14391" xr:uid="{D781FE3E-9036-4D67-A893-1614BC089B9E}"/>
    <cellStyle name="Currency 5 2 6 2 3 2 2" xfId="32987" xr:uid="{FF23A9C2-BFA2-40AE-8B42-E582A22753BA}"/>
    <cellStyle name="Currency 5 2 6 2 3 3" xfId="23690" xr:uid="{5472B3B3-8090-44F9-8389-3122BCE27B98}"/>
    <cellStyle name="Currency 5 2 6 2 4" xfId="9599" xr:uid="{C2EE182C-D73D-4E6C-9671-0484CB4E8D68}"/>
    <cellStyle name="Currency 5 2 6 2 4 2" xfId="18903" xr:uid="{E407AA4C-97C1-43AD-8176-2E644A705900}"/>
    <cellStyle name="Currency 5 2 6 2 4 2 2" xfId="37497" xr:uid="{05CCC452-5CE4-4420-9219-485C4DC976EB}"/>
    <cellStyle name="Currency 5 2 6 2 4 3" xfId="28200" xr:uid="{CA21F6DD-DA29-4AE0-BC29-8DCCA69300BA}"/>
    <cellStyle name="Currency 5 2 6 2 5" xfId="10174" xr:uid="{93C3B3E1-479C-4D95-9C67-88C7AC20BD06}"/>
    <cellStyle name="Currency 5 2 6 2 5 2" xfId="28770" xr:uid="{615FEAB5-0A29-46F2-9FB8-0CB425C7A914}"/>
    <cellStyle name="Currency 5 2 6 2 6" xfId="19473" xr:uid="{25EB61EC-E389-40B2-8DDF-2E5E93EA64F6}"/>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0872D443-F0FD-44FC-84DF-C63E7B19A6B8}"/>
    <cellStyle name="Currency 5 2 6 3 2 2 2 2" xfId="35545" xr:uid="{AFD17D88-E1FE-4020-AA88-8CD754786C9D}"/>
    <cellStyle name="Currency 5 2 6 3 2 2 3" xfId="26248" xr:uid="{0F941535-DBD5-4C86-A134-5491B02DB9FB}"/>
    <cellStyle name="Currency 5 2 6 3 2 3" xfId="12732" xr:uid="{7EBD6C4D-94C9-4B97-90FC-FB3CD0A3E40C}"/>
    <cellStyle name="Currency 5 2 6 3 2 3 2" xfId="31328" xr:uid="{1D87A826-9E01-4795-A4AD-97C6D81BB2AC}"/>
    <cellStyle name="Currency 5 2 6 3 2 4" xfId="22031" xr:uid="{5533E9B9-619B-4637-97E0-D828081F5203}"/>
    <cellStyle name="Currency 5 2 6 3 3" xfId="5478" xr:uid="{00000000-0005-0000-0000-0000700C0000}"/>
    <cellStyle name="Currency 5 2 6 3 3 2" xfId="14804" xr:uid="{DE008471-7C34-4D86-9A1B-345A245F1675}"/>
    <cellStyle name="Currency 5 2 6 3 3 2 2" xfId="33400" xr:uid="{D9B5DFCB-B824-49C6-8E62-3FA6C41FE668}"/>
    <cellStyle name="Currency 5 2 6 3 3 3" xfId="24103" xr:uid="{54B9ECCF-2FCD-4B47-B13C-7AC298BDDCFA}"/>
    <cellStyle name="Currency 5 2 6 3 4" xfId="10587" xr:uid="{1935561C-0656-4991-8768-EE2C2818EF97}"/>
    <cellStyle name="Currency 5 2 6 3 4 2" xfId="29183" xr:uid="{B8FE5555-6F9F-4888-BDA3-DD941B7BD602}"/>
    <cellStyle name="Currency 5 2 6 3 5" xfId="19886" xr:uid="{461D9ED1-A031-4BBB-B6A9-826DA4BFDC9E}"/>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C4DE6E52-5B61-4A05-8A7E-E2E8F9DA9EE7}"/>
    <cellStyle name="Currency 5 2 6 4 2 2 2 2" xfId="35958" xr:uid="{08B63EB5-479D-4885-B88D-CD7F08699DC3}"/>
    <cellStyle name="Currency 5 2 6 4 2 2 3" xfId="26661" xr:uid="{44892FF4-4934-4852-9F06-73024367545C}"/>
    <cellStyle name="Currency 5 2 6 4 2 3" xfId="13145" xr:uid="{E3667408-5E35-4ABB-8F3A-9C1D63817E5E}"/>
    <cellStyle name="Currency 5 2 6 4 2 3 2" xfId="31741" xr:uid="{BFE477BA-1ED9-48CA-8799-42448BDC8BF3}"/>
    <cellStyle name="Currency 5 2 6 4 2 4" xfId="22444" xr:uid="{9A5B4AA7-5790-437F-B5CD-052A620BE67D}"/>
    <cellStyle name="Currency 5 2 6 4 3" xfId="5891" xr:uid="{00000000-0005-0000-0000-0000740C0000}"/>
    <cellStyle name="Currency 5 2 6 4 3 2" xfId="15217" xr:uid="{3D902A94-564A-4608-98C0-8B5AF0709512}"/>
    <cellStyle name="Currency 5 2 6 4 3 2 2" xfId="33813" xr:uid="{21F7179E-B93F-4C25-ADCE-C24D5A166C77}"/>
    <cellStyle name="Currency 5 2 6 4 3 3" xfId="24516" xr:uid="{CFCC5BAE-9162-4110-8F55-94B50391258F}"/>
    <cellStyle name="Currency 5 2 6 4 4" xfId="11000" xr:uid="{522051B3-9732-41AC-83F3-1056F7D3FB55}"/>
    <cellStyle name="Currency 5 2 6 4 4 2" xfId="29596" xr:uid="{9CB67413-7706-4A1B-908A-52E0D108EA23}"/>
    <cellStyle name="Currency 5 2 6 4 5" xfId="20299" xr:uid="{3B14020B-7EE4-4CD8-B065-63F3FDA49E10}"/>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446116EE-FBF1-47F1-A33C-5CF4D61A83EC}"/>
    <cellStyle name="Currency 5 2 6 5 2 2 2 2" xfId="36371" xr:uid="{BAA9EC8B-2B6B-4835-B42E-74DB476230E4}"/>
    <cellStyle name="Currency 5 2 6 5 2 2 3" xfId="27074" xr:uid="{22CCC7E9-6813-4375-B33C-7EC370560F7F}"/>
    <cellStyle name="Currency 5 2 6 5 2 3" xfId="13558" xr:uid="{C1E82A8F-8DE3-4944-A052-F72B3C7DBE82}"/>
    <cellStyle name="Currency 5 2 6 5 2 3 2" xfId="32154" xr:uid="{AF386534-0CEA-40E8-ACC3-CA61F68BAD1F}"/>
    <cellStyle name="Currency 5 2 6 5 2 4" xfId="22857" xr:uid="{D8107A90-1677-4349-B2E5-D2E148DA722A}"/>
    <cellStyle name="Currency 5 2 6 5 3" xfId="6304" xr:uid="{00000000-0005-0000-0000-0000780C0000}"/>
    <cellStyle name="Currency 5 2 6 5 3 2" xfId="15630" xr:uid="{61C36656-C94C-4CF2-958E-D0082FE8B599}"/>
    <cellStyle name="Currency 5 2 6 5 3 2 2" xfId="34226" xr:uid="{4A20A75E-D315-400E-90F5-8728A8AAE9BB}"/>
    <cellStyle name="Currency 5 2 6 5 3 3" xfId="24929" xr:uid="{51EC099D-7E04-4B62-9575-C39776E7A123}"/>
    <cellStyle name="Currency 5 2 6 5 4" xfId="11413" xr:uid="{3D1185B1-263B-4936-BD89-BF5EF5A520FA}"/>
    <cellStyle name="Currency 5 2 6 5 4 2" xfId="30009" xr:uid="{9809D5F9-5014-47EA-8018-79CA7EB8924B}"/>
    <cellStyle name="Currency 5 2 6 5 5" xfId="20712" xr:uid="{D3750770-85DD-457A-815A-CF84B9ED2461}"/>
    <cellStyle name="Currency 5 2 6 6" xfId="2433" xr:uid="{00000000-0005-0000-0000-0000790C0000}"/>
    <cellStyle name="Currency 5 2 6 6 2" xfId="6717" xr:uid="{00000000-0005-0000-0000-00007A0C0000}"/>
    <cellStyle name="Currency 5 2 6 6 2 2" xfId="16043" xr:uid="{21F9BFA1-F997-4DED-8714-54399FF79901}"/>
    <cellStyle name="Currency 5 2 6 6 2 2 2" xfId="34639" xr:uid="{F52C90B7-3D3C-446D-858A-13D8732F8AD0}"/>
    <cellStyle name="Currency 5 2 6 6 2 3" xfId="25342" xr:uid="{AFE5772D-7300-4B53-8935-1736FD0E58FB}"/>
    <cellStyle name="Currency 5 2 6 6 3" xfId="11826" xr:uid="{42B2DAFA-70F6-4AE6-82FD-2311C07BA34E}"/>
    <cellStyle name="Currency 5 2 6 6 3 2" xfId="30422" xr:uid="{0F05D217-3C95-467D-8972-A37DC91D4C72}"/>
    <cellStyle name="Currency 5 2 6 6 4" xfId="21125" xr:uid="{BCF1FA0F-9465-4330-AABE-CBB2E76D208A}"/>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AD5B5918-5599-4E0C-A071-2C144FE8F9D5}"/>
    <cellStyle name="Currency 5 2 6 8 2 2 2" xfId="34956" xr:uid="{73223476-EF60-4B5B-8FE4-0B67DEA0F319}"/>
    <cellStyle name="Currency 5 2 6 8 2 3" xfId="25659" xr:uid="{3C4BCB74-E9DF-45E0-8BC7-DEB5E99E1B90}"/>
    <cellStyle name="Currency 5 2 6 8 3" xfId="12143" xr:uid="{0A2FE585-879F-49BB-88A8-D8D1AD2F828E}"/>
    <cellStyle name="Currency 5 2 6 8 3 2" xfId="30739" xr:uid="{31F560F3-DDB5-439B-8851-01CA76E85E88}"/>
    <cellStyle name="Currency 5 2 6 8 4" xfId="21442" xr:uid="{6AC0E325-E928-42E9-8D79-09428F708940}"/>
    <cellStyle name="Currency 5 2 6 9" xfId="4651" xr:uid="{00000000-0005-0000-0000-00007E0C0000}"/>
    <cellStyle name="Currency 5 2 6 9 2" xfId="13977" xr:uid="{FC4F5A7A-6EAF-47E2-AA39-A7D7D72AEC1B}"/>
    <cellStyle name="Currency 5 2 6 9 2 2" xfId="32573" xr:uid="{4BB600DC-BFFE-49E8-9066-C3873F700006}"/>
    <cellStyle name="Currency 5 2 6 9 3" xfId="23276" xr:uid="{F42F1149-661C-4836-8083-BB5DEFB3FC36}"/>
    <cellStyle name="Currency 5 2 7" xfId="722" xr:uid="{00000000-0005-0000-0000-00007F0C0000}"/>
    <cellStyle name="Currency 5 2 8" xfId="8756" xr:uid="{D16196A2-D0A3-46A2-9B14-6B017B4CC82F}"/>
    <cellStyle name="Currency 5 2 8 2" xfId="18080" xr:uid="{A4A49E46-BFD5-448D-9862-7ECEF0E30D23}"/>
    <cellStyle name="Currency 5 2 8 2 2" xfId="36675" xr:uid="{30260480-D4F8-433B-A81D-7E2F959E9C46}"/>
    <cellStyle name="Currency 5 2 8 3" xfId="27378" xr:uid="{1B07148C-2593-4900-8677-32F5C453768C}"/>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B404C220-DD0A-430F-B54C-E4706510CC99}"/>
    <cellStyle name="Currency 5 3 2 10 2 2 2" xfId="34957" xr:uid="{9C1D6305-2EFA-4413-B1F0-C06ED63A910A}"/>
    <cellStyle name="Currency 5 3 2 10 2 3" xfId="25660" xr:uid="{8A8153A3-E5DA-43B6-86B3-8F24A9BC4376}"/>
    <cellStyle name="Currency 5 3 2 10 3" xfId="12144" xr:uid="{DDBEEE32-3CE3-4AD0-905C-6AE266EAE704}"/>
    <cellStyle name="Currency 5 3 2 10 3 2" xfId="30740" xr:uid="{45368E9E-943F-4F0F-BEBE-7927D5A20D4E}"/>
    <cellStyle name="Currency 5 3 2 10 4" xfId="21443" xr:uid="{CEB1464F-5DC3-4464-8E8D-2D23CC1A090C}"/>
    <cellStyle name="Currency 5 3 2 11" xfId="4652" xr:uid="{00000000-0005-0000-0000-0000840C0000}"/>
    <cellStyle name="Currency 5 3 2 11 2" xfId="13978" xr:uid="{1319D4A6-E651-4091-A783-3AE5B6D97190}"/>
    <cellStyle name="Currency 5 3 2 11 2 2" xfId="32574" xr:uid="{3CEB54A5-C75D-4496-84CD-F93773FA81AC}"/>
    <cellStyle name="Currency 5 3 2 11 3" xfId="23277" xr:uid="{AB9994A1-D2F4-4E19-9031-146C3D4613EC}"/>
    <cellStyle name="Currency 5 3 2 12" xfId="8810" xr:uid="{C5234FF9-D509-4CD8-ADA1-D3604CCF3D1F}"/>
    <cellStyle name="Currency 5 3 2 12 2" xfId="18134" xr:uid="{3379C3AF-5ED9-49AD-990C-0D60BEB922E9}"/>
    <cellStyle name="Currency 5 3 2 12 2 2" xfId="36729" xr:uid="{DB67A333-9F42-4A83-895C-7B97DABA43F6}"/>
    <cellStyle name="Currency 5 3 2 12 3" xfId="27432" xr:uid="{40F4812E-100A-4BD2-BBF2-FCD614E4ECEE}"/>
    <cellStyle name="Currency 5 3 2 13" xfId="9761" xr:uid="{B35A82B0-25CD-4D91-84AE-3805B6AE28E1}"/>
    <cellStyle name="Currency 5 3 2 13 2" xfId="28357" xr:uid="{2F17FC73-91B6-43E3-982C-180AE005AEFE}"/>
    <cellStyle name="Currency 5 3 2 14" xfId="19060" xr:uid="{ED693477-AF08-4D2F-8BD4-B3757A8E2801}"/>
    <cellStyle name="Currency 5 3 2 2" xfId="211" xr:uid="{00000000-0005-0000-0000-0000850C0000}"/>
    <cellStyle name="Currency 5 3 2 2 10" xfId="4653" xr:uid="{00000000-0005-0000-0000-0000860C0000}"/>
    <cellStyle name="Currency 5 3 2 2 10 2" xfId="13979" xr:uid="{8F2647F4-6BE1-43DD-9E68-72FD6A1FA0BB}"/>
    <cellStyle name="Currency 5 3 2 2 10 2 2" xfId="32575" xr:uid="{BF596A21-2D47-48DD-AEE4-9107A4109CD3}"/>
    <cellStyle name="Currency 5 3 2 2 10 3" xfId="23278" xr:uid="{0B1A7215-FE0C-4316-B533-67977C6E1E7D}"/>
    <cellStyle name="Currency 5 3 2 2 11" xfId="8913" xr:uid="{FE033F82-2F16-4925-9899-F927AB9AA612}"/>
    <cellStyle name="Currency 5 3 2 2 11 2" xfId="18237" xr:uid="{40C4F19B-CD5A-4B88-95D4-F7FCE437EFD4}"/>
    <cellStyle name="Currency 5 3 2 2 11 2 2" xfId="36832" xr:uid="{13CF61E1-91F4-4FE8-A970-6853DFA629EF}"/>
    <cellStyle name="Currency 5 3 2 2 11 3" xfId="27535" xr:uid="{B212CAE5-64D7-41BB-9337-B5CA5F327AA6}"/>
    <cellStyle name="Currency 5 3 2 2 12" xfId="9762" xr:uid="{5173DA47-7989-4DD0-B67B-1E9935AB5EDE}"/>
    <cellStyle name="Currency 5 3 2 2 12 2" xfId="28358" xr:uid="{CED0635C-F8D3-4F2B-91CC-4078BE0B23FE}"/>
    <cellStyle name="Currency 5 3 2 2 13" xfId="19061" xr:uid="{69C6C18F-6671-484B-9CB1-6585AA494B89}"/>
    <cellStyle name="Currency 5 3 2 2 2" xfId="212" xr:uid="{00000000-0005-0000-0000-0000870C0000}"/>
    <cellStyle name="Currency 5 3 2 2 2 10" xfId="9120" xr:uid="{D5536A1F-8418-4CB5-B1E0-470AD716374A}"/>
    <cellStyle name="Currency 5 3 2 2 2 10 2" xfId="18444" xr:uid="{81F2F352-178F-4397-9CCA-897F974D3288}"/>
    <cellStyle name="Currency 5 3 2 2 2 10 2 2" xfId="37039" xr:uid="{ACE0DA1A-DFFD-4561-9713-59906E37CD31}"/>
    <cellStyle name="Currency 5 3 2 2 2 10 3" xfId="27742" xr:uid="{8F473DDE-EA69-4427-86CC-0071E8BE841E}"/>
    <cellStyle name="Currency 5 3 2 2 2 11" xfId="9763" xr:uid="{59CF5C56-F9FC-4171-A21C-4561C6D40399}"/>
    <cellStyle name="Currency 5 3 2 2 2 11 2" xfId="28359" xr:uid="{FF87E62C-1FA8-4313-9E3F-C62CDB7490A9}"/>
    <cellStyle name="Currency 5 3 2 2 2 12" xfId="19062" xr:uid="{C89BC659-1CE3-49B8-A51A-3F1EDBA43CA8}"/>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975FB9F6-A967-44A2-93FF-2781B6D75458}"/>
    <cellStyle name="Currency 5 3 2 2 2 2 2 2 2 2" xfId="35135" xr:uid="{96266634-FE1B-4CEA-89B6-25B5B449230B}"/>
    <cellStyle name="Currency 5 3 2 2 2 2 2 2 3" xfId="25838" xr:uid="{094FF351-38F3-4AA5-8EBD-989F28EF07F5}"/>
    <cellStyle name="Currency 5 3 2 2 2 2 2 3" xfId="12322" xr:uid="{0F87D465-141D-411C-BDB7-6808A5816465}"/>
    <cellStyle name="Currency 5 3 2 2 2 2 2 3 2" xfId="30918" xr:uid="{602772AE-95F5-42D1-B20C-C09615A96387}"/>
    <cellStyle name="Currency 5 3 2 2 2 2 2 4" xfId="21621" xr:uid="{6771A710-81AB-4A2C-AABD-6A04D196952D}"/>
    <cellStyle name="Currency 5 3 2 2 2 2 3" xfId="5068" xr:uid="{00000000-0005-0000-0000-00008B0C0000}"/>
    <cellStyle name="Currency 5 3 2 2 2 2 3 2" xfId="14394" xr:uid="{2B8BC729-4A28-4584-B1E2-43939B29B7F0}"/>
    <cellStyle name="Currency 5 3 2 2 2 2 3 2 2" xfId="32990" xr:uid="{4270EA89-6DDB-4B35-B98C-5C85977E1F55}"/>
    <cellStyle name="Currency 5 3 2 2 2 2 3 3" xfId="23693" xr:uid="{30D98FB5-683B-4960-BB34-6AB0D3261C3E}"/>
    <cellStyle name="Currency 5 3 2 2 2 2 4" xfId="9545" xr:uid="{F6C268D6-0334-42F7-AE4F-535ADD09B625}"/>
    <cellStyle name="Currency 5 3 2 2 2 2 4 2" xfId="18860" xr:uid="{FAA903D3-BA9E-4FF2-9FDD-14B5F330E7AC}"/>
    <cellStyle name="Currency 5 3 2 2 2 2 4 2 2" xfId="37454" xr:uid="{29C6FF19-8902-4DB6-A718-3C4112F975D2}"/>
    <cellStyle name="Currency 5 3 2 2 2 2 4 3" xfId="28157" xr:uid="{1A19464B-215A-48D6-AC34-87E0A53F3C08}"/>
    <cellStyle name="Currency 5 3 2 2 2 2 5" xfId="10177" xr:uid="{1FC906D5-6CC7-4E07-98D4-66BB4BA85025}"/>
    <cellStyle name="Currency 5 3 2 2 2 2 5 2" xfId="28773" xr:uid="{DAF37757-FDC8-4812-B71D-8F3319DAE0E1}"/>
    <cellStyle name="Currency 5 3 2 2 2 2 6" xfId="19476" xr:uid="{9E0F8FBD-D3B8-4954-9D3E-26F6E47F397C}"/>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EFD6BB2E-E00F-4BCD-93BF-BB0F5A627A4B}"/>
    <cellStyle name="Currency 5 3 2 2 2 3 2 2 2 2" xfId="35548" xr:uid="{5221A69F-7444-44E4-B233-59CD10D1B8AB}"/>
    <cellStyle name="Currency 5 3 2 2 2 3 2 2 3" xfId="26251" xr:uid="{6561B5DD-8F3A-4C26-B5BA-78B52F964B30}"/>
    <cellStyle name="Currency 5 3 2 2 2 3 2 3" xfId="12735" xr:uid="{CDFB090A-ED20-4F14-8BE9-E8D264506599}"/>
    <cellStyle name="Currency 5 3 2 2 2 3 2 3 2" xfId="31331" xr:uid="{C4E5FBCC-46FE-4C73-94BC-F120892C7F86}"/>
    <cellStyle name="Currency 5 3 2 2 2 3 2 4" xfId="22034" xr:uid="{73D4455A-BDFB-4475-B12E-4D00F717F85B}"/>
    <cellStyle name="Currency 5 3 2 2 2 3 3" xfId="5481" xr:uid="{00000000-0005-0000-0000-00008F0C0000}"/>
    <cellStyle name="Currency 5 3 2 2 2 3 3 2" xfId="14807" xr:uid="{EF0921A9-C556-41BD-88E9-1D25CFFC668D}"/>
    <cellStyle name="Currency 5 3 2 2 2 3 3 2 2" xfId="33403" xr:uid="{1213ABEA-5A03-43F6-8A00-40CCF8BB01EA}"/>
    <cellStyle name="Currency 5 3 2 2 2 3 3 3" xfId="24106" xr:uid="{FCF53A0F-76E0-4B44-97CB-9A023C22866B}"/>
    <cellStyle name="Currency 5 3 2 2 2 3 4" xfId="10590" xr:uid="{7C78DCA9-3B55-4599-BF0D-A3AC2883DD3A}"/>
    <cellStyle name="Currency 5 3 2 2 2 3 4 2" xfId="29186" xr:uid="{D88067CE-60D0-4F2D-B616-34E64F43A5C9}"/>
    <cellStyle name="Currency 5 3 2 2 2 3 5" xfId="19889" xr:uid="{8C680195-7F86-4666-BB12-767595C01267}"/>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C50709A3-EE32-4D7C-A74E-EB1872C14F54}"/>
    <cellStyle name="Currency 5 3 2 2 2 4 2 2 2 2" xfId="35961" xr:uid="{0975E73A-2755-46B9-BA29-34788CEB8E2D}"/>
    <cellStyle name="Currency 5 3 2 2 2 4 2 2 3" xfId="26664" xr:uid="{4AC591DD-2983-4B7A-80A4-CF2FB974BFC9}"/>
    <cellStyle name="Currency 5 3 2 2 2 4 2 3" xfId="13148" xr:uid="{B0D20430-A44B-47DB-8BFC-2BE75FE32A49}"/>
    <cellStyle name="Currency 5 3 2 2 2 4 2 3 2" xfId="31744" xr:uid="{496B34B3-2210-473C-9C9B-00A1092D8D08}"/>
    <cellStyle name="Currency 5 3 2 2 2 4 2 4" xfId="22447" xr:uid="{5B1B4C17-50F1-431A-A905-B7DC672EB56E}"/>
    <cellStyle name="Currency 5 3 2 2 2 4 3" xfId="5894" xr:uid="{00000000-0005-0000-0000-0000930C0000}"/>
    <cellStyle name="Currency 5 3 2 2 2 4 3 2" xfId="15220" xr:uid="{5F518253-BF99-47B5-B0E1-68A5978AD5F8}"/>
    <cellStyle name="Currency 5 3 2 2 2 4 3 2 2" xfId="33816" xr:uid="{9FFC7047-DEB8-4BFE-AF92-5D1C8A1A595B}"/>
    <cellStyle name="Currency 5 3 2 2 2 4 3 3" xfId="24519" xr:uid="{53DCA739-C354-4465-80C5-C9F096EBCF41}"/>
    <cellStyle name="Currency 5 3 2 2 2 4 4" xfId="11003" xr:uid="{D271D00A-4C50-49B3-9CFB-C927ABE509BD}"/>
    <cellStyle name="Currency 5 3 2 2 2 4 4 2" xfId="29599" xr:uid="{83FFE5C8-6B60-4790-8B80-CECFE151EA7E}"/>
    <cellStyle name="Currency 5 3 2 2 2 4 5" xfId="20302" xr:uid="{DF66634C-E3CA-40F4-88E6-BBD9F266D1D9}"/>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4AE58DD4-044E-451B-8FFF-CF478C4DE2A5}"/>
    <cellStyle name="Currency 5 3 2 2 2 5 2 2 2 2" xfId="36374" xr:uid="{843A41B1-C2E6-4C1C-A3C5-B9F906E7BF40}"/>
    <cellStyle name="Currency 5 3 2 2 2 5 2 2 3" xfId="27077" xr:uid="{6352B4B3-27F1-470D-9AB5-94DDD50094D5}"/>
    <cellStyle name="Currency 5 3 2 2 2 5 2 3" xfId="13561" xr:uid="{C094BC39-30EC-4F0E-BA6E-9A1F009A16CE}"/>
    <cellStyle name="Currency 5 3 2 2 2 5 2 3 2" xfId="32157" xr:uid="{EBC38EFA-6128-4C40-B9E1-8DD7CFF2E057}"/>
    <cellStyle name="Currency 5 3 2 2 2 5 2 4" xfId="22860" xr:uid="{991D0B01-E3D5-4244-81E5-4AB39CBC7E6C}"/>
    <cellStyle name="Currency 5 3 2 2 2 5 3" xfId="6307" xr:uid="{00000000-0005-0000-0000-0000970C0000}"/>
    <cellStyle name="Currency 5 3 2 2 2 5 3 2" xfId="15633" xr:uid="{84653AA8-5BAB-402D-826B-AD4F74850700}"/>
    <cellStyle name="Currency 5 3 2 2 2 5 3 2 2" xfId="34229" xr:uid="{7B5FE288-8466-4E13-89D4-632DB00D6051}"/>
    <cellStyle name="Currency 5 3 2 2 2 5 3 3" xfId="24932" xr:uid="{4ECF88F9-2C2B-4878-B95D-E973727BD9CF}"/>
    <cellStyle name="Currency 5 3 2 2 2 5 4" xfId="11416" xr:uid="{C1D2A6B7-C389-4107-A5EA-287D377F29FE}"/>
    <cellStyle name="Currency 5 3 2 2 2 5 4 2" xfId="30012" xr:uid="{01D74253-5994-4060-AB9A-D510AD14C27D}"/>
    <cellStyle name="Currency 5 3 2 2 2 5 5" xfId="20715" xr:uid="{DF223BB9-E957-4DCB-838B-A6B46A57EFF7}"/>
    <cellStyle name="Currency 5 3 2 2 2 6" xfId="2436" xr:uid="{00000000-0005-0000-0000-0000980C0000}"/>
    <cellStyle name="Currency 5 3 2 2 2 6 2" xfId="6720" xr:uid="{00000000-0005-0000-0000-0000990C0000}"/>
    <cellStyle name="Currency 5 3 2 2 2 6 2 2" xfId="16046" xr:uid="{660A6376-24BB-4381-B874-434A883BBBB8}"/>
    <cellStyle name="Currency 5 3 2 2 2 6 2 2 2" xfId="34642" xr:uid="{01B0BB3A-80F6-4738-ABB3-92BCD98EC068}"/>
    <cellStyle name="Currency 5 3 2 2 2 6 2 3" xfId="25345" xr:uid="{92BDC439-E8B6-4E1A-98B9-D27CA9A10B5A}"/>
    <cellStyle name="Currency 5 3 2 2 2 6 3" xfId="11829" xr:uid="{4BC520CB-2D89-44DD-8E9D-16843CF5B269}"/>
    <cellStyle name="Currency 5 3 2 2 2 6 3 2" xfId="30425" xr:uid="{825B480C-70C1-44E7-8108-D7FA867CEE82}"/>
    <cellStyle name="Currency 5 3 2 2 2 6 4" xfId="21128" xr:uid="{7D6D7DFE-3701-4B2D-8B91-646778AA24CD}"/>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A6D39E1D-C9A4-4F32-A269-CFCAE7FDD5B0}"/>
    <cellStyle name="Currency 5 3 2 2 2 8 2 2 2" xfId="34959" xr:uid="{551810B4-91BE-4C85-A22B-3CBA5B9F7846}"/>
    <cellStyle name="Currency 5 3 2 2 2 8 2 3" xfId="25662" xr:uid="{E67A4E90-FACF-4440-93D2-C08C2A0208AD}"/>
    <cellStyle name="Currency 5 3 2 2 2 8 3" xfId="12146" xr:uid="{D60D116E-7E02-4129-994F-4FBAF3CB6E3D}"/>
    <cellStyle name="Currency 5 3 2 2 2 8 3 2" xfId="30742" xr:uid="{B4280E67-9F4D-4BE2-872B-900584200933}"/>
    <cellStyle name="Currency 5 3 2 2 2 8 4" xfId="21445" xr:uid="{D36F0FF1-517E-4827-9043-FA0240ECE2ED}"/>
    <cellStyle name="Currency 5 3 2 2 2 9" xfId="4654" xr:uid="{00000000-0005-0000-0000-00009D0C0000}"/>
    <cellStyle name="Currency 5 3 2 2 2 9 2" xfId="13980" xr:uid="{A390F63A-512F-447C-A68C-9986545F3586}"/>
    <cellStyle name="Currency 5 3 2 2 2 9 2 2" xfId="32576" xr:uid="{7BC52BB3-4E72-44BF-8F20-266205A456AB}"/>
    <cellStyle name="Currency 5 3 2 2 2 9 3" xfId="23279" xr:uid="{FB579F96-E514-4B5C-B85A-3C58F06466AE}"/>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0A431186-EE6B-48AB-9F26-4400562EEC43}"/>
    <cellStyle name="Currency 5 3 2 2 3 2 2 2 2" xfId="35134" xr:uid="{EB0D998D-B3FF-4658-9601-AB2652707C49}"/>
    <cellStyle name="Currency 5 3 2 2 3 2 2 3" xfId="25837" xr:uid="{5529176F-AC63-4AB7-B133-FB6BAE9506BE}"/>
    <cellStyle name="Currency 5 3 2 2 3 2 3" xfId="12321" xr:uid="{7C1DD40C-E2DA-4263-AF02-A36CBE469B30}"/>
    <cellStyle name="Currency 5 3 2 2 3 2 3 2" xfId="30917" xr:uid="{EFF38497-CBB5-4B06-9E06-9827EA91BA24}"/>
    <cellStyle name="Currency 5 3 2 2 3 2 4" xfId="21620" xr:uid="{FA425799-C12A-45F5-A40F-982A214015A4}"/>
    <cellStyle name="Currency 5 3 2 2 3 3" xfId="5067" xr:uid="{00000000-0005-0000-0000-0000A10C0000}"/>
    <cellStyle name="Currency 5 3 2 2 3 3 2" xfId="14393" xr:uid="{3B9A85BA-8B6A-4778-A0F5-741412061143}"/>
    <cellStyle name="Currency 5 3 2 2 3 3 2 2" xfId="32989" xr:uid="{2D4785BB-92BC-4DE9-8363-7B6DE2E71333}"/>
    <cellStyle name="Currency 5 3 2 2 3 3 3" xfId="23692" xr:uid="{22CB98AA-84CE-48C1-A62C-4D88C6EFDA63}"/>
    <cellStyle name="Currency 5 3 2 2 3 4" xfId="9338" xr:uid="{E79296CA-9516-4DDA-84B2-A3B13AAA9D9D}"/>
    <cellStyle name="Currency 5 3 2 2 3 4 2" xfId="18653" xr:uid="{561D9510-C390-4742-BF75-8EEA251FBBEA}"/>
    <cellStyle name="Currency 5 3 2 2 3 4 2 2" xfId="37247" xr:uid="{1D05050C-F85A-42D3-ACB2-D815B8DE5E46}"/>
    <cellStyle name="Currency 5 3 2 2 3 4 3" xfId="27950" xr:uid="{49A03C9F-035E-4975-AE62-821F6F8F5D30}"/>
    <cellStyle name="Currency 5 3 2 2 3 5" xfId="10176" xr:uid="{6ADF2D2B-7ED0-4443-AA59-BD698A6963B6}"/>
    <cellStyle name="Currency 5 3 2 2 3 5 2" xfId="28772" xr:uid="{8C36B4D7-2641-4F4E-8A65-9EB67583275F}"/>
    <cellStyle name="Currency 5 3 2 2 3 6" xfId="19475" xr:uid="{F8CCFD86-92BF-46DB-AA05-40D4D8054741}"/>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E9BDDA96-C2DA-44AF-B9D0-586A49FDE175}"/>
    <cellStyle name="Currency 5 3 2 2 4 2 2 2 2" xfId="35547" xr:uid="{EBBDE281-7B51-4895-8DF7-9ADC63A4493E}"/>
    <cellStyle name="Currency 5 3 2 2 4 2 2 3" xfId="26250" xr:uid="{B2057899-49EB-41DF-8082-DB315F0B3D3F}"/>
    <cellStyle name="Currency 5 3 2 2 4 2 3" xfId="12734" xr:uid="{D0BE8589-1BB9-4FBA-B62D-DE4963DD0B76}"/>
    <cellStyle name="Currency 5 3 2 2 4 2 3 2" xfId="31330" xr:uid="{E3545907-8AB4-4758-9511-BFC4A47EC495}"/>
    <cellStyle name="Currency 5 3 2 2 4 2 4" xfId="22033" xr:uid="{0DA7FE55-AC60-4D17-A1D5-22F26171709B}"/>
    <cellStyle name="Currency 5 3 2 2 4 3" xfId="5480" xr:uid="{00000000-0005-0000-0000-0000A50C0000}"/>
    <cellStyle name="Currency 5 3 2 2 4 3 2" xfId="14806" xr:uid="{0FD5D7E6-D7EE-4599-A26F-B37F49934569}"/>
    <cellStyle name="Currency 5 3 2 2 4 3 2 2" xfId="33402" xr:uid="{A03B2557-6156-46E1-994E-1B4DEC3FC02C}"/>
    <cellStyle name="Currency 5 3 2 2 4 3 3" xfId="24105" xr:uid="{AF80694A-5E4A-4C43-B750-13431921C95A}"/>
    <cellStyle name="Currency 5 3 2 2 4 4" xfId="10589" xr:uid="{E9E9257E-CFA0-4BEA-8F31-A8FADA4B3690}"/>
    <cellStyle name="Currency 5 3 2 2 4 4 2" xfId="29185" xr:uid="{F50D15CA-A09C-4B51-8F04-DAF9B5B7ACE0}"/>
    <cellStyle name="Currency 5 3 2 2 4 5" xfId="19888" xr:uid="{9981F63B-66D2-41E0-BA55-74BBF4318D09}"/>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D4C251A2-E5D2-48CE-95A8-6C684920CD59}"/>
    <cellStyle name="Currency 5 3 2 2 5 2 2 2 2" xfId="35960" xr:uid="{4C010B91-4E61-4562-B88B-152E34FD66BD}"/>
    <cellStyle name="Currency 5 3 2 2 5 2 2 3" xfId="26663" xr:uid="{3A514B45-6947-4B6E-B7DD-9627068B6A4E}"/>
    <cellStyle name="Currency 5 3 2 2 5 2 3" xfId="13147" xr:uid="{8AD8E798-C38F-4006-94D8-FA012BD71CEB}"/>
    <cellStyle name="Currency 5 3 2 2 5 2 3 2" xfId="31743" xr:uid="{779CDE97-D352-4A3C-872B-A6E9CC7F82FE}"/>
    <cellStyle name="Currency 5 3 2 2 5 2 4" xfId="22446" xr:uid="{86CE066D-B487-480E-9738-5338C7BF9FB5}"/>
    <cellStyle name="Currency 5 3 2 2 5 3" xfId="5893" xr:uid="{00000000-0005-0000-0000-0000A90C0000}"/>
    <cellStyle name="Currency 5 3 2 2 5 3 2" xfId="15219" xr:uid="{CF9698EA-625D-4167-B797-96E5FE3A34D6}"/>
    <cellStyle name="Currency 5 3 2 2 5 3 2 2" xfId="33815" xr:uid="{58666B91-0075-4FDF-B479-786258ECACC7}"/>
    <cellStyle name="Currency 5 3 2 2 5 3 3" xfId="24518" xr:uid="{BB38A823-55E2-4046-9E3B-7770745210D0}"/>
    <cellStyle name="Currency 5 3 2 2 5 4" xfId="11002" xr:uid="{E5F7E15A-AC12-471D-96B7-FB9D335E9416}"/>
    <cellStyle name="Currency 5 3 2 2 5 4 2" xfId="29598" xr:uid="{492AF3B0-8039-4797-A4BE-229CCB539968}"/>
    <cellStyle name="Currency 5 3 2 2 5 5" xfId="20301" xr:uid="{34FB5E56-5272-4B8C-A7C8-1D93D2096579}"/>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3FEE7D75-E16A-470F-B109-0F6C99CB5225}"/>
    <cellStyle name="Currency 5 3 2 2 6 2 2 2 2" xfId="36373" xr:uid="{491E05F2-3C86-4182-B8CD-7C7812B0A9DA}"/>
    <cellStyle name="Currency 5 3 2 2 6 2 2 3" xfId="27076" xr:uid="{D28546CA-8A2A-471D-A47F-62CD77083128}"/>
    <cellStyle name="Currency 5 3 2 2 6 2 3" xfId="13560" xr:uid="{579070C7-8AB5-4444-810F-90270C54C982}"/>
    <cellStyle name="Currency 5 3 2 2 6 2 3 2" xfId="32156" xr:uid="{FC7B6511-164C-4D27-BD15-F8CF4F08B649}"/>
    <cellStyle name="Currency 5 3 2 2 6 2 4" xfId="22859" xr:uid="{442AF424-966A-4555-87AF-AF75217722D1}"/>
    <cellStyle name="Currency 5 3 2 2 6 3" xfId="6306" xr:uid="{00000000-0005-0000-0000-0000AD0C0000}"/>
    <cellStyle name="Currency 5 3 2 2 6 3 2" xfId="15632" xr:uid="{55C6D1C6-9F28-46B1-9110-7581ADBFA951}"/>
    <cellStyle name="Currency 5 3 2 2 6 3 2 2" xfId="34228" xr:uid="{3FCA978E-2DB5-4489-8C4B-202A6A950330}"/>
    <cellStyle name="Currency 5 3 2 2 6 3 3" xfId="24931" xr:uid="{2003428E-8259-445F-9B38-2B31F31EF736}"/>
    <cellStyle name="Currency 5 3 2 2 6 4" xfId="11415" xr:uid="{703F325F-D13E-42E1-92F6-26EFCA3358B6}"/>
    <cellStyle name="Currency 5 3 2 2 6 4 2" xfId="30011" xr:uid="{A7E934AE-BDDE-415A-8F41-8AF81D60CEB1}"/>
    <cellStyle name="Currency 5 3 2 2 6 5" xfId="20714" xr:uid="{460C7FD0-76C5-49B2-BBC7-C5DC7406403C}"/>
    <cellStyle name="Currency 5 3 2 2 7" xfId="2435" xr:uid="{00000000-0005-0000-0000-0000AE0C0000}"/>
    <cellStyle name="Currency 5 3 2 2 7 2" xfId="6719" xr:uid="{00000000-0005-0000-0000-0000AF0C0000}"/>
    <cellStyle name="Currency 5 3 2 2 7 2 2" xfId="16045" xr:uid="{85A019BB-F296-434E-A0D5-8608FB0FB21D}"/>
    <cellStyle name="Currency 5 3 2 2 7 2 2 2" xfId="34641" xr:uid="{F7B899EA-8F28-44EE-A4DF-0C455EA085AA}"/>
    <cellStyle name="Currency 5 3 2 2 7 2 3" xfId="25344" xr:uid="{CC0B08F5-D99C-4A6F-8162-E290CD849772}"/>
    <cellStyle name="Currency 5 3 2 2 7 3" xfId="11828" xr:uid="{CA48978C-DA24-4FB2-9B5C-2935B70C7F72}"/>
    <cellStyle name="Currency 5 3 2 2 7 3 2" xfId="30424" xr:uid="{3E82736C-F8BC-4F12-9F17-6D4823B27583}"/>
    <cellStyle name="Currency 5 3 2 2 7 4" xfId="21127" xr:uid="{23805F00-F6FA-4E3A-B09A-58D7A5376EA6}"/>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C4133D6F-CD14-4A09-ABD5-6BDADD96EC8A}"/>
    <cellStyle name="Currency 5 3 2 2 9 2 2 2" xfId="34958" xr:uid="{EF265738-ED9B-4BAC-871C-159D58818EFF}"/>
    <cellStyle name="Currency 5 3 2 2 9 2 3" xfId="25661" xr:uid="{5C3BD4B3-7582-4695-908D-43929953736E}"/>
    <cellStyle name="Currency 5 3 2 2 9 3" xfId="12145" xr:uid="{99831A02-F6CA-46E2-B58A-8FE8C777F9BD}"/>
    <cellStyle name="Currency 5 3 2 2 9 3 2" xfId="30741" xr:uid="{B1FE8870-F236-43CC-B0CC-FBB877B8AE4F}"/>
    <cellStyle name="Currency 5 3 2 2 9 4" xfId="21444" xr:uid="{35A46A7F-F88B-4EE7-80C1-CF1447A84D3D}"/>
    <cellStyle name="Currency 5 3 2 3" xfId="213" xr:uid="{00000000-0005-0000-0000-0000B30C0000}"/>
    <cellStyle name="Currency 5 3 2 3 10" xfId="9017" xr:uid="{A6213F8D-EE09-4095-B9BE-99C55DEE210F}"/>
    <cellStyle name="Currency 5 3 2 3 10 2" xfId="18341" xr:uid="{4D14ECDB-E832-428B-8ABC-553E7A1CE37B}"/>
    <cellStyle name="Currency 5 3 2 3 10 2 2" xfId="36936" xr:uid="{BE69B7C5-BE41-4620-B3B2-520275A074EC}"/>
    <cellStyle name="Currency 5 3 2 3 10 3" xfId="27639" xr:uid="{B746F454-FBAA-408E-9846-BACAB542C548}"/>
    <cellStyle name="Currency 5 3 2 3 11" xfId="9764" xr:uid="{1E1DDE98-EA3C-4F4D-8339-A20431FBD2C2}"/>
    <cellStyle name="Currency 5 3 2 3 11 2" xfId="28360" xr:uid="{624047C8-07D4-45A9-A47B-6E2D4CDDD2EC}"/>
    <cellStyle name="Currency 5 3 2 3 12" xfId="19063" xr:uid="{77905025-67F0-4E1D-AEC4-B628431045B9}"/>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33D3E09B-1AA5-48C1-B20B-4CE6DEC448D8}"/>
    <cellStyle name="Currency 5 3 2 3 2 2 2 2 2" xfId="35136" xr:uid="{DC703DC6-4CEF-4278-B879-7EABCB17F7D1}"/>
    <cellStyle name="Currency 5 3 2 3 2 2 2 3" xfId="25839" xr:uid="{3261E72E-8B44-4C80-93DD-24F8F63FA909}"/>
    <cellStyle name="Currency 5 3 2 3 2 2 3" xfId="12323" xr:uid="{03A38168-2B85-450D-9FFE-83EC29BA3A8D}"/>
    <cellStyle name="Currency 5 3 2 3 2 2 3 2" xfId="30919" xr:uid="{1823E099-0B39-42A6-85F0-541D29C97CB3}"/>
    <cellStyle name="Currency 5 3 2 3 2 2 4" xfId="21622" xr:uid="{7CA104A8-7A56-47E2-B536-6F0CF4FF7FDB}"/>
    <cellStyle name="Currency 5 3 2 3 2 3" xfId="5069" xr:uid="{00000000-0005-0000-0000-0000B70C0000}"/>
    <cellStyle name="Currency 5 3 2 3 2 3 2" xfId="14395" xr:uid="{4E2975CA-6AB1-41E2-A4B0-13BAF1E335B7}"/>
    <cellStyle name="Currency 5 3 2 3 2 3 2 2" xfId="32991" xr:uid="{4715CD1D-22F0-4197-AA33-0CC4959A5EED}"/>
    <cellStyle name="Currency 5 3 2 3 2 3 3" xfId="23694" xr:uid="{16C7247B-9CF5-4ECD-A342-AB873DCFBA64}"/>
    <cellStyle name="Currency 5 3 2 3 2 4" xfId="9442" xr:uid="{AE48BD1F-B5DA-4007-BBEE-128FE2FE74D7}"/>
    <cellStyle name="Currency 5 3 2 3 2 4 2" xfId="18757" xr:uid="{2FF208DF-7E89-41DB-B625-529C44DDF45B}"/>
    <cellStyle name="Currency 5 3 2 3 2 4 2 2" xfId="37351" xr:uid="{48E52FDE-BB4B-41C1-9FC2-843EE26FDB52}"/>
    <cellStyle name="Currency 5 3 2 3 2 4 3" xfId="28054" xr:uid="{987E9A95-6D47-4210-AF24-BA92BC6AF544}"/>
    <cellStyle name="Currency 5 3 2 3 2 5" xfId="10178" xr:uid="{75A1BA69-E28A-434B-91CF-898E0508DFFF}"/>
    <cellStyle name="Currency 5 3 2 3 2 5 2" xfId="28774" xr:uid="{D7F3B5C9-0C62-42FF-B97A-34BA327D3649}"/>
    <cellStyle name="Currency 5 3 2 3 2 6" xfId="19477" xr:uid="{6FD9708B-C762-4A07-8E1A-63693BC78B0A}"/>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035DA027-83BF-4B31-8849-A6A4B942C1F7}"/>
    <cellStyle name="Currency 5 3 2 3 3 2 2 2 2" xfId="35549" xr:uid="{1D720956-26A4-4BF9-B10F-876B65A7FD39}"/>
    <cellStyle name="Currency 5 3 2 3 3 2 2 3" xfId="26252" xr:uid="{C7719A03-63DF-4E61-A10C-E1375257F75B}"/>
    <cellStyle name="Currency 5 3 2 3 3 2 3" xfId="12736" xr:uid="{CD4F9A93-A8B3-4083-8816-D05155B7C8CE}"/>
    <cellStyle name="Currency 5 3 2 3 3 2 3 2" xfId="31332" xr:uid="{4945F68B-2513-4126-8B84-82AACB558BCE}"/>
    <cellStyle name="Currency 5 3 2 3 3 2 4" xfId="22035" xr:uid="{9A3E51DB-124D-41E5-961D-9F484FCD35A3}"/>
    <cellStyle name="Currency 5 3 2 3 3 3" xfId="5482" xr:uid="{00000000-0005-0000-0000-0000BB0C0000}"/>
    <cellStyle name="Currency 5 3 2 3 3 3 2" xfId="14808" xr:uid="{2E414C3B-5B84-4EC4-BC58-3A153AF24F0B}"/>
    <cellStyle name="Currency 5 3 2 3 3 3 2 2" xfId="33404" xr:uid="{662A78A2-C7F8-4D07-926A-B9A8B9532F91}"/>
    <cellStyle name="Currency 5 3 2 3 3 3 3" xfId="24107" xr:uid="{DBF46718-14BB-4DF4-846B-FA29E9A700D2}"/>
    <cellStyle name="Currency 5 3 2 3 3 4" xfId="10591" xr:uid="{3FF02114-7A65-4B49-9253-53CF5D320B09}"/>
    <cellStyle name="Currency 5 3 2 3 3 4 2" xfId="29187" xr:uid="{31E0DC0A-081F-4A9F-B2BE-D8462EAD8E57}"/>
    <cellStyle name="Currency 5 3 2 3 3 5" xfId="19890" xr:uid="{E5204CE0-7A7C-48FA-B10D-1746B21CDA85}"/>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3D7A8E07-F8EF-4160-A318-345C0B729D64}"/>
    <cellStyle name="Currency 5 3 2 3 4 2 2 2 2" xfId="35962" xr:uid="{825F1DF4-D424-4C3E-9778-C4A7B7FB5BEF}"/>
    <cellStyle name="Currency 5 3 2 3 4 2 2 3" xfId="26665" xr:uid="{9918BA27-4D07-4E4F-A52C-143DC910B34F}"/>
    <cellStyle name="Currency 5 3 2 3 4 2 3" xfId="13149" xr:uid="{E4A444A9-BC68-4AC7-BCC8-0E1F208C54D2}"/>
    <cellStyle name="Currency 5 3 2 3 4 2 3 2" xfId="31745" xr:uid="{037F1E0C-A324-45F8-A24B-AAA72C2DC8D8}"/>
    <cellStyle name="Currency 5 3 2 3 4 2 4" xfId="22448" xr:uid="{63400466-4E06-48A1-9EDE-CCEC87B099E4}"/>
    <cellStyle name="Currency 5 3 2 3 4 3" xfId="5895" xr:uid="{00000000-0005-0000-0000-0000BF0C0000}"/>
    <cellStyle name="Currency 5 3 2 3 4 3 2" xfId="15221" xr:uid="{836DA2C5-378D-4E23-AA1B-AAF9692BEEAF}"/>
    <cellStyle name="Currency 5 3 2 3 4 3 2 2" xfId="33817" xr:uid="{96205505-6C6E-434D-847E-6DB973EED1F6}"/>
    <cellStyle name="Currency 5 3 2 3 4 3 3" xfId="24520" xr:uid="{07FA8D08-D75B-4BE4-8EA6-7A2227F996B1}"/>
    <cellStyle name="Currency 5 3 2 3 4 4" xfId="11004" xr:uid="{AD1CEE6E-EC0D-49FA-902A-C4B5C8A513D2}"/>
    <cellStyle name="Currency 5 3 2 3 4 4 2" xfId="29600" xr:uid="{FB896B8C-DA48-4E1A-A771-ADF684B15762}"/>
    <cellStyle name="Currency 5 3 2 3 4 5" xfId="20303" xr:uid="{C0419BA3-D06A-4C99-A631-0F3E76D11347}"/>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B7A57D23-0243-4215-B35C-14C9A8247A9A}"/>
    <cellStyle name="Currency 5 3 2 3 5 2 2 2 2" xfId="36375" xr:uid="{4B3B6633-6C5D-4DA7-B075-A55D09EF1B7D}"/>
    <cellStyle name="Currency 5 3 2 3 5 2 2 3" xfId="27078" xr:uid="{9F6150CD-1503-4B57-B679-BBAEE248AF0A}"/>
    <cellStyle name="Currency 5 3 2 3 5 2 3" xfId="13562" xr:uid="{DD9D6521-1D31-4B40-8713-8D5B9FDDC5CC}"/>
    <cellStyle name="Currency 5 3 2 3 5 2 3 2" xfId="32158" xr:uid="{2279A429-5233-4640-9AEB-7041C92E7591}"/>
    <cellStyle name="Currency 5 3 2 3 5 2 4" xfId="22861" xr:uid="{39373F33-534D-4769-83B0-732E745CC8DD}"/>
    <cellStyle name="Currency 5 3 2 3 5 3" xfId="6308" xr:uid="{00000000-0005-0000-0000-0000C30C0000}"/>
    <cellStyle name="Currency 5 3 2 3 5 3 2" xfId="15634" xr:uid="{9F23BCC9-F78E-4688-A7B3-038604C8F37D}"/>
    <cellStyle name="Currency 5 3 2 3 5 3 2 2" xfId="34230" xr:uid="{0D5103FB-460A-4A6A-805D-714C216E5607}"/>
    <cellStyle name="Currency 5 3 2 3 5 3 3" xfId="24933" xr:uid="{25A42DF6-533E-49E2-B7E4-7C098D9F9817}"/>
    <cellStyle name="Currency 5 3 2 3 5 4" xfId="11417" xr:uid="{9449E110-FEEA-43DF-8EAE-7B9EFF60CE8D}"/>
    <cellStyle name="Currency 5 3 2 3 5 4 2" xfId="30013" xr:uid="{8DF1DC3F-0108-43BF-959D-4F3642654A26}"/>
    <cellStyle name="Currency 5 3 2 3 5 5" xfId="20716" xr:uid="{A86B39F2-CA93-4E0C-8D7C-65417839F414}"/>
    <cellStyle name="Currency 5 3 2 3 6" xfId="2437" xr:uid="{00000000-0005-0000-0000-0000C40C0000}"/>
    <cellStyle name="Currency 5 3 2 3 6 2" xfId="6721" xr:uid="{00000000-0005-0000-0000-0000C50C0000}"/>
    <cellStyle name="Currency 5 3 2 3 6 2 2" xfId="16047" xr:uid="{8480BC4F-FE76-467B-851B-D831AA07D36F}"/>
    <cellStyle name="Currency 5 3 2 3 6 2 2 2" xfId="34643" xr:uid="{A73A1881-D577-4209-98CA-68B8FD8D032B}"/>
    <cellStyle name="Currency 5 3 2 3 6 2 3" xfId="25346" xr:uid="{BB94BECA-C0A8-4DAD-907A-19A2F9D8AAFD}"/>
    <cellStyle name="Currency 5 3 2 3 6 3" xfId="11830" xr:uid="{887E1E44-FCD7-48F8-ACF5-C725621F60BF}"/>
    <cellStyle name="Currency 5 3 2 3 6 3 2" xfId="30426" xr:uid="{A47BD248-12C5-45E6-8EDC-5CD1F3408ACF}"/>
    <cellStyle name="Currency 5 3 2 3 6 4" xfId="21129" xr:uid="{FAE13546-84E8-4643-B8B6-2B5786843228}"/>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C921D436-B69C-43CE-B9FC-C27F981CD790}"/>
    <cellStyle name="Currency 5 3 2 3 8 2 2 2" xfId="34960" xr:uid="{981C7065-20D0-4D37-93FE-678FD739F416}"/>
    <cellStyle name="Currency 5 3 2 3 8 2 3" xfId="25663" xr:uid="{5ACD4A3B-CD2D-4FAC-B921-9E4E2E1CCD5C}"/>
    <cellStyle name="Currency 5 3 2 3 8 3" xfId="12147" xr:uid="{9D803653-70D5-4AE9-8E85-BEE36A549E0B}"/>
    <cellStyle name="Currency 5 3 2 3 8 3 2" xfId="30743" xr:uid="{AAE91105-1A0A-4A3E-AB83-24942B627A5B}"/>
    <cellStyle name="Currency 5 3 2 3 8 4" xfId="21446" xr:uid="{427333C5-0DDC-4357-9676-A6E6631849F7}"/>
    <cellStyle name="Currency 5 3 2 3 9" xfId="4655" xr:uid="{00000000-0005-0000-0000-0000C90C0000}"/>
    <cellStyle name="Currency 5 3 2 3 9 2" xfId="13981" xr:uid="{3BA23DBD-94B2-4520-B18C-0483FB41F3AD}"/>
    <cellStyle name="Currency 5 3 2 3 9 2 2" xfId="32577" xr:uid="{37475372-8073-4E66-A520-7DD473A728E2}"/>
    <cellStyle name="Currency 5 3 2 3 9 3" xfId="23280" xr:uid="{66989C1E-B9D9-4804-A7A2-EBA854A7E032}"/>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0034ACA5-3479-4446-ACC4-A24D1CAE7CFC}"/>
    <cellStyle name="Currency 5 3 2 4 2 2 2 2" xfId="35133" xr:uid="{BBC2DC84-56F6-44EC-9E4C-0742A564BC70}"/>
    <cellStyle name="Currency 5 3 2 4 2 2 3" xfId="25836" xr:uid="{B0D54ACE-E4F4-4B88-8A79-333CEFAEF854}"/>
    <cellStyle name="Currency 5 3 2 4 2 3" xfId="12320" xr:uid="{41E40E28-8B86-42CB-9472-9FEF1A77EACE}"/>
    <cellStyle name="Currency 5 3 2 4 2 3 2" xfId="30916" xr:uid="{F8A84D99-0263-4B95-920F-366300814505}"/>
    <cellStyle name="Currency 5 3 2 4 2 4" xfId="21619" xr:uid="{63B0D808-3783-4528-B941-B51D700B339B}"/>
    <cellStyle name="Currency 5 3 2 4 3" xfId="5066" xr:uid="{00000000-0005-0000-0000-0000CD0C0000}"/>
    <cellStyle name="Currency 5 3 2 4 3 2" xfId="14392" xr:uid="{F63CC157-DD50-4AA8-885C-334D75006312}"/>
    <cellStyle name="Currency 5 3 2 4 3 2 2" xfId="32988" xr:uid="{B8CE1052-CE41-43A8-801D-BE24A90BBD8E}"/>
    <cellStyle name="Currency 5 3 2 4 3 3" xfId="23691" xr:uid="{1B8A1039-2495-4176-8A67-965C208DF101}"/>
    <cellStyle name="Currency 5 3 2 4 4" xfId="9235" xr:uid="{F2FD4117-6EF1-4663-964A-AB5B57E6F469}"/>
    <cellStyle name="Currency 5 3 2 4 4 2" xfId="18550" xr:uid="{EF310BC4-7B16-46B3-9C01-9819F605EBDB}"/>
    <cellStyle name="Currency 5 3 2 4 4 2 2" xfId="37144" xr:uid="{ED667C5E-82FF-43E5-BE37-2B8DCBDCD346}"/>
    <cellStyle name="Currency 5 3 2 4 4 3" xfId="27847" xr:uid="{76AD37F6-41CF-4EE8-8533-58180B77AC29}"/>
    <cellStyle name="Currency 5 3 2 4 5" xfId="10175" xr:uid="{A0FEB237-27B7-47CA-A74A-6583CEEA8161}"/>
    <cellStyle name="Currency 5 3 2 4 5 2" xfId="28771" xr:uid="{99047923-83B5-4181-8C89-8A69B90AC173}"/>
    <cellStyle name="Currency 5 3 2 4 6" xfId="19474" xr:uid="{0A0DF6F3-12AF-45E7-B821-7E61F476BE70}"/>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40A04687-5A82-49BD-85F9-EF9B194F89E7}"/>
    <cellStyle name="Currency 5 3 2 5 2 2 2 2" xfId="35546" xr:uid="{F5C00387-C2A4-40B1-B972-7A2C3BC913B8}"/>
    <cellStyle name="Currency 5 3 2 5 2 2 3" xfId="26249" xr:uid="{B1A1FFAC-54AA-4081-B22D-EFEAD9922F2A}"/>
    <cellStyle name="Currency 5 3 2 5 2 3" xfId="12733" xr:uid="{2A87FAC9-F277-4AB0-8AA7-291B99C7D093}"/>
    <cellStyle name="Currency 5 3 2 5 2 3 2" xfId="31329" xr:uid="{8F6E3B04-1D10-497F-BC84-8D5540A37D3C}"/>
    <cellStyle name="Currency 5 3 2 5 2 4" xfId="22032" xr:uid="{553FF255-3403-48B6-809B-6C49EA000A1E}"/>
    <cellStyle name="Currency 5 3 2 5 3" xfId="5479" xr:uid="{00000000-0005-0000-0000-0000D10C0000}"/>
    <cellStyle name="Currency 5 3 2 5 3 2" xfId="14805" xr:uid="{835B9050-F148-4589-BEF1-C68DC5B7531E}"/>
    <cellStyle name="Currency 5 3 2 5 3 2 2" xfId="33401" xr:uid="{B6D81610-4C97-4E57-9D45-55E985B60493}"/>
    <cellStyle name="Currency 5 3 2 5 3 3" xfId="24104" xr:uid="{C9BCE820-9ADE-4AFF-9990-07660E2EBB6C}"/>
    <cellStyle name="Currency 5 3 2 5 4" xfId="10588" xr:uid="{188A13F8-12E0-4E1B-B7E7-FC08B5453493}"/>
    <cellStyle name="Currency 5 3 2 5 4 2" xfId="29184" xr:uid="{4A29DA1B-1D0C-4590-84C9-4A49F57B1A2C}"/>
    <cellStyle name="Currency 5 3 2 5 5" xfId="19887" xr:uid="{705A53F4-9C16-436E-BF67-4A790C2D5672}"/>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49E7C4BE-2501-4996-BCBC-4E7481AC6466}"/>
    <cellStyle name="Currency 5 3 2 6 2 2 2 2" xfId="35959" xr:uid="{28FC3412-34E3-402D-96A4-7F7339AD7F43}"/>
    <cellStyle name="Currency 5 3 2 6 2 2 3" xfId="26662" xr:uid="{153A0717-B2F5-4B44-B622-74017E41DE29}"/>
    <cellStyle name="Currency 5 3 2 6 2 3" xfId="13146" xr:uid="{6A35DEBB-512E-47EE-8959-BB614C742A06}"/>
    <cellStyle name="Currency 5 3 2 6 2 3 2" xfId="31742" xr:uid="{B6280A51-79D9-4476-AD68-D3EB1A75FA74}"/>
    <cellStyle name="Currency 5 3 2 6 2 4" xfId="22445" xr:uid="{F1DE319A-C061-4214-8D53-46A4137E0FCB}"/>
    <cellStyle name="Currency 5 3 2 6 3" xfId="5892" xr:uid="{00000000-0005-0000-0000-0000D50C0000}"/>
    <cellStyle name="Currency 5 3 2 6 3 2" xfId="15218" xr:uid="{91DD497C-663E-4FEB-93C9-6A5EB114B730}"/>
    <cellStyle name="Currency 5 3 2 6 3 2 2" xfId="33814" xr:uid="{8EA41EA8-4E83-43C3-BEC2-D9D347B78E91}"/>
    <cellStyle name="Currency 5 3 2 6 3 3" xfId="24517" xr:uid="{6542A98F-6451-40A9-B291-DDC08292F6EF}"/>
    <cellStyle name="Currency 5 3 2 6 4" xfId="11001" xr:uid="{AFFE4354-8236-4509-9CEC-0BB35424A786}"/>
    <cellStyle name="Currency 5 3 2 6 4 2" xfId="29597" xr:uid="{6ED2760A-049A-427E-B83D-406F3FD5E654}"/>
    <cellStyle name="Currency 5 3 2 6 5" xfId="20300" xr:uid="{566A6271-58E7-4CE4-BA2E-331C22744F4C}"/>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2A91198E-41E8-40DC-A208-1065945DEAA5}"/>
    <cellStyle name="Currency 5 3 2 7 2 2 2 2" xfId="36372" xr:uid="{3AC7941F-6050-4A4F-B16A-6E677E177839}"/>
    <cellStyle name="Currency 5 3 2 7 2 2 3" xfId="27075" xr:uid="{A218A41A-081E-4B9E-BA1C-0DA9D23C5F62}"/>
    <cellStyle name="Currency 5 3 2 7 2 3" xfId="13559" xr:uid="{2BB6E090-A067-4611-9EA3-2E5C022BFFE4}"/>
    <cellStyle name="Currency 5 3 2 7 2 3 2" xfId="32155" xr:uid="{902903FD-8834-4059-BE45-6C10A326E20A}"/>
    <cellStyle name="Currency 5 3 2 7 2 4" xfId="22858" xr:uid="{0E3DEA37-3569-4298-8848-D71884AA5E9C}"/>
    <cellStyle name="Currency 5 3 2 7 3" xfId="6305" xr:uid="{00000000-0005-0000-0000-0000D90C0000}"/>
    <cellStyle name="Currency 5 3 2 7 3 2" xfId="15631" xr:uid="{7BD6E4BA-BC52-462F-9363-094E072A7A2F}"/>
    <cellStyle name="Currency 5 3 2 7 3 2 2" xfId="34227" xr:uid="{A7A056B1-45E5-48E0-86F3-1EB78C16049D}"/>
    <cellStyle name="Currency 5 3 2 7 3 3" xfId="24930" xr:uid="{5A379BE7-2A57-49CA-AB4F-FB5985C8272D}"/>
    <cellStyle name="Currency 5 3 2 7 4" xfId="11414" xr:uid="{672342C8-E99D-4F5E-93BA-9CD46499B040}"/>
    <cellStyle name="Currency 5 3 2 7 4 2" xfId="30010" xr:uid="{2B8D71C4-B746-4BFC-A1B3-5E72DD8F807D}"/>
    <cellStyle name="Currency 5 3 2 7 5" xfId="20713" xr:uid="{F1B5F49F-086D-4121-808B-1DF418ED78E8}"/>
    <cellStyle name="Currency 5 3 2 8" xfId="2434" xr:uid="{00000000-0005-0000-0000-0000DA0C0000}"/>
    <cellStyle name="Currency 5 3 2 8 2" xfId="6718" xr:uid="{00000000-0005-0000-0000-0000DB0C0000}"/>
    <cellStyle name="Currency 5 3 2 8 2 2" xfId="16044" xr:uid="{1DF5888B-C9B3-445D-B117-14CC0E07B433}"/>
    <cellStyle name="Currency 5 3 2 8 2 2 2" xfId="34640" xr:uid="{8E63CDBE-4552-4BBE-900D-122500DBAB1F}"/>
    <cellStyle name="Currency 5 3 2 8 2 3" xfId="25343" xr:uid="{9DEF9F15-2EEB-4BEE-A042-4205C9AADF78}"/>
    <cellStyle name="Currency 5 3 2 8 3" xfId="11827" xr:uid="{5D0C4BF5-0EEB-4DCB-8652-FABD36B89323}"/>
    <cellStyle name="Currency 5 3 2 8 3 2" xfId="30423" xr:uid="{766213F1-10E8-434C-BF37-0F90761126CF}"/>
    <cellStyle name="Currency 5 3 2 8 4" xfId="21126" xr:uid="{915F0FC1-B5BF-428E-8B73-F73FCBD2DBF0}"/>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90519324-E019-4D56-BEA7-5AB3732BC36C}"/>
    <cellStyle name="Currency 5 3 3 10 2 2" xfId="32578" xr:uid="{662E4F79-678A-4AA8-952F-3689A1F5C87D}"/>
    <cellStyle name="Currency 5 3 3 10 3" xfId="23281" xr:uid="{9F9F88E8-25DD-47C2-945B-975443ADFB85}"/>
    <cellStyle name="Currency 5 3 3 11" xfId="8882" xr:uid="{A86B3ED4-B552-42F3-9E77-C6763F86EEE6}"/>
    <cellStyle name="Currency 5 3 3 11 2" xfId="18206" xr:uid="{6EACFC9B-18C0-4C1C-80EE-1A53FBB7D5A5}"/>
    <cellStyle name="Currency 5 3 3 11 2 2" xfId="36801" xr:uid="{D9B95E4F-1852-43B5-8A30-6FD8158BD983}"/>
    <cellStyle name="Currency 5 3 3 11 3" xfId="27504" xr:uid="{9D7DE3E2-C96C-4608-8A5F-90C917756B24}"/>
    <cellStyle name="Currency 5 3 3 12" xfId="9765" xr:uid="{2E98CF50-B7CB-42C6-BA4F-363F1012F784}"/>
    <cellStyle name="Currency 5 3 3 12 2" xfId="28361" xr:uid="{670FB328-592B-4E81-8DE8-87AD3F7D45CF}"/>
    <cellStyle name="Currency 5 3 3 13" xfId="19064" xr:uid="{E543DF7F-9EC8-4C1A-AD70-C665582B4E0A}"/>
    <cellStyle name="Currency 5 3 3 2" xfId="215" xr:uid="{00000000-0005-0000-0000-0000DF0C0000}"/>
    <cellStyle name="Currency 5 3 3 2 10" xfId="9089" xr:uid="{7CFB8DCC-02AE-4CC5-8E10-3D33399ECECE}"/>
    <cellStyle name="Currency 5 3 3 2 10 2" xfId="18413" xr:uid="{49919759-5928-459B-94C9-F4691C90CE20}"/>
    <cellStyle name="Currency 5 3 3 2 10 2 2" xfId="37008" xr:uid="{AFBC46A0-625C-4200-B425-7BE02A93A33E}"/>
    <cellStyle name="Currency 5 3 3 2 10 3" xfId="27711" xr:uid="{AEF35803-EBD6-4E64-8C25-D70352D109E2}"/>
    <cellStyle name="Currency 5 3 3 2 11" xfId="9766" xr:uid="{7440341F-B114-4B20-B6C2-D2E842172C02}"/>
    <cellStyle name="Currency 5 3 3 2 11 2" xfId="28362" xr:uid="{757200C3-683B-466C-BDEC-9CC35DEF3F11}"/>
    <cellStyle name="Currency 5 3 3 2 12" xfId="19065" xr:uid="{D106F383-CF35-428D-9992-DBFFA7438687}"/>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4F31364B-878C-42D9-B117-1FBAE151C57F}"/>
    <cellStyle name="Currency 5 3 3 2 2 2 2 2 2" xfId="35138" xr:uid="{0B46374B-5D18-4139-B610-6BD9A803CC97}"/>
    <cellStyle name="Currency 5 3 3 2 2 2 2 3" xfId="25841" xr:uid="{BCD0E247-5751-4EB2-B1BE-03EBB866A0ED}"/>
    <cellStyle name="Currency 5 3 3 2 2 2 3" xfId="12325" xr:uid="{31BEA93D-75AD-458C-A2A9-6F5A2627B1EB}"/>
    <cellStyle name="Currency 5 3 3 2 2 2 3 2" xfId="30921" xr:uid="{56A990A7-325F-4D40-A225-0A625BAF1951}"/>
    <cellStyle name="Currency 5 3 3 2 2 2 4" xfId="21624" xr:uid="{59C4F58F-CB8D-4A0F-A1A6-37275A3627DF}"/>
    <cellStyle name="Currency 5 3 3 2 2 3" xfId="5071" xr:uid="{00000000-0005-0000-0000-0000E30C0000}"/>
    <cellStyle name="Currency 5 3 3 2 2 3 2" xfId="14397" xr:uid="{3F29A229-0316-4969-BAF2-E6DA02B20610}"/>
    <cellStyle name="Currency 5 3 3 2 2 3 2 2" xfId="32993" xr:uid="{618651CD-4EB2-46D2-ACFF-DE7ADA2D82F3}"/>
    <cellStyle name="Currency 5 3 3 2 2 3 3" xfId="23696" xr:uid="{CB0CBCD6-4AD7-4560-AA2D-6FB38296A8FD}"/>
    <cellStyle name="Currency 5 3 3 2 2 4" xfId="9514" xr:uid="{9A504F43-6423-4200-B7AF-F17B65B2005C}"/>
    <cellStyle name="Currency 5 3 3 2 2 4 2" xfId="18829" xr:uid="{3442B06C-5B2C-4A14-A5C3-0B575B3C2ACA}"/>
    <cellStyle name="Currency 5 3 3 2 2 4 2 2" xfId="37423" xr:uid="{DF742531-B37A-4E5F-BC44-F0B174140091}"/>
    <cellStyle name="Currency 5 3 3 2 2 4 3" xfId="28126" xr:uid="{80E7C8D4-ABA6-4DBC-95DC-1ED5638E4120}"/>
    <cellStyle name="Currency 5 3 3 2 2 5" xfId="10180" xr:uid="{788D9256-4570-41D6-AC2A-1BD5C2B0E23F}"/>
    <cellStyle name="Currency 5 3 3 2 2 5 2" xfId="28776" xr:uid="{8C887EDF-9B7D-4AF9-B718-15D8E06A6EDC}"/>
    <cellStyle name="Currency 5 3 3 2 2 6" xfId="19479" xr:uid="{CE73E553-759D-4E74-BF96-C44B07B44EFF}"/>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879F85DA-78AB-4564-BFAE-8A659E318414}"/>
    <cellStyle name="Currency 5 3 3 2 3 2 2 2 2" xfId="35551" xr:uid="{E13F2434-2833-44DB-882B-5CA386624569}"/>
    <cellStyle name="Currency 5 3 3 2 3 2 2 3" xfId="26254" xr:uid="{6BA30E8C-F314-4CF5-8B80-436844BC1BCE}"/>
    <cellStyle name="Currency 5 3 3 2 3 2 3" xfId="12738" xr:uid="{BC3EB53F-EED4-4AC7-BA43-35F3B15E62F2}"/>
    <cellStyle name="Currency 5 3 3 2 3 2 3 2" xfId="31334" xr:uid="{E4133277-CB2B-45A5-A5F8-69A1C92EE192}"/>
    <cellStyle name="Currency 5 3 3 2 3 2 4" xfId="22037" xr:uid="{F0ED1077-FA6C-4DC5-ADEB-9E3141EE7D33}"/>
    <cellStyle name="Currency 5 3 3 2 3 3" xfId="5484" xr:uid="{00000000-0005-0000-0000-0000E70C0000}"/>
    <cellStyle name="Currency 5 3 3 2 3 3 2" xfId="14810" xr:uid="{2481140C-E16A-4DF0-BBE6-68D44B0DAC15}"/>
    <cellStyle name="Currency 5 3 3 2 3 3 2 2" xfId="33406" xr:uid="{C46FCE0B-DD72-40F6-85D2-389D2E7274D5}"/>
    <cellStyle name="Currency 5 3 3 2 3 3 3" xfId="24109" xr:uid="{0CAF3F35-1A5E-49B3-ABB7-AE1E70AEF254}"/>
    <cellStyle name="Currency 5 3 3 2 3 4" xfId="10593" xr:uid="{E169B8C7-C7FE-48FA-90FA-C2D3A4509B59}"/>
    <cellStyle name="Currency 5 3 3 2 3 4 2" xfId="29189" xr:uid="{6C757B95-9EF3-42DC-93B4-EA9898C88AE8}"/>
    <cellStyle name="Currency 5 3 3 2 3 5" xfId="19892" xr:uid="{69DEEE8C-5D35-43B6-B3CA-3D30F3EE4C66}"/>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39BBA569-CF75-4515-85F4-DCBE4C05C2A2}"/>
    <cellStyle name="Currency 5 3 3 2 4 2 2 2 2" xfId="35964" xr:uid="{E35E487C-0746-4645-838A-DDC770188A8B}"/>
    <cellStyle name="Currency 5 3 3 2 4 2 2 3" xfId="26667" xr:uid="{9B6365B5-002E-4F03-A187-CA740ACB28D2}"/>
    <cellStyle name="Currency 5 3 3 2 4 2 3" xfId="13151" xr:uid="{107775C1-2868-43D3-A0F2-FBAAAB20606F}"/>
    <cellStyle name="Currency 5 3 3 2 4 2 3 2" xfId="31747" xr:uid="{BB139E24-576F-4808-AB5B-01773EDF669E}"/>
    <cellStyle name="Currency 5 3 3 2 4 2 4" xfId="22450" xr:uid="{7FA63A14-F68A-4FFF-A7B9-637C74EEEFF6}"/>
    <cellStyle name="Currency 5 3 3 2 4 3" xfId="5897" xr:uid="{00000000-0005-0000-0000-0000EB0C0000}"/>
    <cellStyle name="Currency 5 3 3 2 4 3 2" xfId="15223" xr:uid="{F4282CC4-F5C3-42ED-8AC0-7CCB68D7780E}"/>
    <cellStyle name="Currency 5 3 3 2 4 3 2 2" xfId="33819" xr:uid="{CD2EB788-64A2-41D5-B6B5-EE06C7107902}"/>
    <cellStyle name="Currency 5 3 3 2 4 3 3" xfId="24522" xr:uid="{C94AF7DB-224A-4571-B34D-152561D865D0}"/>
    <cellStyle name="Currency 5 3 3 2 4 4" xfId="11006" xr:uid="{5A68F64E-6827-445B-883E-209199B76A0B}"/>
    <cellStyle name="Currency 5 3 3 2 4 4 2" xfId="29602" xr:uid="{1C879BDB-B078-4B06-BFBB-D0C6B91CCD9A}"/>
    <cellStyle name="Currency 5 3 3 2 4 5" xfId="20305" xr:uid="{FEBAA60F-FDD0-41F9-87E3-43A1E6CCAA4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550B0C99-481E-4FF6-B4F5-F984D3794E06}"/>
    <cellStyle name="Currency 5 3 3 2 5 2 2 2 2" xfId="36377" xr:uid="{0D7C6D3A-5DC7-43D0-B826-DF63507FBD94}"/>
    <cellStyle name="Currency 5 3 3 2 5 2 2 3" xfId="27080" xr:uid="{D59D8E57-A223-4B20-8D3F-6DEC92F3054B}"/>
    <cellStyle name="Currency 5 3 3 2 5 2 3" xfId="13564" xr:uid="{50DAE1C4-3092-4EED-94F0-5351E26DDB01}"/>
    <cellStyle name="Currency 5 3 3 2 5 2 3 2" xfId="32160" xr:uid="{2ACF19A5-EB5E-49A6-8CFE-92235DFD6A5D}"/>
    <cellStyle name="Currency 5 3 3 2 5 2 4" xfId="22863" xr:uid="{13AF1532-A7EC-4080-9BBD-507A5D0D72AF}"/>
    <cellStyle name="Currency 5 3 3 2 5 3" xfId="6310" xr:uid="{00000000-0005-0000-0000-0000EF0C0000}"/>
    <cellStyle name="Currency 5 3 3 2 5 3 2" xfId="15636" xr:uid="{E8FF07CB-9F00-4B1A-9491-178D0CFD08CC}"/>
    <cellStyle name="Currency 5 3 3 2 5 3 2 2" xfId="34232" xr:uid="{4071BA73-5678-4E7F-A08F-70EF536B0554}"/>
    <cellStyle name="Currency 5 3 3 2 5 3 3" xfId="24935" xr:uid="{40B4A953-8CF6-451A-975D-C49933483EDD}"/>
    <cellStyle name="Currency 5 3 3 2 5 4" xfId="11419" xr:uid="{D9A1592F-D938-41F7-9C3F-2E7032536C08}"/>
    <cellStyle name="Currency 5 3 3 2 5 4 2" xfId="30015" xr:uid="{52A0E0AE-6BD2-48DC-BE63-889DD956370E}"/>
    <cellStyle name="Currency 5 3 3 2 5 5" xfId="20718" xr:uid="{FF9AA355-9ADF-4E39-A4EE-F031A2B67B00}"/>
    <cellStyle name="Currency 5 3 3 2 6" xfId="2439" xr:uid="{00000000-0005-0000-0000-0000F00C0000}"/>
    <cellStyle name="Currency 5 3 3 2 6 2" xfId="6723" xr:uid="{00000000-0005-0000-0000-0000F10C0000}"/>
    <cellStyle name="Currency 5 3 3 2 6 2 2" xfId="16049" xr:uid="{610F2DE5-1866-48D0-BD30-FF2DD8E96A2D}"/>
    <cellStyle name="Currency 5 3 3 2 6 2 2 2" xfId="34645" xr:uid="{53CFB6B2-27C7-442D-AFE0-EB21F32B1CD6}"/>
    <cellStyle name="Currency 5 3 3 2 6 2 3" xfId="25348" xr:uid="{11B525BB-3734-47B8-8F81-DC387C184836}"/>
    <cellStyle name="Currency 5 3 3 2 6 3" xfId="11832" xr:uid="{43B0474A-42B0-4C57-9370-1730C8080AE1}"/>
    <cellStyle name="Currency 5 3 3 2 6 3 2" xfId="30428" xr:uid="{EF06D86F-2F11-422F-8390-72F076B3B61F}"/>
    <cellStyle name="Currency 5 3 3 2 6 4" xfId="21131" xr:uid="{E3B2851B-5F85-43BF-9E63-84C85B67075F}"/>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FA79C867-37F2-4323-9603-99899366877E}"/>
    <cellStyle name="Currency 5 3 3 2 8 2 2 2" xfId="34962" xr:uid="{7D31F999-20DC-4DEE-85F0-B415FC7C977A}"/>
    <cellStyle name="Currency 5 3 3 2 8 2 3" xfId="25665" xr:uid="{00C2D241-B67E-4A7E-A8E5-46C0AD95BC3B}"/>
    <cellStyle name="Currency 5 3 3 2 8 3" xfId="12149" xr:uid="{F6FE0EA3-7985-494C-ABD9-5F714B56EE73}"/>
    <cellStyle name="Currency 5 3 3 2 8 3 2" xfId="30745" xr:uid="{14755EE2-B89F-48B9-8702-4B6D2D23EFAE}"/>
    <cellStyle name="Currency 5 3 3 2 8 4" xfId="21448" xr:uid="{AF6CFDB7-4329-4101-87EA-FB068EE3AAFC}"/>
    <cellStyle name="Currency 5 3 3 2 9" xfId="4657" xr:uid="{00000000-0005-0000-0000-0000F50C0000}"/>
    <cellStyle name="Currency 5 3 3 2 9 2" xfId="13983" xr:uid="{1F065C95-4C8A-4EC5-977F-FF2493ADB324}"/>
    <cellStyle name="Currency 5 3 3 2 9 2 2" xfId="32579" xr:uid="{03D3E147-5B8A-4BC9-BBD4-D9D1A400B341}"/>
    <cellStyle name="Currency 5 3 3 2 9 3" xfId="23282" xr:uid="{689FD3A7-42BA-4BA6-9040-830B3F2E117A}"/>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D152C42A-77A6-462D-AAB5-98B1E7057920}"/>
    <cellStyle name="Currency 5 3 3 3 2 2 2 2" xfId="35137" xr:uid="{77A95F8E-C469-43E5-9423-AF573332AA2E}"/>
    <cellStyle name="Currency 5 3 3 3 2 2 3" xfId="25840" xr:uid="{149CBBB9-7897-490F-8A5E-8BBE3E98C8F2}"/>
    <cellStyle name="Currency 5 3 3 3 2 3" xfId="12324" xr:uid="{ABE854F6-F1AE-4DD7-87AE-651FDB456418}"/>
    <cellStyle name="Currency 5 3 3 3 2 3 2" xfId="30920" xr:uid="{4EC669D5-D3B2-404A-9A67-6E2BC113AEB4}"/>
    <cellStyle name="Currency 5 3 3 3 2 4" xfId="21623" xr:uid="{14BCBAF0-B434-475C-A4FA-B51BE3888767}"/>
    <cellStyle name="Currency 5 3 3 3 3" xfId="5070" xr:uid="{00000000-0005-0000-0000-0000F90C0000}"/>
    <cellStyle name="Currency 5 3 3 3 3 2" xfId="14396" xr:uid="{98F7E6DD-7031-402B-8C69-ED0399E58098}"/>
    <cellStyle name="Currency 5 3 3 3 3 2 2" xfId="32992" xr:uid="{6BAD67BF-D10F-40D3-AE4F-D2BBC04D4076}"/>
    <cellStyle name="Currency 5 3 3 3 3 3" xfId="23695" xr:uid="{2BE06F6E-C2C1-45AA-8FAA-8DAADF7CBB7D}"/>
    <cellStyle name="Currency 5 3 3 3 4" xfId="9307" xr:uid="{3F0512A0-B779-46E4-A963-62E327C6AC5F}"/>
    <cellStyle name="Currency 5 3 3 3 4 2" xfId="18622" xr:uid="{09076BE1-0215-4CE4-A286-16501C1B4781}"/>
    <cellStyle name="Currency 5 3 3 3 4 2 2" xfId="37216" xr:uid="{26A7EDF6-5FA2-4B19-A361-1F1312869062}"/>
    <cellStyle name="Currency 5 3 3 3 4 3" xfId="27919" xr:uid="{FB603949-17AB-4E18-9B9F-5916CC36E7F2}"/>
    <cellStyle name="Currency 5 3 3 3 5" xfId="10179" xr:uid="{14859B3E-12EA-4F3E-ABB9-3B803611DE7B}"/>
    <cellStyle name="Currency 5 3 3 3 5 2" xfId="28775" xr:uid="{264C27BE-AA05-4034-BC24-596706EDC273}"/>
    <cellStyle name="Currency 5 3 3 3 6" xfId="19478" xr:uid="{4EA651A1-7CE5-4252-9F7A-A643A3215079}"/>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30473C51-9484-47F0-9957-40BB11EB1A09}"/>
    <cellStyle name="Currency 5 3 3 4 2 2 2 2" xfId="35550" xr:uid="{BEEE6CF7-B3B1-404C-9F72-F58FAF052E8F}"/>
    <cellStyle name="Currency 5 3 3 4 2 2 3" xfId="26253" xr:uid="{CC839F16-D47E-4C3E-81BD-23A39BE064B0}"/>
    <cellStyle name="Currency 5 3 3 4 2 3" xfId="12737" xr:uid="{DC955E00-4914-4660-ABD0-A9A743003D5F}"/>
    <cellStyle name="Currency 5 3 3 4 2 3 2" xfId="31333" xr:uid="{E51D9BFF-E75F-44ED-BDF1-094148FFAC81}"/>
    <cellStyle name="Currency 5 3 3 4 2 4" xfId="22036" xr:uid="{08C74240-D0F6-453B-A623-4F6EA712F1E5}"/>
    <cellStyle name="Currency 5 3 3 4 3" xfId="5483" xr:uid="{00000000-0005-0000-0000-0000FD0C0000}"/>
    <cellStyle name="Currency 5 3 3 4 3 2" xfId="14809" xr:uid="{3A095F0C-D610-4CCC-A86F-E9D9002741C3}"/>
    <cellStyle name="Currency 5 3 3 4 3 2 2" xfId="33405" xr:uid="{F24FB35F-83D8-48AE-B5CC-FC91277ED6C4}"/>
    <cellStyle name="Currency 5 3 3 4 3 3" xfId="24108" xr:uid="{030AEEA9-83F1-42B4-B6E5-23C48CE17A6E}"/>
    <cellStyle name="Currency 5 3 3 4 4" xfId="10592" xr:uid="{64F82E8B-D20C-4310-BBB2-D49B48E2E417}"/>
    <cellStyle name="Currency 5 3 3 4 4 2" xfId="29188" xr:uid="{BFDB0A10-F5A4-4EF5-A327-B5B6F6D07D8C}"/>
    <cellStyle name="Currency 5 3 3 4 5" xfId="19891" xr:uid="{73EEA095-DC57-47F8-910B-1C2D5B54F1A5}"/>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9C77F989-1AAA-410A-BEB4-A63A4535EBFF}"/>
    <cellStyle name="Currency 5 3 3 5 2 2 2 2" xfId="35963" xr:uid="{AB1FBB35-40CC-49EA-89E4-E82A90C1B94D}"/>
    <cellStyle name="Currency 5 3 3 5 2 2 3" xfId="26666" xr:uid="{F8BF727A-B69A-4EDC-B74A-A31BF8D66089}"/>
    <cellStyle name="Currency 5 3 3 5 2 3" xfId="13150" xr:uid="{0769BF09-B1A7-4E19-97DB-440A20670BC6}"/>
    <cellStyle name="Currency 5 3 3 5 2 3 2" xfId="31746" xr:uid="{4CE2A483-F42D-4EFE-9A2B-0FFF06DB9FE1}"/>
    <cellStyle name="Currency 5 3 3 5 2 4" xfId="22449" xr:uid="{ABBF587A-E3F9-411F-861D-F438DA80532E}"/>
    <cellStyle name="Currency 5 3 3 5 3" xfId="5896" xr:uid="{00000000-0005-0000-0000-0000010D0000}"/>
    <cellStyle name="Currency 5 3 3 5 3 2" xfId="15222" xr:uid="{17EAA856-0EBF-4861-9672-CDE7D6B58706}"/>
    <cellStyle name="Currency 5 3 3 5 3 2 2" xfId="33818" xr:uid="{9D235EF4-1B8D-4903-A03E-3D95DE0C15F5}"/>
    <cellStyle name="Currency 5 3 3 5 3 3" xfId="24521" xr:uid="{29D3766D-7674-421E-B8FF-5870D5CB511E}"/>
    <cellStyle name="Currency 5 3 3 5 4" xfId="11005" xr:uid="{DC963EFA-E2F9-4764-9A44-4C4A098387F2}"/>
    <cellStyle name="Currency 5 3 3 5 4 2" xfId="29601" xr:uid="{7E023A7C-FC4C-4E0B-A127-8A7CE799E6F4}"/>
    <cellStyle name="Currency 5 3 3 5 5" xfId="20304" xr:uid="{85F63848-E021-4B42-BEAB-A660C5105453}"/>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79C1A152-0A1F-49B8-8F55-EF5B60AB3B81}"/>
    <cellStyle name="Currency 5 3 3 6 2 2 2 2" xfId="36376" xr:uid="{CBFEB1E4-EBED-447D-B25C-3C3729659280}"/>
    <cellStyle name="Currency 5 3 3 6 2 2 3" xfId="27079" xr:uid="{AFFC9770-459B-4B14-9E97-939C9E96C172}"/>
    <cellStyle name="Currency 5 3 3 6 2 3" xfId="13563" xr:uid="{08E7B639-9F01-49A6-BA59-99B83FA30E48}"/>
    <cellStyle name="Currency 5 3 3 6 2 3 2" xfId="32159" xr:uid="{9A86E5D7-E2D9-4440-8FBC-2141969E9319}"/>
    <cellStyle name="Currency 5 3 3 6 2 4" xfId="22862" xr:uid="{FD8C441A-F9AD-47F7-A845-7E8F0796032A}"/>
    <cellStyle name="Currency 5 3 3 6 3" xfId="6309" xr:uid="{00000000-0005-0000-0000-0000050D0000}"/>
    <cellStyle name="Currency 5 3 3 6 3 2" xfId="15635" xr:uid="{A1AE18E2-CD2E-4CBC-9B50-2DAB851389B8}"/>
    <cellStyle name="Currency 5 3 3 6 3 2 2" xfId="34231" xr:uid="{D3459914-AF92-4C1F-8EC5-51370C91EAF9}"/>
    <cellStyle name="Currency 5 3 3 6 3 3" xfId="24934" xr:uid="{87C9FC9B-BE50-4A2C-8635-4DE3463686C3}"/>
    <cellStyle name="Currency 5 3 3 6 4" xfId="11418" xr:uid="{B8E7470F-5C84-4E4C-84B3-8379CBB8D553}"/>
    <cellStyle name="Currency 5 3 3 6 4 2" xfId="30014" xr:uid="{F638086E-DFCF-4154-B63B-2AECBCD86DA6}"/>
    <cellStyle name="Currency 5 3 3 6 5" xfId="20717" xr:uid="{B4444E32-5B25-4A63-B811-0A676EE7D767}"/>
    <cellStyle name="Currency 5 3 3 7" xfId="2438" xr:uid="{00000000-0005-0000-0000-0000060D0000}"/>
    <cellStyle name="Currency 5 3 3 7 2" xfId="6722" xr:uid="{00000000-0005-0000-0000-0000070D0000}"/>
    <cellStyle name="Currency 5 3 3 7 2 2" xfId="16048" xr:uid="{ED0D698D-E7C7-4C3C-A33F-04BF229BF854}"/>
    <cellStyle name="Currency 5 3 3 7 2 2 2" xfId="34644" xr:uid="{1D929028-F8E1-4FDC-A3DB-01501CD963BF}"/>
    <cellStyle name="Currency 5 3 3 7 2 3" xfId="25347" xr:uid="{E5FE1A36-0AB0-49CD-82E3-DB57075DCD05}"/>
    <cellStyle name="Currency 5 3 3 7 3" xfId="11831" xr:uid="{6871E0B2-B812-4AF0-8FB7-C594A016BB12}"/>
    <cellStyle name="Currency 5 3 3 7 3 2" xfId="30427" xr:uid="{EDD69FAB-4E6E-4E05-807B-B660EC0C2C26}"/>
    <cellStyle name="Currency 5 3 3 7 4" xfId="21130" xr:uid="{0A8BDC35-3058-4E12-ABAF-8AD952C12D02}"/>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C62309AE-7B65-4692-8839-5BA61386BFF7}"/>
    <cellStyle name="Currency 5 3 3 9 2 2 2" xfId="34961" xr:uid="{08AE515E-E152-4D51-9253-F476A9C1D1EC}"/>
    <cellStyle name="Currency 5 3 3 9 2 3" xfId="25664" xr:uid="{085EDDA9-F7D1-4E8B-9536-BCE955B9EDF6}"/>
    <cellStyle name="Currency 5 3 3 9 3" xfId="12148" xr:uid="{2DB03778-8185-41AF-9E68-B9F93FB3AE0C}"/>
    <cellStyle name="Currency 5 3 3 9 3 2" xfId="30744" xr:uid="{D472BD96-86A7-4499-85DE-D90EC42C2BAA}"/>
    <cellStyle name="Currency 5 3 3 9 4" xfId="21447" xr:uid="{2B60D4BF-99C8-433F-93A4-6E5C6EB8450D}"/>
    <cellStyle name="Currency 5 3 4" xfId="216" xr:uid="{00000000-0005-0000-0000-00000B0D0000}"/>
    <cellStyle name="Currency 5 3 4 10" xfId="8986" xr:uid="{4F6CFA4A-F10A-4043-AD92-C0A3F7F06459}"/>
    <cellStyle name="Currency 5 3 4 10 2" xfId="18310" xr:uid="{C6CDB222-60A7-4691-89CD-AA92A1FED093}"/>
    <cellStyle name="Currency 5 3 4 10 2 2" xfId="36905" xr:uid="{AC519A0A-8356-489C-AA63-159D9D991AA7}"/>
    <cellStyle name="Currency 5 3 4 10 3" xfId="27608" xr:uid="{137ACA06-0750-4926-B4CF-D802189E6D9C}"/>
    <cellStyle name="Currency 5 3 4 11" xfId="9767" xr:uid="{33A969E3-4202-4A69-8AF2-1C8242A8ED7B}"/>
    <cellStyle name="Currency 5 3 4 11 2" xfId="28363" xr:uid="{5A03EEC2-4702-4EB9-8B2B-235B0C5067E6}"/>
    <cellStyle name="Currency 5 3 4 12" xfId="19066" xr:uid="{2373AC9D-AC30-45EB-AFC0-76FE19B63D34}"/>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467F8B89-981C-4CE5-B66C-6746D3BE4B2C}"/>
    <cellStyle name="Currency 5 3 4 2 2 2 2 2" xfId="35139" xr:uid="{20B294C1-163D-4C4A-B977-E957D5467CE4}"/>
    <cellStyle name="Currency 5 3 4 2 2 2 3" xfId="25842" xr:uid="{4F8DA9D2-EDBE-4305-A766-5CDE87D846D3}"/>
    <cellStyle name="Currency 5 3 4 2 2 3" xfId="12326" xr:uid="{A2CE992C-1400-4963-81EA-54461A81C156}"/>
    <cellStyle name="Currency 5 3 4 2 2 3 2" xfId="30922" xr:uid="{5F9A08C2-CD5B-4247-BBE2-14D23FB30C7B}"/>
    <cellStyle name="Currency 5 3 4 2 2 4" xfId="21625" xr:uid="{3DE6E7F0-C273-4B0C-90B3-89B4E32C9B5A}"/>
    <cellStyle name="Currency 5 3 4 2 3" xfId="5072" xr:uid="{00000000-0005-0000-0000-00000F0D0000}"/>
    <cellStyle name="Currency 5 3 4 2 3 2" xfId="14398" xr:uid="{D672FA2F-0397-40B2-AC74-7AB8A914A3B4}"/>
    <cellStyle name="Currency 5 3 4 2 3 2 2" xfId="32994" xr:uid="{B0DF3D92-49A2-464D-A856-13C20C995EDF}"/>
    <cellStyle name="Currency 5 3 4 2 3 3" xfId="23697" xr:uid="{327AF110-2FAC-4FB2-A5A6-52E96E2D654C}"/>
    <cellStyle name="Currency 5 3 4 2 4" xfId="9411" xr:uid="{2729DEB6-408B-463E-B468-91D932C31FD7}"/>
    <cellStyle name="Currency 5 3 4 2 4 2" xfId="18726" xr:uid="{7F9D1E71-47EA-4DB5-9B59-F4FA9CB2694B}"/>
    <cellStyle name="Currency 5 3 4 2 4 2 2" xfId="37320" xr:uid="{E55907E2-6C40-4449-9D39-44BD84DED310}"/>
    <cellStyle name="Currency 5 3 4 2 4 3" xfId="28023" xr:uid="{2FB66259-81B8-4E6F-B43B-0401941643C8}"/>
    <cellStyle name="Currency 5 3 4 2 5" xfId="10181" xr:uid="{D8BC6F52-E045-47FE-9B6E-5AB146F3F38C}"/>
    <cellStyle name="Currency 5 3 4 2 5 2" xfId="28777" xr:uid="{E3FA142D-AF04-468E-98B3-FE727A94232B}"/>
    <cellStyle name="Currency 5 3 4 2 6" xfId="19480" xr:uid="{80ACE2A4-83DD-4917-9985-B943C303D582}"/>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253E9179-2411-4353-B3F6-0F1748A1D2DC}"/>
    <cellStyle name="Currency 5 3 4 3 2 2 2 2" xfId="35552" xr:uid="{ECA81AB6-645B-403B-8090-CDC030A06D81}"/>
    <cellStyle name="Currency 5 3 4 3 2 2 3" xfId="26255" xr:uid="{D6C09584-3F1F-4E75-A98E-EAAC8F03ADCC}"/>
    <cellStyle name="Currency 5 3 4 3 2 3" xfId="12739" xr:uid="{80990A40-379C-484D-8667-4268FFA3639D}"/>
    <cellStyle name="Currency 5 3 4 3 2 3 2" xfId="31335" xr:uid="{7D6E499D-85E8-47B6-8790-60274DFEA698}"/>
    <cellStyle name="Currency 5 3 4 3 2 4" xfId="22038" xr:uid="{AE94ED5E-40FB-44DB-9FA3-08B59E977371}"/>
    <cellStyle name="Currency 5 3 4 3 3" xfId="5485" xr:uid="{00000000-0005-0000-0000-0000130D0000}"/>
    <cellStyle name="Currency 5 3 4 3 3 2" xfId="14811" xr:uid="{FB8BDC3F-5B9C-4F4E-95FE-7FE1D74569B4}"/>
    <cellStyle name="Currency 5 3 4 3 3 2 2" xfId="33407" xr:uid="{68143BE7-AFE8-47B8-8B29-D43D045B7D48}"/>
    <cellStyle name="Currency 5 3 4 3 3 3" xfId="24110" xr:uid="{FA727DC7-B882-4B51-8A38-EB157ED8488A}"/>
    <cellStyle name="Currency 5 3 4 3 4" xfId="10594" xr:uid="{77159BD1-2DFF-4B6F-A48F-64C7416B1C45}"/>
    <cellStyle name="Currency 5 3 4 3 4 2" xfId="29190" xr:uid="{3626CC9D-12F5-4EE7-995C-C6562888A518}"/>
    <cellStyle name="Currency 5 3 4 3 5" xfId="19893" xr:uid="{CC9FDEBA-B907-472D-8446-BF6088844E9D}"/>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8E4E4E13-72D2-4F90-BCB3-3784BBB36850}"/>
    <cellStyle name="Currency 5 3 4 4 2 2 2 2" xfId="35965" xr:uid="{472B6CE5-4CCB-40C6-A7B1-2ED415F13EEC}"/>
    <cellStyle name="Currency 5 3 4 4 2 2 3" xfId="26668" xr:uid="{B880839B-39BA-462D-A0E6-B0C042BBC250}"/>
    <cellStyle name="Currency 5 3 4 4 2 3" xfId="13152" xr:uid="{3A8D2538-D5BE-4998-BE63-0C0424610248}"/>
    <cellStyle name="Currency 5 3 4 4 2 3 2" xfId="31748" xr:uid="{0DA6AB69-A4B0-4499-B92B-34A37A8C6852}"/>
    <cellStyle name="Currency 5 3 4 4 2 4" xfId="22451" xr:uid="{03943EFE-9431-44DE-9625-EDD1318168C6}"/>
    <cellStyle name="Currency 5 3 4 4 3" xfId="5898" xr:uid="{00000000-0005-0000-0000-0000170D0000}"/>
    <cellStyle name="Currency 5 3 4 4 3 2" xfId="15224" xr:uid="{5F209B9F-1B48-4EC3-BDE3-CA670598A354}"/>
    <cellStyle name="Currency 5 3 4 4 3 2 2" xfId="33820" xr:uid="{440434D4-761B-4FD3-9F35-BABA52BC4C47}"/>
    <cellStyle name="Currency 5 3 4 4 3 3" xfId="24523" xr:uid="{4EB5226C-CEE9-4990-8321-D17C2D1839EA}"/>
    <cellStyle name="Currency 5 3 4 4 4" xfId="11007" xr:uid="{3D200BD3-7E3E-4E6D-A837-E2920CA71E10}"/>
    <cellStyle name="Currency 5 3 4 4 4 2" xfId="29603" xr:uid="{4ACE5E97-4B50-41FB-80DF-5429411AD5B3}"/>
    <cellStyle name="Currency 5 3 4 4 5" xfId="20306" xr:uid="{7F41C5F7-EB2F-4C37-8C8F-6BD7CBAD8BA1}"/>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A609F6CB-B4CA-4584-B2BD-76CE1D4B4275}"/>
    <cellStyle name="Currency 5 3 4 5 2 2 2 2" xfId="36378" xr:uid="{47C5FFBD-8B1A-4412-9072-50D7200F0550}"/>
    <cellStyle name="Currency 5 3 4 5 2 2 3" xfId="27081" xr:uid="{1FE41B8C-13BA-46B7-B1F9-BA5A3051ED9C}"/>
    <cellStyle name="Currency 5 3 4 5 2 3" xfId="13565" xr:uid="{194FA1E1-B734-43D6-848B-B4328F3F4935}"/>
    <cellStyle name="Currency 5 3 4 5 2 3 2" xfId="32161" xr:uid="{058BA430-B98F-41D2-A4F8-C96F0F2D9982}"/>
    <cellStyle name="Currency 5 3 4 5 2 4" xfId="22864" xr:uid="{B3CE1214-6CB4-4BF5-B0A2-3CFEFE1F6DEF}"/>
    <cellStyle name="Currency 5 3 4 5 3" xfId="6311" xr:uid="{00000000-0005-0000-0000-00001B0D0000}"/>
    <cellStyle name="Currency 5 3 4 5 3 2" xfId="15637" xr:uid="{4752FE06-3559-4EE5-AA1F-F10D0AA0A119}"/>
    <cellStyle name="Currency 5 3 4 5 3 2 2" xfId="34233" xr:uid="{6215D0BD-097E-443E-88B4-B49D24230A1B}"/>
    <cellStyle name="Currency 5 3 4 5 3 3" xfId="24936" xr:uid="{88655462-695F-4D02-A118-BEC797F8E8A2}"/>
    <cellStyle name="Currency 5 3 4 5 4" xfId="11420" xr:uid="{50DC4DB9-A40A-41A3-A3E8-63D6F2CE23B8}"/>
    <cellStyle name="Currency 5 3 4 5 4 2" xfId="30016" xr:uid="{5666D454-ACB2-4CE3-BA70-EE80DE783E62}"/>
    <cellStyle name="Currency 5 3 4 5 5" xfId="20719" xr:uid="{87174A59-557A-4DC7-A689-09A279685EC1}"/>
    <cellStyle name="Currency 5 3 4 6" xfId="2440" xr:uid="{00000000-0005-0000-0000-00001C0D0000}"/>
    <cellStyle name="Currency 5 3 4 6 2" xfId="6724" xr:uid="{00000000-0005-0000-0000-00001D0D0000}"/>
    <cellStyle name="Currency 5 3 4 6 2 2" xfId="16050" xr:uid="{C27FB15E-68E3-4B44-B932-0C5E986D2709}"/>
    <cellStyle name="Currency 5 3 4 6 2 2 2" xfId="34646" xr:uid="{94CF11F5-A823-4EAD-BE80-2B7B3518D946}"/>
    <cellStyle name="Currency 5 3 4 6 2 3" xfId="25349" xr:uid="{FB0BB244-960F-4CC9-9FE9-5202EC3FB820}"/>
    <cellStyle name="Currency 5 3 4 6 3" xfId="11833" xr:uid="{24F9BA98-EB0B-463A-8FE9-A2D43AC2ED37}"/>
    <cellStyle name="Currency 5 3 4 6 3 2" xfId="30429" xr:uid="{B3872E43-DE84-460F-BFFA-DA1D3D8BE873}"/>
    <cellStyle name="Currency 5 3 4 6 4" xfId="21132" xr:uid="{0BE07B52-A15C-42A6-A0BB-939FB5F5D7FA}"/>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9D45AB78-FC4C-43B0-A3FC-F30BBE78FD81}"/>
    <cellStyle name="Currency 5 3 4 8 2 2 2" xfId="34963" xr:uid="{C3FDC664-C120-4590-B880-697501CF184D}"/>
    <cellStyle name="Currency 5 3 4 8 2 3" xfId="25666" xr:uid="{39F77A3D-3E77-4445-ABF4-62302873CB6A}"/>
    <cellStyle name="Currency 5 3 4 8 3" xfId="12150" xr:uid="{17A5BE14-DFDB-470F-9B88-A56963050A53}"/>
    <cellStyle name="Currency 5 3 4 8 3 2" xfId="30746" xr:uid="{3C7A1E20-4DC6-4E83-B363-BE68760D7452}"/>
    <cellStyle name="Currency 5 3 4 8 4" xfId="21449" xr:uid="{D0A4E508-5A39-4260-A95D-EC8A1CD95818}"/>
    <cellStyle name="Currency 5 3 4 9" xfId="4658" xr:uid="{00000000-0005-0000-0000-0000210D0000}"/>
    <cellStyle name="Currency 5 3 4 9 2" xfId="13984" xr:uid="{CE5B31B1-5616-4801-932B-DBC246C7A768}"/>
    <cellStyle name="Currency 5 3 4 9 2 2" xfId="32580" xr:uid="{8202140D-2472-42EC-A893-F26047EFF653}"/>
    <cellStyle name="Currency 5 3 4 9 3" xfId="23283" xr:uid="{C7C4344F-6DDA-4D1F-AE9A-18FCAFFB03DC}"/>
    <cellStyle name="Currency 5 3 5" xfId="217" xr:uid="{00000000-0005-0000-0000-0000220D0000}"/>
    <cellStyle name="Currency 5 3 5 10" xfId="9203" xr:uid="{6167CBBD-227C-4457-B6B6-18EF5C089771}"/>
    <cellStyle name="Currency 5 3 5 10 2" xfId="18519" xr:uid="{0F039669-AC1B-424A-92E0-E465213B9FD1}"/>
    <cellStyle name="Currency 5 3 5 10 2 2" xfId="37113" xr:uid="{849B09A0-CA74-4A98-BFC6-0D09AB77E533}"/>
    <cellStyle name="Currency 5 3 5 10 3" xfId="27816" xr:uid="{E138C820-6C1D-48FA-9A6F-D98AD12B530E}"/>
    <cellStyle name="Currency 5 3 5 11" xfId="9768" xr:uid="{3EBCCB94-6573-43CB-94C8-E4543A1FB972}"/>
    <cellStyle name="Currency 5 3 5 11 2" xfId="28364" xr:uid="{B7A2A1FC-7D88-4ACC-88A1-0BFA5EC8D0CD}"/>
    <cellStyle name="Currency 5 3 5 12" xfId="19067" xr:uid="{5B484477-CB30-4441-86C9-F56696917616}"/>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F16C60CD-0F3B-4790-A5BA-1BE7D9653506}"/>
    <cellStyle name="Currency 5 3 5 2 2 2 2 2" xfId="35140" xr:uid="{19493228-2080-450E-A343-22F18411FDA5}"/>
    <cellStyle name="Currency 5 3 5 2 2 2 3" xfId="25843" xr:uid="{6E2B7164-022C-4603-8D55-A912351294CC}"/>
    <cellStyle name="Currency 5 3 5 2 2 3" xfId="12327" xr:uid="{60396EAF-FEA9-4832-9CB6-947C3EF68A9E}"/>
    <cellStyle name="Currency 5 3 5 2 2 3 2" xfId="30923" xr:uid="{56FEBFCE-752F-4568-886C-21EE0C5F5132}"/>
    <cellStyle name="Currency 5 3 5 2 2 4" xfId="21626" xr:uid="{D5D7A866-D4AC-4761-BA07-B28A00DFBA20}"/>
    <cellStyle name="Currency 5 3 5 2 3" xfId="5073" xr:uid="{00000000-0005-0000-0000-0000260D0000}"/>
    <cellStyle name="Currency 5 3 5 2 3 2" xfId="14399" xr:uid="{62215116-277E-4D33-BD75-E0CE3F645FFD}"/>
    <cellStyle name="Currency 5 3 5 2 3 2 2" xfId="32995" xr:uid="{AA181359-B35F-4D8C-9387-00779527FD5C}"/>
    <cellStyle name="Currency 5 3 5 2 3 3" xfId="23698" xr:uid="{9DCD4CCD-D25D-4E6A-B15F-E67308B5422D}"/>
    <cellStyle name="Currency 5 3 5 2 4" xfId="9600" xr:uid="{650A4058-48FE-4F3E-8845-8F52DF332026}"/>
    <cellStyle name="Currency 5 3 5 2 4 2" xfId="18904" xr:uid="{1D31556F-3657-48E6-A609-C8437D3A5E00}"/>
    <cellStyle name="Currency 5 3 5 2 4 2 2" xfId="37498" xr:uid="{00F25E71-FCBF-4C09-AAB0-9020D1E6CF50}"/>
    <cellStyle name="Currency 5 3 5 2 4 3" xfId="28201" xr:uid="{8C1F17E1-F3DC-4F7B-972B-A3C4550F24FE}"/>
    <cellStyle name="Currency 5 3 5 2 5" xfId="10182" xr:uid="{790EB06D-2C21-4D67-81B1-433F3741D41F}"/>
    <cellStyle name="Currency 5 3 5 2 5 2" xfId="28778" xr:uid="{0F8E9271-822A-467E-B27A-A6E92533F2A8}"/>
    <cellStyle name="Currency 5 3 5 2 6" xfId="19481" xr:uid="{BA879341-5C3B-4D7E-B11A-50416E0589FF}"/>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DC4E4EC1-7A67-44CD-AC5C-7E4389275853}"/>
    <cellStyle name="Currency 5 3 5 3 2 2 2 2" xfId="35553" xr:uid="{C9CF0F9F-654C-4747-94D6-E58D0F5ED62A}"/>
    <cellStyle name="Currency 5 3 5 3 2 2 3" xfId="26256" xr:uid="{9E86ADE1-A2EF-4D88-9AAA-8370550EC4FE}"/>
    <cellStyle name="Currency 5 3 5 3 2 3" xfId="12740" xr:uid="{C62F94FD-6893-486C-BCE3-298319CE7355}"/>
    <cellStyle name="Currency 5 3 5 3 2 3 2" xfId="31336" xr:uid="{2BB5478D-F04E-4783-8C27-91E4053F8E64}"/>
    <cellStyle name="Currency 5 3 5 3 2 4" xfId="22039" xr:uid="{36B96D0C-D0B8-4756-9B83-6BCC7C045CE9}"/>
    <cellStyle name="Currency 5 3 5 3 3" xfId="5486" xr:uid="{00000000-0005-0000-0000-00002A0D0000}"/>
    <cellStyle name="Currency 5 3 5 3 3 2" xfId="14812" xr:uid="{4CB65B1D-5252-4261-A5C8-1B1FFEFF6BBA}"/>
    <cellStyle name="Currency 5 3 5 3 3 2 2" xfId="33408" xr:uid="{B6854BE9-674D-40ED-BEC7-5D0E902DDFBA}"/>
    <cellStyle name="Currency 5 3 5 3 3 3" xfId="24111" xr:uid="{9F975A66-53F5-43C0-851E-343C8FDCF96A}"/>
    <cellStyle name="Currency 5 3 5 3 4" xfId="10595" xr:uid="{F8B809F4-5DE6-426F-A1BB-5AB3D323E6DC}"/>
    <cellStyle name="Currency 5 3 5 3 4 2" xfId="29191" xr:uid="{4232E245-CC7F-4169-ABBA-8C56368051CD}"/>
    <cellStyle name="Currency 5 3 5 3 5" xfId="19894" xr:uid="{44779FE2-F90A-4DE5-BEF7-C95A9854104D}"/>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D219C6E8-25E3-49D9-8DE6-602CBCCBBE85}"/>
    <cellStyle name="Currency 5 3 5 4 2 2 2 2" xfId="35966" xr:uid="{EAD474F1-8D39-47F9-BBF6-A08F2DEED043}"/>
    <cellStyle name="Currency 5 3 5 4 2 2 3" xfId="26669" xr:uid="{343A5DDE-D37F-4885-BA04-231A22B338EE}"/>
    <cellStyle name="Currency 5 3 5 4 2 3" xfId="13153" xr:uid="{CDA641A2-2AED-481C-9611-85079747A4A3}"/>
    <cellStyle name="Currency 5 3 5 4 2 3 2" xfId="31749" xr:uid="{8C3A51D0-C0F0-439B-8619-BF3A657CBB15}"/>
    <cellStyle name="Currency 5 3 5 4 2 4" xfId="22452" xr:uid="{923AF740-DCE5-4875-81D1-3F0680F114DE}"/>
    <cellStyle name="Currency 5 3 5 4 3" xfId="5899" xr:uid="{00000000-0005-0000-0000-00002E0D0000}"/>
    <cellStyle name="Currency 5 3 5 4 3 2" xfId="15225" xr:uid="{261C7A1C-247C-44CE-9A65-3102A70D0E70}"/>
    <cellStyle name="Currency 5 3 5 4 3 2 2" xfId="33821" xr:uid="{A84CC04E-AA24-4467-991B-8DCF44F16CC8}"/>
    <cellStyle name="Currency 5 3 5 4 3 3" xfId="24524" xr:uid="{7BC7E5D1-42A7-44AB-BE28-7C3BB5D7E91D}"/>
    <cellStyle name="Currency 5 3 5 4 4" xfId="11008" xr:uid="{96421D7E-E324-415B-AAE6-01351F26DB97}"/>
    <cellStyle name="Currency 5 3 5 4 4 2" xfId="29604" xr:uid="{88EA7E91-1338-4A50-9948-379F650DC201}"/>
    <cellStyle name="Currency 5 3 5 4 5" xfId="20307" xr:uid="{34B3F972-E544-483F-BDD4-8DE89F18E020}"/>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0996D219-D6AE-4011-ADE8-0980B8382DD0}"/>
    <cellStyle name="Currency 5 3 5 5 2 2 2 2" xfId="36379" xr:uid="{D8F83102-EB2F-4BFC-BE7F-2F245F64DA94}"/>
    <cellStyle name="Currency 5 3 5 5 2 2 3" xfId="27082" xr:uid="{F43C5170-C17A-4658-8908-08AE6345F9C5}"/>
    <cellStyle name="Currency 5 3 5 5 2 3" xfId="13566" xr:uid="{B6F13250-DF55-4EDA-9DFE-1C2A5309B14C}"/>
    <cellStyle name="Currency 5 3 5 5 2 3 2" xfId="32162" xr:uid="{1361C709-EA79-4B79-B656-2CF3D6EA9A00}"/>
    <cellStyle name="Currency 5 3 5 5 2 4" xfId="22865" xr:uid="{4E644A49-B6F0-4C7A-A5C8-1ECBFD84C30D}"/>
    <cellStyle name="Currency 5 3 5 5 3" xfId="6312" xr:uid="{00000000-0005-0000-0000-0000320D0000}"/>
    <cellStyle name="Currency 5 3 5 5 3 2" xfId="15638" xr:uid="{2E581BE8-C239-426B-87DA-63AE4B77BE6D}"/>
    <cellStyle name="Currency 5 3 5 5 3 2 2" xfId="34234" xr:uid="{0579CA29-6508-431B-9127-0C511193DD88}"/>
    <cellStyle name="Currency 5 3 5 5 3 3" xfId="24937" xr:uid="{72433A86-3A32-4476-9B35-138DD4FFE45B}"/>
    <cellStyle name="Currency 5 3 5 5 4" xfId="11421" xr:uid="{4A156804-E69D-486D-A90B-0BDAE3B81712}"/>
    <cellStyle name="Currency 5 3 5 5 4 2" xfId="30017" xr:uid="{BF710F38-2BCE-442E-90D1-9B76269211EA}"/>
    <cellStyle name="Currency 5 3 5 5 5" xfId="20720" xr:uid="{7F70B358-C5C5-4297-9FA4-C12C0836BB09}"/>
    <cellStyle name="Currency 5 3 5 6" xfId="2441" xr:uid="{00000000-0005-0000-0000-0000330D0000}"/>
    <cellStyle name="Currency 5 3 5 6 2" xfId="6725" xr:uid="{00000000-0005-0000-0000-0000340D0000}"/>
    <cellStyle name="Currency 5 3 5 6 2 2" xfId="16051" xr:uid="{24D09170-0B53-4077-BD8D-7A45EED9B54D}"/>
    <cellStyle name="Currency 5 3 5 6 2 2 2" xfId="34647" xr:uid="{65CF4AAF-AA44-46C2-BAC9-2D5781F8213D}"/>
    <cellStyle name="Currency 5 3 5 6 2 3" xfId="25350" xr:uid="{EE2D69DD-4F98-46F0-B4E2-F463041B14E9}"/>
    <cellStyle name="Currency 5 3 5 6 3" xfId="11834" xr:uid="{2A1BB51B-EFB0-47AA-B1B9-F471AA88A2D5}"/>
    <cellStyle name="Currency 5 3 5 6 3 2" xfId="30430" xr:uid="{9DEDA145-BB3C-481D-AB28-521467FA6DC8}"/>
    <cellStyle name="Currency 5 3 5 6 4" xfId="21133" xr:uid="{2A45DD57-A66C-4DE9-B882-F87DCA591D06}"/>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A892619D-482D-42CB-A6A2-EFCFC7632882}"/>
    <cellStyle name="Currency 5 3 5 8 2 2 2" xfId="34964" xr:uid="{D82541CB-3000-4AE7-B52E-235EA4CBEEBC}"/>
    <cellStyle name="Currency 5 3 5 8 2 3" xfId="25667" xr:uid="{3926861E-5347-4CCB-8EF9-F3CF4D70A646}"/>
    <cellStyle name="Currency 5 3 5 8 3" xfId="12151" xr:uid="{739062F2-8FEE-48A4-A1BE-102484588912}"/>
    <cellStyle name="Currency 5 3 5 8 3 2" xfId="30747" xr:uid="{248D130C-BF22-4008-932B-9BF480359D05}"/>
    <cellStyle name="Currency 5 3 5 8 4" xfId="21450" xr:uid="{4526F366-CE65-47D1-B6FA-BD7FB3D25CD4}"/>
    <cellStyle name="Currency 5 3 5 9" xfId="4659" xr:uid="{00000000-0005-0000-0000-0000380D0000}"/>
    <cellStyle name="Currency 5 3 5 9 2" xfId="13985" xr:uid="{DAD8114F-D9DC-423E-B65F-1B10FF11E055}"/>
    <cellStyle name="Currency 5 3 5 9 2 2" xfId="32581" xr:uid="{405F0CB2-BFAE-4E28-8348-9D0A92701F2C}"/>
    <cellStyle name="Currency 5 3 5 9 3" xfId="23284" xr:uid="{68D6DF58-5E6D-4462-920E-439AEF2AD4A8}"/>
    <cellStyle name="Currency 5 3 6" xfId="9585" xr:uid="{F259418A-5AC0-4C4E-A98C-07B5BEE6D673}"/>
    <cellStyle name="Currency 5 3 7" xfId="8779" xr:uid="{856D4C12-E347-4E8F-9200-2EC71AC3E0CB}"/>
    <cellStyle name="Currency 5 3 7 2" xfId="18103" xr:uid="{8F306279-B781-4972-A20F-970AC8306536}"/>
    <cellStyle name="Currency 5 3 7 2 2" xfId="36698" xr:uid="{F501E7CE-4627-46B2-925A-69E55FC532DE}"/>
    <cellStyle name="Currency 5 3 7 3" xfId="27401" xr:uid="{24FE7CD6-9EC4-4C10-A568-54930C959D3D}"/>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49905BE2-74D6-47E1-8935-E1755D851A52}"/>
    <cellStyle name="Currency 5 5 10 2 2" xfId="32582" xr:uid="{F5AE9437-5F3C-43AA-91B1-056FEEB55BA7}"/>
    <cellStyle name="Currency 5 5 10 3" xfId="23285" xr:uid="{AC77BBF4-55DD-44C8-9979-F02EEEC25454}"/>
    <cellStyle name="Currency 5 5 11" xfId="8850" xr:uid="{8F129173-F323-478F-8B06-1E2599EB26C1}"/>
    <cellStyle name="Currency 5 5 11 2" xfId="18174" xr:uid="{40CAF158-F4A4-475D-8AB8-D068A8F35A7C}"/>
    <cellStyle name="Currency 5 5 11 2 2" xfId="36769" xr:uid="{8FD45876-97CE-4E86-AB39-2A861A599F35}"/>
    <cellStyle name="Currency 5 5 11 3" xfId="27472" xr:uid="{481746CC-9AFE-470E-9ED6-A9285F024D30}"/>
    <cellStyle name="Currency 5 5 12" xfId="9769" xr:uid="{ED8A030F-D369-4E61-B07B-B417EABBC2D4}"/>
    <cellStyle name="Currency 5 5 12 2" xfId="28365" xr:uid="{D85962E5-1B23-4C2C-853E-CA8E1C2474EB}"/>
    <cellStyle name="Currency 5 5 13" xfId="19068" xr:uid="{68A20C21-753D-4C59-A7CC-989293F68FAE}"/>
    <cellStyle name="Currency 5 5 2" xfId="220" xr:uid="{00000000-0005-0000-0000-00003D0D0000}"/>
    <cellStyle name="Currency 5 5 2 10" xfId="9057" xr:uid="{90E61E49-0971-4EC1-90D8-E015846E4FB2}"/>
    <cellStyle name="Currency 5 5 2 10 2" xfId="18381" xr:uid="{3F5E6076-0D89-4337-88AC-67B19CBE499A}"/>
    <cellStyle name="Currency 5 5 2 10 2 2" xfId="36976" xr:uid="{B6E1E528-800F-47F5-9BA9-964BC62D9CC5}"/>
    <cellStyle name="Currency 5 5 2 10 3" xfId="27679" xr:uid="{E6352CAD-C906-4FE5-9D0F-B7102BE6A252}"/>
    <cellStyle name="Currency 5 5 2 11" xfId="9770" xr:uid="{18E2AD63-5AFA-4544-A6BE-09F5402AB2AA}"/>
    <cellStyle name="Currency 5 5 2 11 2" xfId="28366" xr:uid="{D2E0B6AB-F852-409A-8C6A-5C6007DD10BD}"/>
    <cellStyle name="Currency 5 5 2 12" xfId="19069" xr:uid="{4833BEA6-C902-419D-BF99-7BE872DF36C7}"/>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DD551641-4622-4933-8D60-1A284D35CE75}"/>
    <cellStyle name="Currency 5 5 2 2 2 2 2 2" xfId="35142" xr:uid="{F364A9CA-111C-4F5A-9F9F-3EB5A2B8A400}"/>
    <cellStyle name="Currency 5 5 2 2 2 2 3" xfId="25845" xr:uid="{58C36826-587C-48A0-AEBF-B45ABF4FE57E}"/>
    <cellStyle name="Currency 5 5 2 2 2 3" xfId="12329" xr:uid="{82E7F8F6-C529-4F8B-BF79-5E98A281EB9D}"/>
    <cellStyle name="Currency 5 5 2 2 2 3 2" xfId="30925" xr:uid="{8318056F-94FF-465A-9ABF-3B9AB7E4BABB}"/>
    <cellStyle name="Currency 5 5 2 2 2 4" xfId="21628" xr:uid="{97B0D803-01F4-49DF-8F23-894D407897E2}"/>
    <cellStyle name="Currency 5 5 2 2 3" xfId="5075" xr:uid="{00000000-0005-0000-0000-0000410D0000}"/>
    <cellStyle name="Currency 5 5 2 2 3 2" xfId="14401" xr:uid="{7A5BBE68-C633-418B-8420-4F104432F1F7}"/>
    <cellStyle name="Currency 5 5 2 2 3 2 2" xfId="32997" xr:uid="{76A767F3-6CAC-4D70-BF3B-8FB006EE0C6B}"/>
    <cellStyle name="Currency 5 5 2 2 3 3" xfId="23700" xr:uid="{390F788D-864A-47C6-8A56-4235C697164F}"/>
    <cellStyle name="Currency 5 5 2 2 4" xfId="9482" xr:uid="{ECEE3E7C-42CD-4A2D-A90F-D54FFBA7E41F}"/>
    <cellStyle name="Currency 5 5 2 2 4 2" xfId="18797" xr:uid="{98A86E76-129E-46BC-8393-59D3C99C16B4}"/>
    <cellStyle name="Currency 5 5 2 2 4 2 2" xfId="37391" xr:uid="{B2EE2965-2213-4D47-B5B0-64B5060E7617}"/>
    <cellStyle name="Currency 5 5 2 2 4 3" xfId="28094" xr:uid="{B0D2490C-6440-47AF-B210-DC11668BF32D}"/>
    <cellStyle name="Currency 5 5 2 2 5" xfId="10184" xr:uid="{8B5712A4-68FE-4EC8-A4B7-2E01522B755D}"/>
    <cellStyle name="Currency 5 5 2 2 5 2" xfId="28780" xr:uid="{07B19D62-2F3A-4292-85D5-278373171EA7}"/>
    <cellStyle name="Currency 5 5 2 2 6" xfId="19483" xr:uid="{442198A0-9F23-4DB1-A18D-75D7604F17B4}"/>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24AFDC9F-D572-4DF6-8323-DD51F9BC78C0}"/>
    <cellStyle name="Currency 5 5 2 3 2 2 2 2" xfId="35555" xr:uid="{44FC2AE7-C3B1-496A-A1AF-289C6038EA47}"/>
    <cellStyle name="Currency 5 5 2 3 2 2 3" xfId="26258" xr:uid="{E2DE7FAD-C7D2-491B-BDC0-2F2DBDD43F68}"/>
    <cellStyle name="Currency 5 5 2 3 2 3" xfId="12742" xr:uid="{01CDEE79-9078-433B-B5F2-DE45C00D97E4}"/>
    <cellStyle name="Currency 5 5 2 3 2 3 2" xfId="31338" xr:uid="{DA9F697C-251E-4DC5-80DD-EA2453E68858}"/>
    <cellStyle name="Currency 5 5 2 3 2 4" xfId="22041" xr:uid="{02854B27-B274-4E52-A83D-878CE1B93425}"/>
    <cellStyle name="Currency 5 5 2 3 3" xfId="5488" xr:uid="{00000000-0005-0000-0000-0000450D0000}"/>
    <cellStyle name="Currency 5 5 2 3 3 2" xfId="14814" xr:uid="{270F9853-FDA3-49AF-BE8C-C51C3906F0CE}"/>
    <cellStyle name="Currency 5 5 2 3 3 2 2" xfId="33410" xr:uid="{C7D7977F-2D69-4EC7-8AD7-080379F13B16}"/>
    <cellStyle name="Currency 5 5 2 3 3 3" xfId="24113" xr:uid="{89062D79-56A8-459C-8663-338D8B1D0FA1}"/>
    <cellStyle name="Currency 5 5 2 3 4" xfId="10597" xr:uid="{1F77B464-3810-408D-B7CD-84DEF93F2AAF}"/>
    <cellStyle name="Currency 5 5 2 3 4 2" xfId="29193" xr:uid="{A9540EC4-FA1F-4DBD-9815-C05A5360C214}"/>
    <cellStyle name="Currency 5 5 2 3 5" xfId="19896" xr:uid="{37988324-6E5D-4615-88DD-6FC429D18968}"/>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4A995A5F-5D4C-4F62-B5B6-74B30F7DC2F4}"/>
    <cellStyle name="Currency 5 5 2 4 2 2 2 2" xfId="35968" xr:uid="{0B7262D6-8786-4AD5-993C-E4FF1879A874}"/>
    <cellStyle name="Currency 5 5 2 4 2 2 3" xfId="26671" xr:uid="{C39C1F58-4100-4467-A868-B5A1E76F0C6E}"/>
    <cellStyle name="Currency 5 5 2 4 2 3" xfId="13155" xr:uid="{818E7A9E-24BD-42D6-B835-4F94E773FA7C}"/>
    <cellStyle name="Currency 5 5 2 4 2 3 2" xfId="31751" xr:uid="{184843A9-FBC6-4A32-AD8B-93F39079BA99}"/>
    <cellStyle name="Currency 5 5 2 4 2 4" xfId="22454" xr:uid="{7A06AE0E-C5F3-4C6F-BD2D-9C5A057BD80A}"/>
    <cellStyle name="Currency 5 5 2 4 3" xfId="5901" xr:uid="{00000000-0005-0000-0000-0000490D0000}"/>
    <cellStyle name="Currency 5 5 2 4 3 2" xfId="15227" xr:uid="{642EBFDE-20E5-47CD-8ED6-E12527BE66D8}"/>
    <cellStyle name="Currency 5 5 2 4 3 2 2" xfId="33823" xr:uid="{0BB4C5E7-3A42-4905-8A78-12A448E49D68}"/>
    <cellStyle name="Currency 5 5 2 4 3 3" xfId="24526" xr:uid="{470329BF-300B-4DB6-B34C-29D03F0ACA5C}"/>
    <cellStyle name="Currency 5 5 2 4 4" xfId="11010" xr:uid="{8E4A9439-5D89-4623-8CE8-B849A4C61AA4}"/>
    <cellStyle name="Currency 5 5 2 4 4 2" xfId="29606" xr:uid="{AF1D1BB2-FD10-4216-9F3B-A4DB40E5E4FB}"/>
    <cellStyle name="Currency 5 5 2 4 5" xfId="20309" xr:uid="{DA441C78-CD0B-4A5A-B5BF-26EDEB55860E}"/>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81513354-99FB-4EA6-9874-F1281D99A5FE}"/>
    <cellStyle name="Currency 5 5 2 5 2 2 2 2" xfId="36381" xr:uid="{D1B526FC-4069-432C-AA0C-40B560697BC6}"/>
    <cellStyle name="Currency 5 5 2 5 2 2 3" xfId="27084" xr:uid="{5C2BEB32-8639-4679-BDCC-33D88D5BAEF4}"/>
    <cellStyle name="Currency 5 5 2 5 2 3" xfId="13568" xr:uid="{9DB037C7-8983-4776-8A92-0A65704B7DA0}"/>
    <cellStyle name="Currency 5 5 2 5 2 3 2" xfId="32164" xr:uid="{77EBE785-AB57-4245-A38D-8B0EB7729E8E}"/>
    <cellStyle name="Currency 5 5 2 5 2 4" xfId="22867" xr:uid="{7342C2DF-13CA-4E20-BF5B-4758F7953919}"/>
    <cellStyle name="Currency 5 5 2 5 3" xfId="6314" xr:uid="{00000000-0005-0000-0000-00004D0D0000}"/>
    <cellStyle name="Currency 5 5 2 5 3 2" xfId="15640" xr:uid="{95506C96-EDF6-4608-BFBF-6AFE3543B869}"/>
    <cellStyle name="Currency 5 5 2 5 3 2 2" xfId="34236" xr:uid="{4B8E3B38-3904-4C38-A793-6CE16A7490A8}"/>
    <cellStyle name="Currency 5 5 2 5 3 3" xfId="24939" xr:uid="{0039D596-27B8-4CDC-AC3F-BED4EBCD4CE4}"/>
    <cellStyle name="Currency 5 5 2 5 4" xfId="11423" xr:uid="{D54A2009-79A7-4571-AD26-2128A05086A9}"/>
    <cellStyle name="Currency 5 5 2 5 4 2" xfId="30019" xr:uid="{5B4C1EA2-B95F-47B0-A9F6-6C9B12F46138}"/>
    <cellStyle name="Currency 5 5 2 5 5" xfId="20722" xr:uid="{B47212F5-63E9-4430-B7FC-6E4A8C91671A}"/>
    <cellStyle name="Currency 5 5 2 6" xfId="2443" xr:uid="{00000000-0005-0000-0000-00004E0D0000}"/>
    <cellStyle name="Currency 5 5 2 6 2" xfId="6727" xr:uid="{00000000-0005-0000-0000-00004F0D0000}"/>
    <cellStyle name="Currency 5 5 2 6 2 2" xfId="16053" xr:uid="{A69FCD83-8516-40DA-8FEC-4AB34DF98AB1}"/>
    <cellStyle name="Currency 5 5 2 6 2 2 2" xfId="34649" xr:uid="{5CFE4F74-D2B0-4076-9129-76D94AC5EF79}"/>
    <cellStyle name="Currency 5 5 2 6 2 3" xfId="25352" xr:uid="{EC206C74-E2CA-4A57-956F-55291D0919A4}"/>
    <cellStyle name="Currency 5 5 2 6 3" xfId="11836" xr:uid="{AFDD0504-D918-4EA2-B586-93AC96C53201}"/>
    <cellStyle name="Currency 5 5 2 6 3 2" xfId="30432" xr:uid="{7993AB9C-6162-48A1-B7FB-62527E75661F}"/>
    <cellStyle name="Currency 5 5 2 6 4" xfId="21135" xr:uid="{D68CF0F3-14AC-4F15-A48B-37D753725118}"/>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3E55676D-7E04-4EA1-A99E-1225D88B41F4}"/>
    <cellStyle name="Currency 5 5 2 8 2 2 2" xfId="34966" xr:uid="{5A347115-0D99-4853-B00F-DE887E994E71}"/>
    <cellStyle name="Currency 5 5 2 8 2 3" xfId="25669" xr:uid="{FB5D9798-7CA5-40AB-B703-944701C6F352}"/>
    <cellStyle name="Currency 5 5 2 8 3" xfId="12153" xr:uid="{0E71BCCC-F817-477A-9186-3E1A14FD11D8}"/>
    <cellStyle name="Currency 5 5 2 8 3 2" xfId="30749" xr:uid="{D4092EDC-B8F7-4EFD-A853-22AA910C2C9A}"/>
    <cellStyle name="Currency 5 5 2 8 4" xfId="21452" xr:uid="{FC46BA4C-1685-49CD-85EB-54A74D8A0440}"/>
    <cellStyle name="Currency 5 5 2 9" xfId="4661" xr:uid="{00000000-0005-0000-0000-0000530D0000}"/>
    <cellStyle name="Currency 5 5 2 9 2" xfId="13987" xr:uid="{2A25774A-D01F-4CE8-B156-1355D927D51D}"/>
    <cellStyle name="Currency 5 5 2 9 2 2" xfId="32583" xr:uid="{7B51FD40-42F3-4241-A631-9E142D4E87BC}"/>
    <cellStyle name="Currency 5 5 2 9 3" xfId="23286" xr:uid="{559DDE37-30A5-46AE-8798-4659DE4112A6}"/>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28517B0F-534C-4B3F-A7EE-2C8AAC7FCE6A}"/>
    <cellStyle name="Currency 5 5 3 2 2 2 2" xfId="35141" xr:uid="{5C8AD4E8-91E5-4A66-8BF5-9BD539DFA191}"/>
    <cellStyle name="Currency 5 5 3 2 2 3" xfId="25844" xr:uid="{109AF4CD-68E8-4A63-88EA-79CFEDF71CCF}"/>
    <cellStyle name="Currency 5 5 3 2 3" xfId="12328" xr:uid="{AFAB6093-B05A-403B-9F2E-5DBADF614AA4}"/>
    <cellStyle name="Currency 5 5 3 2 3 2" xfId="30924" xr:uid="{69FA222F-2556-4BD5-9D74-DA1D58D36DED}"/>
    <cellStyle name="Currency 5 5 3 2 4" xfId="21627" xr:uid="{A61B25BE-585B-496D-B865-0B651EF4C843}"/>
    <cellStyle name="Currency 5 5 3 3" xfId="5074" xr:uid="{00000000-0005-0000-0000-0000570D0000}"/>
    <cellStyle name="Currency 5 5 3 3 2" xfId="14400" xr:uid="{B082E643-CF1E-4EA0-A74A-299C1BA3D9D3}"/>
    <cellStyle name="Currency 5 5 3 3 2 2" xfId="32996" xr:uid="{4DCDA770-DF0F-45F7-BFF5-E62F87C65E56}"/>
    <cellStyle name="Currency 5 5 3 3 3" xfId="23699" xr:uid="{0127EB4A-999C-4BEC-856A-FC10C4E7460D}"/>
    <cellStyle name="Currency 5 5 3 4" xfId="9275" xr:uid="{54783F20-34E5-4A58-80AE-EC7CC69A89C9}"/>
    <cellStyle name="Currency 5 5 3 4 2" xfId="18590" xr:uid="{36B0931E-4DE7-4841-9130-C960FEDE7BCB}"/>
    <cellStyle name="Currency 5 5 3 4 2 2" xfId="37184" xr:uid="{4330EDB5-B979-44FA-A496-F27BA77574D2}"/>
    <cellStyle name="Currency 5 5 3 4 3" xfId="27887" xr:uid="{C6B20144-04DF-4D38-9A28-4A2C9827769B}"/>
    <cellStyle name="Currency 5 5 3 5" xfId="10183" xr:uid="{3AB71220-B97A-42A9-93AF-B527043E2EE2}"/>
    <cellStyle name="Currency 5 5 3 5 2" xfId="28779" xr:uid="{30E5D4AA-98A7-4108-968B-C655ED4F1A37}"/>
    <cellStyle name="Currency 5 5 3 6" xfId="19482" xr:uid="{36F4EC79-5017-4655-AFFF-DFC0702FFCBE}"/>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BB4F0629-1CC7-48F7-9052-625734DE5814}"/>
    <cellStyle name="Currency 5 5 4 2 2 2 2" xfId="35554" xr:uid="{F9727FD9-F512-4E3E-ABDC-69FB07ABC25F}"/>
    <cellStyle name="Currency 5 5 4 2 2 3" xfId="26257" xr:uid="{BE8E75D7-5382-4421-B0DA-967B7E7F8285}"/>
    <cellStyle name="Currency 5 5 4 2 3" xfId="12741" xr:uid="{17A443F4-9721-4F09-90DF-D24C8858AA02}"/>
    <cellStyle name="Currency 5 5 4 2 3 2" xfId="31337" xr:uid="{998B39D5-3C88-4C33-9615-ACB8AFDE0A86}"/>
    <cellStyle name="Currency 5 5 4 2 4" xfId="22040" xr:uid="{048CFB69-4584-4E36-AA59-152FF005A9F4}"/>
    <cellStyle name="Currency 5 5 4 3" xfId="5487" xr:uid="{00000000-0005-0000-0000-00005B0D0000}"/>
    <cellStyle name="Currency 5 5 4 3 2" xfId="14813" xr:uid="{1366FEF0-304D-49CE-8F80-5B0F8DBBE163}"/>
    <cellStyle name="Currency 5 5 4 3 2 2" xfId="33409" xr:uid="{51B61A25-EF24-4978-A66C-19CC488C7B98}"/>
    <cellStyle name="Currency 5 5 4 3 3" xfId="24112" xr:uid="{0FE7BB30-E3BE-4925-A25D-85FDB697E14B}"/>
    <cellStyle name="Currency 5 5 4 4" xfId="10596" xr:uid="{920A6843-62A6-4B26-9BC8-8CBED366ED73}"/>
    <cellStyle name="Currency 5 5 4 4 2" xfId="29192" xr:uid="{CBBD3298-6F08-4FCC-A73E-621275DCD552}"/>
    <cellStyle name="Currency 5 5 4 5" xfId="19895" xr:uid="{0F3E0BCE-4119-4C29-B1C4-F35D188DAE45}"/>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31BBED51-A725-4321-8F3E-0439E46BB9D9}"/>
    <cellStyle name="Currency 5 5 5 2 2 2 2" xfId="35967" xr:uid="{B9453097-D3E5-4AB4-900F-DBDF03046A8E}"/>
    <cellStyle name="Currency 5 5 5 2 2 3" xfId="26670" xr:uid="{5CE71B8C-973F-4841-8CEA-5D9EBBDF97D9}"/>
    <cellStyle name="Currency 5 5 5 2 3" xfId="13154" xr:uid="{6ACF11BD-09DE-416C-B196-A16765A04416}"/>
    <cellStyle name="Currency 5 5 5 2 3 2" xfId="31750" xr:uid="{D9E83FE4-07FE-407C-89B0-1360D2224DE4}"/>
    <cellStyle name="Currency 5 5 5 2 4" xfId="22453" xr:uid="{C8D4A5B5-DE49-406E-9D22-1F99F1C58A81}"/>
    <cellStyle name="Currency 5 5 5 3" xfId="5900" xr:uid="{00000000-0005-0000-0000-00005F0D0000}"/>
    <cellStyle name="Currency 5 5 5 3 2" xfId="15226" xr:uid="{149E4EEE-4D09-44B5-8151-D283C3FDF604}"/>
    <cellStyle name="Currency 5 5 5 3 2 2" xfId="33822" xr:uid="{4FE8A250-F2BC-4EC8-8C51-35AB8403643C}"/>
    <cellStyle name="Currency 5 5 5 3 3" xfId="24525" xr:uid="{9F983D49-9B5A-4359-83B8-1B3DB92CEE32}"/>
    <cellStyle name="Currency 5 5 5 4" xfId="11009" xr:uid="{3070DDE8-1786-401C-8687-DE66E288FD96}"/>
    <cellStyle name="Currency 5 5 5 4 2" xfId="29605" xr:uid="{1CCDB6A7-0F34-40C7-8DEC-BC4FA31B83BB}"/>
    <cellStyle name="Currency 5 5 5 5" xfId="20308" xr:uid="{0BF38397-7CCB-4D3D-968B-4EBF00869224}"/>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DF9BB6FB-7981-4250-9800-CFCA41255EB6}"/>
    <cellStyle name="Currency 5 5 6 2 2 2 2" xfId="36380" xr:uid="{555EA591-F2FB-46A3-9F36-FF64F8714984}"/>
    <cellStyle name="Currency 5 5 6 2 2 3" xfId="27083" xr:uid="{5DEF4B07-7E9B-4230-BCC3-19E290E5EC7E}"/>
    <cellStyle name="Currency 5 5 6 2 3" xfId="13567" xr:uid="{51707976-1A76-4320-BAA8-7B6911099F4A}"/>
    <cellStyle name="Currency 5 5 6 2 3 2" xfId="32163" xr:uid="{F1A16598-EBD5-4BA0-A74D-4504C2698270}"/>
    <cellStyle name="Currency 5 5 6 2 4" xfId="22866" xr:uid="{F28E7D50-CCD8-4485-9470-9B70F9A178FA}"/>
    <cellStyle name="Currency 5 5 6 3" xfId="6313" xr:uid="{00000000-0005-0000-0000-0000630D0000}"/>
    <cellStyle name="Currency 5 5 6 3 2" xfId="15639" xr:uid="{45F5139F-D5CD-41EF-8E66-D059289CA937}"/>
    <cellStyle name="Currency 5 5 6 3 2 2" xfId="34235" xr:uid="{92A325D3-2BCA-4954-B1CD-9FA60B4D30C2}"/>
    <cellStyle name="Currency 5 5 6 3 3" xfId="24938" xr:uid="{060C2AF8-9255-4E20-B4BA-C4F5ACD48879}"/>
    <cellStyle name="Currency 5 5 6 4" xfId="11422" xr:uid="{C2D082C7-E82F-44C0-AC30-509033FA9393}"/>
    <cellStyle name="Currency 5 5 6 4 2" xfId="30018" xr:uid="{390DA682-AA56-4273-97F8-77F1CCCFEDD7}"/>
    <cellStyle name="Currency 5 5 6 5" xfId="20721" xr:uid="{E7EE84DD-B0BF-4620-B29E-D7D45D7EF820}"/>
    <cellStyle name="Currency 5 5 7" xfId="2442" xr:uid="{00000000-0005-0000-0000-0000640D0000}"/>
    <cellStyle name="Currency 5 5 7 2" xfId="6726" xr:uid="{00000000-0005-0000-0000-0000650D0000}"/>
    <cellStyle name="Currency 5 5 7 2 2" xfId="16052" xr:uid="{D8D71CB1-4352-40D8-A2A5-90FBE1A07546}"/>
    <cellStyle name="Currency 5 5 7 2 2 2" xfId="34648" xr:uid="{74F59F39-DFC9-4EE4-ACB7-0FC887869427}"/>
    <cellStyle name="Currency 5 5 7 2 3" xfId="25351" xr:uid="{B2CEF20D-5629-4694-9C3E-5490D0D65498}"/>
    <cellStyle name="Currency 5 5 7 3" xfId="11835" xr:uid="{7FBFCD37-44CC-457C-BD76-9A28E0FFA4F6}"/>
    <cellStyle name="Currency 5 5 7 3 2" xfId="30431" xr:uid="{5FEFFF37-8D10-4D11-8786-80057D51127C}"/>
    <cellStyle name="Currency 5 5 7 4" xfId="21134" xr:uid="{8311C543-D000-4B25-9496-CE34C60726D1}"/>
    <cellStyle name="Currency 5 5 8" xfId="2739" xr:uid="{00000000-0005-0000-0000-0000660D0000}"/>
    <cellStyle name="Currency 5 5 9" xfId="2820" xr:uid="{00000000-0005-0000-0000-0000670D0000}"/>
    <cellStyle name="Currency 5 5 9 2" xfId="7043" xr:uid="{00000000-0005-0000-0000-0000680D0000}"/>
    <cellStyle name="Currency 5 5 9 2 2" xfId="16369" xr:uid="{A24E654B-3EC7-4C62-B0DE-410B247F813B}"/>
    <cellStyle name="Currency 5 5 9 2 2 2" xfId="34965" xr:uid="{4E8133F1-EEE4-45B8-BDF2-F0372818FE04}"/>
    <cellStyle name="Currency 5 5 9 2 3" xfId="25668" xr:uid="{C0191248-197D-4AB0-A92E-247BD8F77ED7}"/>
    <cellStyle name="Currency 5 5 9 3" xfId="12152" xr:uid="{7EA4FB75-4A46-4E30-9DA1-F6AD9995111D}"/>
    <cellStyle name="Currency 5 5 9 3 2" xfId="30748" xr:uid="{E37855B4-7442-492B-A09F-102004443BD9}"/>
    <cellStyle name="Currency 5 5 9 4" xfId="21451" xr:uid="{ECA35BFA-33AA-41DE-8AEC-BF6155DB3A65}"/>
    <cellStyle name="Currency 5 6" xfId="221" xr:uid="{00000000-0005-0000-0000-0000690D0000}"/>
    <cellStyle name="Currency 5 6 10" xfId="8966" xr:uid="{EC95BD1E-EAA8-4043-BDA7-06F3BBDBC3D5}"/>
    <cellStyle name="Currency 5 6 10 2" xfId="18290" xr:uid="{6C04335C-95D9-4EC1-8CDE-0F17487B474F}"/>
    <cellStyle name="Currency 5 6 10 2 2" xfId="36885" xr:uid="{E5613AE5-0BA6-44E5-A909-544C28186158}"/>
    <cellStyle name="Currency 5 6 10 3" xfId="27588" xr:uid="{EC000CD1-F028-492C-8054-806FB7B56819}"/>
    <cellStyle name="Currency 5 6 11" xfId="9771" xr:uid="{F89ED235-41A3-4170-80A7-626368D982A3}"/>
    <cellStyle name="Currency 5 6 11 2" xfId="28367" xr:uid="{1BD11997-5FAB-4558-AAE0-E493A034DBA3}"/>
    <cellStyle name="Currency 5 6 12" xfId="19070" xr:uid="{D94658B3-FAF7-4364-AB92-2C3CAD0248A1}"/>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87F18269-0DED-426A-9A5B-B47A04926E3A}"/>
    <cellStyle name="Currency 5 6 2 2 2 2 2" xfId="35143" xr:uid="{F840C784-E891-44EA-9ABB-E7F499FB6669}"/>
    <cellStyle name="Currency 5 6 2 2 2 3" xfId="25846" xr:uid="{D7E5DE5B-F3C7-4494-8D1C-21C85A674C25}"/>
    <cellStyle name="Currency 5 6 2 2 3" xfId="12330" xr:uid="{7F134836-7528-4CBE-AB51-9B6160C914CD}"/>
    <cellStyle name="Currency 5 6 2 2 3 2" xfId="30926" xr:uid="{530F7242-4764-4FFA-876D-7F2E6DD70A30}"/>
    <cellStyle name="Currency 5 6 2 2 4" xfId="21629" xr:uid="{2D54988E-FF1F-4B30-8E0C-4865E7F02246}"/>
    <cellStyle name="Currency 5 6 2 3" xfId="5076" xr:uid="{00000000-0005-0000-0000-00006D0D0000}"/>
    <cellStyle name="Currency 5 6 2 3 2" xfId="14402" xr:uid="{A66CD45E-15CD-4FA1-8D23-DF3405B5467F}"/>
    <cellStyle name="Currency 5 6 2 3 2 2" xfId="32998" xr:uid="{4E090AA8-4A28-4B1A-BB35-77240FEEF154}"/>
    <cellStyle name="Currency 5 6 2 3 3" xfId="23701" xr:uid="{7513D7F9-1977-4DE8-AA61-F7DAFCA4198E}"/>
    <cellStyle name="Currency 5 6 2 4" xfId="9391" xr:uid="{8CBF3F74-51EC-4402-B96A-0759E6537FC7}"/>
    <cellStyle name="Currency 5 6 2 4 2" xfId="18706" xr:uid="{1C36BBEF-3A46-4F9F-9B7D-CE02A4088537}"/>
    <cellStyle name="Currency 5 6 2 4 2 2" xfId="37300" xr:uid="{6B98ED98-110B-4FB3-8DCB-CAEED210F564}"/>
    <cellStyle name="Currency 5 6 2 4 3" xfId="28003" xr:uid="{9776F233-6BA2-458C-9E38-01444127BF68}"/>
    <cellStyle name="Currency 5 6 2 5" xfId="10185" xr:uid="{79F4423A-2144-4696-A6BC-0C56280A3ECE}"/>
    <cellStyle name="Currency 5 6 2 5 2" xfId="28781" xr:uid="{D3977A16-B5DC-4316-B308-4A47B462CDEA}"/>
    <cellStyle name="Currency 5 6 2 6" xfId="19484" xr:uid="{6561C901-1137-47E1-A124-2D4B9C7AF333}"/>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FA49E922-C845-4039-87CD-157CD07967F1}"/>
    <cellStyle name="Currency 5 6 3 2 2 2 2" xfId="35556" xr:uid="{3BC3B88A-F4A8-4DFC-9A00-489E65C54D0A}"/>
    <cellStyle name="Currency 5 6 3 2 2 3" xfId="26259" xr:uid="{F48FF29A-E84C-4346-B2B1-7E713AD94065}"/>
    <cellStyle name="Currency 5 6 3 2 3" xfId="12743" xr:uid="{8DCCA3E8-D215-43E1-82EC-5AD456996777}"/>
    <cellStyle name="Currency 5 6 3 2 3 2" xfId="31339" xr:uid="{125B6315-CDDD-4E30-B923-685D99E173A7}"/>
    <cellStyle name="Currency 5 6 3 2 4" xfId="22042" xr:uid="{730763F7-249F-44DF-B848-DFCA5328F855}"/>
    <cellStyle name="Currency 5 6 3 3" xfId="5489" xr:uid="{00000000-0005-0000-0000-0000710D0000}"/>
    <cellStyle name="Currency 5 6 3 3 2" xfId="14815" xr:uid="{88C45F2C-1A06-47CD-B8EC-B9435BE91FD3}"/>
    <cellStyle name="Currency 5 6 3 3 2 2" xfId="33411" xr:uid="{E79D8EA9-38CA-44DD-8DF9-80FEC244BE36}"/>
    <cellStyle name="Currency 5 6 3 3 3" xfId="24114" xr:uid="{6B2EA931-A3C9-43AE-A214-738ED69C6C13}"/>
    <cellStyle name="Currency 5 6 3 4" xfId="10598" xr:uid="{FB281412-434B-4DC3-AF08-66EC6E374230}"/>
    <cellStyle name="Currency 5 6 3 4 2" xfId="29194" xr:uid="{15DEC098-D3DA-4624-89B5-5F336154D251}"/>
    <cellStyle name="Currency 5 6 3 5" xfId="19897" xr:uid="{F196B498-646D-487D-82F5-D045AC89686D}"/>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FE653B75-9EAF-4F89-9BEF-05F20256C3DA}"/>
    <cellStyle name="Currency 5 6 4 2 2 2 2" xfId="35969" xr:uid="{A52DA19C-223F-4FA2-B7C3-726A877D6D87}"/>
    <cellStyle name="Currency 5 6 4 2 2 3" xfId="26672" xr:uid="{14CE975B-B7AD-4E37-8420-A74BE863CF2D}"/>
    <cellStyle name="Currency 5 6 4 2 3" xfId="13156" xr:uid="{023A7B5B-DDF9-4617-8C07-D09987E20428}"/>
    <cellStyle name="Currency 5 6 4 2 3 2" xfId="31752" xr:uid="{FB309A3C-466A-477A-8136-7DA6BFE6E328}"/>
    <cellStyle name="Currency 5 6 4 2 4" xfId="22455" xr:uid="{2E9C9555-C7FD-4D80-91FE-F6571AC89067}"/>
    <cellStyle name="Currency 5 6 4 3" xfId="5902" xr:uid="{00000000-0005-0000-0000-0000750D0000}"/>
    <cellStyle name="Currency 5 6 4 3 2" xfId="15228" xr:uid="{83DEC617-9E63-45FC-86DC-2C8214139D20}"/>
    <cellStyle name="Currency 5 6 4 3 2 2" xfId="33824" xr:uid="{6AA3BA21-5972-4B34-84FD-6F8D3C28D67B}"/>
    <cellStyle name="Currency 5 6 4 3 3" xfId="24527" xr:uid="{793C80BD-1AE1-493E-90F3-1F6CB2DC6D2C}"/>
    <cellStyle name="Currency 5 6 4 4" xfId="11011" xr:uid="{BB6C7673-B1F3-49EC-A6CC-D67B0262B294}"/>
    <cellStyle name="Currency 5 6 4 4 2" xfId="29607" xr:uid="{BE42D059-4D3D-48BF-B934-CD3CD21CF247}"/>
    <cellStyle name="Currency 5 6 4 5" xfId="20310" xr:uid="{5CDA9539-4FE1-40E2-A3FB-76B565217856}"/>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6CB9ACBE-9C09-41EF-B73A-B53A1F492AEA}"/>
    <cellStyle name="Currency 5 6 5 2 2 2 2" xfId="36382" xr:uid="{3DF28140-4BDD-4645-867B-517859D40068}"/>
    <cellStyle name="Currency 5 6 5 2 2 3" xfId="27085" xr:uid="{04C55336-3EB7-4C0B-BD9B-127E0FB0D0C9}"/>
    <cellStyle name="Currency 5 6 5 2 3" xfId="13569" xr:uid="{79F431BF-C2CB-44A3-A1FD-42DBF5D299F1}"/>
    <cellStyle name="Currency 5 6 5 2 3 2" xfId="32165" xr:uid="{16918B29-5380-44C0-AB0E-730E9D89BEF3}"/>
    <cellStyle name="Currency 5 6 5 2 4" xfId="22868" xr:uid="{0D98696B-E964-45F0-B5F3-44163CF67252}"/>
    <cellStyle name="Currency 5 6 5 3" xfId="6315" xr:uid="{00000000-0005-0000-0000-0000790D0000}"/>
    <cellStyle name="Currency 5 6 5 3 2" xfId="15641" xr:uid="{A3534897-B0CF-4431-B595-1844B2F73CAE}"/>
    <cellStyle name="Currency 5 6 5 3 2 2" xfId="34237" xr:uid="{CF4630F4-1275-4D18-9051-1E9D6CD37926}"/>
    <cellStyle name="Currency 5 6 5 3 3" xfId="24940" xr:uid="{1769064A-653A-474A-BF49-4B3166495663}"/>
    <cellStyle name="Currency 5 6 5 4" xfId="11424" xr:uid="{D6903181-54EC-4210-A4F5-D6E716F96445}"/>
    <cellStyle name="Currency 5 6 5 4 2" xfId="30020" xr:uid="{1D7DFCB0-B66A-4A7B-8C06-C14DBE52CAE1}"/>
    <cellStyle name="Currency 5 6 5 5" xfId="20723" xr:uid="{8916D8EA-4D3B-4060-847A-F5100333AAE5}"/>
    <cellStyle name="Currency 5 6 6" xfId="2444" xr:uid="{00000000-0005-0000-0000-00007A0D0000}"/>
    <cellStyle name="Currency 5 6 6 2" xfId="6728" xr:uid="{00000000-0005-0000-0000-00007B0D0000}"/>
    <cellStyle name="Currency 5 6 6 2 2" xfId="16054" xr:uid="{B776975C-8CE6-4E5A-98BD-0AAAC250D655}"/>
    <cellStyle name="Currency 5 6 6 2 2 2" xfId="34650" xr:uid="{F662164F-AB1C-49F7-BAB8-630546767FB4}"/>
    <cellStyle name="Currency 5 6 6 2 3" xfId="25353" xr:uid="{FF0B3A24-15B3-4857-8ED0-2BEEC4502C30}"/>
    <cellStyle name="Currency 5 6 6 3" xfId="11837" xr:uid="{563C101A-1691-4DE3-97D2-992AAB55F5B9}"/>
    <cellStyle name="Currency 5 6 6 3 2" xfId="30433" xr:uid="{95DA2357-0E03-4CC7-B5AC-A9134BCE8C2C}"/>
    <cellStyle name="Currency 5 6 6 4" xfId="21136" xr:uid="{7EB4DD06-0B33-458C-A2B3-E60ABEA96AA7}"/>
    <cellStyle name="Currency 5 6 7" xfId="2741" xr:uid="{00000000-0005-0000-0000-00007C0D0000}"/>
    <cellStyle name="Currency 5 6 8" xfId="2822" xr:uid="{00000000-0005-0000-0000-00007D0D0000}"/>
    <cellStyle name="Currency 5 6 8 2" xfId="7045" xr:uid="{00000000-0005-0000-0000-00007E0D0000}"/>
    <cellStyle name="Currency 5 6 8 2 2" xfId="16371" xr:uid="{14E2B96F-49C6-418C-B44F-CED69471002E}"/>
    <cellStyle name="Currency 5 6 8 2 2 2" xfId="34967" xr:uid="{7E8D1A4F-A8DC-4D26-A074-BA913FB872E1}"/>
    <cellStyle name="Currency 5 6 8 2 3" xfId="25670" xr:uid="{055134A2-97B4-4C41-A8A1-A259FFDA1B0E}"/>
    <cellStyle name="Currency 5 6 8 3" xfId="12154" xr:uid="{381C9F59-8CD1-43A8-9C7B-BA05AD6C26BC}"/>
    <cellStyle name="Currency 5 6 8 3 2" xfId="30750" xr:uid="{CAE41B0B-08A8-401A-A7B9-999AA9433791}"/>
    <cellStyle name="Currency 5 6 8 4" xfId="21453" xr:uid="{391944EC-EC82-4DE4-B575-5BB8BE4A9C5F}"/>
    <cellStyle name="Currency 5 6 9" xfId="4662" xr:uid="{00000000-0005-0000-0000-00007F0D0000}"/>
    <cellStyle name="Currency 5 6 9 2" xfId="13988" xr:uid="{8A68053A-10BC-4320-B3AB-B3457A123149}"/>
    <cellStyle name="Currency 5 6 9 2 2" xfId="32584" xr:uid="{804CD45E-B6EB-4036-9EB6-BDF5A9F6F9F5}"/>
    <cellStyle name="Currency 5 6 9 3" xfId="23287" xr:uid="{9603C3DA-F63A-4BB2-931D-1CECFC058C2D}"/>
    <cellStyle name="Currency 5 7" xfId="222" xr:uid="{00000000-0005-0000-0000-0000800D0000}"/>
    <cellStyle name="Currency 5 7 10" xfId="9169" xr:uid="{7A886DE7-136A-429E-90E2-A7C712D111D8}"/>
    <cellStyle name="Currency 5 7 10 2" xfId="18487" xr:uid="{79A4B7AD-10AE-4883-9887-618563D75EE1}"/>
    <cellStyle name="Currency 5 7 10 2 2" xfId="37081" xr:uid="{5568A641-617D-481C-9F2C-3A52C1AF8D54}"/>
    <cellStyle name="Currency 5 7 10 3" xfId="27784" xr:uid="{750408D5-B035-4369-8AEA-35BEA33F954B}"/>
    <cellStyle name="Currency 5 7 11" xfId="9772" xr:uid="{F434C33E-4A7E-49CD-BED7-66EE0ACA6243}"/>
    <cellStyle name="Currency 5 7 11 2" xfId="28368" xr:uid="{16301BBD-4F82-4DD7-BE24-94FBDE7E8144}"/>
    <cellStyle name="Currency 5 7 12" xfId="19071" xr:uid="{67EB892B-4513-4E9A-83E0-D5143FDB03B2}"/>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519A6BA2-6BE0-44C0-824E-BB28EC0DC147}"/>
    <cellStyle name="Currency 5 7 2 2 2 2 2" xfId="35144" xr:uid="{22E6B7F3-D225-42CB-8D16-A67E79F35610}"/>
    <cellStyle name="Currency 5 7 2 2 2 3" xfId="25847" xr:uid="{5ACB3F39-0EC4-482E-A971-833599B8BF43}"/>
    <cellStyle name="Currency 5 7 2 2 3" xfId="12331" xr:uid="{BE8EF358-54D6-4E2D-A71C-1E14C4511C61}"/>
    <cellStyle name="Currency 5 7 2 2 3 2" xfId="30927" xr:uid="{FBDBC3E9-75E1-47D0-8753-4F7B3CD59A5B}"/>
    <cellStyle name="Currency 5 7 2 2 4" xfId="21630" xr:uid="{A67EB3F4-F8B8-4550-9B4D-4FF2B5B3C005}"/>
    <cellStyle name="Currency 5 7 2 3" xfId="5077" xr:uid="{00000000-0005-0000-0000-0000840D0000}"/>
    <cellStyle name="Currency 5 7 2 3 2" xfId="14403" xr:uid="{1280404A-9632-4093-9DDE-7C7842A90E98}"/>
    <cellStyle name="Currency 5 7 2 3 2 2" xfId="32999" xr:uid="{350299D9-B32A-446A-B39F-C942AF6E1EC6}"/>
    <cellStyle name="Currency 5 7 2 3 3" xfId="23702" xr:uid="{CFC71189-E3F3-4F94-8FD8-C23E59A93E31}"/>
    <cellStyle name="Currency 5 7 2 4" xfId="9601" xr:uid="{DC93A830-0AF1-4EC4-B764-C728922F3FEF}"/>
    <cellStyle name="Currency 5 7 2 4 2" xfId="18905" xr:uid="{CF76055F-E8DC-4EF5-89EA-9F1C27C86E3A}"/>
    <cellStyle name="Currency 5 7 2 4 2 2" xfId="37499" xr:uid="{C7CB8F13-6907-4919-B845-74CFE76FF89B}"/>
    <cellStyle name="Currency 5 7 2 4 3" xfId="28202" xr:uid="{3F419866-274A-441A-AAFA-2E134663E6B7}"/>
    <cellStyle name="Currency 5 7 2 5" xfId="10186" xr:uid="{2331BA5E-B86D-449C-B483-08CC98668556}"/>
    <cellStyle name="Currency 5 7 2 5 2" xfId="28782" xr:uid="{78D5E1AC-6176-4AD2-B040-646CB984DC4D}"/>
    <cellStyle name="Currency 5 7 2 6" xfId="19485" xr:uid="{C005A63D-4B82-439C-80C5-221CB0ECCF74}"/>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1273D7A1-E0B4-4F43-9E6D-24C14D07A876}"/>
    <cellStyle name="Currency 5 7 3 2 2 2 2" xfId="35557" xr:uid="{C37F1BDD-B087-49FE-908D-9046B327F63A}"/>
    <cellStyle name="Currency 5 7 3 2 2 3" xfId="26260" xr:uid="{5264A936-238B-4707-9F4A-FF4885D18F00}"/>
    <cellStyle name="Currency 5 7 3 2 3" xfId="12744" xr:uid="{FA5CD124-9319-498E-9867-B2E7285180FF}"/>
    <cellStyle name="Currency 5 7 3 2 3 2" xfId="31340" xr:uid="{39BC7BEA-370E-4400-A136-832578B87C96}"/>
    <cellStyle name="Currency 5 7 3 2 4" xfId="22043" xr:uid="{E3A2D27C-C985-4848-B0F8-39A2072BB5B8}"/>
    <cellStyle name="Currency 5 7 3 3" xfId="5490" xr:uid="{00000000-0005-0000-0000-0000880D0000}"/>
    <cellStyle name="Currency 5 7 3 3 2" xfId="14816" xr:uid="{D09F7CC7-38DE-4649-85C1-EEAAEC2C4121}"/>
    <cellStyle name="Currency 5 7 3 3 2 2" xfId="33412" xr:uid="{F049E0A8-A988-4581-BD23-E5138CEEFDF1}"/>
    <cellStyle name="Currency 5 7 3 3 3" xfId="24115" xr:uid="{8416CEF8-8EDA-4DAB-B9F5-AB96FD55FD4D}"/>
    <cellStyle name="Currency 5 7 3 4" xfId="10599" xr:uid="{C393AD69-0AD4-4F1F-8D69-F1347A5CF89D}"/>
    <cellStyle name="Currency 5 7 3 4 2" xfId="29195" xr:uid="{7202457B-F862-4102-9F8A-EDA9C22B3EA2}"/>
    <cellStyle name="Currency 5 7 3 5" xfId="19898" xr:uid="{692E9760-CF5E-420E-8FD8-F9DEA0196352}"/>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3F95C1EC-EB1C-4580-BDF6-3A8A852E7A2F}"/>
    <cellStyle name="Currency 5 7 4 2 2 2 2" xfId="35970" xr:uid="{DAA931E9-6318-4FFB-9ACB-508206F07DDF}"/>
    <cellStyle name="Currency 5 7 4 2 2 3" xfId="26673" xr:uid="{5EEA7C6D-009E-4FAB-8816-13AA00BFE327}"/>
    <cellStyle name="Currency 5 7 4 2 3" xfId="13157" xr:uid="{70B3F74D-7234-455C-87DB-FFFB323F838A}"/>
    <cellStyle name="Currency 5 7 4 2 3 2" xfId="31753" xr:uid="{60DADB8F-AF71-4657-A31F-CCC6A1181968}"/>
    <cellStyle name="Currency 5 7 4 2 4" xfId="22456" xr:uid="{45E78A0E-FC18-4585-B41A-640FBE405345}"/>
    <cellStyle name="Currency 5 7 4 3" xfId="5903" xr:uid="{00000000-0005-0000-0000-00008C0D0000}"/>
    <cellStyle name="Currency 5 7 4 3 2" xfId="15229" xr:uid="{74AAF063-2B31-4D44-B4A9-073903C1958D}"/>
    <cellStyle name="Currency 5 7 4 3 2 2" xfId="33825" xr:uid="{69276651-61EC-4025-B8FB-7DE19B7CE66E}"/>
    <cellStyle name="Currency 5 7 4 3 3" xfId="24528" xr:uid="{3C2AD3B7-AC59-4A7B-B017-6AD4FC6B445F}"/>
    <cellStyle name="Currency 5 7 4 4" xfId="11012" xr:uid="{8BE38D34-E99F-4953-ADFE-195EDB335E33}"/>
    <cellStyle name="Currency 5 7 4 4 2" xfId="29608" xr:uid="{43353D74-A24D-464D-9A44-159135A1F30D}"/>
    <cellStyle name="Currency 5 7 4 5" xfId="20311" xr:uid="{FFCF618B-7F9F-428B-BFD0-D004B57775A1}"/>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7C9AAFE5-6735-4710-B0E7-CEAD7B1696A1}"/>
    <cellStyle name="Currency 5 7 5 2 2 2 2" xfId="36383" xr:uid="{60F8D3B2-94DB-4588-AFBA-E323F5710DAF}"/>
    <cellStyle name="Currency 5 7 5 2 2 3" xfId="27086" xr:uid="{F3957E8F-810C-4868-A998-8AB010ACF7FF}"/>
    <cellStyle name="Currency 5 7 5 2 3" xfId="13570" xr:uid="{6E0FAA96-0B5F-43A8-94B3-DC206C4CB5DF}"/>
    <cellStyle name="Currency 5 7 5 2 3 2" xfId="32166" xr:uid="{7FBBBA6D-F5DF-4EB6-B7FD-83E29D55CF10}"/>
    <cellStyle name="Currency 5 7 5 2 4" xfId="22869" xr:uid="{8AB12DEA-3ADB-4D69-9AF9-4B12794222CD}"/>
    <cellStyle name="Currency 5 7 5 3" xfId="6316" xr:uid="{00000000-0005-0000-0000-0000900D0000}"/>
    <cellStyle name="Currency 5 7 5 3 2" xfId="15642" xr:uid="{E9B4644C-67F6-429F-93FA-E7A2D17654BD}"/>
    <cellStyle name="Currency 5 7 5 3 2 2" xfId="34238" xr:uid="{BA91D3E7-CE3A-4CC8-938B-B317617D00D5}"/>
    <cellStyle name="Currency 5 7 5 3 3" xfId="24941" xr:uid="{91F87ADC-62B9-491A-B048-B65ADF80270A}"/>
    <cellStyle name="Currency 5 7 5 4" xfId="11425" xr:uid="{03E2E3DE-969A-4AD2-949A-285173ED89E4}"/>
    <cellStyle name="Currency 5 7 5 4 2" xfId="30021" xr:uid="{E54DFD86-251D-443C-ACB5-AD9B6E5B4D65}"/>
    <cellStyle name="Currency 5 7 5 5" xfId="20724" xr:uid="{22E2C86F-9AF6-4439-842C-B065CFD65740}"/>
    <cellStyle name="Currency 5 7 6" xfId="2445" xr:uid="{00000000-0005-0000-0000-0000910D0000}"/>
    <cellStyle name="Currency 5 7 6 2" xfId="6729" xr:uid="{00000000-0005-0000-0000-0000920D0000}"/>
    <cellStyle name="Currency 5 7 6 2 2" xfId="16055" xr:uid="{F46AABBD-1F4A-4705-AAFB-D995352C5522}"/>
    <cellStyle name="Currency 5 7 6 2 2 2" xfId="34651" xr:uid="{0B4D1C0E-F67A-4223-B29F-DDA5D44C44CF}"/>
    <cellStyle name="Currency 5 7 6 2 3" xfId="25354" xr:uid="{44130552-110A-483A-8903-36FD18C3DB17}"/>
    <cellStyle name="Currency 5 7 6 3" xfId="11838" xr:uid="{1A8CC45A-3A73-438E-8F81-4571EDCC946B}"/>
    <cellStyle name="Currency 5 7 6 3 2" xfId="30434" xr:uid="{E519FF96-B2B5-49A0-9D2E-D6EEDF8D1951}"/>
    <cellStyle name="Currency 5 7 6 4" xfId="21137" xr:uid="{58D2D6A5-FF6C-4EA6-851C-DB586540C0F6}"/>
    <cellStyle name="Currency 5 7 7" xfId="2742" xr:uid="{00000000-0005-0000-0000-0000930D0000}"/>
    <cellStyle name="Currency 5 7 8" xfId="2823" xr:uid="{00000000-0005-0000-0000-0000940D0000}"/>
    <cellStyle name="Currency 5 7 8 2" xfId="7046" xr:uid="{00000000-0005-0000-0000-0000950D0000}"/>
    <cellStyle name="Currency 5 7 8 2 2" xfId="16372" xr:uid="{72DABACF-94C5-45EC-B4D0-5BB987AF3CA8}"/>
    <cellStyle name="Currency 5 7 8 2 2 2" xfId="34968" xr:uid="{CEB22A16-D528-4BF0-BA59-017E0B131EC7}"/>
    <cellStyle name="Currency 5 7 8 2 3" xfId="25671" xr:uid="{FA6ACE7A-EB3B-4F56-B19F-7866B91C9116}"/>
    <cellStyle name="Currency 5 7 8 3" xfId="12155" xr:uid="{23BDB6BA-02C5-4E79-B8D3-1D10875A777B}"/>
    <cellStyle name="Currency 5 7 8 3 2" xfId="30751" xr:uid="{468D419C-B43E-40B4-AD47-987C8C8425C1}"/>
    <cellStyle name="Currency 5 7 8 4" xfId="21454" xr:uid="{F085DB8E-74DD-418F-AFCD-FFEB5D404F83}"/>
    <cellStyle name="Currency 5 7 9" xfId="4663" xr:uid="{00000000-0005-0000-0000-0000960D0000}"/>
    <cellStyle name="Currency 5 7 9 2" xfId="13989" xr:uid="{03F87DF6-579F-42D6-96F6-43A8ABFCB0B6}"/>
    <cellStyle name="Currency 5 7 9 2 2" xfId="32585" xr:uid="{DA847F29-E600-45DB-AD96-DC0A5548EF62}"/>
    <cellStyle name="Currency 5 7 9 3" xfId="23288" xr:uid="{D6D9F515-CAFE-44E2-99C1-7F7AD10E76F9}"/>
    <cellStyle name="Currency 5 8" xfId="721" xr:uid="{00000000-0005-0000-0000-0000970D0000}"/>
    <cellStyle name="Currency 5 9" xfId="8747" xr:uid="{CCFF1C6E-BA46-44B7-A8DD-B170160D04FF}"/>
    <cellStyle name="Currency 5 9 2" xfId="18071" xr:uid="{3BE13D2D-1D7C-4F7B-9F25-DB06B1CB8528}"/>
    <cellStyle name="Currency 5 9 2 2" xfId="36666" xr:uid="{E262F1CB-1220-443A-8C6E-EE1EB179D466}"/>
    <cellStyle name="Currency 5 9 3" xfId="27369" xr:uid="{30E7C0E1-7EFA-4A9D-8117-98061822939B}"/>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59CBA1E4-223E-4997-8F11-DB603B921861}"/>
    <cellStyle name="Normal 12 10 2 2 2" xfId="34652" xr:uid="{4435964F-8C43-4BB3-9784-2929C9C3ED50}"/>
    <cellStyle name="Normal 12 10 2 3" xfId="25355" xr:uid="{B347E7D8-6EFB-4485-92C3-5CEB0EB60E9E}"/>
    <cellStyle name="Normal 12 10 3" xfId="11839" xr:uid="{E4CE560B-5719-4F13-8EE3-5CA13841942C}"/>
    <cellStyle name="Normal 12 10 3 2" xfId="30435" xr:uid="{B47C0D1A-2B4C-433A-93B5-8189062A9901}"/>
    <cellStyle name="Normal 12 10 4" xfId="21138" xr:uid="{0AB9A8AE-DBE5-4553-A4CD-AD7512AA51F3}"/>
    <cellStyle name="Normal 12 11" xfId="4664" xr:uid="{00000000-0005-0000-0000-0000CC0D0000}"/>
    <cellStyle name="Normal 12 11 2" xfId="13990" xr:uid="{7FB17469-3943-4175-9C06-D36B7AF122C8}"/>
    <cellStyle name="Normal 12 11 2 2" xfId="32586" xr:uid="{240D13B8-91B7-4A69-B22B-2707A362B077}"/>
    <cellStyle name="Normal 12 11 3" xfId="23289" xr:uid="{2B8E5382-5C0C-4412-91E4-FCC43283B7E1}"/>
    <cellStyle name="Normal 12 12" xfId="8770" xr:uid="{16E7F001-A88D-4413-825E-78352A31064A}"/>
    <cellStyle name="Normal 12 12 2" xfId="18094" xr:uid="{3F50D199-1FAD-45F6-A8AE-70400CFC0431}"/>
    <cellStyle name="Normal 12 12 2 2" xfId="36689" xr:uid="{7434D481-526B-462B-BE9C-A1BE76B4E3C4}"/>
    <cellStyle name="Normal 12 12 3" xfId="27392" xr:uid="{1DE83F40-4244-4B21-9075-B28761CA8150}"/>
    <cellStyle name="Normal 12 13" xfId="9773" xr:uid="{1596EC7C-7643-4045-B6CD-7E43AE05FB30}"/>
    <cellStyle name="Normal 12 13 2" xfId="28369" xr:uid="{5E9B59F1-4CFD-41BE-9959-34CE27045902}"/>
    <cellStyle name="Normal 12 14" xfId="19072" xr:uid="{0273A013-DA4C-4776-A3D3-0868E4F46179}"/>
    <cellStyle name="Normal 12 2" xfId="260" xr:uid="{00000000-0005-0000-0000-0000CD0D0000}"/>
    <cellStyle name="Normal 12 2 10" xfId="8811" xr:uid="{C610EFA7-DF28-475D-A7AA-61B6675A083B}"/>
    <cellStyle name="Normal 12 2 10 2" xfId="18135" xr:uid="{C0D824B3-7FFB-48FB-BFD2-CE341F5BCEBD}"/>
    <cellStyle name="Normal 12 2 10 2 2" xfId="36730" xr:uid="{61554D2D-9540-4E7A-B991-3F8F72C27D3E}"/>
    <cellStyle name="Normal 12 2 10 3" xfId="27433" xr:uid="{E57683F4-E297-4282-8E82-4B21DBD9F27F}"/>
    <cellStyle name="Normal 12 2 11" xfId="9774" xr:uid="{0BAFDB4B-A5F1-47FC-97DB-FCCCAD5F5613}"/>
    <cellStyle name="Normal 12 2 11 2" xfId="28370" xr:uid="{206BE05F-D542-4794-A6FF-1DFBDADDC60B}"/>
    <cellStyle name="Normal 12 2 12" xfId="19073" xr:uid="{FBCEE63D-01B3-4C85-8A6F-5D923CF82EB3}"/>
    <cellStyle name="Normal 12 2 2" xfId="261" xr:uid="{00000000-0005-0000-0000-0000CE0D0000}"/>
    <cellStyle name="Normal 12 2 2 10" xfId="9775" xr:uid="{603DC8D3-C720-4BE1-9446-CF7F543AA48D}"/>
    <cellStyle name="Normal 12 2 2 10 2" xfId="28371" xr:uid="{A37F41F3-AAF1-4162-BB0D-4781CFB500F2}"/>
    <cellStyle name="Normal 12 2 2 11" xfId="19074" xr:uid="{23CCBDE6-793D-4B9F-919E-5FDEB1198914}"/>
    <cellStyle name="Normal 12 2 2 2" xfId="262" xr:uid="{00000000-0005-0000-0000-0000CF0D0000}"/>
    <cellStyle name="Normal 12 2 2 2 10" xfId="19075" xr:uid="{CE650F82-E422-450D-8BDD-93FE67C909A2}"/>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8E027826-2B3F-4E73-B081-D3784AD3B2D8}"/>
    <cellStyle name="Normal 12 2 2 2 2 2 2 2 2" xfId="35148" xr:uid="{75687642-1870-44A6-BCF9-96009615DA63}"/>
    <cellStyle name="Normal 12 2 2 2 2 2 2 3" xfId="25851" xr:uid="{0A89260B-33CA-4B26-B0B9-7E3937F1B972}"/>
    <cellStyle name="Normal 12 2 2 2 2 2 3" xfId="12335" xr:uid="{E6A7A4C5-71F5-4E8E-A7E4-6DF988B87051}"/>
    <cellStyle name="Normal 12 2 2 2 2 2 3 2" xfId="30931" xr:uid="{05FBD00D-DF19-41B2-8902-1A0397D7655F}"/>
    <cellStyle name="Normal 12 2 2 2 2 2 4" xfId="21634" xr:uid="{9B984FEC-A9BB-4B89-A3BE-E998A40BAFA5}"/>
    <cellStyle name="Normal 12 2 2 2 2 3" xfId="5081" xr:uid="{00000000-0005-0000-0000-0000D30D0000}"/>
    <cellStyle name="Normal 12 2 2 2 2 3 2" xfId="14407" xr:uid="{60C765BD-68F6-4CA0-ADE5-8FEE240369DB}"/>
    <cellStyle name="Normal 12 2 2 2 2 3 2 2" xfId="33003" xr:uid="{4899FE8F-FFA6-4F16-B3D6-E30BAFF802D3}"/>
    <cellStyle name="Normal 12 2 2 2 2 3 3" xfId="23706" xr:uid="{B3A38F02-33EE-4AE1-B942-D38450EDD71F}"/>
    <cellStyle name="Normal 12 2 2 2 2 4" xfId="9546" xr:uid="{609DE280-4DA3-4355-9F1C-9E01708347EA}"/>
    <cellStyle name="Normal 12 2 2 2 2 4 2" xfId="18861" xr:uid="{54CC8939-13EB-4B49-8653-C0BD081F16C8}"/>
    <cellStyle name="Normal 12 2 2 2 2 4 2 2" xfId="37455" xr:uid="{AF271BED-5351-41C8-A874-0CD2E2B509A9}"/>
    <cellStyle name="Normal 12 2 2 2 2 4 3" xfId="28158" xr:uid="{6E5E5A81-3262-4A59-ABF9-7B47CB7E0A4D}"/>
    <cellStyle name="Normal 12 2 2 2 2 5" xfId="10190" xr:uid="{85DF65F6-2FC9-4E0F-9657-01ABBFEC2362}"/>
    <cellStyle name="Normal 12 2 2 2 2 5 2" xfId="28786" xr:uid="{54798BBD-9023-4F67-8ADC-A4B8D85364E8}"/>
    <cellStyle name="Normal 12 2 2 2 2 6" xfId="19489" xr:uid="{A9480616-DE5B-45F2-A576-5A3D30C0E1AD}"/>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7D19E4D4-9931-426E-B5C8-8786C51F6CB6}"/>
    <cellStyle name="Normal 12 2 2 2 3 2 2 2 2" xfId="35561" xr:uid="{86642741-345B-4F25-A34D-E7A55C3A66BF}"/>
    <cellStyle name="Normal 12 2 2 2 3 2 2 3" xfId="26264" xr:uid="{2414CF58-1E39-4A9A-8555-115EC2454545}"/>
    <cellStyle name="Normal 12 2 2 2 3 2 3" xfId="12748" xr:uid="{4783743B-B094-4D91-A010-F569E64AD0D3}"/>
    <cellStyle name="Normal 12 2 2 2 3 2 3 2" xfId="31344" xr:uid="{F76DFF1D-3DE4-4EAD-A76C-1FCA91C99E3C}"/>
    <cellStyle name="Normal 12 2 2 2 3 2 4" xfId="22047" xr:uid="{35850D5F-AE1D-4535-A798-E0FEC507C72B}"/>
    <cellStyle name="Normal 12 2 2 2 3 3" xfId="5494" xr:uid="{00000000-0005-0000-0000-0000D70D0000}"/>
    <cellStyle name="Normal 12 2 2 2 3 3 2" xfId="14820" xr:uid="{C79083DB-55C5-47F7-83CA-1AD547262E3A}"/>
    <cellStyle name="Normal 12 2 2 2 3 3 2 2" xfId="33416" xr:uid="{A2040CE4-4C96-408C-89C7-ED5FFAADEC04}"/>
    <cellStyle name="Normal 12 2 2 2 3 3 3" xfId="24119" xr:uid="{D287C0E7-D6D2-468C-8E67-52E9ECC6ED2B}"/>
    <cellStyle name="Normal 12 2 2 2 3 4" xfId="10603" xr:uid="{B50288F0-A06B-4B5B-B4A0-7BDF8B8BC07A}"/>
    <cellStyle name="Normal 12 2 2 2 3 4 2" xfId="29199" xr:uid="{50AC8349-72CB-4E74-A429-20BBBC3635B6}"/>
    <cellStyle name="Normal 12 2 2 2 3 5" xfId="19902" xr:uid="{1C1ED67A-BAE6-4621-9AFC-507C1B4D478D}"/>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EB3A4DD5-B649-4AF2-9FE4-D537707277A4}"/>
    <cellStyle name="Normal 12 2 2 2 4 2 2 2 2" xfId="35974" xr:uid="{941AD815-DCF7-4083-8207-CA120ECD7890}"/>
    <cellStyle name="Normal 12 2 2 2 4 2 2 3" xfId="26677" xr:uid="{99949C44-F5D0-4E84-9F08-753E652EE934}"/>
    <cellStyle name="Normal 12 2 2 2 4 2 3" xfId="13161" xr:uid="{883224EF-AFAA-42B3-8CEE-A03A886A7DE1}"/>
    <cellStyle name="Normal 12 2 2 2 4 2 3 2" xfId="31757" xr:uid="{03905AFC-B304-447D-8DB4-828A23803A4A}"/>
    <cellStyle name="Normal 12 2 2 2 4 2 4" xfId="22460" xr:uid="{0E353E6D-2A1E-44AA-8320-2C77DBE31BB1}"/>
    <cellStyle name="Normal 12 2 2 2 4 3" xfId="5907" xr:uid="{00000000-0005-0000-0000-0000DB0D0000}"/>
    <cellStyle name="Normal 12 2 2 2 4 3 2" xfId="15233" xr:uid="{2D88A0DB-0E5E-44C7-9281-CE885957A116}"/>
    <cellStyle name="Normal 12 2 2 2 4 3 2 2" xfId="33829" xr:uid="{8F19B574-813B-4F0E-8B41-BAEE781230A3}"/>
    <cellStyle name="Normal 12 2 2 2 4 3 3" xfId="24532" xr:uid="{893C269F-E5B5-47B1-B0B8-B17DFD171AF4}"/>
    <cellStyle name="Normal 12 2 2 2 4 4" xfId="11016" xr:uid="{F7ED23AB-4AB9-4A1C-9BFC-8278C6D6E8DF}"/>
    <cellStyle name="Normal 12 2 2 2 4 4 2" xfId="29612" xr:uid="{D65C8DD0-7704-443C-8D38-1FC6761DAA22}"/>
    <cellStyle name="Normal 12 2 2 2 4 5" xfId="20315" xr:uid="{6B6F04E8-A21F-4E90-8058-16A5FD4D993C}"/>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64A7D370-5BB1-416E-B5F4-AF54DBD0D2FF}"/>
    <cellStyle name="Normal 12 2 2 2 5 2 2 2 2" xfId="36387" xr:uid="{4B117B7F-C219-473C-9CB0-114139AD0C9D}"/>
    <cellStyle name="Normal 12 2 2 2 5 2 2 3" xfId="27090" xr:uid="{A70D37C5-B75E-4F2B-B3AF-5C5AA9B8AA59}"/>
    <cellStyle name="Normal 12 2 2 2 5 2 3" xfId="13574" xr:uid="{38F2AA02-20B3-4BBA-AC0F-E97EFD614F2F}"/>
    <cellStyle name="Normal 12 2 2 2 5 2 3 2" xfId="32170" xr:uid="{0F08A63D-D212-49D3-95A9-14862CAF68F2}"/>
    <cellStyle name="Normal 12 2 2 2 5 2 4" xfId="22873" xr:uid="{BA94C908-341B-4017-B3A5-FEA72A95FFC9}"/>
    <cellStyle name="Normal 12 2 2 2 5 3" xfId="6320" xr:uid="{00000000-0005-0000-0000-0000DF0D0000}"/>
    <cellStyle name="Normal 12 2 2 2 5 3 2" xfId="15646" xr:uid="{240B67D9-8D31-4265-9E1D-5BFBCEFC6B44}"/>
    <cellStyle name="Normal 12 2 2 2 5 3 2 2" xfId="34242" xr:uid="{E071EBE7-484A-4B53-A152-7E0A2FBEA295}"/>
    <cellStyle name="Normal 12 2 2 2 5 3 3" xfId="24945" xr:uid="{E646AC29-8282-4467-8CBF-8670974DAEDE}"/>
    <cellStyle name="Normal 12 2 2 2 5 4" xfId="11429" xr:uid="{1EDC5E20-1E89-482C-B777-A929AA0A9C92}"/>
    <cellStyle name="Normal 12 2 2 2 5 4 2" xfId="30025" xr:uid="{33454CEA-FCCC-462A-B24E-37BEF3278CBD}"/>
    <cellStyle name="Normal 12 2 2 2 5 5" xfId="20728" xr:uid="{CE138DE3-0873-4243-BCF6-4EBFE567EEFD}"/>
    <cellStyle name="Normal 12 2 2 2 6" xfId="2450" xr:uid="{00000000-0005-0000-0000-0000E00D0000}"/>
    <cellStyle name="Normal 12 2 2 2 6 2" xfId="6733" xr:uid="{00000000-0005-0000-0000-0000E10D0000}"/>
    <cellStyle name="Normal 12 2 2 2 6 2 2" xfId="16059" xr:uid="{1C7143B8-DDDF-470B-881F-5661A0CB880C}"/>
    <cellStyle name="Normal 12 2 2 2 6 2 2 2" xfId="34655" xr:uid="{0C9C4C35-93F7-4679-8710-C3BA958FEF15}"/>
    <cellStyle name="Normal 12 2 2 2 6 2 3" xfId="25358" xr:uid="{DEED0C7A-09A8-45C7-A2EE-ED84985DC7D0}"/>
    <cellStyle name="Normal 12 2 2 2 6 3" xfId="11842" xr:uid="{7804AA28-20EF-41BE-97EE-9006C38D699D}"/>
    <cellStyle name="Normal 12 2 2 2 6 3 2" xfId="30438" xr:uid="{B7460750-3F64-45EF-BF73-AB9EE8C9B940}"/>
    <cellStyle name="Normal 12 2 2 2 6 4" xfId="21141" xr:uid="{331C2C44-7053-4225-925A-2E859E738F80}"/>
    <cellStyle name="Normal 12 2 2 2 7" xfId="4667" xr:uid="{00000000-0005-0000-0000-0000E20D0000}"/>
    <cellStyle name="Normal 12 2 2 2 7 2" xfId="13993" xr:uid="{A0A68E6E-78B3-4849-BCB7-113A4616CED1}"/>
    <cellStyle name="Normal 12 2 2 2 7 2 2" xfId="32589" xr:uid="{1BD358EF-7B14-4499-B560-7BAF1C710A31}"/>
    <cellStyle name="Normal 12 2 2 2 7 3" xfId="23292" xr:uid="{C40240F7-023A-4428-88BC-A652793D9249}"/>
    <cellStyle name="Normal 12 2 2 2 8" xfId="9121" xr:uid="{527C15BB-BE4D-46AB-9317-CC8E6838C91D}"/>
    <cellStyle name="Normal 12 2 2 2 8 2" xfId="18445" xr:uid="{7CD6B3D2-732C-4367-9256-BC12B7C7180A}"/>
    <cellStyle name="Normal 12 2 2 2 8 2 2" xfId="37040" xr:uid="{FBEFE566-8C5A-4949-B087-88E8694E652A}"/>
    <cellStyle name="Normal 12 2 2 2 8 3" xfId="27743" xr:uid="{45CBF4F7-37EB-414C-A7EA-FBEC33167FF4}"/>
    <cellStyle name="Normal 12 2 2 2 9" xfId="9776" xr:uid="{55D9CBC4-11DD-4CC4-B84C-2AD4064941DC}"/>
    <cellStyle name="Normal 12 2 2 2 9 2" xfId="28372" xr:uid="{A5D90149-9CC4-4819-A920-D9D57BA3A10A}"/>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134AC17F-E275-4301-A043-56A05D1CEDA5}"/>
    <cellStyle name="Normal 12 2 2 3 2 2 2 2" xfId="35147" xr:uid="{F6D2BC5E-E34D-4DCB-B87B-5D8F2E40A346}"/>
    <cellStyle name="Normal 12 2 2 3 2 2 3" xfId="25850" xr:uid="{392E337C-444C-4CA9-A221-281955F07F1D}"/>
    <cellStyle name="Normal 12 2 2 3 2 3" xfId="12334" xr:uid="{06A1292D-87AB-44DC-BF97-BA454E3FEE25}"/>
    <cellStyle name="Normal 12 2 2 3 2 3 2" xfId="30930" xr:uid="{C570E62F-9119-4937-919D-6AC39A104805}"/>
    <cellStyle name="Normal 12 2 2 3 2 4" xfId="21633" xr:uid="{F1EE882A-B0B8-4EB5-99F1-3DCCBC2DA83C}"/>
    <cellStyle name="Normal 12 2 2 3 3" xfId="5080" xr:uid="{00000000-0005-0000-0000-0000E60D0000}"/>
    <cellStyle name="Normal 12 2 2 3 3 2" xfId="14406" xr:uid="{4995CF26-3D0D-4656-A227-AC1FE6F2C8A4}"/>
    <cellStyle name="Normal 12 2 2 3 3 2 2" xfId="33002" xr:uid="{50CBC9AC-2E27-44E8-8D93-5F6FD056EBFE}"/>
    <cellStyle name="Normal 12 2 2 3 3 3" xfId="23705" xr:uid="{C6DAA811-77FA-4909-9A29-A5A61337BA0F}"/>
    <cellStyle name="Normal 12 2 2 3 4" xfId="9339" xr:uid="{F3F800C1-92DF-4F1F-A561-C3F3C7F8BAD1}"/>
    <cellStyle name="Normal 12 2 2 3 4 2" xfId="18654" xr:uid="{63A70CC5-02E8-48C1-9DBC-0EF0F7AE2306}"/>
    <cellStyle name="Normal 12 2 2 3 4 2 2" xfId="37248" xr:uid="{B38C5CAF-F64E-473F-BF69-0AB3A7FA3921}"/>
    <cellStyle name="Normal 12 2 2 3 4 3" xfId="27951" xr:uid="{CD2B8A56-8F15-4ACE-A704-07EF84E8F07F}"/>
    <cellStyle name="Normal 12 2 2 3 5" xfId="10189" xr:uid="{FE1BDDFB-4AC4-4374-B0B1-2517E78AB9E4}"/>
    <cellStyle name="Normal 12 2 2 3 5 2" xfId="28785" xr:uid="{369E14F9-9B64-4A16-B823-FB298C1236A8}"/>
    <cellStyle name="Normal 12 2 2 3 6" xfId="19488" xr:uid="{B0C12DAD-8B2F-49FD-ACBF-590D1567921C}"/>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1594148D-8709-4679-B51D-C12D267C9DE7}"/>
    <cellStyle name="Normal 12 2 2 4 2 2 2 2" xfId="35560" xr:uid="{5ECA7D1C-DB44-46E3-AFF4-45E7D91D7041}"/>
    <cellStyle name="Normal 12 2 2 4 2 2 3" xfId="26263" xr:uid="{785B5F2A-D772-49C7-AFFB-B05449804187}"/>
    <cellStyle name="Normal 12 2 2 4 2 3" xfId="12747" xr:uid="{7F22F7E5-F751-4AC0-9D3C-9213687EA6C7}"/>
    <cellStyle name="Normal 12 2 2 4 2 3 2" xfId="31343" xr:uid="{5DCF104C-547C-4238-8528-7C495D2014D3}"/>
    <cellStyle name="Normal 12 2 2 4 2 4" xfId="22046" xr:uid="{409C0961-C666-4C52-9461-6D3BCC0B48D6}"/>
    <cellStyle name="Normal 12 2 2 4 3" xfId="5493" xr:uid="{00000000-0005-0000-0000-0000EA0D0000}"/>
    <cellStyle name="Normal 12 2 2 4 3 2" xfId="14819" xr:uid="{ACC45E6E-A216-4E06-BC33-81207922EBC2}"/>
    <cellStyle name="Normal 12 2 2 4 3 2 2" xfId="33415" xr:uid="{73225F81-99A9-4F39-97E0-4DA2E191DA34}"/>
    <cellStyle name="Normal 12 2 2 4 3 3" xfId="24118" xr:uid="{4BA2F4CA-62AB-4CDD-9599-D1E759A39AA9}"/>
    <cellStyle name="Normal 12 2 2 4 4" xfId="10602" xr:uid="{0D6A79B5-5A8F-4C49-8A85-02B1AD25A6D4}"/>
    <cellStyle name="Normal 12 2 2 4 4 2" xfId="29198" xr:uid="{79A1BE27-6058-4860-BA69-61F4D1E64CD5}"/>
    <cellStyle name="Normal 12 2 2 4 5" xfId="19901" xr:uid="{36798CD8-949A-4685-9D72-6B1CD4ACAFFA}"/>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38462321-1F52-449F-8A3B-1DE24A4415F9}"/>
    <cellStyle name="Normal 12 2 2 5 2 2 2 2" xfId="35973" xr:uid="{974B7061-B373-45C0-B6E2-E2FA2B07C577}"/>
    <cellStyle name="Normal 12 2 2 5 2 2 3" xfId="26676" xr:uid="{B7F77259-B4A9-4811-B0D7-CC96AF0667F8}"/>
    <cellStyle name="Normal 12 2 2 5 2 3" xfId="13160" xr:uid="{F9911953-F2EB-433C-A7D0-28BFBBF298F5}"/>
    <cellStyle name="Normal 12 2 2 5 2 3 2" xfId="31756" xr:uid="{8040F433-03E1-4957-93EB-D2FD366DDBA1}"/>
    <cellStyle name="Normal 12 2 2 5 2 4" xfId="22459" xr:uid="{22D61810-6C1D-44E2-B2AF-C41126D6E043}"/>
    <cellStyle name="Normal 12 2 2 5 3" xfId="5906" xr:uid="{00000000-0005-0000-0000-0000EE0D0000}"/>
    <cellStyle name="Normal 12 2 2 5 3 2" xfId="15232" xr:uid="{2C46E1CC-B531-4485-BD45-80D595B62AEF}"/>
    <cellStyle name="Normal 12 2 2 5 3 2 2" xfId="33828" xr:uid="{69A6CF24-6473-4706-AD6C-133B7BA66E7D}"/>
    <cellStyle name="Normal 12 2 2 5 3 3" xfId="24531" xr:uid="{942B3D7B-9D6A-4FA2-9036-99123FD94D79}"/>
    <cellStyle name="Normal 12 2 2 5 4" xfId="11015" xr:uid="{4AA3270E-68C9-45D7-8481-27C6C7A4FD39}"/>
    <cellStyle name="Normal 12 2 2 5 4 2" xfId="29611" xr:uid="{C5E3A05C-277C-40EC-84D1-B75F2B2005B9}"/>
    <cellStyle name="Normal 12 2 2 5 5" xfId="20314" xr:uid="{5DC24EA9-8A6E-4D1D-9F4F-EAD97B94BBCB}"/>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EBD001A5-D15C-4F37-8B5F-2FEFC069B85D}"/>
    <cellStyle name="Normal 12 2 2 6 2 2 2 2" xfId="36386" xr:uid="{30A81122-3B96-466B-89CA-A6C27F3973AE}"/>
    <cellStyle name="Normal 12 2 2 6 2 2 3" xfId="27089" xr:uid="{DDF9E7AB-9AC8-4C4E-A045-EC2EAED4059A}"/>
    <cellStyle name="Normal 12 2 2 6 2 3" xfId="13573" xr:uid="{6FBA39B3-442B-4873-9839-02A71A53F740}"/>
    <cellStyle name="Normal 12 2 2 6 2 3 2" xfId="32169" xr:uid="{0B5F5182-6F97-4966-9292-A92CE5421791}"/>
    <cellStyle name="Normal 12 2 2 6 2 4" xfId="22872" xr:uid="{A5650FCC-92E0-4C27-95AD-09DE2EB3BE81}"/>
    <cellStyle name="Normal 12 2 2 6 3" xfId="6319" xr:uid="{00000000-0005-0000-0000-0000F20D0000}"/>
    <cellStyle name="Normal 12 2 2 6 3 2" xfId="15645" xr:uid="{ACE5CE2E-A617-4411-AB8A-23AD211EEB46}"/>
    <cellStyle name="Normal 12 2 2 6 3 2 2" xfId="34241" xr:uid="{DFCC2215-137F-4B3E-B1F0-EE5440F5821D}"/>
    <cellStyle name="Normal 12 2 2 6 3 3" xfId="24944" xr:uid="{381FE756-1EA2-4A8E-83CD-A258801FCA83}"/>
    <cellStyle name="Normal 12 2 2 6 4" xfId="11428" xr:uid="{0B4C9718-D4D2-4BCA-A071-A238D5B0B5B1}"/>
    <cellStyle name="Normal 12 2 2 6 4 2" xfId="30024" xr:uid="{9CD9DDA9-B248-48C3-BF04-5F2CB1484BDB}"/>
    <cellStyle name="Normal 12 2 2 6 5" xfId="20727" xr:uid="{653B2AD8-60E7-41C8-9255-AD7396120639}"/>
    <cellStyle name="Normal 12 2 2 7" xfId="2449" xr:uid="{00000000-0005-0000-0000-0000F30D0000}"/>
    <cellStyle name="Normal 12 2 2 7 2" xfId="6732" xr:uid="{00000000-0005-0000-0000-0000F40D0000}"/>
    <cellStyle name="Normal 12 2 2 7 2 2" xfId="16058" xr:uid="{24944D0D-112D-4F6C-99F0-1FCD88C4CF4A}"/>
    <cellStyle name="Normal 12 2 2 7 2 2 2" xfId="34654" xr:uid="{3C262731-F338-451B-99AF-FE5E97529D3C}"/>
    <cellStyle name="Normal 12 2 2 7 2 3" xfId="25357" xr:uid="{411A912E-39B6-4239-A5B1-7620A6DA6FC8}"/>
    <cellStyle name="Normal 12 2 2 7 3" xfId="11841" xr:uid="{B9B901D2-E55C-4006-8C89-F127685C7331}"/>
    <cellStyle name="Normal 12 2 2 7 3 2" xfId="30437" xr:uid="{6C64583F-E5B3-4FD5-AC33-CCFB9E031B4D}"/>
    <cellStyle name="Normal 12 2 2 7 4" xfId="21140" xr:uid="{75357D8B-57EA-4C1D-99C0-680C924D9C9E}"/>
    <cellStyle name="Normal 12 2 2 8" xfId="4666" xr:uid="{00000000-0005-0000-0000-0000F50D0000}"/>
    <cellStyle name="Normal 12 2 2 8 2" xfId="13992" xr:uid="{C1AAF3A8-C18F-4670-B5BD-4592F6B102FE}"/>
    <cellStyle name="Normal 12 2 2 8 2 2" xfId="32588" xr:uid="{A7D91BD2-C86B-40FF-9B09-E6B9F1F562EB}"/>
    <cellStyle name="Normal 12 2 2 8 3" xfId="23291" xr:uid="{3505D468-04C3-4157-8EDC-D664C4402CB5}"/>
    <cellStyle name="Normal 12 2 2 9" xfId="8914" xr:uid="{85903DBC-FA0A-4A9D-9FB4-BA36A4B6F510}"/>
    <cellStyle name="Normal 12 2 2 9 2" xfId="18238" xr:uid="{690050F4-E53F-483D-AD97-DDE7660C358D}"/>
    <cellStyle name="Normal 12 2 2 9 2 2" xfId="36833" xr:uid="{A95839ED-D906-4C2F-9A38-C079944DB58E}"/>
    <cellStyle name="Normal 12 2 2 9 3" xfId="27536" xr:uid="{2C5B75F7-A700-4191-8D3D-6FB179536166}"/>
    <cellStyle name="Normal 12 2 3" xfId="263" xr:uid="{00000000-0005-0000-0000-0000F60D0000}"/>
    <cellStyle name="Normal 12 2 3 10" xfId="19076" xr:uid="{CDC3A59A-5EBB-43FC-9C32-FC47DC433C01}"/>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2A79DBB1-5FF4-48E3-9336-62EFDFEF3AF8}"/>
    <cellStyle name="Normal 12 2 3 2 2 2 2 2" xfId="35149" xr:uid="{8B7B7850-D444-4419-8A5E-C53374BF4B6F}"/>
    <cellStyle name="Normal 12 2 3 2 2 2 3" xfId="25852" xr:uid="{08F34535-1E5F-42D9-B544-ED8139AE6396}"/>
    <cellStyle name="Normal 12 2 3 2 2 3" xfId="12336" xr:uid="{5337668B-6C69-43DE-BA88-6D0BBE1C4E2E}"/>
    <cellStyle name="Normal 12 2 3 2 2 3 2" xfId="30932" xr:uid="{5B6A74AB-CF6D-4CC9-BCD8-1588B970E889}"/>
    <cellStyle name="Normal 12 2 3 2 2 4" xfId="21635" xr:uid="{FA5A4779-86D4-4484-BF72-DB06A16E121B}"/>
    <cellStyle name="Normal 12 2 3 2 3" xfId="5082" xr:uid="{00000000-0005-0000-0000-0000FA0D0000}"/>
    <cellStyle name="Normal 12 2 3 2 3 2" xfId="14408" xr:uid="{BA74BCC0-1B13-4960-AAB7-56BAD7311BBC}"/>
    <cellStyle name="Normal 12 2 3 2 3 2 2" xfId="33004" xr:uid="{54B3EBC0-536A-4DD4-95CC-7C0D8F0A3F6B}"/>
    <cellStyle name="Normal 12 2 3 2 3 3" xfId="23707" xr:uid="{F53C9114-AD36-4F76-8599-A4A1328434B7}"/>
    <cellStyle name="Normal 12 2 3 2 4" xfId="9443" xr:uid="{61F0A971-1285-4215-8170-49D07520551A}"/>
    <cellStyle name="Normal 12 2 3 2 4 2" xfId="18758" xr:uid="{A35C3A6B-DDE5-46F0-92FF-B34A90BF9FBA}"/>
    <cellStyle name="Normal 12 2 3 2 4 2 2" xfId="37352" xr:uid="{0E860C58-E5E2-400F-8578-E26553F92B43}"/>
    <cellStyle name="Normal 12 2 3 2 4 3" xfId="28055" xr:uid="{83A7D0D6-E514-4E52-A313-A7C07BEC7F5C}"/>
    <cellStyle name="Normal 12 2 3 2 5" xfId="10191" xr:uid="{03700B6E-F187-4DB8-A440-5E5F07EB7B9D}"/>
    <cellStyle name="Normal 12 2 3 2 5 2" xfId="28787" xr:uid="{35F199AD-1EDD-432F-9962-A5717CFAE2C7}"/>
    <cellStyle name="Normal 12 2 3 2 6" xfId="19490" xr:uid="{B51AFC65-BFAA-4E0E-9C19-A2616B91ADE6}"/>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BC3151CD-AD68-4F86-A6B5-7605C2588E33}"/>
    <cellStyle name="Normal 12 2 3 3 2 2 2 2" xfId="35562" xr:uid="{D678385E-08B6-4B9C-8701-43C418A40354}"/>
    <cellStyle name="Normal 12 2 3 3 2 2 3" xfId="26265" xr:uid="{04A73E50-C4B7-47D7-B330-1885E8898214}"/>
    <cellStyle name="Normal 12 2 3 3 2 3" xfId="12749" xr:uid="{CE205DC0-7FB1-44C2-9AD8-5E51B7C86597}"/>
    <cellStyle name="Normal 12 2 3 3 2 3 2" xfId="31345" xr:uid="{CFF55586-00D3-4CC7-B777-8254A1FE9B40}"/>
    <cellStyle name="Normal 12 2 3 3 2 4" xfId="22048" xr:uid="{2C22CDF1-450A-4700-A540-1EA68A26E023}"/>
    <cellStyle name="Normal 12 2 3 3 3" xfId="5495" xr:uid="{00000000-0005-0000-0000-0000FE0D0000}"/>
    <cellStyle name="Normal 12 2 3 3 3 2" xfId="14821" xr:uid="{E6D9B6C0-9CBC-46C9-8A16-D84EB534A601}"/>
    <cellStyle name="Normal 12 2 3 3 3 2 2" xfId="33417" xr:uid="{1BF89227-F6E1-4752-86D4-34981C0A2ECA}"/>
    <cellStyle name="Normal 12 2 3 3 3 3" xfId="24120" xr:uid="{E133F03C-6586-4E62-B89E-3C25B21EAC1A}"/>
    <cellStyle name="Normal 12 2 3 3 4" xfId="10604" xr:uid="{85EDC870-9AB9-4919-BACD-4CA900710956}"/>
    <cellStyle name="Normal 12 2 3 3 4 2" xfId="29200" xr:uid="{A2307FB5-DB6C-4609-A801-1EDF15D68DEF}"/>
    <cellStyle name="Normal 12 2 3 3 5" xfId="19903" xr:uid="{09683669-135B-48AB-98B0-84D15F469C0F}"/>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DFF2A961-83EF-4D50-98EF-8B36AF03D750}"/>
    <cellStyle name="Normal 12 2 3 4 2 2 2 2" xfId="35975" xr:uid="{6981409B-9E3E-41BC-B054-264AAC63748E}"/>
    <cellStyle name="Normal 12 2 3 4 2 2 3" xfId="26678" xr:uid="{EFCD28E4-77D9-4EA0-95B3-405EACF7FA9D}"/>
    <cellStyle name="Normal 12 2 3 4 2 3" xfId="13162" xr:uid="{A0122C67-D6B2-440C-B966-9CF4B6B75C59}"/>
    <cellStyle name="Normal 12 2 3 4 2 3 2" xfId="31758" xr:uid="{A49C0A33-6524-4C75-8F52-DC4B846AB707}"/>
    <cellStyle name="Normal 12 2 3 4 2 4" xfId="22461" xr:uid="{FD96A95A-4FF0-4685-983E-ED6A97DD8020}"/>
    <cellStyle name="Normal 12 2 3 4 3" xfId="5908" xr:uid="{00000000-0005-0000-0000-0000020E0000}"/>
    <cellStyle name="Normal 12 2 3 4 3 2" xfId="15234" xr:uid="{09777DA1-C5FC-4688-AC99-17595FFCFDAB}"/>
    <cellStyle name="Normal 12 2 3 4 3 2 2" xfId="33830" xr:uid="{34E51422-5985-4A17-AF6A-132B340A0128}"/>
    <cellStyle name="Normal 12 2 3 4 3 3" xfId="24533" xr:uid="{5CA99227-C94B-4EF9-8ECC-1FBCD6FBCE6B}"/>
    <cellStyle name="Normal 12 2 3 4 4" xfId="11017" xr:uid="{2742AAA7-9A63-4B87-A2E7-66EC0EF5919F}"/>
    <cellStyle name="Normal 12 2 3 4 4 2" xfId="29613" xr:uid="{009529B7-5315-4825-B4C1-BC50B435EE08}"/>
    <cellStyle name="Normal 12 2 3 4 5" xfId="20316" xr:uid="{E6A05EBD-4A17-4813-80A6-CDEF7138AAB0}"/>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51B38D6B-B8F4-4B51-B205-A275C4F01E2A}"/>
    <cellStyle name="Normal 12 2 3 5 2 2 2 2" xfId="36388" xr:uid="{4D3EFFBD-6418-4ADE-8DAA-CE4FA4073E93}"/>
    <cellStyle name="Normal 12 2 3 5 2 2 3" xfId="27091" xr:uid="{6A58DD58-D8A0-4333-B7F7-81519C9FF4F3}"/>
    <cellStyle name="Normal 12 2 3 5 2 3" xfId="13575" xr:uid="{9DD70BAE-05E9-4DA5-817B-0A734D01EBC0}"/>
    <cellStyle name="Normal 12 2 3 5 2 3 2" xfId="32171" xr:uid="{E61E0ED4-664D-45A6-89DD-65A466FBB31C}"/>
    <cellStyle name="Normal 12 2 3 5 2 4" xfId="22874" xr:uid="{F2C07A3E-AFA8-4659-B60E-D2AA3AD1900B}"/>
    <cellStyle name="Normal 12 2 3 5 3" xfId="6321" xr:uid="{00000000-0005-0000-0000-0000060E0000}"/>
    <cellStyle name="Normal 12 2 3 5 3 2" xfId="15647" xr:uid="{8B8B1AC2-BE09-4F06-921A-735878D75BAA}"/>
    <cellStyle name="Normal 12 2 3 5 3 2 2" xfId="34243" xr:uid="{814FEBE8-E407-4216-B349-1D672E7657D7}"/>
    <cellStyle name="Normal 12 2 3 5 3 3" xfId="24946" xr:uid="{F80BE147-276B-4D44-A39C-4CEB39D0BBE1}"/>
    <cellStyle name="Normal 12 2 3 5 4" xfId="11430" xr:uid="{49811DC9-8C09-4DF9-B4A9-297E6CE0CA6C}"/>
    <cellStyle name="Normal 12 2 3 5 4 2" xfId="30026" xr:uid="{B7B39339-E316-4BF2-86F1-2A0B569BA8E9}"/>
    <cellStyle name="Normal 12 2 3 5 5" xfId="20729" xr:uid="{34828F22-C5C6-46E7-BC84-7DE00591275E}"/>
    <cellStyle name="Normal 12 2 3 6" xfId="2451" xr:uid="{00000000-0005-0000-0000-0000070E0000}"/>
    <cellStyle name="Normal 12 2 3 6 2" xfId="6734" xr:uid="{00000000-0005-0000-0000-0000080E0000}"/>
    <cellStyle name="Normal 12 2 3 6 2 2" xfId="16060" xr:uid="{CA850CB2-26F1-49D3-9BCF-E484B335D671}"/>
    <cellStyle name="Normal 12 2 3 6 2 2 2" xfId="34656" xr:uid="{4D9CD4D3-6C8A-4940-B216-63D215BBF3CE}"/>
    <cellStyle name="Normal 12 2 3 6 2 3" xfId="25359" xr:uid="{FCCA0877-FE0B-499B-BB3A-18C058E68F73}"/>
    <cellStyle name="Normal 12 2 3 6 3" xfId="11843" xr:uid="{5FC4C98C-A828-45BA-88D0-CB1A6C5FEFD3}"/>
    <cellStyle name="Normal 12 2 3 6 3 2" xfId="30439" xr:uid="{A3FEB433-C0BE-4FAB-BDD0-0EBAABDBCB62}"/>
    <cellStyle name="Normal 12 2 3 6 4" xfId="21142" xr:uid="{6415DEDA-0D8F-404E-88A1-61ED33D56103}"/>
    <cellStyle name="Normal 12 2 3 7" xfId="4668" xr:uid="{00000000-0005-0000-0000-0000090E0000}"/>
    <cellStyle name="Normal 12 2 3 7 2" xfId="13994" xr:uid="{BE99A707-1138-4995-903C-1E6AB29F1162}"/>
    <cellStyle name="Normal 12 2 3 7 2 2" xfId="32590" xr:uid="{4736C789-C291-4F4F-A93C-0D94FE783845}"/>
    <cellStyle name="Normal 12 2 3 7 3" xfId="23293" xr:uid="{C6C8A4D7-A1CF-4DB7-B389-EF8DD21336ED}"/>
    <cellStyle name="Normal 12 2 3 8" xfId="9018" xr:uid="{C3F41DC6-3A80-4145-A68D-169ABB54B6D0}"/>
    <cellStyle name="Normal 12 2 3 8 2" xfId="18342" xr:uid="{79B480B4-B088-4F8C-B220-595311ABB61F}"/>
    <cellStyle name="Normal 12 2 3 8 2 2" xfId="36937" xr:uid="{F5EB84ED-CE83-427E-97C6-4772CDB7A6A0}"/>
    <cellStyle name="Normal 12 2 3 8 3" xfId="27640" xr:uid="{DE41284A-90D8-4726-93A1-B815101ACD28}"/>
    <cellStyle name="Normal 12 2 3 9" xfId="9777" xr:uid="{3640D9F9-61FA-4841-8F45-DB850D867588}"/>
    <cellStyle name="Normal 12 2 3 9 2" xfId="28373" xr:uid="{A0D41A13-D92C-4117-B261-92B23F58F032}"/>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AE1101A5-BDAA-4DD8-9B5C-341A970898BB}"/>
    <cellStyle name="Normal 12 2 4 2 2 2 2" xfId="35146" xr:uid="{AAC79F37-21C8-407B-8ABC-F23CC7AD9420}"/>
    <cellStyle name="Normal 12 2 4 2 2 3" xfId="25849" xr:uid="{FED36F6A-6949-4D39-8CFC-2ABE1239969A}"/>
    <cellStyle name="Normal 12 2 4 2 3" xfId="12333" xr:uid="{CC82DC64-01B5-48C5-9E13-27346D3A73A4}"/>
    <cellStyle name="Normal 12 2 4 2 3 2" xfId="30929" xr:uid="{7E148189-E047-4A2A-82EE-BC2B198D86FA}"/>
    <cellStyle name="Normal 12 2 4 2 4" xfId="21632" xr:uid="{5180E9F4-9B7C-4506-957C-A27F8DE40F92}"/>
    <cellStyle name="Normal 12 2 4 3" xfId="5079" xr:uid="{00000000-0005-0000-0000-00000D0E0000}"/>
    <cellStyle name="Normal 12 2 4 3 2" xfId="14405" xr:uid="{B5687D21-8A29-4B2D-81CC-73B357DC25F6}"/>
    <cellStyle name="Normal 12 2 4 3 2 2" xfId="33001" xr:uid="{B30614A3-329B-4D35-B4F6-FB236C4D9478}"/>
    <cellStyle name="Normal 12 2 4 3 3" xfId="23704" xr:uid="{21E738E4-8CE2-4DC8-A525-FE48F79A7AC6}"/>
    <cellStyle name="Normal 12 2 4 4" xfId="9236" xr:uid="{C3D0196D-4BB3-4870-9762-A3CF40E5B45B}"/>
    <cellStyle name="Normal 12 2 4 4 2" xfId="18551" xr:uid="{77431DAA-028A-40A7-81F5-18DE50C8E6F3}"/>
    <cellStyle name="Normal 12 2 4 4 2 2" xfId="37145" xr:uid="{B82AFC8F-1D33-4008-A11D-98BEC5942635}"/>
    <cellStyle name="Normal 12 2 4 4 3" xfId="27848" xr:uid="{EA400A80-C8B2-49F7-A792-218FDCCF1C49}"/>
    <cellStyle name="Normal 12 2 4 5" xfId="10188" xr:uid="{11D54B98-64BD-40E3-B80D-0979EAD3049B}"/>
    <cellStyle name="Normal 12 2 4 5 2" xfId="28784" xr:uid="{EA467021-297E-4D71-B6D7-A3EE53F5795F}"/>
    <cellStyle name="Normal 12 2 4 6" xfId="19487" xr:uid="{95C948C7-FBC6-4E4A-9D1F-404F4D699C65}"/>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EFB598B8-7B4D-4C99-A510-F9277198A8BF}"/>
    <cellStyle name="Normal 12 2 5 2 2 2 2" xfId="35559" xr:uid="{CD77E99C-F7FD-42A2-B6BE-1E76C75510BB}"/>
    <cellStyle name="Normal 12 2 5 2 2 3" xfId="26262" xr:uid="{F47E88C3-1F30-4D3A-8FD9-09F7391FDFB7}"/>
    <cellStyle name="Normal 12 2 5 2 3" xfId="12746" xr:uid="{88BEE10A-36C1-40B0-931F-ACB302BAEA3C}"/>
    <cellStyle name="Normal 12 2 5 2 3 2" xfId="31342" xr:uid="{1EF071DB-4016-4651-AD15-A881CB523CA6}"/>
    <cellStyle name="Normal 12 2 5 2 4" xfId="22045" xr:uid="{318A8887-402D-4C73-8960-B21C0B2EDE6B}"/>
    <cellStyle name="Normal 12 2 5 3" xfId="5492" xr:uid="{00000000-0005-0000-0000-0000110E0000}"/>
    <cellStyle name="Normal 12 2 5 3 2" xfId="14818" xr:uid="{3FC23018-F605-4599-87B2-E685C092D4BF}"/>
    <cellStyle name="Normal 12 2 5 3 2 2" xfId="33414" xr:uid="{15B99E26-E639-4C7F-A1C8-0E5BAB1C19CF}"/>
    <cellStyle name="Normal 12 2 5 3 3" xfId="24117" xr:uid="{663E2CAE-DAFB-486D-9F0A-E39FE8084195}"/>
    <cellStyle name="Normal 12 2 5 4" xfId="10601" xr:uid="{E1905776-31CD-41ED-A262-3FA93B5AF4AD}"/>
    <cellStyle name="Normal 12 2 5 4 2" xfId="29197" xr:uid="{8A5EB279-E09A-4A30-BC12-E9C1231DE8CD}"/>
    <cellStyle name="Normal 12 2 5 5" xfId="19900" xr:uid="{63EA1C35-0C15-4F07-A94A-C1E4155DA003}"/>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DA6FBD0B-8896-4BBC-B1C2-07E5B441B8FC}"/>
    <cellStyle name="Normal 12 2 6 2 2 2 2" xfId="35972" xr:uid="{4CF0B7AB-FFEA-4503-AB2A-FA0BA49E9427}"/>
    <cellStyle name="Normal 12 2 6 2 2 3" xfId="26675" xr:uid="{35D07056-4262-492E-8B71-53DFB93BBC24}"/>
    <cellStyle name="Normal 12 2 6 2 3" xfId="13159" xr:uid="{6B515380-D482-4978-B16B-261ACD2F7A79}"/>
    <cellStyle name="Normal 12 2 6 2 3 2" xfId="31755" xr:uid="{45801028-26CB-4D70-997E-D746B64EB9CB}"/>
    <cellStyle name="Normal 12 2 6 2 4" xfId="22458" xr:uid="{F9C1124F-6F10-450A-B4E6-7E28AE57263A}"/>
    <cellStyle name="Normal 12 2 6 3" xfId="5905" xr:uid="{00000000-0005-0000-0000-0000150E0000}"/>
    <cellStyle name="Normal 12 2 6 3 2" xfId="15231" xr:uid="{C7BFBA19-8195-4E07-BDCF-8304258E1087}"/>
    <cellStyle name="Normal 12 2 6 3 2 2" xfId="33827" xr:uid="{5E6D5833-BE88-46EF-944F-7B11045EE568}"/>
    <cellStyle name="Normal 12 2 6 3 3" xfId="24530" xr:uid="{C0AF5BC2-244C-45FA-B9EB-A338D705D2A5}"/>
    <cellStyle name="Normal 12 2 6 4" xfId="11014" xr:uid="{956F1F78-6865-4B3F-B43C-DA9EFF9650FE}"/>
    <cellStyle name="Normal 12 2 6 4 2" xfId="29610" xr:uid="{E96D8C37-72FF-4B20-AA7D-7565961269F0}"/>
    <cellStyle name="Normal 12 2 6 5" xfId="20313" xr:uid="{C2D1657D-C9BD-48C8-A96E-6198F47877CE}"/>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4C25D171-81B9-4965-9909-C6C613AE43EC}"/>
    <cellStyle name="Normal 12 2 7 2 2 2 2" xfId="36385" xr:uid="{7D8557ED-C753-402F-8B4B-B83022BB77A6}"/>
    <cellStyle name="Normal 12 2 7 2 2 3" xfId="27088" xr:uid="{B2370AA4-AF4C-43BC-BA06-6CA2C036E1D5}"/>
    <cellStyle name="Normal 12 2 7 2 3" xfId="13572" xr:uid="{77913966-711D-4385-BFB5-5B08866A211E}"/>
    <cellStyle name="Normal 12 2 7 2 3 2" xfId="32168" xr:uid="{BE8028FD-8BF9-4A5D-AF9B-E7C48996115A}"/>
    <cellStyle name="Normal 12 2 7 2 4" xfId="22871" xr:uid="{4F253354-D42D-4A45-A8E8-94D8C1B1AEA8}"/>
    <cellStyle name="Normal 12 2 7 3" xfId="6318" xr:uid="{00000000-0005-0000-0000-0000190E0000}"/>
    <cellStyle name="Normal 12 2 7 3 2" xfId="15644" xr:uid="{B26E754C-C5C8-4F34-A861-77E4A905460B}"/>
    <cellStyle name="Normal 12 2 7 3 2 2" xfId="34240" xr:uid="{E51FA046-303D-40C1-89B0-C7FA85260D79}"/>
    <cellStyle name="Normal 12 2 7 3 3" xfId="24943" xr:uid="{5EB72A4A-A2BE-460F-ACF2-0947FF2A0C9F}"/>
    <cellStyle name="Normal 12 2 7 4" xfId="11427" xr:uid="{2D6580B0-E1D2-46DA-BDA5-E4B9840D49D3}"/>
    <cellStyle name="Normal 12 2 7 4 2" xfId="30023" xr:uid="{F78F6F46-5F7E-40D7-88F7-67C66034F91C}"/>
    <cellStyle name="Normal 12 2 7 5" xfId="20726" xr:uid="{2C147CB5-520F-4DCE-87C6-57C122C143F6}"/>
    <cellStyle name="Normal 12 2 8" xfId="2448" xr:uid="{00000000-0005-0000-0000-00001A0E0000}"/>
    <cellStyle name="Normal 12 2 8 2" xfId="6731" xr:uid="{00000000-0005-0000-0000-00001B0E0000}"/>
    <cellStyle name="Normal 12 2 8 2 2" xfId="16057" xr:uid="{46EDB693-185C-477B-85BA-926345733BE1}"/>
    <cellStyle name="Normal 12 2 8 2 2 2" xfId="34653" xr:uid="{4D3A4E6C-A35B-431C-95A2-BA086963F2DF}"/>
    <cellStyle name="Normal 12 2 8 2 3" xfId="25356" xr:uid="{0201E3C0-62D6-4A6D-BBB9-80C2D1147009}"/>
    <cellStyle name="Normal 12 2 8 3" xfId="11840" xr:uid="{42FDC7F6-F716-472D-99E7-39D284D62132}"/>
    <cellStyle name="Normal 12 2 8 3 2" xfId="30436" xr:uid="{689F3F0B-05A2-4A36-8701-659020F0460D}"/>
    <cellStyle name="Normal 12 2 8 4" xfId="21139" xr:uid="{0318DC1B-0DE6-4F95-99E1-B52D697337C3}"/>
    <cellStyle name="Normal 12 2 9" xfId="4665" xr:uid="{00000000-0005-0000-0000-00001C0E0000}"/>
    <cellStyle name="Normal 12 2 9 2" xfId="13991" xr:uid="{F1FDBBC2-A048-4699-805A-53144FA0E6C7}"/>
    <cellStyle name="Normal 12 2 9 2 2" xfId="32587" xr:uid="{5FFD060C-F411-4D3D-A8E0-8FD15206F89D}"/>
    <cellStyle name="Normal 12 2 9 3" xfId="23290" xr:uid="{963AAEE3-ACAD-4E88-90DA-DBCABF6C5E55}"/>
    <cellStyle name="Normal 12 3" xfId="264" xr:uid="{00000000-0005-0000-0000-00001D0E0000}"/>
    <cellStyle name="Normal 12 3 10" xfId="9778" xr:uid="{FF584BED-C02A-4562-AE05-CD77406911A8}"/>
    <cellStyle name="Normal 12 3 10 2" xfId="28374" xr:uid="{8A7302DA-391E-4401-8AAD-1228F1432311}"/>
    <cellStyle name="Normal 12 3 11" xfId="19077" xr:uid="{D75AFA3F-A472-4885-AE83-8C8E999A80EC}"/>
    <cellStyle name="Normal 12 3 2" xfId="265" xr:uid="{00000000-0005-0000-0000-00001E0E0000}"/>
    <cellStyle name="Normal 12 3 2 10" xfId="19078" xr:uid="{566A9055-9184-4BA9-9846-B76CBE0F684D}"/>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A48CB1DE-B196-4170-A66A-FC1433083FD6}"/>
    <cellStyle name="Normal 12 3 2 2 2 2 2 2" xfId="35151" xr:uid="{9E7270E3-E926-4864-BFA6-809F7CC2F027}"/>
    <cellStyle name="Normal 12 3 2 2 2 2 3" xfId="25854" xr:uid="{763F2F2D-A109-41C0-A2EF-185E2CC9174B}"/>
    <cellStyle name="Normal 12 3 2 2 2 3" xfId="12338" xr:uid="{3FB06FD2-11A2-4EC2-B0A8-F92D1D5D97F2}"/>
    <cellStyle name="Normal 12 3 2 2 2 3 2" xfId="30934" xr:uid="{F0D00AA0-353F-4D97-8C35-10E9478D5E8E}"/>
    <cellStyle name="Normal 12 3 2 2 2 4" xfId="21637" xr:uid="{9CD053E6-674A-4695-83EB-4E9EB5C824A1}"/>
    <cellStyle name="Normal 12 3 2 2 3" xfId="5084" xr:uid="{00000000-0005-0000-0000-0000220E0000}"/>
    <cellStyle name="Normal 12 3 2 2 3 2" xfId="14410" xr:uid="{7C9A7513-AA34-4D84-AAA1-DDA4EA70A91B}"/>
    <cellStyle name="Normal 12 3 2 2 3 2 2" xfId="33006" xr:uid="{B82C821C-1A18-4088-AC54-B5CD1280399A}"/>
    <cellStyle name="Normal 12 3 2 2 3 3" xfId="23709" xr:uid="{3A4E4141-722A-4971-AF1C-8BA82A02B454}"/>
    <cellStyle name="Normal 12 3 2 2 4" xfId="9505" xr:uid="{B127619B-367D-40AD-851E-01DDBB2DCD13}"/>
    <cellStyle name="Normal 12 3 2 2 4 2" xfId="18820" xr:uid="{E734D0F0-5971-4240-8BF7-3D45E69D0684}"/>
    <cellStyle name="Normal 12 3 2 2 4 2 2" xfId="37414" xr:uid="{1C5D8A33-3F95-4003-AC62-7A7295103710}"/>
    <cellStyle name="Normal 12 3 2 2 4 3" xfId="28117" xr:uid="{182A412B-0726-4FCA-B6DC-53D3D65E3AED}"/>
    <cellStyle name="Normal 12 3 2 2 5" xfId="10193" xr:uid="{5470C1E4-F9F3-4388-AA4B-C537A20DE14A}"/>
    <cellStyle name="Normal 12 3 2 2 5 2" xfId="28789" xr:uid="{902A1C92-06DC-4405-9FB7-01FEA167F258}"/>
    <cellStyle name="Normal 12 3 2 2 6" xfId="19492" xr:uid="{997FF733-552C-4189-AC98-4E1A094E0030}"/>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6EDEA7E1-B022-441F-912F-9F6A59000F11}"/>
    <cellStyle name="Normal 12 3 2 3 2 2 2 2" xfId="35564" xr:uid="{35D9F116-80D6-462D-BD0C-127D06BDB58E}"/>
    <cellStyle name="Normal 12 3 2 3 2 2 3" xfId="26267" xr:uid="{42C5BF75-7832-424C-B009-DDF8244A7209}"/>
    <cellStyle name="Normal 12 3 2 3 2 3" xfId="12751" xr:uid="{22BF4B31-9994-4309-83AF-4ECFA9C90C3E}"/>
    <cellStyle name="Normal 12 3 2 3 2 3 2" xfId="31347" xr:uid="{5681DFB3-3130-4E51-A5DD-104CE3DBBDC1}"/>
    <cellStyle name="Normal 12 3 2 3 2 4" xfId="22050" xr:uid="{B1FBF85A-643A-4B18-BA49-2DA6BA8043EF}"/>
    <cellStyle name="Normal 12 3 2 3 3" xfId="5497" xr:uid="{00000000-0005-0000-0000-0000260E0000}"/>
    <cellStyle name="Normal 12 3 2 3 3 2" xfId="14823" xr:uid="{A311523D-A3F1-4283-8CD3-D55AD4A05102}"/>
    <cellStyle name="Normal 12 3 2 3 3 2 2" xfId="33419" xr:uid="{CDE4C672-A4AD-4F9C-9655-46ED49422EF5}"/>
    <cellStyle name="Normal 12 3 2 3 3 3" xfId="24122" xr:uid="{02ECD48A-0509-4E88-B112-050B84A1AB83}"/>
    <cellStyle name="Normal 12 3 2 3 4" xfId="10606" xr:uid="{6ED6D594-E979-454F-8AD5-892192D748A5}"/>
    <cellStyle name="Normal 12 3 2 3 4 2" xfId="29202" xr:uid="{F84AE162-3D7B-475A-82A0-B8425A60F890}"/>
    <cellStyle name="Normal 12 3 2 3 5" xfId="19905" xr:uid="{D45D2E5B-B050-4C82-871E-58A72300DE1E}"/>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A5BFF2F7-0DCE-4842-8ECD-308DBE80DC8B}"/>
    <cellStyle name="Normal 12 3 2 4 2 2 2 2" xfId="35977" xr:uid="{17A80F4A-5E31-4998-9EE4-7E88DA334C10}"/>
    <cellStyle name="Normal 12 3 2 4 2 2 3" xfId="26680" xr:uid="{C6FE807D-08A4-4FCC-BC37-947BC4D42EFC}"/>
    <cellStyle name="Normal 12 3 2 4 2 3" xfId="13164" xr:uid="{F62F2E09-3D4A-4B4F-B02D-8825334B7991}"/>
    <cellStyle name="Normal 12 3 2 4 2 3 2" xfId="31760" xr:uid="{24767FCC-ED24-421C-8DFA-96D2C963B0C6}"/>
    <cellStyle name="Normal 12 3 2 4 2 4" xfId="22463" xr:uid="{839301BC-9DA0-4540-9DAA-A3548396FD94}"/>
    <cellStyle name="Normal 12 3 2 4 3" xfId="5910" xr:uid="{00000000-0005-0000-0000-00002A0E0000}"/>
    <cellStyle name="Normal 12 3 2 4 3 2" xfId="15236" xr:uid="{EAD17E9A-D881-4177-8B4E-FFC88F625BDC}"/>
    <cellStyle name="Normal 12 3 2 4 3 2 2" xfId="33832" xr:uid="{FD4DA0EC-DAF8-4BF2-B1E4-658E0BE48222}"/>
    <cellStyle name="Normal 12 3 2 4 3 3" xfId="24535" xr:uid="{550623DE-05A9-4920-A1C5-07CEBFECA5D6}"/>
    <cellStyle name="Normal 12 3 2 4 4" xfId="11019" xr:uid="{520839C0-9317-4A95-A6E9-99B5CDB6FD00}"/>
    <cellStyle name="Normal 12 3 2 4 4 2" xfId="29615" xr:uid="{5917F9BA-09DE-40C7-9EB8-A8B79C7DBACE}"/>
    <cellStyle name="Normal 12 3 2 4 5" xfId="20318" xr:uid="{EA821D09-40B9-4489-8896-A21ACA7D2E9F}"/>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DD0507DA-2853-42FB-8532-23807B61AE53}"/>
    <cellStyle name="Normal 12 3 2 5 2 2 2 2" xfId="36390" xr:uid="{55E0B75D-8D4B-4EB6-9FB9-EAB56CD63086}"/>
    <cellStyle name="Normal 12 3 2 5 2 2 3" xfId="27093" xr:uid="{210E65E7-6876-4EC8-9E58-ED9B39E02A65}"/>
    <cellStyle name="Normal 12 3 2 5 2 3" xfId="13577" xr:uid="{72150B33-451E-4DF9-846C-BA1160AC97EA}"/>
    <cellStyle name="Normal 12 3 2 5 2 3 2" xfId="32173" xr:uid="{6FCE7948-B73F-4A5D-89EA-3EE8B4CD906A}"/>
    <cellStyle name="Normal 12 3 2 5 2 4" xfId="22876" xr:uid="{ECDDC91B-527B-4B11-8AC1-5A3DBD230FFA}"/>
    <cellStyle name="Normal 12 3 2 5 3" xfId="6323" xr:uid="{00000000-0005-0000-0000-00002E0E0000}"/>
    <cellStyle name="Normal 12 3 2 5 3 2" xfId="15649" xr:uid="{16AF15B9-D28B-4640-9166-A0BD51A255F7}"/>
    <cellStyle name="Normal 12 3 2 5 3 2 2" xfId="34245" xr:uid="{588958E9-96E6-403B-AB71-E13ECDA45B7C}"/>
    <cellStyle name="Normal 12 3 2 5 3 3" xfId="24948" xr:uid="{290D7AA6-87BB-4CD6-A571-173AE27FD583}"/>
    <cellStyle name="Normal 12 3 2 5 4" xfId="11432" xr:uid="{920AE336-F1B4-4B87-9287-337503392C73}"/>
    <cellStyle name="Normal 12 3 2 5 4 2" xfId="30028" xr:uid="{8C019190-13C1-4E49-B057-591C70CE739F}"/>
    <cellStyle name="Normal 12 3 2 5 5" xfId="20731" xr:uid="{CBCCE470-F880-4CBD-8613-D1ACBEBBA77C}"/>
    <cellStyle name="Normal 12 3 2 6" xfId="2453" xr:uid="{00000000-0005-0000-0000-00002F0E0000}"/>
    <cellStyle name="Normal 12 3 2 6 2" xfId="6736" xr:uid="{00000000-0005-0000-0000-0000300E0000}"/>
    <cellStyle name="Normal 12 3 2 6 2 2" xfId="16062" xr:uid="{83361977-9F6C-4614-A0C0-43E1D4AF4755}"/>
    <cellStyle name="Normal 12 3 2 6 2 2 2" xfId="34658" xr:uid="{C6CD9551-A50D-4A2B-A43E-E159A57EA5F0}"/>
    <cellStyle name="Normal 12 3 2 6 2 3" xfId="25361" xr:uid="{1CEA2F97-0349-47B4-8AAE-9BD92D5206BE}"/>
    <cellStyle name="Normal 12 3 2 6 3" xfId="11845" xr:uid="{6FEFFBE4-D567-4EAE-8029-ED8DEAE695E3}"/>
    <cellStyle name="Normal 12 3 2 6 3 2" xfId="30441" xr:uid="{4DD4C6E8-8CDD-4290-9454-5931D81C0A3C}"/>
    <cellStyle name="Normal 12 3 2 6 4" xfId="21144" xr:uid="{F029FC42-B17D-4FB8-8CC0-D24814438923}"/>
    <cellStyle name="Normal 12 3 2 7" xfId="4670" xr:uid="{00000000-0005-0000-0000-0000310E0000}"/>
    <cellStyle name="Normal 12 3 2 7 2" xfId="13996" xr:uid="{F56ACCC1-D709-40E3-83A3-4A4DC5C5B941}"/>
    <cellStyle name="Normal 12 3 2 7 2 2" xfId="32592" xr:uid="{3AF77F32-A484-490A-920D-CDFD5E0B7087}"/>
    <cellStyle name="Normal 12 3 2 7 3" xfId="23295" xr:uid="{0E544CA2-1A24-409D-9A8F-1E3DC366EB92}"/>
    <cellStyle name="Normal 12 3 2 8" xfId="9080" xr:uid="{403F3083-4A9F-4295-B676-C31241B8936E}"/>
    <cellStyle name="Normal 12 3 2 8 2" xfId="18404" xr:uid="{A7C5D901-46C9-433B-B048-30CFBF630D06}"/>
    <cellStyle name="Normal 12 3 2 8 2 2" xfId="36999" xr:uid="{EB8A4208-D8CD-4743-AB0B-4C7C8C19A6F8}"/>
    <cellStyle name="Normal 12 3 2 8 3" xfId="27702" xr:uid="{82C3A93B-38AF-40D9-826D-A6DC9F3C5335}"/>
    <cellStyle name="Normal 12 3 2 9" xfId="9779" xr:uid="{5FD58547-64D4-42CA-B9C3-CB66CECAC3BE}"/>
    <cellStyle name="Normal 12 3 2 9 2" xfId="28375" xr:uid="{E861B0AE-3810-447F-B226-FD77DF0FEED2}"/>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68D29945-2614-4A60-95EF-802162A30897}"/>
    <cellStyle name="Normal 12 3 3 2 2 2 2" xfId="35150" xr:uid="{4521CE0B-71E3-4E48-A5BD-6BEF53A06B59}"/>
    <cellStyle name="Normal 12 3 3 2 2 3" xfId="25853" xr:uid="{F1C1AD8A-8234-46DF-BC77-A51F2D4E3E63}"/>
    <cellStyle name="Normal 12 3 3 2 3" xfId="12337" xr:uid="{A1C546D9-F705-4C29-B29B-4BBF7189BFC1}"/>
    <cellStyle name="Normal 12 3 3 2 3 2" xfId="30933" xr:uid="{E230CD9E-3525-4F18-B84A-687F88D0EF63}"/>
    <cellStyle name="Normal 12 3 3 2 4" xfId="21636" xr:uid="{9613DD27-70C2-48CD-AD99-2578C06D144B}"/>
    <cellStyle name="Normal 12 3 3 3" xfId="5083" xr:uid="{00000000-0005-0000-0000-0000350E0000}"/>
    <cellStyle name="Normal 12 3 3 3 2" xfId="14409" xr:uid="{D6A290B8-721F-4FC0-9217-33F465D1FDAD}"/>
    <cellStyle name="Normal 12 3 3 3 2 2" xfId="33005" xr:uid="{04BB5888-BE12-42D1-BEED-FC79D92A6565}"/>
    <cellStyle name="Normal 12 3 3 3 3" xfId="23708" xr:uid="{1E015608-ED91-4A07-9312-9FC6C7DBB3DD}"/>
    <cellStyle name="Normal 12 3 3 4" xfId="9298" xr:uid="{A6F9D711-F86A-406D-B160-91678C261745}"/>
    <cellStyle name="Normal 12 3 3 4 2" xfId="18613" xr:uid="{53E14D80-6B8F-40AE-81FF-0900A21938EE}"/>
    <cellStyle name="Normal 12 3 3 4 2 2" xfId="37207" xr:uid="{AFCDA158-BF3A-409D-9D62-674F1BA42820}"/>
    <cellStyle name="Normal 12 3 3 4 3" xfId="27910" xr:uid="{8D66F7B1-4DA5-4C40-B3FF-D904B73A8FAE}"/>
    <cellStyle name="Normal 12 3 3 5" xfId="10192" xr:uid="{F9A7F4C3-5E84-4164-A285-240F7B842BFB}"/>
    <cellStyle name="Normal 12 3 3 5 2" xfId="28788" xr:uid="{AAFDE233-93A7-4E4C-88C7-8645E69127FF}"/>
    <cellStyle name="Normal 12 3 3 6" xfId="19491" xr:uid="{E35240F6-BAEB-4099-836F-830D827EA934}"/>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A90A3A17-AAC1-45FD-87CC-5733DDD93C27}"/>
    <cellStyle name="Normal 12 3 4 2 2 2 2" xfId="35563" xr:uid="{35273332-68EA-468C-8E5C-A7B770F7BE73}"/>
    <cellStyle name="Normal 12 3 4 2 2 3" xfId="26266" xr:uid="{E50E4258-A29F-4298-8A78-D39D7A22B103}"/>
    <cellStyle name="Normal 12 3 4 2 3" xfId="12750" xr:uid="{1AAF77D6-F178-4C99-AF36-7753DB8CFB48}"/>
    <cellStyle name="Normal 12 3 4 2 3 2" xfId="31346" xr:uid="{5B9EB246-AC62-46E7-AB03-06B0C26C7D94}"/>
    <cellStyle name="Normal 12 3 4 2 4" xfId="22049" xr:uid="{5FDE72F0-8446-4FD9-A5D4-C5FA8172106E}"/>
    <cellStyle name="Normal 12 3 4 3" xfId="5496" xr:uid="{00000000-0005-0000-0000-0000390E0000}"/>
    <cellStyle name="Normal 12 3 4 3 2" xfId="14822" xr:uid="{1099BA5F-C7D7-478A-9B1C-AA7E6DC7837E}"/>
    <cellStyle name="Normal 12 3 4 3 2 2" xfId="33418" xr:uid="{40A05D81-8BFC-4770-959A-2B3DAFEFC533}"/>
    <cellStyle name="Normal 12 3 4 3 3" xfId="24121" xr:uid="{0C36B23E-E26D-4E80-AC11-19EF34ECBCC8}"/>
    <cellStyle name="Normal 12 3 4 4" xfId="10605" xr:uid="{8A3FFA3D-D50A-418E-9AD4-D54CCD446C6F}"/>
    <cellStyle name="Normal 12 3 4 4 2" xfId="29201" xr:uid="{71346B3D-ABAE-4B2C-AB0E-EA752D15D530}"/>
    <cellStyle name="Normal 12 3 4 5" xfId="19904" xr:uid="{34E5A754-075E-4E73-A303-B4F0280845EB}"/>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053FD8F8-4904-4203-8FFA-5837E16E058E}"/>
    <cellStyle name="Normal 12 3 5 2 2 2 2" xfId="35976" xr:uid="{8880A3CA-0471-4B34-A1F3-AFAEDB8EBD48}"/>
    <cellStyle name="Normal 12 3 5 2 2 3" xfId="26679" xr:uid="{244F28B5-7461-4D70-8B64-2AD77DE83269}"/>
    <cellStyle name="Normal 12 3 5 2 3" xfId="13163" xr:uid="{798A54DC-AA8A-4921-B1AD-80743665F1BD}"/>
    <cellStyle name="Normal 12 3 5 2 3 2" xfId="31759" xr:uid="{622641BE-8503-41DF-83FD-2ED9C526A5B2}"/>
    <cellStyle name="Normal 12 3 5 2 4" xfId="22462" xr:uid="{9D4055E7-39D4-491B-9C53-D679FBC5CB49}"/>
    <cellStyle name="Normal 12 3 5 3" xfId="5909" xr:uid="{00000000-0005-0000-0000-00003D0E0000}"/>
    <cellStyle name="Normal 12 3 5 3 2" xfId="15235" xr:uid="{AC54AB3B-A977-44E5-B400-621768DD7F42}"/>
    <cellStyle name="Normal 12 3 5 3 2 2" xfId="33831" xr:uid="{E3ED0C27-7F8D-4A41-8E85-6B101CE845DF}"/>
    <cellStyle name="Normal 12 3 5 3 3" xfId="24534" xr:uid="{A23466AB-4A31-472A-BED6-2DCBA3DF17A5}"/>
    <cellStyle name="Normal 12 3 5 4" xfId="11018" xr:uid="{0662BC05-0581-42D9-B370-14FD232C4E7B}"/>
    <cellStyle name="Normal 12 3 5 4 2" xfId="29614" xr:uid="{509FEBDE-63D7-4338-BA89-36D0AB25CA01}"/>
    <cellStyle name="Normal 12 3 5 5" xfId="20317" xr:uid="{5BF4DB37-603E-44DF-881B-07919112B064}"/>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81197F1C-719F-4CBE-8B55-EDEDDC97C6A3}"/>
    <cellStyle name="Normal 12 3 6 2 2 2 2" xfId="36389" xr:uid="{1577C490-CBC7-448B-B2B2-3CD6C60DA5A1}"/>
    <cellStyle name="Normal 12 3 6 2 2 3" xfId="27092" xr:uid="{BF438891-FDD0-45BF-8AA7-6C30CAEA6D48}"/>
    <cellStyle name="Normal 12 3 6 2 3" xfId="13576" xr:uid="{4860C3E3-F766-4EC4-969F-CBACFD60CA0E}"/>
    <cellStyle name="Normal 12 3 6 2 3 2" xfId="32172" xr:uid="{97E7B171-C124-4E5F-9DE7-26A78B570737}"/>
    <cellStyle name="Normal 12 3 6 2 4" xfId="22875" xr:uid="{0C874681-F1C7-4046-B780-E3C19929BA7C}"/>
    <cellStyle name="Normal 12 3 6 3" xfId="6322" xr:uid="{00000000-0005-0000-0000-0000410E0000}"/>
    <cellStyle name="Normal 12 3 6 3 2" xfId="15648" xr:uid="{2E9204C3-7B7A-4D57-B8DF-EA93630007F2}"/>
    <cellStyle name="Normal 12 3 6 3 2 2" xfId="34244" xr:uid="{CD6259C0-B789-4FAE-8A40-47E0075E3FFC}"/>
    <cellStyle name="Normal 12 3 6 3 3" xfId="24947" xr:uid="{7CFB4F06-63A0-4438-9CE5-5A95104569DC}"/>
    <cellStyle name="Normal 12 3 6 4" xfId="11431" xr:uid="{800F7B1A-C417-47A8-B7F4-F8DE21E6D0E8}"/>
    <cellStyle name="Normal 12 3 6 4 2" xfId="30027" xr:uid="{6C86F206-7FE8-4FA5-8969-6543CDAD27A9}"/>
    <cellStyle name="Normal 12 3 6 5" xfId="20730" xr:uid="{40F5775C-7341-4681-9CD6-1D05330F5582}"/>
    <cellStyle name="Normal 12 3 7" xfId="2452" xr:uid="{00000000-0005-0000-0000-0000420E0000}"/>
    <cellStyle name="Normal 12 3 7 2" xfId="6735" xr:uid="{00000000-0005-0000-0000-0000430E0000}"/>
    <cellStyle name="Normal 12 3 7 2 2" xfId="16061" xr:uid="{F34EA0C7-77DD-40C3-B879-7774D121EFDB}"/>
    <cellStyle name="Normal 12 3 7 2 2 2" xfId="34657" xr:uid="{06FAF96F-EB48-4869-A1C9-A51E5280FD8E}"/>
    <cellStyle name="Normal 12 3 7 2 3" xfId="25360" xr:uid="{094C072F-45CF-4182-90C8-293009531838}"/>
    <cellStyle name="Normal 12 3 7 3" xfId="11844" xr:uid="{50989CF3-0A73-4A08-9AED-6A35B4679974}"/>
    <cellStyle name="Normal 12 3 7 3 2" xfId="30440" xr:uid="{C27D242D-72C3-4D69-BB39-7B915EED85EB}"/>
    <cellStyle name="Normal 12 3 7 4" xfId="21143" xr:uid="{5DFDA4BE-AFAD-42A2-A0F7-A3C44070FC87}"/>
    <cellStyle name="Normal 12 3 8" xfId="4669" xr:uid="{00000000-0005-0000-0000-0000440E0000}"/>
    <cellStyle name="Normal 12 3 8 2" xfId="13995" xr:uid="{390AD20F-9422-47E9-85B1-22075B0849D4}"/>
    <cellStyle name="Normal 12 3 8 2 2" xfId="32591" xr:uid="{79904768-DF61-41B7-B033-D7A16D85FA83}"/>
    <cellStyle name="Normal 12 3 8 3" xfId="23294" xr:uid="{19F11330-CAC0-4AA4-ABFD-989592BAFBEC}"/>
    <cellStyle name="Normal 12 3 9" xfId="8873" xr:uid="{72AE7E6C-F254-4BFC-80A7-F73848FA4F21}"/>
    <cellStyle name="Normal 12 3 9 2" xfId="18197" xr:uid="{89A06B3F-9DF6-4B87-8230-3BCAC7D55515}"/>
    <cellStyle name="Normal 12 3 9 2 2" xfId="36792" xr:uid="{8FE10F79-C652-4C0D-8654-8B9DE682C320}"/>
    <cellStyle name="Normal 12 3 9 3" xfId="27495" xr:uid="{DA928DF2-D407-4DDA-9474-45372AC20F19}"/>
    <cellStyle name="Normal 12 4" xfId="266" xr:uid="{00000000-0005-0000-0000-0000450E0000}"/>
    <cellStyle name="Normal 12 4 10" xfId="19079" xr:uid="{BB8ABB6B-3F94-4CB4-BE06-D3FAF388AC8D}"/>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B87281D5-7592-41CF-BC1E-75B7492625F6}"/>
    <cellStyle name="Normal 12 4 2 2 2 2 2" xfId="35152" xr:uid="{7236004F-C77E-4E07-9552-79781165BABC}"/>
    <cellStyle name="Normal 12 4 2 2 2 3" xfId="25855" xr:uid="{F9E4B604-0D66-4C77-81F1-A7DB8DE49842}"/>
    <cellStyle name="Normal 12 4 2 2 3" xfId="12339" xr:uid="{D95C1276-DA95-4927-B9F8-055534CD6BE6}"/>
    <cellStyle name="Normal 12 4 2 2 3 2" xfId="30935" xr:uid="{7E431333-2882-418D-8A77-B9C7442A7F1D}"/>
    <cellStyle name="Normal 12 4 2 2 4" xfId="21638" xr:uid="{95696458-64D3-4B78-8133-0562299176D4}"/>
    <cellStyle name="Normal 12 4 2 3" xfId="5085" xr:uid="{00000000-0005-0000-0000-0000490E0000}"/>
    <cellStyle name="Normal 12 4 2 3 2" xfId="14411" xr:uid="{3AD0CA07-18D4-4E35-AA54-ACBA88BB208E}"/>
    <cellStyle name="Normal 12 4 2 3 2 2" xfId="33007" xr:uid="{291B8E5B-D782-4BD5-B431-01442EBD2588}"/>
    <cellStyle name="Normal 12 4 2 3 3" xfId="23710" xr:uid="{6F20F841-476F-4F05-9574-5F5047F79FFA}"/>
    <cellStyle name="Normal 12 4 2 4" xfId="9402" xr:uid="{F40C9AB7-F4D0-4A65-BBAA-FF5409160FE5}"/>
    <cellStyle name="Normal 12 4 2 4 2" xfId="18717" xr:uid="{DCC3DEA8-2223-42F8-AA5E-CCEE5A8E0E88}"/>
    <cellStyle name="Normal 12 4 2 4 2 2" xfId="37311" xr:uid="{561DF470-3ECA-474E-88A2-04F7753D73AA}"/>
    <cellStyle name="Normal 12 4 2 4 3" xfId="28014" xr:uid="{16544612-D53D-48DF-BEB0-A47485A21C7B}"/>
    <cellStyle name="Normal 12 4 2 5" xfId="10194" xr:uid="{A873AA0F-8B11-4B8E-80FB-3A2A24F2BE17}"/>
    <cellStyle name="Normal 12 4 2 5 2" xfId="28790" xr:uid="{71BD69E8-8EB9-4C9C-863B-928C9836C882}"/>
    <cellStyle name="Normal 12 4 2 6" xfId="19493" xr:uid="{564FB08B-75F8-444C-9E8A-44BFD22AEEFF}"/>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E7D3B547-324C-47F7-B665-ACDFC35C0D35}"/>
    <cellStyle name="Normal 12 4 3 2 2 2 2" xfId="35565" xr:uid="{AA059A4E-1A60-4343-BA65-84F635955E1C}"/>
    <cellStyle name="Normal 12 4 3 2 2 3" xfId="26268" xr:uid="{A02330D6-3C13-4AF9-923E-4D2075A2EF0D}"/>
    <cellStyle name="Normal 12 4 3 2 3" xfId="12752" xr:uid="{C6AAC647-65CE-4286-9E22-1934A832DD0F}"/>
    <cellStyle name="Normal 12 4 3 2 3 2" xfId="31348" xr:uid="{0FA2EDB4-6B47-479B-8BE3-B9AC42DBC832}"/>
    <cellStyle name="Normal 12 4 3 2 4" xfId="22051" xr:uid="{C2B2BF49-89D9-42C8-B0D2-953414163DFF}"/>
    <cellStyle name="Normal 12 4 3 3" xfId="5498" xr:uid="{00000000-0005-0000-0000-00004D0E0000}"/>
    <cellStyle name="Normal 12 4 3 3 2" xfId="14824" xr:uid="{7EFAC58D-CFFC-4034-8C7A-4FF9787BBFD1}"/>
    <cellStyle name="Normal 12 4 3 3 2 2" xfId="33420" xr:uid="{3019F0B0-BDB1-488B-9AAE-C02641E00093}"/>
    <cellStyle name="Normal 12 4 3 3 3" xfId="24123" xr:uid="{5BFC67F6-2DC0-46E0-AD1E-368325C56915}"/>
    <cellStyle name="Normal 12 4 3 4" xfId="10607" xr:uid="{4CF8E9E0-FE04-4429-AFE0-7D40352CD2FA}"/>
    <cellStyle name="Normal 12 4 3 4 2" xfId="29203" xr:uid="{C2D6F77C-4DAC-48DD-A046-F01CEE981023}"/>
    <cellStyle name="Normal 12 4 3 5" xfId="19906" xr:uid="{05A9BACB-327C-42F9-8350-F2D1D5C67D4B}"/>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C97E0EBB-7EFD-4BEC-9A64-B52AD7DD2136}"/>
    <cellStyle name="Normal 12 4 4 2 2 2 2" xfId="35978" xr:uid="{708E8395-CEE0-47C5-A2A8-60D3801384D1}"/>
    <cellStyle name="Normal 12 4 4 2 2 3" xfId="26681" xr:uid="{F972BAD4-03CC-493D-8C2F-07C278EDED28}"/>
    <cellStyle name="Normal 12 4 4 2 3" xfId="13165" xr:uid="{08170401-03D4-446E-A065-33D0E026C755}"/>
    <cellStyle name="Normal 12 4 4 2 3 2" xfId="31761" xr:uid="{314499F6-F8BB-44BC-87A0-A5C6C4A97BCC}"/>
    <cellStyle name="Normal 12 4 4 2 4" xfId="22464" xr:uid="{EF8A5EA9-A040-462A-BD47-6D94CED467C4}"/>
    <cellStyle name="Normal 12 4 4 3" xfId="5911" xr:uid="{00000000-0005-0000-0000-0000510E0000}"/>
    <cellStyle name="Normal 12 4 4 3 2" xfId="15237" xr:uid="{C234C9E5-B5C3-4396-9E70-C9E128672604}"/>
    <cellStyle name="Normal 12 4 4 3 2 2" xfId="33833" xr:uid="{0D9C459C-A5AA-436C-AD8A-DA335AC121EF}"/>
    <cellStyle name="Normal 12 4 4 3 3" xfId="24536" xr:uid="{449A604F-0786-443B-B392-6EE052713E80}"/>
    <cellStyle name="Normal 12 4 4 4" xfId="11020" xr:uid="{C39F1185-E343-455C-9536-B7F0467DC8A1}"/>
    <cellStyle name="Normal 12 4 4 4 2" xfId="29616" xr:uid="{1213D399-00BD-49FC-8C12-9503763AE9FD}"/>
    <cellStyle name="Normal 12 4 4 5" xfId="20319" xr:uid="{EFEBF947-BE4D-48D0-9375-4B9F09AE6083}"/>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D340DE56-4DE1-4BCB-84D3-E70221E6AF44}"/>
    <cellStyle name="Normal 12 4 5 2 2 2 2" xfId="36391" xr:uid="{5CD4D9C2-3DBE-4BAA-9E65-56F8A733E287}"/>
    <cellStyle name="Normal 12 4 5 2 2 3" xfId="27094" xr:uid="{E627EB69-2E96-450D-BC05-82388AE322B6}"/>
    <cellStyle name="Normal 12 4 5 2 3" xfId="13578" xr:uid="{EB0FBC7F-CF03-4024-A243-F01A8D12C9BB}"/>
    <cellStyle name="Normal 12 4 5 2 3 2" xfId="32174" xr:uid="{2802F460-F309-4CEB-9D62-EED5FA53F60D}"/>
    <cellStyle name="Normal 12 4 5 2 4" xfId="22877" xr:uid="{F693C271-956D-4093-89A3-10FC7AC9A100}"/>
    <cellStyle name="Normal 12 4 5 3" xfId="6324" xr:uid="{00000000-0005-0000-0000-0000550E0000}"/>
    <cellStyle name="Normal 12 4 5 3 2" xfId="15650" xr:uid="{6A973F9E-AFBD-432E-B014-A0524770E594}"/>
    <cellStyle name="Normal 12 4 5 3 2 2" xfId="34246" xr:uid="{0B2638EF-8C8D-4297-B412-2B7932CCD875}"/>
    <cellStyle name="Normal 12 4 5 3 3" xfId="24949" xr:uid="{91817784-2FAF-4CDA-95AC-D66BB5A42D52}"/>
    <cellStyle name="Normal 12 4 5 4" xfId="11433" xr:uid="{DF691D6F-86DD-43AE-9C20-DF9E2E63E2C7}"/>
    <cellStyle name="Normal 12 4 5 4 2" xfId="30029" xr:uid="{CE0EB926-A1CD-4299-8A87-F91DE1E8B30C}"/>
    <cellStyle name="Normal 12 4 5 5" xfId="20732" xr:uid="{E33E8D2A-859B-496A-8786-4AF11A7CDA77}"/>
    <cellStyle name="Normal 12 4 6" xfId="2454" xr:uid="{00000000-0005-0000-0000-0000560E0000}"/>
    <cellStyle name="Normal 12 4 6 2" xfId="6737" xr:uid="{00000000-0005-0000-0000-0000570E0000}"/>
    <cellStyle name="Normal 12 4 6 2 2" xfId="16063" xr:uid="{3CB9D0AE-E937-4BFD-A5D2-B20EAB02F195}"/>
    <cellStyle name="Normal 12 4 6 2 2 2" xfId="34659" xr:uid="{4DCAAE4B-3C2F-4999-B1E4-6B71C3B341D8}"/>
    <cellStyle name="Normal 12 4 6 2 3" xfId="25362" xr:uid="{7F1BDF5E-27A5-4DA5-A41B-F53EF7CF0265}"/>
    <cellStyle name="Normal 12 4 6 3" xfId="11846" xr:uid="{F85CAD47-2BB8-49AC-8DD2-DA4C34EFD666}"/>
    <cellStyle name="Normal 12 4 6 3 2" xfId="30442" xr:uid="{4CE71479-2F94-411F-9C81-62E360FDA8F3}"/>
    <cellStyle name="Normal 12 4 6 4" xfId="21145" xr:uid="{697F52DB-311B-4FBD-8367-C0C39B115643}"/>
    <cellStyle name="Normal 12 4 7" xfId="4671" xr:uid="{00000000-0005-0000-0000-0000580E0000}"/>
    <cellStyle name="Normal 12 4 7 2" xfId="13997" xr:uid="{D7F19FD0-C661-465B-BFAD-7925BE5E8193}"/>
    <cellStyle name="Normal 12 4 7 2 2" xfId="32593" xr:uid="{5611DDF6-BA82-4F25-9C59-D8CDBBD90657}"/>
    <cellStyle name="Normal 12 4 7 3" xfId="23296" xr:uid="{AFFF3A4F-CC03-40BE-A7F7-3BB875EF051E}"/>
    <cellStyle name="Normal 12 4 8" xfId="8977" xr:uid="{5BFFE5F3-99F6-4DA1-A3EF-BF749B3B7ACB}"/>
    <cellStyle name="Normal 12 4 8 2" xfId="18301" xr:uid="{108A1445-39BD-442E-A8D0-3926104CEB14}"/>
    <cellStyle name="Normal 12 4 8 2 2" xfId="36896" xr:uid="{8FDA059F-0097-41BC-A705-6C4827A8F9CD}"/>
    <cellStyle name="Normal 12 4 8 3" xfId="27599" xr:uid="{C6639965-3DE5-492B-AAAD-F4A7B5204504}"/>
    <cellStyle name="Normal 12 4 9" xfId="9780" xr:uid="{EBC8805E-7D8A-4FE3-A1C4-124B90190E40}"/>
    <cellStyle name="Normal 12 4 9 2" xfId="28376" xr:uid="{39AAB91A-16B9-43F0-8320-8A08FA233A28}"/>
    <cellStyle name="Normal 12 5" xfId="267" xr:uid="{00000000-0005-0000-0000-0000590E0000}"/>
    <cellStyle name="Normal 12 5 2" xfId="9579" xr:uid="{43940F87-8803-4E34-B3E0-736FAF89CA32}"/>
    <cellStyle name="Normal 12 5 2 2" xfId="18894" xr:uid="{932F36A1-DFEA-474D-90F8-9EC731CAA5FA}"/>
    <cellStyle name="Normal 12 5 2 2 2" xfId="37488" xr:uid="{D2952339-28B3-46B9-B641-0383B7C9DAAA}"/>
    <cellStyle name="Normal 12 5 2 3" xfId="28191" xr:uid="{EDFD90C7-E5D7-409C-87BE-C314120EAFBF}"/>
    <cellStyle name="Normal 12 5 3" xfId="9586" xr:uid="{72B01073-C2DA-4DF8-9E0D-6932F6AF67FF}"/>
    <cellStyle name="Normal 12 5 4" xfId="9156" xr:uid="{4BCB05AE-5738-4A10-9D4D-B3A4CD16FD2C}"/>
    <cellStyle name="Normal 12 5 4 2" xfId="18478" xr:uid="{37F4400C-E3AE-412F-8D3E-3AC82265AA3C}"/>
    <cellStyle name="Normal 12 5 4 2 2" xfId="37073" xr:uid="{F316D903-6B9E-42B4-B839-924120FD8B4B}"/>
    <cellStyle name="Normal 12 5 4 3" xfId="27776" xr:uid="{EC252221-377D-41D2-8250-D3C863AC98F7}"/>
    <cellStyle name="Normal 12 6" xfId="760" xr:uid="{00000000-0005-0000-0000-00005A0E0000}"/>
    <cellStyle name="Normal 12 6 2" xfId="3001" xr:uid="{00000000-0005-0000-0000-00005B0E0000}"/>
    <cellStyle name="Normal 12 6 2 2" xfId="7223" xr:uid="{00000000-0005-0000-0000-00005C0E0000}"/>
    <cellStyle name="Normal 12 6 2 2 2" xfId="16549" xr:uid="{A1825357-6741-4286-94A4-D07890E70832}"/>
    <cellStyle name="Normal 12 6 2 2 2 2" xfId="35145" xr:uid="{31FCE2B9-48A3-4B6E-81C8-6F641114A745}"/>
    <cellStyle name="Normal 12 6 2 2 3" xfId="25848" xr:uid="{B326F7F3-AA4F-4545-B87B-C771714DEA3F}"/>
    <cellStyle name="Normal 12 6 2 3" xfId="12332" xr:uid="{CDF25D4C-84FC-43EA-AB75-9CF8214B0390}"/>
    <cellStyle name="Normal 12 6 2 3 2" xfId="30928" xr:uid="{5E5DF460-CBB2-4990-B7BD-270080756DED}"/>
    <cellStyle name="Normal 12 6 2 4" xfId="21631" xr:uid="{A6655E09-10BE-416E-BB78-CD65FC9FECA8}"/>
    <cellStyle name="Normal 12 6 3" xfId="5078" xr:uid="{00000000-0005-0000-0000-00005D0E0000}"/>
    <cellStyle name="Normal 12 6 3 2" xfId="14404" xr:uid="{93CD64AE-A79A-4B51-9481-D95DD58C7DB9}"/>
    <cellStyle name="Normal 12 6 3 2 2" xfId="33000" xr:uid="{E82CD7F7-42B4-4A2B-BA29-FA1EB978DF2F}"/>
    <cellStyle name="Normal 12 6 3 3" xfId="23703" xr:uid="{F32D9B8D-D694-41BE-AB3D-9B7B57EC413B}"/>
    <cellStyle name="Normal 12 6 4" xfId="9194" xr:uid="{92D32932-3865-4F6F-A551-9A99EC116A43}"/>
    <cellStyle name="Normal 12 6 4 2" xfId="18510" xr:uid="{6121C895-3850-4A73-BE48-E86649795F79}"/>
    <cellStyle name="Normal 12 6 4 2 2" xfId="37104" xr:uid="{E0EA1E28-FC01-49B5-B1CC-DB0D91815940}"/>
    <cellStyle name="Normal 12 6 4 3" xfId="27807" xr:uid="{D2DA4E40-DD8C-4136-8A5C-22160F5D365A}"/>
    <cellStyle name="Normal 12 6 5" xfId="10187" xr:uid="{098D1F93-63B6-4D36-A1EC-EDD248E593D7}"/>
    <cellStyle name="Normal 12 6 5 2" xfId="28783" xr:uid="{91966B8C-AFA4-4F2A-BE8D-1522AE746104}"/>
    <cellStyle name="Normal 12 6 6" xfId="19486" xr:uid="{4E0FBA60-9462-4EEF-A077-3E1F8E97919A}"/>
    <cellStyle name="Normal 12 7" xfId="1183" xr:uid="{00000000-0005-0000-0000-00005E0E0000}"/>
    <cellStyle name="Normal 12 7 2" xfId="3414" xr:uid="{00000000-0005-0000-0000-00005F0E0000}"/>
    <cellStyle name="Normal 12 7 2 2" xfId="7636" xr:uid="{00000000-0005-0000-0000-0000600E0000}"/>
    <cellStyle name="Normal 12 7 2 2 2" xfId="16962" xr:uid="{E3373467-A1D6-43B3-B893-AF87566B2C5F}"/>
    <cellStyle name="Normal 12 7 2 2 2 2" xfId="35558" xr:uid="{3B4383B0-35A1-4DF6-8CE6-8A7245CD008E}"/>
    <cellStyle name="Normal 12 7 2 2 3" xfId="26261" xr:uid="{F5501E5E-0761-4D23-9588-0892721F09FD}"/>
    <cellStyle name="Normal 12 7 2 3" xfId="12745" xr:uid="{A37747D4-6B28-4DD7-977C-5F5EEAEF0FE5}"/>
    <cellStyle name="Normal 12 7 2 3 2" xfId="31341" xr:uid="{FB8B6ED2-2792-46BC-B11A-2718C7361022}"/>
    <cellStyle name="Normal 12 7 2 4" xfId="22044" xr:uid="{C437D963-6BDF-42ED-A570-0BEBE353FC84}"/>
    <cellStyle name="Normal 12 7 3" xfId="5491" xr:uid="{00000000-0005-0000-0000-0000610E0000}"/>
    <cellStyle name="Normal 12 7 3 2" xfId="14817" xr:uid="{124761B4-149A-4FEB-8F01-5C0690953499}"/>
    <cellStyle name="Normal 12 7 3 2 2" xfId="33413" xr:uid="{324DF6FB-080E-4A7E-8B6B-0A36BF32E0CB}"/>
    <cellStyle name="Normal 12 7 3 3" xfId="24116" xr:uid="{A6F68396-277F-4F98-8F27-6A914D7C477F}"/>
    <cellStyle name="Normal 12 7 4" xfId="10600" xr:uid="{9BDFDCF5-D5D7-4511-A1C0-0FF414F4B5E4}"/>
    <cellStyle name="Normal 12 7 4 2" xfId="29196" xr:uid="{B32C8CF3-A356-4662-818E-D1C7210B06DE}"/>
    <cellStyle name="Normal 12 7 5" xfId="19899" xr:uid="{DF6DABD1-4206-4B1E-A96B-3394E91917E5}"/>
    <cellStyle name="Normal 12 8" xfId="1597" xr:uid="{00000000-0005-0000-0000-0000620E0000}"/>
    <cellStyle name="Normal 12 8 2" xfId="3827" xr:uid="{00000000-0005-0000-0000-0000630E0000}"/>
    <cellStyle name="Normal 12 8 2 2" xfId="8049" xr:uid="{00000000-0005-0000-0000-0000640E0000}"/>
    <cellStyle name="Normal 12 8 2 2 2" xfId="17375" xr:uid="{7FBC3377-056F-4F76-A52B-807C292F868F}"/>
    <cellStyle name="Normal 12 8 2 2 2 2" xfId="35971" xr:uid="{855E370E-3C94-45CC-9C5F-C26F3A49FE86}"/>
    <cellStyle name="Normal 12 8 2 2 3" xfId="26674" xr:uid="{8EEC8885-9677-441F-B45C-4FA77C31D851}"/>
    <cellStyle name="Normal 12 8 2 3" xfId="13158" xr:uid="{D7BD4FC2-C8E1-4BA8-A65F-F0F8C348E8CC}"/>
    <cellStyle name="Normal 12 8 2 3 2" xfId="31754" xr:uid="{173E4FDE-C9C3-4B0E-8CFB-D40B9986F7C0}"/>
    <cellStyle name="Normal 12 8 2 4" xfId="22457" xr:uid="{FCE1F050-12BF-4F9E-9382-03B4826C7A21}"/>
    <cellStyle name="Normal 12 8 3" xfId="5904" xr:uid="{00000000-0005-0000-0000-0000650E0000}"/>
    <cellStyle name="Normal 12 8 3 2" xfId="15230" xr:uid="{4F96F17B-D923-43BF-89D7-E8FBD43EE989}"/>
    <cellStyle name="Normal 12 8 3 2 2" xfId="33826" xr:uid="{3ED56921-B067-48FE-BEEE-1346B0254AC0}"/>
    <cellStyle name="Normal 12 8 3 3" xfId="24529" xr:uid="{5EC1B533-6E0C-4449-B80A-B281C3CAD4C5}"/>
    <cellStyle name="Normal 12 8 4" xfId="11013" xr:uid="{2B81C51A-1D23-4D54-ADA5-1E83F9BF73EB}"/>
    <cellStyle name="Normal 12 8 4 2" xfId="29609" xr:uid="{328B870C-A6EF-4489-8EE0-CFBD2D3DA532}"/>
    <cellStyle name="Normal 12 8 5" xfId="20312" xr:uid="{EA1D02C3-22BF-423A-9A58-6674FF53BECE}"/>
    <cellStyle name="Normal 12 9" xfId="2011" xr:uid="{00000000-0005-0000-0000-0000660E0000}"/>
    <cellStyle name="Normal 12 9 2" xfId="4240" xr:uid="{00000000-0005-0000-0000-0000670E0000}"/>
    <cellStyle name="Normal 12 9 2 2" xfId="8462" xr:uid="{00000000-0005-0000-0000-0000680E0000}"/>
    <cellStyle name="Normal 12 9 2 2 2" xfId="17788" xr:uid="{B0166297-834C-47E8-B969-5CED501F4A43}"/>
    <cellStyle name="Normal 12 9 2 2 2 2" xfId="36384" xr:uid="{2068E3DA-6734-4761-88BD-D00E234FA1AC}"/>
    <cellStyle name="Normal 12 9 2 2 3" xfId="27087" xr:uid="{EDA724BE-A49A-4DE4-B814-A5189A3B413F}"/>
    <cellStyle name="Normal 12 9 2 3" xfId="13571" xr:uid="{71A03ABB-0C52-4B9B-A71E-8B795E59500F}"/>
    <cellStyle name="Normal 12 9 2 3 2" xfId="32167" xr:uid="{75F7F8B7-BEDB-49EF-B38B-FF7590E01710}"/>
    <cellStyle name="Normal 12 9 2 4" xfId="22870" xr:uid="{A415EC56-7595-49E2-A6A4-8B4953A8EA3B}"/>
    <cellStyle name="Normal 12 9 3" xfId="6317" xr:uid="{00000000-0005-0000-0000-0000690E0000}"/>
    <cellStyle name="Normal 12 9 3 2" xfId="15643" xr:uid="{1EB5186A-1788-4A3A-B081-077C6FD3166C}"/>
    <cellStyle name="Normal 12 9 3 2 2" xfId="34239" xr:uid="{A6593359-7A72-4232-AFB8-78D1E4BD2B0B}"/>
    <cellStyle name="Normal 12 9 3 3" xfId="24942" xr:uid="{950589D8-1021-42A0-B6B4-832E7650D610}"/>
    <cellStyle name="Normal 12 9 4" xfId="11426" xr:uid="{EBA39ADB-58AB-4337-B8ED-6C8067ECA287}"/>
    <cellStyle name="Normal 12 9 4 2" xfId="30022" xr:uid="{943A0C5B-CAD7-48C0-A13C-3BC3BF29EF59}"/>
    <cellStyle name="Normal 12 9 5" xfId="20725" xr:uid="{C72F6CFA-1BBB-415A-A8CB-291B1B594C67}"/>
    <cellStyle name="Normal 13" xfId="268" xr:uid="{00000000-0005-0000-0000-00006A0E0000}"/>
    <cellStyle name="Normal 13 2" xfId="269" xr:uid="{00000000-0005-0000-0000-00006B0E0000}"/>
    <cellStyle name="Normal 14" xfId="270" xr:uid="{00000000-0005-0000-0000-00006C0E0000}"/>
    <cellStyle name="Normal 14 10" xfId="19080" xr:uid="{CC70C71A-DDDB-4D85-B480-05FBA9E4245C}"/>
    <cellStyle name="Normal 14 2" xfId="768" xr:uid="{00000000-0005-0000-0000-00006D0E0000}"/>
    <cellStyle name="Normal 14 2 2" xfId="3009" xr:uid="{00000000-0005-0000-0000-00006E0E0000}"/>
    <cellStyle name="Normal 14 2 2 2" xfId="7231" xr:uid="{00000000-0005-0000-0000-00006F0E0000}"/>
    <cellStyle name="Normal 14 2 2 2 2" xfId="16557" xr:uid="{813A039C-96CA-4B91-BE06-07E258D32FBC}"/>
    <cellStyle name="Normal 14 2 2 2 2 2" xfId="35153" xr:uid="{2BFCC0C1-2810-482E-8F1D-17585B50139F}"/>
    <cellStyle name="Normal 14 2 2 2 3" xfId="25856" xr:uid="{5CB93A26-E423-4263-98A7-73CD724A68A6}"/>
    <cellStyle name="Normal 14 2 2 3" xfId="12340" xr:uid="{20BDB93A-D82A-473F-94B4-80DD9E1FA3B5}"/>
    <cellStyle name="Normal 14 2 2 3 2" xfId="30936" xr:uid="{07430D6B-ABC8-4349-AC0E-34E9C08A1DD4}"/>
    <cellStyle name="Normal 14 2 2 4" xfId="21639" xr:uid="{E9D7D79F-0719-4C7A-8C22-4A87D6F7DE32}"/>
    <cellStyle name="Normal 14 2 3" xfId="5086" xr:uid="{00000000-0005-0000-0000-0000700E0000}"/>
    <cellStyle name="Normal 14 2 3 2" xfId="14412" xr:uid="{B17B5F4D-4485-46A2-8D33-B50FD294973D}"/>
    <cellStyle name="Normal 14 2 3 2 2" xfId="33008" xr:uid="{26279146-7CA2-49F0-B6DE-235380938FD5}"/>
    <cellStyle name="Normal 14 2 3 3" xfId="23711" xr:uid="{C89EA662-3E6C-4651-8C2A-1345FB8F7177}"/>
    <cellStyle name="Normal 14 2 4" xfId="9371" xr:uid="{E1AFB5B4-F468-480A-B09F-3374B2F03BDA}"/>
    <cellStyle name="Normal 14 2 4 2" xfId="18686" xr:uid="{1FC86007-F401-4BA5-80B9-A8555B19EBEF}"/>
    <cellStyle name="Normal 14 2 4 2 2" xfId="37280" xr:uid="{A50E71E4-B015-4257-BD88-A1AD4EA335AC}"/>
    <cellStyle name="Normal 14 2 4 3" xfId="27983" xr:uid="{2BDE5C92-458B-42AF-A5D6-67880FED6450}"/>
    <cellStyle name="Normal 14 2 5" xfId="10195" xr:uid="{60BD3446-6689-40C3-81B4-984DBFCA8A7B}"/>
    <cellStyle name="Normal 14 2 5 2" xfId="28791" xr:uid="{863DEBA1-360C-4D3D-ACFA-0DA4C97D1A56}"/>
    <cellStyle name="Normal 14 2 6" xfId="19494" xr:uid="{F9522A9F-EF2E-47D1-AC5E-AFCFB3E93EC6}"/>
    <cellStyle name="Normal 14 3" xfId="1191" xr:uid="{00000000-0005-0000-0000-0000710E0000}"/>
    <cellStyle name="Normal 14 3 2" xfId="3422" xr:uid="{00000000-0005-0000-0000-0000720E0000}"/>
    <cellStyle name="Normal 14 3 2 2" xfId="7644" xr:uid="{00000000-0005-0000-0000-0000730E0000}"/>
    <cellStyle name="Normal 14 3 2 2 2" xfId="16970" xr:uid="{D23AA9A8-9C51-448D-8423-0972319E350E}"/>
    <cellStyle name="Normal 14 3 2 2 2 2" xfId="35566" xr:uid="{AF94692C-1903-40D0-A449-D624C4961ED5}"/>
    <cellStyle name="Normal 14 3 2 2 3" xfId="26269" xr:uid="{59FBAF68-F81A-40D2-AD29-A927CAB36005}"/>
    <cellStyle name="Normal 14 3 2 3" xfId="12753" xr:uid="{438B466C-5412-499C-B715-9F9B14B3F14B}"/>
    <cellStyle name="Normal 14 3 2 3 2" xfId="31349" xr:uid="{989654AF-06DD-48BD-AF7D-1ED1CB7739E6}"/>
    <cellStyle name="Normal 14 3 2 4" xfId="22052" xr:uid="{70E75457-3145-4125-8DC5-E7C3FB4213F5}"/>
    <cellStyle name="Normal 14 3 3" xfId="5499" xr:uid="{00000000-0005-0000-0000-0000740E0000}"/>
    <cellStyle name="Normal 14 3 3 2" xfId="14825" xr:uid="{207B9E36-54DC-480A-89F4-1ED996A958FA}"/>
    <cellStyle name="Normal 14 3 3 2 2" xfId="33421" xr:uid="{AB2DFF18-1DB4-4197-90E5-62150EE4784D}"/>
    <cellStyle name="Normal 14 3 3 3" xfId="24124" xr:uid="{0FDE3137-C180-4298-B159-23C1C41A34B8}"/>
    <cellStyle name="Normal 14 3 4" xfId="10608" xr:uid="{A17BD217-CCC2-478C-A859-DA293B3F61DA}"/>
    <cellStyle name="Normal 14 3 4 2" xfId="29204" xr:uid="{F920B12E-5C62-4D08-BB62-A924725649A8}"/>
    <cellStyle name="Normal 14 3 5" xfId="19907" xr:uid="{583FC09D-E0FE-4408-863F-CB2298AB0CB9}"/>
    <cellStyle name="Normal 14 4" xfId="1605" xr:uid="{00000000-0005-0000-0000-0000750E0000}"/>
    <cellStyle name="Normal 14 4 2" xfId="3835" xr:uid="{00000000-0005-0000-0000-0000760E0000}"/>
    <cellStyle name="Normal 14 4 2 2" xfId="8057" xr:uid="{00000000-0005-0000-0000-0000770E0000}"/>
    <cellStyle name="Normal 14 4 2 2 2" xfId="17383" xr:uid="{F2244FF1-0F27-4330-9E65-BE423B4295F6}"/>
    <cellStyle name="Normal 14 4 2 2 2 2" xfId="35979" xr:uid="{56CD18F6-6151-4C76-A8CC-69A5BFA2F3DB}"/>
    <cellStyle name="Normal 14 4 2 2 3" xfId="26682" xr:uid="{64B07F2E-9DB9-4661-821F-1A640B97BF50}"/>
    <cellStyle name="Normal 14 4 2 3" xfId="13166" xr:uid="{33701DF3-6539-45B2-92C5-9FFB22B23DD2}"/>
    <cellStyle name="Normal 14 4 2 3 2" xfId="31762" xr:uid="{24828214-DB64-4465-A562-BDC57547EE41}"/>
    <cellStyle name="Normal 14 4 2 4" xfId="22465" xr:uid="{B0E80B27-0827-4C83-98A2-C2EEAAB2D2A9}"/>
    <cellStyle name="Normal 14 4 3" xfId="5912" xr:uid="{00000000-0005-0000-0000-0000780E0000}"/>
    <cellStyle name="Normal 14 4 3 2" xfId="15238" xr:uid="{0AE39FC9-868F-4D7D-A03F-5B8CCC1899DA}"/>
    <cellStyle name="Normal 14 4 3 2 2" xfId="33834" xr:uid="{29CA0E78-FF82-4887-9141-2B5889D49143}"/>
    <cellStyle name="Normal 14 4 3 3" xfId="24537" xr:uid="{774F933C-5FC0-42F7-BEE8-0E55694F164E}"/>
    <cellStyle name="Normal 14 4 4" xfId="11021" xr:uid="{806A37C4-B6E9-4BB7-9044-EC3F6A9FA3C8}"/>
    <cellStyle name="Normal 14 4 4 2" xfId="29617" xr:uid="{59F350BF-FE8D-47FA-8C37-6D85D43D4362}"/>
    <cellStyle name="Normal 14 4 5" xfId="20320" xr:uid="{6EBF5A00-9121-4430-AA6A-168D4E7BADCA}"/>
    <cellStyle name="Normal 14 5" xfId="2019" xr:uid="{00000000-0005-0000-0000-0000790E0000}"/>
    <cellStyle name="Normal 14 5 2" xfId="4248" xr:uid="{00000000-0005-0000-0000-00007A0E0000}"/>
    <cellStyle name="Normal 14 5 2 2" xfId="8470" xr:uid="{00000000-0005-0000-0000-00007B0E0000}"/>
    <cellStyle name="Normal 14 5 2 2 2" xfId="17796" xr:uid="{DB4F1D4D-5D40-4E43-8D64-82C206192998}"/>
    <cellStyle name="Normal 14 5 2 2 2 2" xfId="36392" xr:uid="{18975207-DB3E-4136-9428-C7655FBA3846}"/>
    <cellStyle name="Normal 14 5 2 2 3" xfId="27095" xr:uid="{98FF1AC1-8E3D-4C68-9A21-05A613156AE3}"/>
    <cellStyle name="Normal 14 5 2 3" xfId="13579" xr:uid="{9C1614F0-61FA-413D-9442-1066F1D1547F}"/>
    <cellStyle name="Normal 14 5 2 3 2" xfId="32175" xr:uid="{F80E3882-0B28-4E95-B18E-2CB21EADADCD}"/>
    <cellStyle name="Normal 14 5 2 4" xfId="22878" xr:uid="{5BF5DA99-00FE-4FD8-8F22-CCAC7E1C6FFC}"/>
    <cellStyle name="Normal 14 5 3" xfId="6325" xr:uid="{00000000-0005-0000-0000-00007C0E0000}"/>
    <cellStyle name="Normal 14 5 3 2" xfId="15651" xr:uid="{20B308A3-8B0E-44CE-8F19-C961E185956E}"/>
    <cellStyle name="Normal 14 5 3 2 2" xfId="34247" xr:uid="{1E2FE54B-35D0-4D87-9990-A2FE22B64488}"/>
    <cellStyle name="Normal 14 5 3 3" xfId="24950" xr:uid="{B8D21C71-AD6F-441F-9473-FBDFF3B51A1E}"/>
    <cellStyle name="Normal 14 5 4" xfId="11434" xr:uid="{B00CBC70-A060-4782-AD5E-1EA80F10CDA0}"/>
    <cellStyle name="Normal 14 5 4 2" xfId="30030" xr:uid="{828F2CA7-866D-465C-B9C6-10044A7894B8}"/>
    <cellStyle name="Normal 14 5 5" xfId="20733" xr:uid="{EA79299E-550E-4712-B6F2-C2DF3DF37678}"/>
    <cellStyle name="Normal 14 6" xfId="2455" xr:uid="{00000000-0005-0000-0000-00007D0E0000}"/>
    <cellStyle name="Normal 14 6 2" xfId="6738" xr:uid="{00000000-0005-0000-0000-00007E0E0000}"/>
    <cellStyle name="Normal 14 6 2 2" xfId="16064" xr:uid="{B31E10CC-0244-46AE-9353-BC0A7A8D5AE4}"/>
    <cellStyle name="Normal 14 6 2 2 2" xfId="34660" xr:uid="{7EF2F8D2-4468-4B12-B8B1-BE9F182B38D2}"/>
    <cellStyle name="Normal 14 6 2 3" xfId="25363" xr:uid="{D841981E-965C-4D7A-B938-C1D509424B9C}"/>
    <cellStyle name="Normal 14 6 3" xfId="11847" xr:uid="{A7E72BED-2BF3-4040-87E6-E0188A1B585E}"/>
    <cellStyle name="Normal 14 6 3 2" xfId="30443" xr:uid="{92FDEA9D-B4D2-4F3C-B5CE-16F8A48AFBD6}"/>
    <cellStyle name="Normal 14 6 4" xfId="21146" xr:uid="{633AC75B-D191-4547-9805-6692504D0104}"/>
    <cellStyle name="Normal 14 7" xfId="4672" xr:uid="{00000000-0005-0000-0000-00007F0E0000}"/>
    <cellStyle name="Normal 14 7 2" xfId="13998" xr:uid="{FF1D857B-B6B8-4C20-9AA5-EBA62C572CC4}"/>
    <cellStyle name="Normal 14 7 2 2" xfId="32594" xr:uid="{B396A53D-5B2B-4702-91BF-8CCCE5F80D9B}"/>
    <cellStyle name="Normal 14 7 3" xfId="23297" xr:uid="{A79C799D-E37B-4B86-ADD6-F822C9C87814}"/>
    <cellStyle name="Normal 14 8" xfId="8946" xr:uid="{DD997A1C-6669-41AA-8AC1-78121AFC796C}"/>
    <cellStyle name="Normal 14 8 2" xfId="18270" xr:uid="{1FA6ED39-7BD0-4957-B59F-2DB0D6F86152}"/>
    <cellStyle name="Normal 14 8 2 2" xfId="36865" xr:uid="{347906E7-DBE9-40C7-A2CD-63FF8FBA6FEB}"/>
    <cellStyle name="Normal 14 8 3" xfId="27568" xr:uid="{ED45E79B-774A-4AEB-BDF7-1E47690E6F9B}"/>
    <cellStyle name="Normal 14 9" xfId="9781" xr:uid="{3C91D361-DEE3-4F24-91C8-D117DF50DA0E}"/>
    <cellStyle name="Normal 14 9 2" xfId="28377" xr:uid="{43755DDE-FDFD-4324-A127-0E61945C1BC7}"/>
    <cellStyle name="Normal 15" xfId="4496" xr:uid="{00000000-0005-0000-0000-0000800E0000}"/>
    <cellStyle name="Normal 15 2" xfId="9578" xr:uid="{99513E76-E7E2-49D8-ADC5-F882C61FFC79}"/>
    <cellStyle name="Normal 15 2 2" xfId="18893" xr:uid="{7417F2F3-A4B5-4E94-8F55-9D92847E2B45}"/>
    <cellStyle name="Normal 15 2 2 2" xfId="37487" xr:uid="{9FDC7118-49CE-40B2-B55A-9B20F84CDE55}"/>
    <cellStyle name="Normal 15 2 3" xfId="28190" xr:uid="{B452973A-1158-4DD2-9244-4C74BD10B867}"/>
    <cellStyle name="Normal 15 3" xfId="9155" xr:uid="{47700DD8-A88A-4CB4-BFAD-BA75A2D4FC8E}"/>
    <cellStyle name="Normal 15 3 2" xfId="18477" xr:uid="{D9C9B4FC-BC6C-45B6-A723-52D8545ED4AA}"/>
    <cellStyle name="Normal 15 3 2 2" xfId="37072" xr:uid="{C0811B69-250B-454D-84AE-DDEEAA75B9F9}"/>
    <cellStyle name="Normal 15 3 3" xfId="27775" xr:uid="{D4FFF889-3C84-4A41-B19A-7FF175D651B1}"/>
    <cellStyle name="Normal 15 4" xfId="13824" xr:uid="{2188F72F-B44A-47B6-80EE-1A29AD391A6E}"/>
    <cellStyle name="Normal 15 4 2" xfId="32420" xr:uid="{55D8F6BB-16D7-4909-A6A6-D35E7CE10E89}"/>
    <cellStyle name="Normal 15 5" xfId="23123" xr:uid="{CDD922FE-AF68-47C3-B916-DA453E186EDB}"/>
    <cellStyle name="Normal 16" xfId="4500" xr:uid="{00000000-0005-0000-0000-0000810E0000}"/>
    <cellStyle name="Normal 16 2" xfId="8715" xr:uid="{00000000-0005-0000-0000-0000820E0000}"/>
    <cellStyle name="Normal 16 2 2" xfId="18041" xr:uid="{A9443C86-087D-4AAF-B470-ABC63BE83D37}"/>
    <cellStyle name="Normal 16 2 2 2" xfId="36637" xr:uid="{8AD67417-93F6-49E9-BB01-ABD9711D10FA}"/>
    <cellStyle name="Normal 16 2 3" xfId="27340" xr:uid="{45999767-D975-4C2F-9953-D5A94EF0C042}"/>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2 2" xfId="18060" xr:uid="{39DD9511-4B26-48CD-9BFB-55AC3C26E699}"/>
    <cellStyle name="Normal 16 3 2 2 2 2 2 2 2" xfId="36656" xr:uid="{D70130B4-A164-422E-BD4B-4C01826AC6DA}"/>
    <cellStyle name="Normal 16 3 2 2 2 2 2 3" xfId="27359" xr:uid="{390901B7-54FC-41FC-921E-005B84156966}"/>
    <cellStyle name="Normal 16 3 2 2 2 2 3" xfId="18057" xr:uid="{90D60317-4FFF-4DE7-8DFD-6E1B29FC311E}"/>
    <cellStyle name="Normal 16 3 2 2 2 2 3 2" xfId="36653" xr:uid="{1840B99B-D806-4D8D-92BE-AF3A8ED1FE1C}"/>
    <cellStyle name="Normal 16 3 2 2 2 2 4" xfId="27356" xr:uid="{B5A39182-C1AE-403F-BCD1-1EC030720601}"/>
    <cellStyle name="Normal 16 3 2 2 2 3" xfId="18054" xr:uid="{73A55573-5993-4211-82FA-8D23CC8D1A08}"/>
    <cellStyle name="Normal 16 3 2 2 2 3 2" xfId="36650" xr:uid="{1E3383AF-57BD-46C5-9730-ED78AA4D0146}"/>
    <cellStyle name="Normal 16 3 2 2 2 4" xfId="27353" xr:uid="{EAEE6AEE-6D13-4A52-9AB7-96A5C0F83BFA}"/>
    <cellStyle name="Normal 16 3 2 2 3" xfId="18050" xr:uid="{095E35D4-03D6-4CCD-AC9D-33F2A40A984F}"/>
    <cellStyle name="Normal 16 3 2 2 3 2" xfId="36646" xr:uid="{927D2A45-4B34-40CB-821D-3319D5C7BE93}"/>
    <cellStyle name="Normal 16 3 2 2 4" xfId="27349" xr:uid="{8E77B48F-B28E-4496-8A9D-E7B9E08F364D}"/>
    <cellStyle name="Normal 16 3 2 3" xfId="18047" xr:uid="{621B781C-0364-4EB5-88B8-544CE9000512}"/>
    <cellStyle name="Normal 16 3 2 3 2" xfId="36643" xr:uid="{09AA2662-E8BD-4DE1-8F34-3F8C6761663F}"/>
    <cellStyle name="Normal 16 3 2 4" xfId="27346" xr:uid="{652ECDF6-2CAE-4BCB-A097-037D6726C3C1}"/>
    <cellStyle name="Normal 16 3 3" xfId="18044" xr:uid="{39B34C59-F2D5-441F-9FE5-907D72FBA344}"/>
    <cellStyle name="Normal 16 3 3 2" xfId="36640" xr:uid="{C9982C38-2E2C-41C8-A4E7-4ACA0CC63153}"/>
    <cellStyle name="Normal 16 3 4" xfId="27343" xr:uid="{73435FD9-9032-4E28-BCB9-1AF88A0C8E49}"/>
    <cellStyle name="Normal 16 4" xfId="9612" xr:uid="{8729F6E8-3534-4DAE-B0B2-B2AF3CDCD313}"/>
    <cellStyle name="Normal 16 5" xfId="13827" xr:uid="{E7EB4478-4BEA-4A1D-BE73-286CC84BAC0B}"/>
    <cellStyle name="Normal 16 5 2" xfId="32423" xr:uid="{9DD66247-6DD5-4000-9691-C4BF5DBB90A5}"/>
    <cellStyle name="Normal 16 6" xfId="23126" xr:uid="{00545A80-FD3B-4459-96F0-5888A50CE6BE}"/>
    <cellStyle name="Normal 17" xfId="8728" xr:uid="{3FF0972C-833B-4475-99D8-1A6907499E71}"/>
    <cellStyle name="Normal 17 2" xfId="9157" xr:uid="{6C872296-5E17-4821-9139-E52AD113B06C}"/>
    <cellStyle name="Normal 17 3" xfId="9154" xr:uid="{DC3FF210-EC1F-47CE-8CCE-F8F5460671B1}"/>
    <cellStyle name="Normal 17 4" xfId="18053" xr:uid="{DFBB8EC3-9B04-4923-911D-10CBB8500023}"/>
    <cellStyle name="Normal 17 4 2" xfId="36649" xr:uid="{BADE0814-2762-4086-A62C-97D5CE5D4110}"/>
    <cellStyle name="Normal 17 5" xfId="27352" xr:uid="{FAA64FAA-0F92-4C2F-A650-8C9CD89FED99}"/>
    <cellStyle name="Normal 18" xfId="9153" xr:uid="{EF04732C-9519-4C21-BD73-A108E18EA17F}"/>
    <cellStyle name="Normal 19" xfId="8739" xr:uid="{D907EBA7-1F94-4726-9ABB-7E7835FFF57E}"/>
    <cellStyle name="Normal 19 2" xfId="18063" xr:uid="{A4F096A1-B18F-4E60-8E73-931522E2948C}"/>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10 2" xfId="18072" xr:uid="{8B2363A7-2E0F-4BB3-9084-FCF10877C50F}"/>
    <cellStyle name="Normal 2 4 10 2 2" xfId="36667" xr:uid="{0ABEE6B4-861C-48DC-821E-221FB1C120A9}"/>
    <cellStyle name="Normal 2 4 10 3" xfId="27370" xr:uid="{BE0CA8CF-CDA8-40F9-A726-3FCB09A3CBAB}"/>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7B018C9F-B357-4B28-BDDE-E928DDB311EA}"/>
    <cellStyle name="Normal 2 4 2 10 2 2 2 2" xfId="36393" xr:uid="{D430D795-B3D5-495D-B966-9797BE1260A9}"/>
    <cellStyle name="Normal 2 4 2 10 2 2 3" xfId="27096" xr:uid="{5E35B6D8-0E39-4F58-9DB8-1BED28A0AFFF}"/>
    <cellStyle name="Normal 2 4 2 10 2 3" xfId="13580" xr:uid="{10A69939-7AC2-4B79-B9CC-275EA5BC6AD0}"/>
    <cellStyle name="Normal 2 4 2 10 2 3 2" xfId="32176" xr:uid="{537CCBF1-1D8C-4546-B646-71BF9FB2FC8B}"/>
    <cellStyle name="Normal 2 4 2 10 2 4" xfId="22879" xr:uid="{A4A7BE09-BACA-49D1-B54D-55D8C1CA36D9}"/>
    <cellStyle name="Normal 2 4 2 10 3" xfId="6326" xr:uid="{00000000-0005-0000-0000-0000910E0000}"/>
    <cellStyle name="Normal 2 4 2 10 3 2" xfId="15652" xr:uid="{7D397E64-F016-487A-9F5C-CC1C07204A0F}"/>
    <cellStyle name="Normal 2 4 2 10 3 2 2" xfId="34248" xr:uid="{7E24CF73-FB6B-42C6-BEF6-01142E8554D9}"/>
    <cellStyle name="Normal 2 4 2 10 3 3" xfId="24951" xr:uid="{E829174D-394E-447F-886F-8332FFD6D785}"/>
    <cellStyle name="Normal 2 4 2 10 4" xfId="11435" xr:uid="{334A4902-4C93-480D-BFEB-172E34AD4DC6}"/>
    <cellStyle name="Normal 2 4 2 10 4 2" xfId="30031" xr:uid="{3951E39B-8D7E-4052-B4B2-07D664D8EE01}"/>
    <cellStyle name="Normal 2 4 2 10 5" xfId="20734" xr:uid="{493E98FA-03C1-4CE7-BAB0-2D7825AC6444}"/>
    <cellStyle name="Normal 2 4 2 11" xfId="2456" xr:uid="{00000000-0005-0000-0000-0000920E0000}"/>
    <cellStyle name="Normal 2 4 2 11 2" xfId="6739" xr:uid="{00000000-0005-0000-0000-0000930E0000}"/>
    <cellStyle name="Normal 2 4 2 11 2 2" xfId="16065" xr:uid="{8558DF4E-46C9-4D4A-8E48-8EC5C6831E2B}"/>
    <cellStyle name="Normal 2 4 2 11 2 2 2" xfId="34661" xr:uid="{B22D800D-0F72-4CC8-B885-1AE472E35973}"/>
    <cellStyle name="Normal 2 4 2 11 2 3" xfId="25364" xr:uid="{6DFEC6E1-D22E-46BE-8003-B64613C77478}"/>
    <cellStyle name="Normal 2 4 2 11 3" xfId="11848" xr:uid="{D578EE7D-AB43-48E1-9D4A-6F6F4A58A5E0}"/>
    <cellStyle name="Normal 2 4 2 11 3 2" xfId="30444" xr:uid="{FC1D1AC1-7969-4B68-9559-179C83A7B698}"/>
    <cellStyle name="Normal 2 4 2 11 4" xfId="21147" xr:uid="{29FDC79C-B34D-4578-B52D-B756C0B624B6}"/>
    <cellStyle name="Normal 2 4 2 12" xfId="4673" xr:uid="{00000000-0005-0000-0000-0000940E0000}"/>
    <cellStyle name="Normal 2 4 2 12 2" xfId="13999" xr:uid="{0A848A0C-C222-4208-B94A-D37BECB46467}"/>
    <cellStyle name="Normal 2 4 2 12 2 2" xfId="32595" xr:uid="{07D5DBCC-4E9C-41F9-B0CA-17ADD1832922}"/>
    <cellStyle name="Normal 2 4 2 12 3" xfId="23298" xr:uid="{C90047DD-83E5-4FDC-B53C-2D2912B8D7AA}"/>
    <cellStyle name="Normal 2 4 2 13" xfId="8757" xr:uid="{563A76DD-F7DD-49F0-A61E-0419F4C31301}"/>
    <cellStyle name="Normal 2 4 2 13 2" xfId="18081" xr:uid="{39D51A59-6F4B-45D9-9C50-BD0FDA2AF9BE}"/>
    <cellStyle name="Normal 2 4 2 13 2 2" xfId="36676" xr:uid="{EBD1B468-7318-42CA-9F89-87413C64A02D}"/>
    <cellStyle name="Normal 2 4 2 13 3" xfId="27379" xr:uid="{2631EC91-2BB5-4A20-A7D5-DD0B7C15C5A5}"/>
    <cellStyle name="Normal 2 4 2 14" xfId="9782" xr:uid="{90814E86-5A0E-4558-9698-634D4A8BC1A8}"/>
    <cellStyle name="Normal 2 4 2 14 2" xfId="28378" xr:uid="{AEF3A7A5-C211-4BEF-AD6D-7AD9E5690F5E}"/>
    <cellStyle name="Normal 2 4 2 15" xfId="19081" xr:uid="{63B6C267-7CED-4CDD-A71D-0678469D0E56}"/>
    <cellStyle name="Normal 2 4 2 2" xfId="280" xr:uid="{00000000-0005-0000-0000-0000950E0000}"/>
    <cellStyle name="Normal 2 4 2 3" xfId="281" xr:uid="{00000000-0005-0000-0000-0000960E0000}"/>
    <cellStyle name="Normal 2 4 2 3 10" xfId="4674" xr:uid="{00000000-0005-0000-0000-0000970E0000}"/>
    <cellStyle name="Normal 2 4 2 3 10 2" xfId="14000" xr:uid="{235D1393-0C38-4BD3-9F2D-C1350FD7BCAB}"/>
    <cellStyle name="Normal 2 4 2 3 10 2 2" xfId="32596" xr:uid="{63568B9E-74CF-49C9-A273-AE2E8F418F24}"/>
    <cellStyle name="Normal 2 4 2 3 10 3" xfId="23299" xr:uid="{D69DEEF0-7E85-441A-BED5-15ED972B1D6B}"/>
    <cellStyle name="Normal 2 4 2 3 11" xfId="8788" xr:uid="{EAD3D227-C8EF-4F54-8D24-EE1EA1F017BB}"/>
    <cellStyle name="Normal 2 4 2 3 11 2" xfId="18112" xr:uid="{8D7F019C-A17F-4F6D-B284-F23A4E59BFE0}"/>
    <cellStyle name="Normal 2 4 2 3 11 2 2" xfId="36707" xr:uid="{970189DB-C262-4BEF-9866-A3F96ECA36E6}"/>
    <cellStyle name="Normal 2 4 2 3 11 3" xfId="27410" xr:uid="{D8B52A41-7A89-4F17-9A29-211673DE41D7}"/>
    <cellStyle name="Normal 2 4 2 3 12" xfId="9783" xr:uid="{E4F90B56-BFCC-4DF7-A568-391D29EB875E}"/>
    <cellStyle name="Normal 2 4 2 3 12 2" xfId="28379" xr:uid="{E5F126C6-9F6F-45DD-A0E6-5D9182C3963F}"/>
    <cellStyle name="Normal 2 4 2 3 13" xfId="19082" xr:uid="{6275BF33-CED4-4E6E-B293-4B8E947F92D4}"/>
    <cellStyle name="Normal 2 4 2 3 2" xfId="282" xr:uid="{00000000-0005-0000-0000-0000980E0000}"/>
    <cellStyle name="Normal 2 4 2 3 2 10" xfId="8813" xr:uid="{C03AE35D-2438-4E07-AE9C-6D04EC6DA2B7}"/>
    <cellStyle name="Normal 2 4 2 3 2 10 2" xfId="18137" xr:uid="{E6B1D222-2966-43F5-87A0-6D23219E312F}"/>
    <cellStyle name="Normal 2 4 2 3 2 10 2 2" xfId="36732" xr:uid="{D00C1356-C414-4A9F-B484-6E751B1FEBDA}"/>
    <cellStyle name="Normal 2 4 2 3 2 10 3" xfId="27435" xr:uid="{7CA392DE-C8F6-4E2B-A17F-BFACC3AE980F}"/>
    <cellStyle name="Normal 2 4 2 3 2 11" xfId="9784" xr:uid="{B3D4DBAF-0FB6-4DE6-9737-79897E43B743}"/>
    <cellStyle name="Normal 2 4 2 3 2 11 2" xfId="28380" xr:uid="{B4517781-609B-4F4A-B5BE-96FA641F716C}"/>
    <cellStyle name="Normal 2 4 2 3 2 12" xfId="19083" xr:uid="{1B98E98B-1513-4A33-9AD0-F2BE7FB944C1}"/>
    <cellStyle name="Normal 2 4 2 3 2 2" xfId="283" xr:uid="{00000000-0005-0000-0000-0000990E0000}"/>
    <cellStyle name="Normal 2 4 2 3 2 2 10" xfId="9785" xr:uid="{D51D3CB9-EDA6-4AC7-BF3A-47640E8A77BF}"/>
    <cellStyle name="Normal 2 4 2 3 2 2 10 2" xfId="28381" xr:uid="{CFFDEAEB-B864-43C1-9D23-B4854C4454B9}"/>
    <cellStyle name="Normal 2 4 2 3 2 2 11" xfId="19084" xr:uid="{0752B693-A8FB-489C-97D1-7BB4B806361B}"/>
    <cellStyle name="Normal 2 4 2 3 2 2 2" xfId="284" xr:uid="{00000000-0005-0000-0000-00009A0E0000}"/>
    <cellStyle name="Normal 2 4 2 3 2 2 2 10" xfId="19085" xr:uid="{0478B4AA-1A16-4376-AE5B-0BA8D13DA4C7}"/>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7D2B4343-3673-4003-A1A4-555CE0C10DEC}"/>
    <cellStyle name="Normal 2 4 2 3 2 2 2 2 2 2 2 2" xfId="35158" xr:uid="{B6E674FC-BA68-4061-A84A-EDFB17D9E8D7}"/>
    <cellStyle name="Normal 2 4 2 3 2 2 2 2 2 2 3" xfId="25861" xr:uid="{E517F0EF-51C9-452B-87FF-3EEE7AA6F5E0}"/>
    <cellStyle name="Normal 2 4 2 3 2 2 2 2 2 3" xfId="12345" xr:uid="{C6578953-3C1C-41CE-94A6-4B37DDC42F2C}"/>
    <cellStyle name="Normal 2 4 2 3 2 2 2 2 2 3 2" xfId="30941" xr:uid="{26F7ADED-5E77-4CFA-9173-470968D39EA0}"/>
    <cellStyle name="Normal 2 4 2 3 2 2 2 2 2 4" xfId="21644" xr:uid="{0ABC8C39-D9E0-48EB-9C1D-5A65F6A7376E}"/>
    <cellStyle name="Normal 2 4 2 3 2 2 2 2 3" xfId="5091" xr:uid="{00000000-0005-0000-0000-00009E0E0000}"/>
    <cellStyle name="Normal 2 4 2 3 2 2 2 2 3 2" xfId="14417" xr:uid="{A2257186-9053-43F9-8D8D-8F6BCE801AC9}"/>
    <cellStyle name="Normal 2 4 2 3 2 2 2 2 3 2 2" xfId="33013" xr:uid="{A2E5652B-5D72-4AAB-ADFB-05663B1AFC24}"/>
    <cellStyle name="Normal 2 4 2 3 2 2 2 2 3 3" xfId="23716" xr:uid="{B9E0B120-569B-4DD9-BC06-0C2B2C72BE88}"/>
    <cellStyle name="Normal 2 4 2 3 2 2 2 2 4" xfId="9548" xr:uid="{29E7289E-B3F4-4F63-9B9C-B531B0E50CEB}"/>
    <cellStyle name="Normal 2 4 2 3 2 2 2 2 4 2" xfId="18863" xr:uid="{E886DC36-4CC9-4E3D-ABE5-CB6B50002B99}"/>
    <cellStyle name="Normal 2 4 2 3 2 2 2 2 4 2 2" xfId="37457" xr:uid="{C79A168A-B6AE-4821-AB57-4ABD4331A5E5}"/>
    <cellStyle name="Normal 2 4 2 3 2 2 2 2 4 3" xfId="28160" xr:uid="{2EBA0F4C-692D-43A9-8E52-E1AB7AD716B0}"/>
    <cellStyle name="Normal 2 4 2 3 2 2 2 2 5" xfId="10200" xr:uid="{8AADEE1B-5FCF-432E-8BC3-06266F6A64C7}"/>
    <cellStyle name="Normal 2 4 2 3 2 2 2 2 5 2" xfId="28796" xr:uid="{4CA5DDA1-27BF-40BB-B760-57BCA5829B55}"/>
    <cellStyle name="Normal 2 4 2 3 2 2 2 2 6" xfId="19499" xr:uid="{13439B57-D77F-4FEB-BD30-CDD6B1A97AF5}"/>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E53F638C-43E0-48FD-963A-8EA12B81FD08}"/>
    <cellStyle name="Normal 2 4 2 3 2 2 2 3 2 2 2 2" xfId="35571" xr:uid="{9851ACBD-7FA2-4E97-BAC8-6397AC7849A3}"/>
    <cellStyle name="Normal 2 4 2 3 2 2 2 3 2 2 3" xfId="26274" xr:uid="{5141BB24-9AF6-43EF-A6A4-E2BD7D49C0E1}"/>
    <cellStyle name="Normal 2 4 2 3 2 2 2 3 2 3" xfId="12758" xr:uid="{89DDFDA1-EEAE-4680-A69D-74B758604655}"/>
    <cellStyle name="Normal 2 4 2 3 2 2 2 3 2 3 2" xfId="31354" xr:uid="{C40BEA3A-5A34-4427-9F65-F59A35D99506}"/>
    <cellStyle name="Normal 2 4 2 3 2 2 2 3 2 4" xfId="22057" xr:uid="{B193F2F6-A213-4B70-91A4-A564CF3933B7}"/>
    <cellStyle name="Normal 2 4 2 3 2 2 2 3 3" xfId="5504" xr:uid="{00000000-0005-0000-0000-0000A20E0000}"/>
    <cellStyle name="Normal 2 4 2 3 2 2 2 3 3 2" xfId="14830" xr:uid="{D03F581B-9D47-4DFF-93D1-DB075D5D1FEE}"/>
    <cellStyle name="Normal 2 4 2 3 2 2 2 3 3 2 2" xfId="33426" xr:uid="{76992D29-0354-4D17-82EB-86F533ECDBFD}"/>
    <cellStyle name="Normal 2 4 2 3 2 2 2 3 3 3" xfId="24129" xr:uid="{3FA51313-0DF6-46DA-895B-C8C38C4EC4DE}"/>
    <cellStyle name="Normal 2 4 2 3 2 2 2 3 4" xfId="10613" xr:uid="{891AD611-47F2-49F0-B580-A8FD3F36265F}"/>
    <cellStyle name="Normal 2 4 2 3 2 2 2 3 4 2" xfId="29209" xr:uid="{CFAA1FC5-A8DC-4552-A054-F8D3D95B0767}"/>
    <cellStyle name="Normal 2 4 2 3 2 2 2 3 5" xfId="19912" xr:uid="{4ACD0FAA-A75E-448D-8939-BE4FFBB8E1FA}"/>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AA69593D-CC0E-4E3E-B66E-2A5F048B24DA}"/>
    <cellStyle name="Normal 2 4 2 3 2 2 2 4 2 2 2 2" xfId="35984" xr:uid="{F7216899-E011-469C-9339-F5A57349B530}"/>
    <cellStyle name="Normal 2 4 2 3 2 2 2 4 2 2 3" xfId="26687" xr:uid="{AE311D4E-C8EE-492B-8776-B9DB1A7172A7}"/>
    <cellStyle name="Normal 2 4 2 3 2 2 2 4 2 3" xfId="13171" xr:uid="{3CA171A1-1067-47CF-BD84-E68E107BAE40}"/>
    <cellStyle name="Normal 2 4 2 3 2 2 2 4 2 3 2" xfId="31767" xr:uid="{C3198A97-0239-432A-943B-2711F4C0475F}"/>
    <cellStyle name="Normal 2 4 2 3 2 2 2 4 2 4" xfId="22470" xr:uid="{E4DC9FB1-346D-4483-80C5-0F8F080DEDEC}"/>
    <cellStyle name="Normal 2 4 2 3 2 2 2 4 3" xfId="5917" xr:uid="{00000000-0005-0000-0000-0000A60E0000}"/>
    <cellStyle name="Normal 2 4 2 3 2 2 2 4 3 2" xfId="15243" xr:uid="{24F7EA7F-78FC-4701-A2B8-0ACA1E8278A4}"/>
    <cellStyle name="Normal 2 4 2 3 2 2 2 4 3 2 2" xfId="33839" xr:uid="{F8D57DDA-B6C7-4FFB-8862-AEB032180B18}"/>
    <cellStyle name="Normal 2 4 2 3 2 2 2 4 3 3" xfId="24542" xr:uid="{B350BCF3-E327-48DF-82AA-EF3B7D8E46B7}"/>
    <cellStyle name="Normal 2 4 2 3 2 2 2 4 4" xfId="11026" xr:uid="{E6B5A5C4-1E5E-4053-A6D9-4C13E3A367FE}"/>
    <cellStyle name="Normal 2 4 2 3 2 2 2 4 4 2" xfId="29622" xr:uid="{FA17BA4C-7B3E-4F05-AF24-EBF8FCEA6D45}"/>
    <cellStyle name="Normal 2 4 2 3 2 2 2 4 5" xfId="20325" xr:uid="{0BE149CB-071C-4E2A-BC1F-9996D11E6D3C}"/>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3C14804A-3405-4FA2-B1D7-89988E324C06}"/>
    <cellStyle name="Normal 2 4 2 3 2 2 2 5 2 2 2 2" xfId="36397" xr:uid="{A3A18172-8470-443A-9C94-7D5E8B838D00}"/>
    <cellStyle name="Normal 2 4 2 3 2 2 2 5 2 2 3" xfId="27100" xr:uid="{3CF9E0B1-CF4B-4199-8F61-38C5AA5399D7}"/>
    <cellStyle name="Normal 2 4 2 3 2 2 2 5 2 3" xfId="13584" xr:uid="{646D8074-91BE-4741-9012-0356DE703364}"/>
    <cellStyle name="Normal 2 4 2 3 2 2 2 5 2 3 2" xfId="32180" xr:uid="{DB9F2DB3-4642-4F1D-BE74-754F5F0A3B66}"/>
    <cellStyle name="Normal 2 4 2 3 2 2 2 5 2 4" xfId="22883" xr:uid="{798CC482-60A3-4407-9B04-AF434D6D59D9}"/>
    <cellStyle name="Normal 2 4 2 3 2 2 2 5 3" xfId="6330" xr:uid="{00000000-0005-0000-0000-0000AA0E0000}"/>
    <cellStyle name="Normal 2 4 2 3 2 2 2 5 3 2" xfId="15656" xr:uid="{7B9F2896-BD89-4241-924F-221C9ADD6ED5}"/>
    <cellStyle name="Normal 2 4 2 3 2 2 2 5 3 2 2" xfId="34252" xr:uid="{38DCEAA0-5B6A-4C01-9EF4-1FD0E2686693}"/>
    <cellStyle name="Normal 2 4 2 3 2 2 2 5 3 3" xfId="24955" xr:uid="{83772E34-1831-4FB9-853D-C239822D5926}"/>
    <cellStyle name="Normal 2 4 2 3 2 2 2 5 4" xfId="11439" xr:uid="{B445319A-CA61-4D78-AFAE-B27E91F15051}"/>
    <cellStyle name="Normal 2 4 2 3 2 2 2 5 4 2" xfId="30035" xr:uid="{FB06DABC-7F72-49D2-9641-6BB527C3EC73}"/>
    <cellStyle name="Normal 2 4 2 3 2 2 2 5 5" xfId="20738" xr:uid="{2E84A069-5914-4072-901F-E0F0A255C522}"/>
    <cellStyle name="Normal 2 4 2 3 2 2 2 6" xfId="2460" xr:uid="{00000000-0005-0000-0000-0000AB0E0000}"/>
    <cellStyle name="Normal 2 4 2 3 2 2 2 6 2" xfId="6743" xr:uid="{00000000-0005-0000-0000-0000AC0E0000}"/>
    <cellStyle name="Normal 2 4 2 3 2 2 2 6 2 2" xfId="16069" xr:uid="{ACF66BC4-F4E2-477E-8BB5-936ABCC4F467}"/>
    <cellStyle name="Normal 2 4 2 3 2 2 2 6 2 2 2" xfId="34665" xr:uid="{F44C683F-010B-4558-89C4-35D4E673BA7E}"/>
    <cellStyle name="Normal 2 4 2 3 2 2 2 6 2 3" xfId="25368" xr:uid="{1AA72DFB-16A6-475D-9CC7-2FED79D9DBA2}"/>
    <cellStyle name="Normal 2 4 2 3 2 2 2 6 3" xfId="11852" xr:uid="{14E1DE28-C87F-4C12-B9CC-198A71B9C722}"/>
    <cellStyle name="Normal 2 4 2 3 2 2 2 6 3 2" xfId="30448" xr:uid="{7F7590E1-A285-4B1A-84D4-935CBA9A9B30}"/>
    <cellStyle name="Normal 2 4 2 3 2 2 2 6 4" xfId="21151" xr:uid="{6ED91737-E558-47AB-86A0-D9A4A67086CB}"/>
    <cellStyle name="Normal 2 4 2 3 2 2 2 7" xfId="4677" xr:uid="{00000000-0005-0000-0000-0000AD0E0000}"/>
    <cellStyle name="Normal 2 4 2 3 2 2 2 7 2" xfId="14003" xr:uid="{041ED0D7-17A1-4B12-9E9E-1042BF852FFF}"/>
    <cellStyle name="Normal 2 4 2 3 2 2 2 7 2 2" xfId="32599" xr:uid="{02D02A3D-9F30-4B6B-979F-BA822E9676B2}"/>
    <cellStyle name="Normal 2 4 2 3 2 2 2 7 3" xfId="23302" xr:uid="{0481FE1A-5530-4221-BE87-B3E867FE4F97}"/>
    <cellStyle name="Normal 2 4 2 3 2 2 2 8" xfId="9123" xr:uid="{9F0183A9-880D-46D9-BB7D-5696E4723F5F}"/>
    <cellStyle name="Normal 2 4 2 3 2 2 2 8 2" xfId="18447" xr:uid="{D97430CE-82CB-4B38-8DF5-0B56F472472C}"/>
    <cellStyle name="Normal 2 4 2 3 2 2 2 8 2 2" xfId="37042" xr:uid="{290AA099-0C2D-4B11-8957-B8E0A6DDF0A3}"/>
    <cellStyle name="Normal 2 4 2 3 2 2 2 8 3" xfId="27745" xr:uid="{EBD76606-7537-4BD1-A460-74C24245B151}"/>
    <cellStyle name="Normal 2 4 2 3 2 2 2 9" xfId="9786" xr:uid="{30236D23-DEB7-4612-889D-CE58E2AE2DD4}"/>
    <cellStyle name="Normal 2 4 2 3 2 2 2 9 2" xfId="28382" xr:uid="{71676759-95BE-4F2B-803A-52F56A42A07A}"/>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40FE0977-CEDE-4A42-892C-7BC37FD53493}"/>
    <cellStyle name="Normal 2 4 2 3 2 2 3 2 2 2 2" xfId="35157" xr:uid="{E051BDD8-4296-42D1-A80C-4F0AA32AE065}"/>
    <cellStyle name="Normal 2 4 2 3 2 2 3 2 2 3" xfId="25860" xr:uid="{6C0DC7E5-B102-4008-BEB5-E52A6FF09717}"/>
    <cellStyle name="Normal 2 4 2 3 2 2 3 2 3" xfId="12344" xr:uid="{986ECFE3-B599-4057-9DCA-D734E9B8E254}"/>
    <cellStyle name="Normal 2 4 2 3 2 2 3 2 3 2" xfId="30940" xr:uid="{804BE062-5B43-4B2C-9F09-E36E841B2DB2}"/>
    <cellStyle name="Normal 2 4 2 3 2 2 3 2 4" xfId="21643" xr:uid="{2B4D89DF-5E98-4C97-A545-C901FFDC9881}"/>
    <cellStyle name="Normal 2 4 2 3 2 2 3 3" xfId="5090" xr:uid="{00000000-0005-0000-0000-0000B10E0000}"/>
    <cellStyle name="Normal 2 4 2 3 2 2 3 3 2" xfId="14416" xr:uid="{0A37387A-4584-466F-B9F2-9BA217D9728E}"/>
    <cellStyle name="Normal 2 4 2 3 2 2 3 3 2 2" xfId="33012" xr:uid="{2B24C391-C436-4DC3-B7B3-2A43FFE25754}"/>
    <cellStyle name="Normal 2 4 2 3 2 2 3 3 3" xfId="23715" xr:uid="{831311AD-EBDB-4EDD-8D7B-D1985E2F3415}"/>
    <cellStyle name="Normal 2 4 2 3 2 2 3 4" xfId="9341" xr:uid="{4F113FF5-050D-47D1-A7D5-F829C93D993D}"/>
    <cellStyle name="Normal 2 4 2 3 2 2 3 4 2" xfId="18656" xr:uid="{DDC27BD6-F692-41C9-86CC-05423C956E8A}"/>
    <cellStyle name="Normal 2 4 2 3 2 2 3 4 2 2" xfId="37250" xr:uid="{7EB7F23A-C80B-485B-A8EB-091F13E172B9}"/>
    <cellStyle name="Normal 2 4 2 3 2 2 3 4 3" xfId="27953" xr:uid="{09388825-0F1D-404F-AA12-9FDF0D96EE7E}"/>
    <cellStyle name="Normal 2 4 2 3 2 2 3 5" xfId="10199" xr:uid="{2F6FF02C-E125-417C-8934-C843E7972BDD}"/>
    <cellStyle name="Normal 2 4 2 3 2 2 3 5 2" xfId="28795" xr:uid="{606AAC2F-2389-4614-B8F6-1885CC7C7203}"/>
    <cellStyle name="Normal 2 4 2 3 2 2 3 6" xfId="19498" xr:uid="{2B8A69ED-7091-41AF-933E-10F8DE20CDA6}"/>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18F1CE49-B6B4-4550-BC10-E80EB6A3A4A1}"/>
    <cellStyle name="Normal 2 4 2 3 2 2 4 2 2 2 2" xfId="35570" xr:uid="{8FE4C3DF-FA07-4E42-B4E8-7E141CC834B2}"/>
    <cellStyle name="Normal 2 4 2 3 2 2 4 2 2 3" xfId="26273" xr:uid="{0CA9DF33-4BF7-452E-9CF2-80E5EC5962F8}"/>
    <cellStyle name="Normal 2 4 2 3 2 2 4 2 3" xfId="12757" xr:uid="{AE01D379-D086-4CC7-8C51-047C0CAA1E41}"/>
    <cellStyle name="Normal 2 4 2 3 2 2 4 2 3 2" xfId="31353" xr:uid="{21A9D8FA-490F-454A-948E-D9531CDC5DB6}"/>
    <cellStyle name="Normal 2 4 2 3 2 2 4 2 4" xfId="22056" xr:uid="{22CF89A4-080F-47DB-8CED-3F9456D916C0}"/>
    <cellStyle name="Normal 2 4 2 3 2 2 4 3" xfId="5503" xr:uid="{00000000-0005-0000-0000-0000B50E0000}"/>
    <cellStyle name="Normal 2 4 2 3 2 2 4 3 2" xfId="14829" xr:uid="{922062A0-84F6-491B-BDA8-C35671409758}"/>
    <cellStyle name="Normal 2 4 2 3 2 2 4 3 2 2" xfId="33425" xr:uid="{270CF266-63D0-4F54-BDE7-7E51741F73C6}"/>
    <cellStyle name="Normal 2 4 2 3 2 2 4 3 3" xfId="24128" xr:uid="{440E954F-01C4-4E40-914A-E5AD228870D2}"/>
    <cellStyle name="Normal 2 4 2 3 2 2 4 4" xfId="10612" xr:uid="{4FCE7181-D160-45A7-B335-29E545FFFE5E}"/>
    <cellStyle name="Normal 2 4 2 3 2 2 4 4 2" xfId="29208" xr:uid="{F6B0EF01-14D7-4F95-97AB-F1C9F8FD6D44}"/>
    <cellStyle name="Normal 2 4 2 3 2 2 4 5" xfId="19911" xr:uid="{7A62A292-6563-462D-97BF-96856C5DA7BD}"/>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209FE020-6C71-452D-A337-091D4FCE5C10}"/>
    <cellStyle name="Normal 2 4 2 3 2 2 5 2 2 2 2" xfId="35983" xr:uid="{C613EE61-18C4-4EA5-B6F7-285D62D11C08}"/>
    <cellStyle name="Normal 2 4 2 3 2 2 5 2 2 3" xfId="26686" xr:uid="{713E7694-DE1E-4398-803D-35D665AFE5A4}"/>
    <cellStyle name="Normal 2 4 2 3 2 2 5 2 3" xfId="13170" xr:uid="{F486A6D0-F3A5-4A9F-8AF3-DF0443B1F15C}"/>
    <cellStyle name="Normal 2 4 2 3 2 2 5 2 3 2" xfId="31766" xr:uid="{5E67460F-FA0F-4181-8D9A-C9010E28ED46}"/>
    <cellStyle name="Normal 2 4 2 3 2 2 5 2 4" xfId="22469" xr:uid="{F91C1CD4-25C0-46B8-9DF8-3E2B7275E7DC}"/>
    <cellStyle name="Normal 2 4 2 3 2 2 5 3" xfId="5916" xr:uid="{00000000-0005-0000-0000-0000B90E0000}"/>
    <cellStyle name="Normal 2 4 2 3 2 2 5 3 2" xfId="15242" xr:uid="{C7E4EB20-325F-47CA-93A4-3D90CA9EC304}"/>
    <cellStyle name="Normal 2 4 2 3 2 2 5 3 2 2" xfId="33838" xr:uid="{B33CFC7A-EE85-46A6-BF67-617A3851A0D6}"/>
    <cellStyle name="Normal 2 4 2 3 2 2 5 3 3" xfId="24541" xr:uid="{FB8D7B30-5102-4CD8-97C1-8EC44A7E03E7}"/>
    <cellStyle name="Normal 2 4 2 3 2 2 5 4" xfId="11025" xr:uid="{1E257FB6-2FD9-46BF-BFB7-40096CD3385C}"/>
    <cellStyle name="Normal 2 4 2 3 2 2 5 4 2" xfId="29621" xr:uid="{686B0A97-5697-4003-99F9-1B69A59D780D}"/>
    <cellStyle name="Normal 2 4 2 3 2 2 5 5" xfId="20324" xr:uid="{080F9785-B3DB-435D-AF37-6B02633A39C9}"/>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3DD97D25-8BBF-4848-8535-D28CB5FA0B0A}"/>
    <cellStyle name="Normal 2 4 2 3 2 2 6 2 2 2 2" xfId="36396" xr:uid="{7BEFB218-C312-4B7E-913D-335D207750D7}"/>
    <cellStyle name="Normal 2 4 2 3 2 2 6 2 2 3" xfId="27099" xr:uid="{D5C78C56-1553-4847-AC4B-0A29D3472489}"/>
    <cellStyle name="Normal 2 4 2 3 2 2 6 2 3" xfId="13583" xr:uid="{4A2E02A0-9A86-4252-A2D3-9B93D142D2C7}"/>
    <cellStyle name="Normal 2 4 2 3 2 2 6 2 3 2" xfId="32179" xr:uid="{33209408-4534-4C89-9333-8D0D8CA7C0ED}"/>
    <cellStyle name="Normal 2 4 2 3 2 2 6 2 4" xfId="22882" xr:uid="{17F6AA3F-8134-468D-8F97-18F14AD75DF7}"/>
    <cellStyle name="Normal 2 4 2 3 2 2 6 3" xfId="6329" xr:uid="{00000000-0005-0000-0000-0000BD0E0000}"/>
    <cellStyle name="Normal 2 4 2 3 2 2 6 3 2" xfId="15655" xr:uid="{348D1FE0-7E27-4E7C-9A15-B115C36FAD12}"/>
    <cellStyle name="Normal 2 4 2 3 2 2 6 3 2 2" xfId="34251" xr:uid="{B17A1A66-A0DC-4311-B79B-9A9C60B2F04D}"/>
    <cellStyle name="Normal 2 4 2 3 2 2 6 3 3" xfId="24954" xr:uid="{05548904-842E-4655-AC2A-BBA0CD4C2E65}"/>
    <cellStyle name="Normal 2 4 2 3 2 2 6 4" xfId="11438" xr:uid="{B489EFEB-6BB0-428B-BFB6-057F24501553}"/>
    <cellStyle name="Normal 2 4 2 3 2 2 6 4 2" xfId="30034" xr:uid="{3A2952CB-20DA-41A7-8842-8C95B2167792}"/>
    <cellStyle name="Normal 2 4 2 3 2 2 6 5" xfId="20737" xr:uid="{5DF1AA13-EB06-4F08-AB2A-434C66B7E7C0}"/>
    <cellStyle name="Normal 2 4 2 3 2 2 7" xfId="2459" xr:uid="{00000000-0005-0000-0000-0000BE0E0000}"/>
    <cellStyle name="Normal 2 4 2 3 2 2 7 2" xfId="6742" xr:uid="{00000000-0005-0000-0000-0000BF0E0000}"/>
    <cellStyle name="Normal 2 4 2 3 2 2 7 2 2" xfId="16068" xr:uid="{481D8D42-ACD3-47BC-9120-90CB66EA254D}"/>
    <cellStyle name="Normal 2 4 2 3 2 2 7 2 2 2" xfId="34664" xr:uid="{1B19BEF0-BD02-4A31-B642-DCF8CB37142E}"/>
    <cellStyle name="Normal 2 4 2 3 2 2 7 2 3" xfId="25367" xr:uid="{BE2553AC-86CB-4969-AC60-DA8DE8583A95}"/>
    <cellStyle name="Normal 2 4 2 3 2 2 7 3" xfId="11851" xr:uid="{E0E15BA4-E15B-4820-980D-0B806311F40F}"/>
    <cellStyle name="Normal 2 4 2 3 2 2 7 3 2" xfId="30447" xr:uid="{8E70521B-34EE-4BA0-A7ED-114F42448BC9}"/>
    <cellStyle name="Normal 2 4 2 3 2 2 7 4" xfId="21150" xr:uid="{5CC47D8D-6AA6-40C3-BC38-369575FF2B8F}"/>
    <cellStyle name="Normal 2 4 2 3 2 2 8" xfId="4676" xr:uid="{00000000-0005-0000-0000-0000C00E0000}"/>
    <cellStyle name="Normal 2 4 2 3 2 2 8 2" xfId="14002" xr:uid="{93BF6C20-8F1A-4497-AFDA-7C13CA463B1D}"/>
    <cellStyle name="Normal 2 4 2 3 2 2 8 2 2" xfId="32598" xr:uid="{8904AC15-2D1A-4839-A8D0-637E427C0E00}"/>
    <cellStyle name="Normal 2 4 2 3 2 2 8 3" xfId="23301" xr:uid="{87A54B13-C7B4-48C1-A674-8F4AAF8040B6}"/>
    <cellStyle name="Normal 2 4 2 3 2 2 9" xfId="8916" xr:uid="{1EF18CC7-44BB-43EB-8DB6-D193CEF128C1}"/>
    <cellStyle name="Normal 2 4 2 3 2 2 9 2" xfId="18240" xr:uid="{3FB619F3-483D-4C6D-9F2E-7A915E25D8A5}"/>
    <cellStyle name="Normal 2 4 2 3 2 2 9 2 2" xfId="36835" xr:uid="{0E0DE976-E78B-4388-B947-A040079EBFF3}"/>
    <cellStyle name="Normal 2 4 2 3 2 2 9 3" xfId="27538" xr:uid="{BD701C30-6C08-4BA6-A02A-B88D77383096}"/>
    <cellStyle name="Normal 2 4 2 3 2 3" xfId="285" xr:uid="{00000000-0005-0000-0000-0000C10E0000}"/>
    <cellStyle name="Normal 2 4 2 3 2 3 10" xfId="19086" xr:uid="{645A674B-47DA-4ABB-B2FE-91B268B6D244}"/>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B2B03C1E-C792-4D09-B5AA-66925E8089FF}"/>
    <cellStyle name="Normal 2 4 2 3 2 3 2 2 2 2 2" xfId="35159" xr:uid="{E8651C0A-D6FD-436D-9D8F-3D66AEE22C4F}"/>
    <cellStyle name="Normal 2 4 2 3 2 3 2 2 2 3" xfId="25862" xr:uid="{7A8B6BB9-63BD-4C1C-960F-869CAFC4221E}"/>
    <cellStyle name="Normal 2 4 2 3 2 3 2 2 3" xfId="12346" xr:uid="{D5CA33D9-E658-42F2-9205-EFA16F63A55E}"/>
    <cellStyle name="Normal 2 4 2 3 2 3 2 2 3 2" xfId="30942" xr:uid="{B84035F1-ED70-4993-B18F-FE4CDD9A2BCC}"/>
    <cellStyle name="Normal 2 4 2 3 2 3 2 2 4" xfId="21645" xr:uid="{22269430-CE61-4463-B11B-A5A91D0BB858}"/>
    <cellStyle name="Normal 2 4 2 3 2 3 2 3" xfId="5092" xr:uid="{00000000-0005-0000-0000-0000C50E0000}"/>
    <cellStyle name="Normal 2 4 2 3 2 3 2 3 2" xfId="14418" xr:uid="{C9FCEC36-67D9-4847-9271-3E09019330A4}"/>
    <cellStyle name="Normal 2 4 2 3 2 3 2 3 2 2" xfId="33014" xr:uid="{ECCA3DF2-8D6E-4D1C-A575-BB7D4F9356F9}"/>
    <cellStyle name="Normal 2 4 2 3 2 3 2 3 3" xfId="23717" xr:uid="{BE77B101-CDD2-48DF-8332-05659AE808AE}"/>
    <cellStyle name="Normal 2 4 2 3 2 3 2 4" xfId="9445" xr:uid="{67F9E33C-8554-469D-8D7A-1147F632F3B0}"/>
    <cellStyle name="Normal 2 4 2 3 2 3 2 4 2" xfId="18760" xr:uid="{22F10870-04FB-4671-ADE4-CB2C0A4A742B}"/>
    <cellStyle name="Normal 2 4 2 3 2 3 2 4 2 2" xfId="37354" xr:uid="{DB0F6325-56AE-4094-885D-1523F667A80A}"/>
    <cellStyle name="Normal 2 4 2 3 2 3 2 4 3" xfId="28057" xr:uid="{F3659D2B-906C-430C-9889-30D91B7E550F}"/>
    <cellStyle name="Normal 2 4 2 3 2 3 2 5" xfId="10201" xr:uid="{771E4B58-490F-4730-A271-2880BDCD80B8}"/>
    <cellStyle name="Normal 2 4 2 3 2 3 2 5 2" xfId="28797" xr:uid="{9AC487BC-0914-4D22-AB46-B071B0BB68BB}"/>
    <cellStyle name="Normal 2 4 2 3 2 3 2 6" xfId="19500" xr:uid="{14BE1329-6C75-4FAB-B11A-5E939C7AB28F}"/>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F847A609-FBBC-4F72-A2DD-A3D76E3744A2}"/>
    <cellStyle name="Normal 2 4 2 3 2 3 3 2 2 2 2" xfId="35572" xr:uid="{6B3F9382-423E-4462-91BF-8336636BFC87}"/>
    <cellStyle name="Normal 2 4 2 3 2 3 3 2 2 3" xfId="26275" xr:uid="{0A3EDA39-BBA6-4608-9F47-315F2DA0938A}"/>
    <cellStyle name="Normal 2 4 2 3 2 3 3 2 3" xfId="12759" xr:uid="{C174A829-E6CA-4A6F-AE85-9661AF8EE607}"/>
    <cellStyle name="Normal 2 4 2 3 2 3 3 2 3 2" xfId="31355" xr:uid="{45D6CB18-1EE9-47C0-B231-6ED51B61FFD9}"/>
    <cellStyle name="Normal 2 4 2 3 2 3 3 2 4" xfId="22058" xr:uid="{74C58220-84F6-4C83-9461-FE0896F7A69A}"/>
    <cellStyle name="Normal 2 4 2 3 2 3 3 3" xfId="5505" xr:uid="{00000000-0005-0000-0000-0000C90E0000}"/>
    <cellStyle name="Normal 2 4 2 3 2 3 3 3 2" xfId="14831" xr:uid="{5B547F54-77E4-4D12-86B9-84D08D73952E}"/>
    <cellStyle name="Normal 2 4 2 3 2 3 3 3 2 2" xfId="33427" xr:uid="{BC1A21E3-A527-4D7C-8F16-929FE24076AC}"/>
    <cellStyle name="Normal 2 4 2 3 2 3 3 3 3" xfId="24130" xr:uid="{8BD9613B-BAA0-4504-9328-E72C79ADE35D}"/>
    <cellStyle name="Normal 2 4 2 3 2 3 3 4" xfId="10614" xr:uid="{81FE9602-5316-4B23-A83A-C8AAF3CC7B53}"/>
    <cellStyle name="Normal 2 4 2 3 2 3 3 4 2" xfId="29210" xr:uid="{740ABFD2-4EEE-483C-94A4-9F4BE441DC07}"/>
    <cellStyle name="Normal 2 4 2 3 2 3 3 5" xfId="19913" xr:uid="{BAFA99EA-AB14-4AB1-BCA6-796EA339CDCE}"/>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69742248-CF5F-4486-86A7-8A63FCA720EB}"/>
    <cellStyle name="Normal 2 4 2 3 2 3 4 2 2 2 2" xfId="35985" xr:uid="{17390E20-FC7D-4C4C-8451-5343B4D35939}"/>
    <cellStyle name="Normal 2 4 2 3 2 3 4 2 2 3" xfId="26688" xr:uid="{F43189CD-3CB5-4883-9D2E-2FEF5B91F3A6}"/>
    <cellStyle name="Normal 2 4 2 3 2 3 4 2 3" xfId="13172" xr:uid="{4E642B74-D626-4F4C-94C7-68E715192770}"/>
    <cellStyle name="Normal 2 4 2 3 2 3 4 2 3 2" xfId="31768" xr:uid="{07D36CE7-7205-4417-BF82-7126DBA43751}"/>
    <cellStyle name="Normal 2 4 2 3 2 3 4 2 4" xfId="22471" xr:uid="{8C0BEA88-A02B-406B-8385-408C1AB45470}"/>
    <cellStyle name="Normal 2 4 2 3 2 3 4 3" xfId="5918" xr:uid="{00000000-0005-0000-0000-0000CD0E0000}"/>
    <cellStyle name="Normal 2 4 2 3 2 3 4 3 2" xfId="15244" xr:uid="{9C568AB3-77AB-4A68-9698-378B2BF1AB7A}"/>
    <cellStyle name="Normal 2 4 2 3 2 3 4 3 2 2" xfId="33840" xr:uid="{D47D072C-27DF-40F5-8482-5A52C3309B0A}"/>
    <cellStyle name="Normal 2 4 2 3 2 3 4 3 3" xfId="24543" xr:uid="{A4802003-3E52-4FF9-A604-FF8F701B343F}"/>
    <cellStyle name="Normal 2 4 2 3 2 3 4 4" xfId="11027" xr:uid="{E87ECEF3-F711-4A5A-A8CA-55C076AE7BB0}"/>
    <cellStyle name="Normal 2 4 2 3 2 3 4 4 2" xfId="29623" xr:uid="{41BE059C-6FBC-4395-9C28-047DC55E436C}"/>
    <cellStyle name="Normal 2 4 2 3 2 3 4 5" xfId="20326" xr:uid="{283B80D6-F580-428B-93E2-F5EAB06FCC68}"/>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E4A7E8C9-04D2-4FC0-9901-152E62DBBC09}"/>
    <cellStyle name="Normal 2 4 2 3 2 3 5 2 2 2 2" xfId="36398" xr:uid="{B84A9ED0-73E9-436D-BA14-1BD9DFB7CD81}"/>
    <cellStyle name="Normal 2 4 2 3 2 3 5 2 2 3" xfId="27101" xr:uid="{F0B7B6DE-B75C-4A1F-8534-EA70FFDCAD98}"/>
    <cellStyle name="Normal 2 4 2 3 2 3 5 2 3" xfId="13585" xr:uid="{32E4260A-9F6B-45AE-83D4-F17CC995E371}"/>
    <cellStyle name="Normal 2 4 2 3 2 3 5 2 3 2" xfId="32181" xr:uid="{4EFCA7B0-8A53-4FA0-BA57-8D7035588146}"/>
    <cellStyle name="Normal 2 4 2 3 2 3 5 2 4" xfId="22884" xr:uid="{BEDF185E-2036-4C0A-8E2A-BE175B25254E}"/>
    <cellStyle name="Normal 2 4 2 3 2 3 5 3" xfId="6331" xr:uid="{00000000-0005-0000-0000-0000D10E0000}"/>
    <cellStyle name="Normal 2 4 2 3 2 3 5 3 2" xfId="15657" xr:uid="{930A3D47-2DBE-4A26-934D-29A353A8BE83}"/>
    <cellStyle name="Normal 2 4 2 3 2 3 5 3 2 2" xfId="34253" xr:uid="{5B5B85DF-13ED-4C34-9B48-246E79B2BF49}"/>
    <cellStyle name="Normal 2 4 2 3 2 3 5 3 3" xfId="24956" xr:uid="{09D0028D-EC54-43D4-B5E8-0A57EF93D36A}"/>
    <cellStyle name="Normal 2 4 2 3 2 3 5 4" xfId="11440" xr:uid="{D76EC876-132E-4BA9-A97F-A29BC124ED7C}"/>
    <cellStyle name="Normal 2 4 2 3 2 3 5 4 2" xfId="30036" xr:uid="{86AA13B2-9042-472C-8178-64CCDECEBCDD}"/>
    <cellStyle name="Normal 2 4 2 3 2 3 5 5" xfId="20739" xr:uid="{C9E98FC2-7623-4AB6-92AD-9B6B158A51D3}"/>
    <cellStyle name="Normal 2 4 2 3 2 3 6" xfId="2461" xr:uid="{00000000-0005-0000-0000-0000D20E0000}"/>
    <cellStyle name="Normal 2 4 2 3 2 3 6 2" xfId="6744" xr:uid="{00000000-0005-0000-0000-0000D30E0000}"/>
    <cellStyle name="Normal 2 4 2 3 2 3 6 2 2" xfId="16070" xr:uid="{5A853DFE-6945-44EB-811A-661A85C6EA99}"/>
    <cellStyle name="Normal 2 4 2 3 2 3 6 2 2 2" xfId="34666" xr:uid="{4E5BAF01-D4FC-45C0-A1C8-D36F249C4623}"/>
    <cellStyle name="Normal 2 4 2 3 2 3 6 2 3" xfId="25369" xr:uid="{D656AE82-A6E2-48F7-9DA4-737EEED9E11D}"/>
    <cellStyle name="Normal 2 4 2 3 2 3 6 3" xfId="11853" xr:uid="{2FBFECF2-7777-4FBF-AAD2-D43CEEBF5356}"/>
    <cellStyle name="Normal 2 4 2 3 2 3 6 3 2" xfId="30449" xr:uid="{93688CF1-8682-453B-9D7D-7BF70143C05B}"/>
    <cellStyle name="Normal 2 4 2 3 2 3 6 4" xfId="21152" xr:uid="{BD7A29FB-3B89-42EF-A13F-4B4725A27F39}"/>
    <cellStyle name="Normal 2 4 2 3 2 3 7" xfId="4678" xr:uid="{00000000-0005-0000-0000-0000D40E0000}"/>
    <cellStyle name="Normal 2 4 2 3 2 3 7 2" xfId="14004" xr:uid="{B6349777-4BDE-409C-855B-9AE28BE4009C}"/>
    <cellStyle name="Normal 2 4 2 3 2 3 7 2 2" xfId="32600" xr:uid="{91CC5F22-2E01-43F8-9FE7-678E63A14600}"/>
    <cellStyle name="Normal 2 4 2 3 2 3 7 3" xfId="23303" xr:uid="{FAA8E79B-8BA8-41D0-B11D-D773668DA6B4}"/>
    <cellStyle name="Normal 2 4 2 3 2 3 8" xfId="9020" xr:uid="{5718F785-8E2C-4B45-91D1-4597173D90A6}"/>
    <cellStyle name="Normal 2 4 2 3 2 3 8 2" xfId="18344" xr:uid="{2B35F36E-61CE-43E9-8586-BE54B26223A0}"/>
    <cellStyle name="Normal 2 4 2 3 2 3 8 2 2" xfId="36939" xr:uid="{770B85F9-25EB-4A9C-97CE-C7BCC222FBD4}"/>
    <cellStyle name="Normal 2 4 2 3 2 3 8 3" xfId="27642" xr:uid="{B9D66797-2A11-43D8-A380-A7DD80BB45C1}"/>
    <cellStyle name="Normal 2 4 2 3 2 3 9" xfId="9787" xr:uid="{180EB4F7-5512-48A0-A1BB-0444282FE666}"/>
    <cellStyle name="Normal 2 4 2 3 2 3 9 2" xfId="28383" xr:uid="{51990B9B-0507-49D3-9733-909455670F6F}"/>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8CFEFBB7-01A0-447A-9E46-47D2AE633DBF}"/>
    <cellStyle name="Normal 2 4 2 3 2 4 2 2 2 2" xfId="35156" xr:uid="{26ED857F-55EF-4B9D-A90E-C93743EC0EEC}"/>
    <cellStyle name="Normal 2 4 2 3 2 4 2 2 3" xfId="25859" xr:uid="{43DE948F-5910-4B31-8B72-A4B94CD00C5C}"/>
    <cellStyle name="Normal 2 4 2 3 2 4 2 3" xfId="12343" xr:uid="{E1D758B1-627E-4058-A954-BD3092A23F79}"/>
    <cellStyle name="Normal 2 4 2 3 2 4 2 3 2" xfId="30939" xr:uid="{0192CA0A-8CB9-4DF3-BFD4-EC88C9145F7D}"/>
    <cellStyle name="Normal 2 4 2 3 2 4 2 4" xfId="21642" xr:uid="{8A5EB1AA-3502-4D08-A3BA-09FCCEA6DCFC}"/>
    <cellStyle name="Normal 2 4 2 3 2 4 3" xfId="5089" xr:uid="{00000000-0005-0000-0000-0000D80E0000}"/>
    <cellStyle name="Normal 2 4 2 3 2 4 3 2" xfId="14415" xr:uid="{5BF08E67-BCCD-4D14-9F96-72BFE1AE8CB7}"/>
    <cellStyle name="Normal 2 4 2 3 2 4 3 2 2" xfId="33011" xr:uid="{15B8ED38-B11C-4556-906A-DC288C13168D}"/>
    <cellStyle name="Normal 2 4 2 3 2 4 3 3" xfId="23714" xr:uid="{4971B53E-26F2-41AD-BCB5-64053C3E2D82}"/>
    <cellStyle name="Normal 2 4 2 3 2 4 4" xfId="9238" xr:uid="{BC6E5A3D-C256-46E9-A109-D643C24AA206}"/>
    <cellStyle name="Normal 2 4 2 3 2 4 4 2" xfId="18553" xr:uid="{FFE67A3F-BD02-4D97-A3E0-A974CC942D99}"/>
    <cellStyle name="Normal 2 4 2 3 2 4 4 2 2" xfId="37147" xr:uid="{0E898178-8C6C-4ED7-8C0B-F36CD2DF2CDA}"/>
    <cellStyle name="Normal 2 4 2 3 2 4 4 3" xfId="27850" xr:uid="{E29DB9D6-8D50-400E-83EA-5F9C2D3E316A}"/>
    <cellStyle name="Normal 2 4 2 3 2 4 5" xfId="10198" xr:uid="{A79ACC25-D6A0-47BC-8FE8-D4B314261FBC}"/>
    <cellStyle name="Normal 2 4 2 3 2 4 5 2" xfId="28794" xr:uid="{E44B9030-676C-4CD0-8F1D-1CC01EAD0082}"/>
    <cellStyle name="Normal 2 4 2 3 2 4 6" xfId="19497" xr:uid="{39219E83-16FB-494C-B908-462DFE45D16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CCF6EEE4-9EA5-4371-9290-AF6D83695253}"/>
    <cellStyle name="Normal 2 4 2 3 2 5 2 2 2 2" xfId="35569" xr:uid="{1832CA88-9EF5-4F3A-9ADA-5F4D549AA86B}"/>
    <cellStyle name="Normal 2 4 2 3 2 5 2 2 3" xfId="26272" xr:uid="{C10BAF87-EB6F-47EA-93C3-BC65C92B6154}"/>
    <cellStyle name="Normal 2 4 2 3 2 5 2 3" xfId="12756" xr:uid="{5AF7E0FA-F71C-43B7-8653-B886A0B6D36C}"/>
    <cellStyle name="Normal 2 4 2 3 2 5 2 3 2" xfId="31352" xr:uid="{403BC704-70D8-4715-B06A-9AF4504FD533}"/>
    <cellStyle name="Normal 2 4 2 3 2 5 2 4" xfId="22055" xr:uid="{82BC2521-E384-4FF6-B8FB-5F52E807A8AD}"/>
    <cellStyle name="Normal 2 4 2 3 2 5 3" xfId="5502" xr:uid="{00000000-0005-0000-0000-0000DC0E0000}"/>
    <cellStyle name="Normal 2 4 2 3 2 5 3 2" xfId="14828" xr:uid="{BE8B9E24-989B-40A2-BFA9-6DFB3561437D}"/>
    <cellStyle name="Normal 2 4 2 3 2 5 3 2 2" xfId="33424" xr:uid="{8C5FA4B2-C630-4271-A25C-1FCB2821A8D8}"/>
    <cellStyle name="Normal 2 4 2 3 2 5 3 3" xfId="24127" xr:uid="{6B20ACDC-B129-4E29-B248-22BFEDA5D3FB}"/>
    <cellStyle name="Normal 2 4 2 3 2 5 4" xfId="10611" xr:uid="{B735AB57-B253-4016-9B31-80AAD0FF7C15}"/>
    <cellStyle name="Normal 2 4 2 3 2 5 4 2" xfId="29207" xr:uid="{E0B705EA-BA40-40CB-A93F-1A7204B8F54F}"/>
    <cellStyle name="Normal 2 4 2 3 2 5 5" xfId="19910" xr:uid="{5BB80791-C016-4651-8869-6FFC673C29AF}"/>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B0BBDE05-2E95-4730-9FD5-05E3F02A38F9}"/>
    <cellStyle name="Normal 2 4 2 3 2 6 2 2 2 2" xfId="35982" xr:uid="{78D1537F-ACFE-4AF7-92C8-13EE47FF51F9}"/>
    <cellStyle name="Normal 2 4 2 3 2 6 2 2 3" xfId="26685" xr:uid="{A0527D50-B084-4DCB-8221-0F2492E7D9AD}"/>
    <cellStyle name="Normal 2 4 2 3 2 6 2 3" xfId="13169" xr:uid="{A4CE227A-7557-4437-BCCA-B6E0869F1919}"/>
    <cellStyle name="Normal 2 4 2 3 2 6 2 3 2" xfId="31765" xr:uid="{3A6B80F1-018F-4022-8311-C2068D77377E}"/>
    <cellStyle name="Normal 2 4 2 3 2 6 2 4" xfId="22468" xr:uid="{0E9377C6-3DEA-42B9-B451-8FA22E24454C}"/>
    <cellStyle name="Normal 2 4 2 3 2 6 3" xfId="5915" xr:uid="{00000000-0005-0000-0000-0000E00E0000}"/>
    <cellStyle name="Normal 2 4 2 3 2 6 3 2" xfId="15241" xr:uid="{219F19A7-C9DE-43B2-8677-E85AF9600696}"/>
    <cellStyle name="Normal 2 4 2 3 2 6 3 2 2" xfId="33837" xr:uid="{158A28F3-6D5E-4B1D-8033-41061B0C2728}"/>
    <cellStyle name="Normal 2 4 2 3 2 6 3 3" xfId="24540" xr:uid="{D48AF3D0-800F-4B3C-B7D4-7C85B31B020F}"/>
    <cellStyle name="Normal 2 4 2 3 2 6 4" xfId="11024" xr:uid="{42660CB9-0A48-44D5-BD58-B24D0FD13F19}"/>
    <cellStyle name="Normal 2 4 2 3 2 6 4 2" xfId="29620" xr:uid="{F6E1E35C-2121-455E-A10A-7147C58CFB64}"/>
    <cellStyle name="Normal 2 4 2 3 2 6 5" xfId="20323" xr:uid="{70AC832B-FCE0-4106-B12E-2A9124B0C8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08F1806F-BEB6-4232-9B17-8D089D63FDA0}"/>
    <cellStyle name="Normal 2 4 2 3 2 7 2 2 2 2" xfId="36395" xr:uid="{215304AA-8DD4-4A33-A22F-59D86244DA7E}"/>
    <cellStyle name="Normal 2 4 2 3 2 7 2 2 3" xfId="27098" xr:uid="{56983521-D800-479A-9265-7D01DB960EAC}"/>
    <cellStyle name="Normal 2 4 2 3 2 7 2 3" xfId="13582" xr:uid="{C1374435-C4A4-4E90-8294-69DBEFFE329E}"/>
    <cellStyle name="Normal 2 4 2 3 2 7 2 3 2" xfId="32178" xr:uid="{D286072D-88D9-447F-90B3-0058397FBFFB}"/>
    <cellStyle name="Normal 2 4 2 3 2 7 2 4" xfId="22881" xr:uid="{78DAD3F0-BA41-4DBA-BFE8-3D630876A7C6}"/>
    <cellStyle name="Normal 2 4 2 3 2 7 3" xfId="6328" xr:uid="{00000000-0005-0000-0000-0000E40E0000}"/>
    <cellStyle name="Normal 2 4 2 3 2 7 3 2" xfId="15654" xr:uid="{D20A06DC-5EC2-42F2-BB30-A74E494498D4}"/>
    <cellStyle name="Normal 2 4 2 3 2 7 3 2 2" xfId="34250" xr:uid="{1C6D075F-4F06-4858-89DE-B1E75E2C80C0}"/>
    <cellStyle name="Normal 2 4 2 3 2 7 3 3" xfId="24953" xr:uid="{80FD9254-5EEB-4A91-9A49-A757770D8173}"/>
    <cellStyle name="Normal 2 4 2 3 2 7 4" xfId="11437" xr:uid="{EE93D3B0-CB69-4F7F-922F-C1380634E8C6}"/>
    <cellStyle name="Normal 2 4 2 3 2 7 4 2" xfId="30033" xr:uid="{67D62E85-0DB8-4205-9615-D02D94895294}"/>
    <cellStyle name="Normal 2 4 2 3 2 7 5" xfId="20736" xr:uid="{56A17063-849E-41C1-91ED-85EBDA6CA04F}"/>
    <cellStyle name="Normal 2 4 2 3 2 8" xfId="2458" xr:uid="{00000000-0005-0000-0000-0000E50E0000}"/>
    <cellStyle name="Normal 2 4 2 3 2 8 2" xfId="6741" xr:uid="{00000000-0005-0000-0000-0000E60E0000}"/>
    <cellStyle name="Normal 2 4 2 3 2 8 2 2" xfId="16067" xr:uid="{CA30F5C5-6E6E-4F0C-9A91-7BAEC475E575}"/>
    <cellStyle name="Normal 2 4 2 3 2 8 2 2 2" xfId="34663" xr:uid="{96679D94-2BF2-488D-8927-B2EA3C2CD55C}"/>
    <cellStyle name="Normal 2 4 2 3 2 8 2 3" xfId="25366" xr:uid="{D155CE54-58DE-4D29-A6C9-20E7B14F9B98}"/>
    <cellStyle name="Normal 2 4 2 3 2 8 3" xfId="11850" xr:uid="{53B3BA27-7F46-4795-B601-2940F88AF19E}"/>
    <cellStyle name="Normal 2 4 2 3 2 8 3 2" xfId="30446" xr:uid="{3A66D088-7B97-48F2-9142-6766C043D501}"/>
    <cellStyle name="Normal 2 4 2 3 2 8 4" xfId="21149" xr:uid="{C61CFBE8-16A1-42A1-BA14-5C232F4C812F}"/>
    <cellStyle name="Normal 2 4 2 3 2 9" xfId="4675" xr:uid="{00000000-0005-0000-0000-0000E70E0000}"/>
    <cellStyle name="Normal 2 4 2 3 2 9 2" xfId="14001" xr:uid="{805527F2-A00C-49D7-AE82-2FDE795C660D}"/>
    <cellStyle name="Normal 2 4 2 3 2 9 2 2" xfId="32597" xr:uid="{F62CCE45-930A-4F64-8504-E8E81D9B0012}"/>
    <cellStyle name="Normal 2 4 2 3 2 9 3" xfId="23300" xr:uid="{0F547871-D9EC-497B-892A-571B7BF6E952}"/>
    <cellStyle name="Normal 2 4 2 3 3" xfId="286" xr:uid="{00000000-0005-0000-0000-0000E80E0000}"/>
    <cellStyle name="Normal 2 4 2 3 3 10" xfId="9788" xr:uid="{5DCFDE1F-29F2-4332-B482-7C897A9FF94B}"/>
    <cellStyle name="Normal 2 4 2 3 3 10 2" xfId="28384" xr:uid="{89BFB643-2719-40A0-AAFF-C6A894D073FA}"/>
    <cellStyle name="Normal 2 4 2 3 3 11" xfId="19087" xr:uid="{3D2100B1-3FA6-4C39-92DD-92D7236CB0D6}"/>
    <cellStyle name="Normal 2 4 2 3 3 2" xfId="287" xr:uid="{00000000-0005-0000-0000-0000E90E0000}"/>
    <cellStyle name="Normal 2 4 2 3 3 2 10" xfId="19088" xr:uid="{98CA5BA9-0189-4182-AD46-EB6DD75624E9}"/>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DF394A5E-C6B2-4588-8DF7-3AEE43E6D12A}"/>
    <cellStyle name="Normal 2 4 2 3 3 2 2 2 2 2 2" xfId="35161" xr:uid="{5DF16BAA-9D8E-4B69-9546-A2FD78E2E3A2}"/>
    <cellStyle name="Normal 2 4 2 3 3 2 2 2 2 3" xfId="25864" xr:uid="{2573DF00-3ECB-4DB2-8AC1-27CEDC3E5740}"/>
    <cellStyle name="Normal 2 4 2 3 3 2 2 2 3" xfId="12348" xr:uid="{FDAEAFD7-7E37-416D-8F12-16E1C2D15C8F}"/>
    <cellStyle name="Normal 2 4 2 3 3 2 2 2 3 2" xfId="30944" xr:uid="{89E8652A-FA0B-4F9F-A5EC-3BBC6E8C9BB8}"/>
    <cellStyle name="Normal 2 4 2 3 3 2 2 2 4" xfId="21647" xr:uid="{0B5A4650-3BD5-44B4-8228-6945D66FE02A}"/>
    <cellStyle name="Normal 2 4 2 3 3 2 2 3" xfId="5094" xr:uid="{00000000-0005-0000-0000-0000ED0E0000}"/>
    <cellStyle name="Normal 2 4 2 3 3 2 2 3 2" xfId="14420" xr:uid="{86B54E3B-CB68-49FE-99A1-D6E3C26A617E}"/>
    <cellStyle name="Normal 2 4 2 3 3 2 2 3 2 2" xfId="33016" xr:uid="{551B3BBE-6173-4548-9FDD-63EDF34A1654}"/>
    <cellStyle name="Normal 2 4 2 3 3 2 2 3 3" xfId="23719" xr:uid="{63E0FA35-F1FD-4666-BDE6-0923522FF653}"/>
    <cellStyle name="Normal 2 4 2 3 3 2 2 4" xfId="9523" xr:uid="{49BCB42B-3FEB-4D87-8E20-52FE775F87DD}"/>
    <cellStyle name="Normal 2 4 2 3 3 2 2 4 2" xfId="18838" xr:uid="{F99D486A-C283-419F-B9BA-1A993801375D}"/>
    <cellStyle name="Normal 2 4 2 3 3 2 2 4 2 2" xfId="37432" xr:uid="{742552D6-D67B-492F-8A06-95A6A078DA6F}"/>
    <cellStyle name="Normal 2 4 2 3 3 2 2 4 3" xfId="28135" xr:uid="{8BE6E04F-E566-4CF9-8605-96006983B21F}"/>
    <cellStyle name="Normal 2 4 2 3 3 2 2 5" xfId="10203" xr:uid="{D1A6B5E5-D78B-48E5-9F64-D02440B2CF78}"/>
    <cellStyle name="Normal 2 4 2 3 3 2 2 5 2" xfId="28799" xr:uid="{83F9871D-99E6-4597-BD0D-795BA9F01513}"/>
    <cellStyle name="Normal 2 4 2 3 3 2 2 6" xfId="19502" xr:uid="{4A47B247-80DC-48F5-B4EC-CBF4A29B7629}"/>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B5991372-FCD6-4C0B-9365-AD08FB387BE0}"/>
    <cellStyle name="Normal 2 4 2 3 3 2 3 2 2 2 2" xfId="35574" xr:uid="{57FF495D-039F-4476-9D5E-9180D65010A8}"/>
    <cellStyle name="Normal 2 4 2 3 3 2 3 2 2 3" xfId="26277" xr:uid="{64772D8C-F491-4985-8203-ACAB18EFC79F}"/>
    <cellStyle name="Normal 2 4 2 3 3 2 3 2 3" xfId="12761" xr:uid="{3405B9A4-4992-4B90-912A-16C9EC5C0AC4}"/>
    <cellStyle name="Normal 2 4 2 3 3 2 3 2 3 2" xfId="31357" xr:uid="{27EA75E9-2ABD-4A7A-9D12-6858D4526CCA}"/>
    <cellStyle name="Normal 2 4 2 3 3 2 3 2 4" xfId="22060" xr:uid="{DB940AD0-5B3F-4FE9-A799-411C2FA91B9E}"/>
    <cellStyle name="Normal 2 4 2 3 3 2 3 3" xfId="5507" xr:uid="{00000000-0005-0000-0000-0000F10E0000}"/>
    <cellStyle name="Normal 2 4 2 3 3 2 3 3 2" xfId="14833" xr:uid="{53F834A8-9863-4E82-91AD-16B0CDC887D3}"/>
    <cellStyle name="Normal 2 4 2 3 3 2 3 3 2 2" xfId="33429" xr:uid="{21280012-C19B-44EB-993C-E993733459EC}"/>
    <cellStyle name="Normal 2 4 2 3 3 2 3 3 3" xfId="24132" xr:uid="{C137A30C-C1F5-4BB9-95CD-449C5A5F144E}"/>
    <cellStyle name="Normal 2 4 2 3 3 2 3 4" xfId="10616" xr:uid="{4582110F-0281-4AF7-B013-079837D24B46}"/>
    <cellStyle name="Normal 2 4 2 3 3 2 3 4 2" xfId="29212" xr:uid="{4BAEAEC8-92E2-4A32-B32C-84628164B8DE}"/>
    <cellStyle name="Normal 2 4 2 3 3 2 3 5" xfId="19915" xr:uid="{34D3FD21-120F-4880-AACA-DFEF4AE3D1A5}"/>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98D834BE-06FE-4B31-9D4E-6B4FA8BAB336}"/>
    <cellStyle name="Normal 2 4 2 3 3 2 4 2 2 2 2" xfId="35987" xr:uid="{D191B0B7-DBA3-45B1-BA98-C660DFDB1D7A}"/>
    <cellStyle name="Normal 2 4 2 3 3 2 4 2 2 3" xfId="26690" xr:uid="{C009D18A-70E6-4132-9954-95788B9756A0}"/>
    <cellStyle name="Normal 2 4 2 3 3 2 4 2 3" xfId="13174" xr:uid="{BB685842-4DCB-46EA-B5B9-AE1E82E3EF35}"/>
    <cellStyle name="Normal 2 4 2 3 3 2 4 2 3 2" xfId="31770" xr:uid="{83479F4A-6F17-453C-8A9F-2C77B83CA544}"/>
    <cellStyle name="Normal 2 4 2 3 3 2 4 2 4" xfId="22473" xr:uid="{4B85B2EC-11F8-4F1F-9216-FEA17C11C982}"/>
    <cellStyle name="Normal 2 4 2 3 3 2 4 3" xfId="5920" xr:uid="{00000000-0005-0000-0000-0000F50E0000}"/>
    <cellStyle name="Normal 2 4 2 3 3 2 4 3 2" xfId="15246" xr:uid="{107A6B0A-16A8-41CF-A3B4-56701FA65323}"/>
    <cellStyle name="Normal 2 4 2 3 3 2 4 3 2 2" xfId="33842" xr:uid="{18FC4056-7767-4E84-870A-19DB6034F2E0}"/>
    <cellStyle name="Normal 2 4 2 3 3 2 4 3 3" xfId="24545" xr:uid="{B76D55F4-54AC-4653-BAE6-7569E2FEA956}"/>
    <cellStyle name="Normal 2 4 2 3 3 2 4 4" xfId="11029" xr:uid="{94A90924-B45A-49F2-BB62-A4BCA9062224}"/>
    <cellStyle name="Normal 2 4 2 3 3 2 4 4 2" xfId="29625" xr:uid="{39AA5878-A94F-4176-9CC1-854DCC82B222}"/>
    <cellStyle name="Normal 2 4 2 3 3 2 4 5" xfId="20328" xr:uid="{805162CC-F614-4A2B-BE1C-DC1822353AA3}"/>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C34AD100-3247-4411-804A-7C3AC506A2FA}"/>
    <cellStyle name="Normal 2 4 2 3 3 2 5 2 2 2 2" xfId="36400" xr:uid="{5F5A565C-9A6D-4748-B0EF-084DAB2EFC94}"/>
    <cellStyle name="Normal 2 4 2 3 3 2 5 2 2 3" xfId="27103" xr:uid="{BE56DD12-48E6-473F-A987-B605350293E0}"/>
    <cellStyle name="Normal 2 4 2 3 3 2 5 2 3" xfId="13587" xr:uid="{765EDB30-47DD-4D13-BF51-19FDDE424D1C}"/>
    <cellStyle name="Normal 2 4 2 3 3 2 5 2 3 2" xfId="32183" xr:uid="{D15A034A-53DA-4663-9903-516873D6DE25}"/>
    <cellStyle name="Normal 2 4 2 3 3 2 5 2 4" xfId="22886" xr:uid="{6AEA5656-CFB4-4833-8598-9BC9B76D3D23}"/>
    <cellStyle name="Normal 2 4 2 3 3 2 5 3" xfId="6333" xr:uid="{00000000-0005-0000-0000-0000F90E0000}"/>
    <cellStyle name="Normal 2 4 2 3 3 2 5 3 2" xfId="15659" xr:uid="{AFE095A0-A566-49C1-AB55-5007F83F6FED}"/>
    <cellStyle name="Normal 2 4 2 3 3 2 5 3 2 2" xfId="34255" xr:uid="{08E74489-5FC4-42ED-B11F-0C1E8DD0DA42}"/>
    <cellStyle name="Normal 2 4 2 3 3 2 5 3 3" xfId="24958" xr:uid="{833D7A27-A1C9-4909-83E3-A3E601327A20}"/>
    <cellStyle name="Normal 2 4 2 3 3 2 5 4" xfId="11442" xr:uid="{2E1C79B0-B54A-47D1-BDD2-1F28D37BD37F}"/>
    <cellStyle name="Normal 2 4 2 3 3 2 5 4 2" xfId="30038" xr:uid="{BB455BBD-C795-4DF2-BE40-C81D99606A60}"/>
    <cellStyle name="Normal 2 4 2 3 3 2 5 5" xfId="20741" xr:uid="{ACFF2A6D-36BD-4A15-ABEC-5840FC3E2C72}"/>
    <cellStyle name="Normal 2 4 2 3 3 2 6" xfId="2463" xr:uid="{00000000-0005-0000-0000-0000FA0E0000}"/>
    <cellStyle name="Normal 2 4 2 3 3 2 6 2" xfId="6746" xr:uid="{00000000-0005-0000-0000-0000FB0E0000}"/>
    <cellStyle name="Normal 2 4 2 3 3 2 6 2 2" xfId="16072" xr:uid="{908216DA-6985-4F22-8500-6E3C12CDEB04}"/>
    <cellStyle name="Normal 2 4 2 3 3 2 6 2 2 2" xfId="34668" xr:uid="{78E08ABA-753F-4D8E-AC31-AE4EC0FA4970}"/>
    <cellStyle name="Normal 2 4 2 3 3 2 6 2 3" xfId="25371" xr:uid="{0F0F34CD-9962-4C6F-B6E4-D7B3159ACE3D}"/>
    <cellStyle name="Normal 2 4 2 3 3 2 6 3" xfId="11855" xr:uid="{1532448F-F3C3-45A9-91A0-DBBA6315D8CA}"/>
    <cellStyle name="Normal 2 4 2 3 3 2 6 3 2" xfId="30451" xr:uid="{927B80C5-1F65-4534-8C12-A41FF64D9B76}"/>
    <cellStyle name="Normal 2 4 2 3 3 2 6 4" xfId="21154" xr:uid="{5C65E335-2BEA-4C38-8FDE-9409AB9667FA}"/>
    <cellStyle name="Normal 2 4 2 3 3 2 7" xfId="4680" xr:uid="{00000000-0005-0000-0000-0000FC0E0000}"/>
    <cellStyle name="Normal 2 4 2 3 3 2 7 2" xfId="14006" xr:uid="{AE206D27-3CAA-4402-BBE0-F2C8906895C2}"/>
    <cellStyle name="Normal 2 4 2 3 3 2 7 2 2" xfId="32602" xr:uid="{5C453795-5AA2-42DF-B751-1EB89471FBFD}"/>
    <cellStyle name="Normal 2 4 2 3 3 2 7 3" xfId="23305" xr:uid="{1E8E4DBC-C963-4119-BB7C-5D3BC962610B}"/>
    <cellStyle name="Normal 2 4 2 3 3 2 8" xfId="9098" xr:uid="{15335B31-FFDD-479D-88EC-FAB83DC4E6EC}"/>
    <cellStyle name="Normal 2 4 2 3 3 2 8 2" xfId="18422" xr:uid="{E7D5089C-2E33-47C7-8BB3-0BC8683B6165}"/>
    <cellStyle name="Normal 2 4 2 3 3 2 8 2 2" xfId="37017" xr:uid="{72CB22FF-EDB0-48CC-9581-979FA07014D2}"/>
    <cellStyle name="Normal 2 4 2 3 3 2 8 3" xfId="27720" xr:uid="{F2874D4E-2099-4E6D-9913-D8ECB4A0222B}"/>
    <cellStyle name="Normal 2 4 2 3 3 2 9" xfId="9789" xr:uid="{88892AD9-80BE-49A1-900B-B8F72727CAE5}"/>
    <cellStyle name="Normal 2 4 2 3 3 2 9 2" xfId="28385" xr:uid="{FB090B2B-5CFD-41E7-AE86-451B83F60A19}"/>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66EE8E6D-AB08-4288-801B-38B7A132AC5F}"/>
    <cellStyle name="Normal 2 4 2 3 3 3 2 2 2 2" xfId="35160" xr:uid="{0461273B-3B5E-43A3-9812-26BAD6606110}"/>
    <cellStyle name="Normal 2 4 2 3 3 3 2 2 3" xfId="25863" xr:uid="{D53316BA-F67A-4143-9BEE-75879912E3ED}"/>
    <cellStyle name="Normal 2 4 2 3 3 3 2 3" xfId="12347" xr:uid="{28672C33-9497-49CE-8A65-5BF303B01294}"/>
    <cellStyle name="Normal 2 4 2 3 3 3 2 3 2" xfId="30943" xr:uid="{1610E199-152D-42EA-AFF2-3AAC67859B2D}"/>
    <cellStyle name="Normal 2 4 2 3 3 3 2 4" xfId="21646" xr:uid="{2E86324D-B8B3-46F5-8D56-B110A8F52202}"/>
    <cellStyle name="Normal 2 4 2 3 3 3 3" xfId="5093" xr:uid="{00000000-0005-0000-0000-0000000F0000}"/>
    <cellStyle name="Normal 2 4 2 3 3 3 3 2" xfId="14419" xr:uid="{CCB5AA89-35E7-45DE-B15E-24289A50EF23}"/>
    <cellStyle name="Normal 2 4 2 3 3 3 3 2 2" xfId="33015" xr:uid="{41C9C7FC-4AAF-42B1-ABBD-4BC876F1E072}"/>
    <cellStyle name="Normal 2 4 2 3 3 3 3 3" xfId="23718" xr:uid="{D4EDBF6B-1AC2-498B-BAA0-1DB632D1353C}"/>
    <cellStyle name="Normal 2 4 2 3 3 3 4" xfId="9316" xr:uid="{C8C83D09-5A3A-4C90-8A04-9D7CD8C85B11}"/>
    <cellStyle name="Normal 2 4 2 3 3 3 4 2" xfId="18631" xr:uid="{B3246A69-E5DB-4041-AB1F-B4D62E4FFF7E}"/>
    <cellStyle name="Normal 2 4 2 3 3 3 4 2 2" xfId="37225" xr:uid="{AC60468D-98B5-4143-8D54-940F6D9B58A1}"/>
    <cellStyle name="Normal 2 4 2 3 3 3 4 3" xfId="27928" xr:uid="{7502CEA5-1636-47EF-80CC-56F29C61D70C}"/>
    <cellStyle name="Normal 2 4 2 3 3 3 5" xfId="10202" xr:uid="{5434751D-37CE-417A-B877-060CC828CAFF}"/>
    <cellStyle name="Normal 2 4 2 3 3 3 5 2" xfId="28798" xr:uid="{08C2E263-97E9-469E-9781-33409BADB524}"/>
    <cellStyle name="Normal 2 4 2 3 3 3 6" xfId="19501" xr:uid="{B87E6A84-8496-4ED2-84C8-71189F2F15D2}"/>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6D0335FA-D7D3-41F6-AD25-6F02F92220A4}"/>
    <cellStyle name="Normal 2 4 2 3 3 4 2 2 2 2" xfId="35573" xr:uid="{874D902E-9521-4E3D-A445-DAE2B48191D8}"/>
    <cellStyle name="Normal 2 4 2 3 3 4 2 2 3" xfId="26276" xr:uid="{6D8E4A4A-6C89-4FE2-843B-12E56E6936B6}"/>
    <cellStyle name="Normal 2 4 2 3 3 4 2 3" xfId="12760" xr:uid="{84FACC80-3B62-4891-8BC9-2E1578AB46B8}"/>
    <cellStyle name="Normal 2 4 2 3 3 4 2 3 2" xfId="31356" xr:uid="{A9C03725-8459-4556-A035-D52D39708370}"/>
    <cellStyle name="Normal 2 4 2 3 3 4 2 4" xfId="22059" xr:uid="{0A2EE1A5-6B3D-49F4-BCFB-1237E1481E2C}"/>
    <cellStyle name="Normal 2 4 2 3 3 4 3" xfId="5506" xr:uid="{00000000-0005-0000-0000-0000040F0000}"/>
    <cellStyle name="Normal 2 4 2 3 3 4 3 2" xfId="14832" xr:uid="{390E81AC-9CE5-4442-858A-F9C713A4DC34}"/>
    <cellStyle name="Normal 2 4 2 3 3 4 3 2 2" xfId="33428" xr:uid="{49B7D4CB-7E26-4C12-840E-EE032FADE402}"/>
    <cellStyle name="Normal 2 4 2 3 3 4 3 3" xfId="24131" xr:uid="{CD75BAF3-970A-4295-8CC7-39A9972FD9E9}"/>
    <cellStyle name="Normal 2 4 2 3 3 4 4" xfId="10615" xr:uid="{029077E2-BEC7-46C2-B730-5D9438F0F8BE}"/>
    <cellStyle name="Normal 2 4 2 3 3 4 4 2" xfId="29211" xr:uid="{B2C745E5-B857-4EC3-BCD8-AC556E13A2F8}"/>
    <cellStyle name="Normal 2 4 2 3 3 4 5" xfId="19914" xr:uid="{FA34E6E8-EB39-4030-B213-1CF3A46276A2}"/>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69D0DA04-F5E5-4BCB-AF1C-648E3A9A51BE}"/>
    <cellStyle name="Normal 2 4 2 3 3 5 2 2 2 2" xfId="35986" xr:uid="{2A5CCF57-06F3-4441-9AAE-445617E69FB0}"/>
    <cellStyle name="Normal 2 4 2 3 3 5 2 2 3" xfId="26689" xr:uid="{FDD47F8D-985C-4633-8F18-49339C830CFA}"/>
    <cellStyle name="Normal 2 4 2 3 3 5 2 3" xfId="13173" xr:uid="{F3987BA1-F78E-427B-A245-1DDF2B91D4B8}"/>
    <cellStyle name="Normal 2 4 2 3 3 5 2 3 2" xfId="31769" xr:uid="{38A0A53B-E701-46F0-99CD-8345F1A0AF84}"/>
    <cellStyle name="Normal 2 4 2 3 3 5 2 4" xfId="22472" xr:uid="{1BA3AA95-D21C-4533-8205-1BCD8D433724}"/>
    <cellStyle name="Normal 2 4 2 3 3 5 3" xfId="5919" xr:uid="{00000000-0005-0000-0000-0000080F0000}"/>
    <cellStyle name="Normal 2 4 2 3 3 5 3 2" xfId="15245" xr:uid="{2611588E-5FD9-4138-B0E6-280C2A105457}"/>
    <cellStyle name="Normal 2 4 2 3 3 5 3 2 2" xfId="33841" xr:uid="{7F508436-72E5-4DA7-8401-1D45FB0BEA36}"/>
    <cellStyle name="Normal 2 4 2 3 3 5 3 3" xfId="24544" xr:uid="{E737AE92-AD55-4986-93A1-ABAD3937FE41}"/>
    <cellStyle name="Normal 2 4 2 3 3 5 4" xfId="11028" xr:uid="{B51D3720-AA11-4A0C-B054-4585DF36292A}"/>
    <cellStyle name="Normal 2 4 2 3 3 5 4 2" xfId="29624" xr:uid="{EE1960F0-202B-4790-AF88-EEAB5F4E95D7}"/>
    <cellStyle name="Normal 2 4 2 3 3 5 5" xfId="20327" xr:uid="{8C85487D-8C57-4037-A3A6-B81EECA8E3F5}"/>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6B29437C-D7EC-4832-9C25-9330CD1B632E}"/>
    <cellStyle name="Normal 2 4 2 3 3 6 2 2 2 2" xfId="36399" xr:uid="{448CE8EB-8BF5-460F-80C9-BF6876FBFD9E}"/>
    <cellStyle name="Normal 2 4 2 3 3 6 2 2 3" xfId="27102" xr:uid="{2A9BB3CF-5013-46C2-B1EF-6276476DCB7E}"/>
    <cellStyle name="Normal 2 4 2 3 3 6 2 3" xfId="13586" xr:uid="{6BDF6E64-1522-471E-BEC5-7FC23C0C224E}"/>
    <cellStyle name="Normal 2 4 2 3 3 6 2 3 2" xfId="32182" xr:uid="{0FE8C63C-9342-40ED-BCA3-844D48C3FCCE}"/>
    <cellStyle name="Normal 2 4 2 3 3 6 2 4" xfId="22885" xr:uid="{AFBDC0B7-A64B-446E-85EC-8D7FC5F6E21C}"/>
    <cellStyle name="Normal 2 4 2 3 3 6 3" xfId="6332" xr:uid="{00000000-0005-0000-0000-00000C0F0000}"/>
    <cellStyle name="Normal 2 4 2 3 3 6 3 2" xfId="15658" xr:uid="{4E6070FF-6095-471B-88DB-48835A6B45E0}"/>
    <cellStyle name="Normal 2 4 2 3 3 6 3 2 2" xfId="34254" xr:uid="{6203D917-A807-4147-9D2A-DA538D36C669}"/>
    <cellStyle name="Normal 2 4 2 3 3 6 3 3" xfId="24957" xr:uid="{AC47BFC7-E813-4DF3-943F-26A847E8B4AC}"/>
    <cellStyle name="Normal 2 4 2 3 3 6 4" xfId="11441" xr:uid="{F48069BD-03FB-4C03-90C7-70FCAB3F965F}"/>
    <cellStyle name="Normal 2 4 2 3 3 6 4 2" xfId="30037" xr:uid="{3D40D41F-F86F-433E-93A4-A22E7F4621A8}"/>
    <cellStyle name="Normal 2 4 2 3 3 6 5" xfId="20740" xr:uid="{D8845BA2-138B-4BD4-A9BF-D4588A82D645}"/>
    <cellStyle name="Normal 2 4 2 3 3 7" xfId="2462" xr:uid="{00000000-0005-0000-0000-00000D0F0000}"/>
    <cellStyle name="Normal 2 4 2 3 3 7 2" xfId="6745" xr:uid="{00000000-0005-0000-0000-00000E0F0000}"/>
    <cellStyle name="Normal 2 4 2 3 3 7 2 2" xfId="16071" xr:uid="{69740F6A-F90F-4D35-BEF7-95650FADFAF7}"/>
    <cellStyle name="Normal 2 4 2 3 3 7 2 2 2" xfId="34667" xr:uid="{30402F3A-3413-46BB-9895-594D8B182957}"/>
    <cellStyle name="Normal 2 4 2 3 3 7 2 3" xfId="25370" xr:uid="{95042D61-48BC-4530-87CF-E605B92D6161}"/>
    <cellStyle name="Normal 2 4 2 3 3 7 3" xfId="11854" xr:uid="{16F90A1C-5CF7-40E1-B585-62CA7372A9A6}"/>
    <cellStyle name="Normal 2 4 2 3 3 7 3 2" xfId="30450" xr:uid="{D4F6789F-9583-44CE-A83F-42A8F61B4D88}"/>
    <cellStyle name="Normal 2 4 2 3 3 7 4" xfId="21153" xr:uid="{0B3FC966-7835-4E3F-8BF4-EDBF5D0D10E7}"/>
    <cellStyle name="Normal 2 4 2 3 3 8" xfId="4679" xr:uid="{00000000-0005-0000-0000-00000F0F0000}"/>
    <cellStyle name="Normal 2 4 2 3 3 8 2" xfId="14005" xr:uid="{CF940DD3-7256-4D0C-9EB7-D8ACAFB1C484}"/>
    <cellStyle name="Normal 2 4 2 3 3 8 2 2" xfId="32601" xr:uid="{E9FDFC59-065A-4FBC-8378-6C5D9157FF30}"/>
    <cellStyle name="Normal 2 4 2 3 3 8 3" xfId="23304" xr:uid="{1CCA66C8-AEDD-40F7-A5B7-27B300133CAF}"/>
    <cellStyle name="Normal 2 4 2 3 3 9" xfId="8891" xr:uid="{D2DF60A1-A34B-4A3F-B29E-E581EFBA8360}"/>
    <cellStyle name="Normal 2 4 2 3 3 9 2" xfId="18215" xr:uid="{078A7CF9-B90E-4408-8C56-27B49EB7BD7B}"/>
    <cellStyle name="Normal 2 4 2 3 3 9 2 2" xfId="36810" xr:uid="{85F8814B-DCC2-4A9C-8A7C-8F2A5A056DF1}"/>
    <cellStyle name="Normal 2 4 2 3 3 9 3" xfId="27513" xr:uid="{AB78072B-163B-4243-9207-461DB7E1D6FF}"/>
    <cellStyle name="Normal 2 4 2 3 4" xfId="288" xr:uid="{00000000-0005-0000-0000-0000100F0000}"/>
    <cellStyle name="Normal 2 4 2 3 4 10" xfId="19089" xr:uid="{47683407-3FA4-45E8-B860-CDD4F350BD2E}"/>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FFC685C6-0E89-402E-A999-2313CD80232C}"/>
    <cellStyle name="Normal 2 4 2 3 4 2 2 2 2 2" xfId="35162" xr:uid="{C6AE5ECE-D7F9-43AE-AEDF-C6C815F61152}"/>
    <cellStyle name="Normal 2 4 2 3 4 2 2 2 3" xfId="25865" xr:uid="{5E6A02A1-38D1-4FF8-8E8F-310307016200}"/>
    <cellStyle name="Normal 2 4 2 3 4 2 2 3" xfId="12349" xr:uid="{36039DE2-5032-44E4-9DE4-05A434B901D8}"/>
    <cellStyle name="Normal 2 4 2 3 4 2 2 3 2" xfId="30945" xr:uid="{421B1FF3-6C7D-4CC0-9E7C-A411AABC4262}"/>
    <cellStyle name="Normal 2 4 2 3 4 2 2 4" xfId="21648" xr:uid="{BE1A9D7A-E047-42AD-9702-A843B350BA3B}"/>
    <cellStyle name="Normal 2 4 2 3 4 2 3" xfId="5095" xr:uid="{00000000-0005-0000-0000-0000140F0000}"/>
    <cellStyle name="Normal 2 4 2 3 4 2 3 2" xfId="14421" xr:uid="{8F19B282-D91D-4BBC-AA91-6128261A9670}"/>
    <cellStyle name="Normal 2 4 2 3 4 2 3 2 2" xfId="33017" xr:uid="{54F530FF-06C0-41BE-A7A1-07DAC24FD3E3}"/>
    <cellStyle name="Normal 2 4 2 3 4 2 3 3" xfId="23720" xr:uid="{0D53B259-3716-4A6A-8B90-7B6BBD380B6E}"/>
    <cellStyle name="Normal 2 4 2 3 4 2 4" xfId="9420" xr:uid="{49E252B3-99BC-416A-A0CB-FE2641ECFDE3}"/>
    <cellStyle name="Normal 2 4 2 3 4 2 4 2" xfId="18735" xr:uid="{9B2C7681-0064-4B77-9A44-FEA8E15C777E}"/>
    <cellStyle name="Normal 2 4 2 3 4 2 4 2 2" xfId="37329" xr:uid="{8057406E-89C2-470F-8211-EE7FB15997C7}"/>
    <cellStyle name="Normal 2 4 2 3 4 2 4 3" xfId="28032" xr:uid="{AA00FD8F-A022-4977-B4B3-8EC5BE277739}"/>
    <cellStyle name="Normal 2 4 2 3 4 2 5" xfId="10204" xr:uid="{47E37ABD-04C2-438E-A5B3-9963047DF60B}"/>
    <cellStyle name="Normal 2 4 2 3 4 2 5 2" xfId="28800" xr:uid="{165E5602-0BDF-4B74-A89D-979C2F23F03B}"/>
    <cellStyle name="Normal 2 4 2 3 4 2 6" xfId="19503" xr:uid="{25A2EA58-1E68-4C51-91FC-17D3BA3566E6}"/>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F0513792-9DC5-4325-89FB-7EC605F28C5F}"/>
    <cellStyle name="Normal 2 4 2 3 4 3 2 2 2 2" xfId="35575" xr:uid="{A197C1D1-B010-4FA4-922B-7639AE8F12C4}"/>
    <cellStyle name="Normal 2 4 2 3 4 3 2 2 3" xfId="26278" xr:uid="{43CF3DAD-5DB0-426B-8881-366DC52E9865}"/>
    <cellStyle name="Normal 2 4 2 3 4 3 2 3" xfId="12762" xr:uid="{18E0FD5E-1D0C-4F52-B1E4-787891E7AC3D}"/>
    <cellStyle name="Normal 2 4 2 3 4 3 2 3 2" xfId="31358" xr:uid="{23521C69-EB65-490D-B6B6-5963BE7484F6}"/>
    <cellStyle name="Normal 2 4 2 3 4 3 2 4" xfId="22061" xr:uid="{2671A72A-8B02-4018-8173-B108FC418BEF}"/>
    <cellStyle name="Normal 2 4 2 3 4 3 3" xfId="5508" xr:uid="{00000000-0005-0000-0000-0000180F0000}"/>
    <cellStyle name="Normal 2 4 2 3 4 3 3 2" xfId="14834" xr:uid="{3D694320-76B5-49EA-A235-8A022B17BBFE}"/>
    <cellStyle name="Normal 2 4 2 3 4 3 3 2 2" xfId="33430" xr:uid="{A00889C4-715D-4DBF-B265-5AF59B5C4220}"/>
    <cellStyle name="Normal 2 4 2 3 4 3 3 3" xfId="24133" xr:uid="{35A17D66-9AFB-4461-946B-8F4108CCDCC5}"/>
    <cellStyle name="Normal 2 4 2 3 4 3 4" xfId="10617" xr:uid="{60F514CB-407D-45D4-8F77-94575646F5A3}"/>
    <cellStyle name="Normal 2 4 2 3 4 3 4 2" xfId="29213" xr:uid="{191D09D8-AA66-4ADD-931E-2C9275C3AE23}"/>
    <cellStyle name="Normal 2 4 2 3 4 3 5" xfId="19916" xr:uid="{A10D008A-9DC1-490F-8C7E-3A103E34AE29}"/>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23262B00-6F48-4AAB-8EDA-022DC97F0002}"/>
    <cellStyle name="Normal 2 4 2 3 4 4 2 2 2 2" xfId="35988" xr:uid="{87889F07-219F-41E1-B5A0-65C514CBB45C}"/>
    <cellStyle name="Normal 2 4 2 3 4 4 2 2 3" xfId="26691" xr:uid="{03FACC74-6DD4-4C6C-AE78-D01EBCA76940}"/>
    <cellStyle name="Normal 2 4 2 3 4 4 2 3" xfId="13175" xr:uid="{A522E9D4-3271-4F3B-9441-DDA532C92415}"/>
    <cellStyle name="Normal 2 4 2 3 4 4 2 3 2" xfId="31771" xr:uid="{984B58B0-7A02-4CFC-B8F7-81B19868629B}"/>
    <cellStyle name="Normal 2 4 2 3 4 4 2 4" xfId="22474" xr:uid="{E8AB84DC-2AC5-4407-AE17-740E4F001E75}"/>
    <cellStyle name="Normal 2 4 2 3 4 4 3" xfId="5921" xr:uid="{00000000-0005-0000-0000-00001C0F0000}"/>
    <cellStyle name="Normal 2 4 2 3 4 4 3 2" xfId="15247" xr:uid="{0A61BC06-6B89-4AC9-AC94-5D2943DCF9A2}"/>
    <cellStyle name="Normal 2 4 2 3 4 4 3 2 2" xfId="33843" xr:uid="{52A06F0E-7E49-452D-8B9D-6DED44116C2E}"/>
    <cellStyle name="Normal 2 4 2 3 4 4 3 3" xfId="24546" xr:uid="{7852C0E0-6B3E-4FEA-8926-66F655265A2F}"/>
    <cellStyle name="Normal 2 4 2 3 4 4 4" xfId="11030" xr:uid="{C1846471-00BC-417D-A080-A7A3BD5C82A9}"/>
    <cellStyle name="Normal 2 4 2 3 4 4 4 2" xfId="29626" xr:uid="{4C7732D3-4556-462C-9BA2-19397AE91CD2}"/>
    <cellStyle name="Normal 2 4 2 3 4 4 5" xfId="20329" xr:uid="{4CFFB70E-B451-4B7D-93FF-8BE50BEC11AA}"/>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F01435B3-76C9-47E5-BF1B-5612953C8237}"/>
    <cellStyle name="Normal 2 4 2 3 4 5 2 2 2 2" xfId="36401" xr:uid="{9AF485B2-23FC-4635-AB38-C2470C5C79EA}"/>
    <cellStyle name="Normal 2 4 2 3 4 5 2 2 3" xfId="27104" xr:uid="{504387BF-FA9C-4914-A000-67D805828656}"/>
    <cellStyle name="Normal 2 4 2 3 4 5 2 3" xfId="13588" xr:uid="{045F50F9-B916-4F87-ACE1-D3731751CA91}"/>
    <cellStyle name="Normal 2 4 2 3 4 5 2 3 2" xfId="32184" xr:uid="{C19B049C-C78C-4BD3-84A3-2F1B88E22640}"/>
    <cellStyle name="Normal 2 4 2 3 4 5 2 4" xfId="22887" xr:uid="{D92B6E13-3FBA-430E-8A98-4DADFDF4D468}"/>
    <cellStyle name="Normal 2 4 2 3 4 5 3" xfId="6334" xr:uid="{00000000-0005-0000-0000-0000200F0000}"/>
    <cellStyle name="Normal 2 4 2 3 4 5 3 2" xfId="15660" xr:uid="{BFF10229-3499-4075-B8BF-1AA101BBAF6E}"/>
    <cellStyle name="Normal 2 4 2 3 4 5 3 2 2" xfId="34256" xr:uid="{5BD6DF11-D7F7-42A1-9F29-3E5FC9568AC2}"/>
    <cellStyle name="Normal 2 4 2 3 4 5 3 3" xfId="24959" xr:uid="{CB2E242D-C1E8-462E-9831-D3FCBC2C8B26}"/>
    <cellStyle name="Normal 2 4 2 3 4 5 4" xfId="11443" xr:uid="{A7097CE1-8869-4B24-A429-473D4C4B4BA5}"/>
    <cellStyle name="Normal 2 4 2 3 4 5 4 2" xfId="30039" xr:uid="{3AECA63A-8F2A-402C-8F4A-5D50595ED7CF}"/>
    <cellStyle name="Normal 2 4 2 3 4 5 5" xfId="20742" xr:uid="{E4EC1D65-2899-4D5B-8A94-805D8E5F826A}"/>
    <cellStyle name="Normal 2 4 2 3 4 6" xfId="2464" xr:uid="{00000000-0005-0000-0000-0000210F0000}"/>
    <cellStyle name="Normal 2 4 2 3 4 6 2" xfId="6747" xr:uid="{00000000-0005-0000-0000-0000220F0000}"/>
    <cellStyle name="Normal 2 4 2 3 4 6 2 2" xfId="16073" xr:uid="{C681AE81-AEA9-46D1-A62A-2794AC9CA9A5}"/>
    <cellStyle name="Normal 2 4 2 3 4 6 2 2 2" xfId="34669" xr:uid="{9405938F-6284-48BA-941F-9C135988BCAA}"/>
    <cellStyle name="Normal 2 4 2 3 4 6 2 3" xfId="25372" xr:uid="{794ABDD1-AF40-4F0D-928F-0113F05B507B}"/>
    <cellStyle name="Normal 2 4 2 3 4 6 3" xfId="11856" xr:uid="{D1617618-C367-4EAE-B65B-087D3C69743B}"/>
    <cellStyle name="Normal 2 4 2 3 4 6 3 2" xfId="30452" xr:uid="{8107F47B-8404-4749-8A07-D25ADDE1035A}"/>
    <cellStyle name="Normal 2 4 2 3 4 6 4" xfId="21155" xr:uid="{3226D51F-1442-4364-B619-0A873EC642A3}"/>
    <cellStyle name="Normal 2 4 2 3 4 7" xfId="4681" xr:uid="{00000000-0005-0000-0000-0000230F0000}"/>
    <cellStyle name="Normal 2 4 2 3 4 7 2" xfId="14007" xr:uid="{3ACB34FD-A5C7-489A-BEAF-9D4A3018C0CA}"/>
    <cellStyle name="Normal 2 4 2 3 4 7 2 2" xfId="32603" xr:uid="{65DF206B-8B46-442E-9066-794E1709FC14}"/>
    <cellStyle name="Normal 2 4 2 3 4 7 3" xfId="23306" xr:uid="{076A357E-0B68-4F69-80D5-43466AFCB237}"/>
    <cellStyle name="Normal 2 4 2 3 4 8" xfId="8995" xr:uid="{EEE25A27-4C18-4948-8341-FF27707A7A86}"/>
    <cellStyle name="Normal 2 4 2 3 4 8 2" xfId="18319" xr:uid="{270FE6F4-49F4-4C20-984E-6053FE8B51E0}"/>
    <cellStyle name="Normal 2 4 2 3 4 8 2 2" xfId="36914" xr:uid="{863B5151-E244-475A-86CE-E4BEB4A9CF9A}"/>
    <cellStyle name="Normal 2 4 2 3 4 8 3" xfId="27617" xr:uid="{7A46A0E2-25B3-4C8A-87C6-7C3DFF4497EC}"/>
    <cellStyle name="Normal 2 4 2 3 4 9" xfId="9790" xr:uid="{CAF58986-2FA4-4D6E-BB45-0E302DC1D68A}"/>
    <cellStyle name="Normal 2 4 2 3 4 9 2" xfId="28386" xr:uid="{61231F16-ECA0-4E6B-B3E9-04F47A5EC226}"/>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79EBE69A-AF11-434B-A78B-9B43C87674FA}"/>
    <cellStyle name="Normal 2 4 2 3 5 2 2 2 2" xfId="35155" xr:uid="{C5C33EEE-28C4-4E7E-9A09-C76E75BF1273}"/>
    <cellStyle name="Normal 2 4 2 3 5 2 2 3" xfId="25858" xr:uid="{C002B548-74A6-4AC9-B44A-D9DEA39BCDA9}"/>
    <cellStyle name="Normal 2 4 2 3 5 2 3" xfId="12342" xr:uid="{023A85FB-8998-4EF2-B629-CCCD0AFE19C4}"/>
    <cellStyle name="Normal 2 4 2 3 5 2 3 2" xfId="30938" xr:uid="{5D01B6F3-2648-46DC-909F-451B99C21698}"/>
    <cellStyle name="Normal 2 4 2 3 5 2 4" xfId="21641" xr:uid="{4CF6A671-0753-46F0-A76A-469D9DE2265D}"/>
    <cellStyle name="Normal 2 4 2 3 5 3" xfId="5088" xr:uid="{00000000-0005-0000-0000-0000270F0000}"/>
    <cellStyle name="Normal 2 4 2 3 5 3 2" xfId="14414" xr:uid="{EFE840CB-75DC-44A6-AF24-89E9033DF86D}"/>
    <cellStyle name="Normal 2 4 2 3 5 3 2 2" xfId="33010" xr:uid="{9BD9E1C2-794E-45F4-9C3A-4F56139F5F50}"/>
    <cellStyle name="Normal 2 4 2 3 5 3 3" xfId="23713" xr:uid="{CAB9C774-73EC-4E12-9752-F348DC9F2B1B}"/>
    <cellStyle name="Normal 2 4 2 3 5 4" xfId="9212" xr:uid="{39F1BF9F-C79C-4226-B2D8-665EAA6F3686}"/>
    <cellStyle name="Normal 2 4 2 3 5 4 2" xfId="18528" xr:uid="{9CA7FAA1-60F9-4191-BE06-9E088044A5AB}"/>
    <cellStyle name="Normal 2 4 2 3 5 4 2 2" xfId="37122" xr:uid="{2301016E-B210-464D-A018-23221425228D}"/>
    <cellStyle name="Normal 2 4 2 3 5 4 3" xfId="27825" xr:uid="{50C7D376-6E68-4049-B75B-6BB6CE67BC75}"/>
    <cellStyle name="Normal 2 4 2 3 5 5" xfId="10197" xr:uid="{76AE1332-9660-444A-8BE3-B5C1BB9CA0A1}"/>
    <cellStyle name="Normal 2 4 2 3 5 5 2" xfId="28793" xr:uid="{056B01A4-96A4-46C7-BB9A-CC65690E707C}"/>
    <cellStyle name="Normal 2 4 2 3 5 6" xfId="19496" xr:uid="{4942C55F-D947-4C99-9002-F483EE1CC173}"/>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900B5116-8860-4A09-850A-F4B6314FD44B}"/>
    <cellStyle name="Normal 2 4 2 3 6 2 2 2 2" xfId="35568" xr:uid="{366B6707-C567-4540-9419-017E8F7E57EF}"/>
    <cellStyle name="Normal 2 4 2 3 6 2 2 3" xfId="26271" xr:uid="{EC39F922-D3C2-42ED-A9F2-2AFA3148C44C}"/>
    <cellStyle name="Normal 2 4 2 3 6 2 3" xfId="12755" xr:uid="{197710DA-FF1E-48CA-AE1C-B15179A5168F}"/>
    <cellStyle name="Normal 2 4 2 3 6 2 3 2" xfId="31351" xr:uid="{BF8C2387-6452-4980-9608-A85E08366955}"/>
    <cellStyle name="Normal 2 4 2 3 6 2 4" xfId="22054" xr:uid="{18B6D6E8-48AD-405A-8A05-D788B05EF471}"/>
    <cellStyle name="Normal 2 4 2 3 6 3" xfId="5501" xr:uid="{00000000-0005-0000-0000-00002B0F0000}"/>
    <cellStyle name="Normal 2 4 2 3 6 3 2" xfId="14827" xr:uid="{EB20EDC9-5A80-45F0-81D9-0A845B4DA1CB}"/>
    <cellStyle name="Normal 2 4 2 3 6 3 2 2" xfId="33423" xr:uid="{70A6A307-5BDC-43E7-BE7B-5EFE9703A58C}"/>
    <cellStyle name="Normal 2 4 2 3 6 3 3" xfId="24126" xr:uid="{7C5887E5-6DB2-4160-A875-6366A5B53DF2}"/>
    <cellStyle name="Normal 2 4 2 3 6 4" xfId="10610" xr:uid="{E4250FA9-B5DD-416F-9BC3-9C05959A1E6E}"/>
    <cellStyle name="Normal 2 4 2 3 6 4 2" xfId="29206" xr:uid="{9E0BABF7-894E-46D0-A3B8-9F1E798AA5A2}"/>
    <cellStyle name="Normal 2 4 2 3 6 5" xfId="19909" xr:uid="{090E4341-A1EB-4A8C-93E9-8CA5F671D309}"/>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F84A3550-FCCC-4B82-B8C8-552DFF68909E}"/>
    <cellStyle name="Normal 2 4 2 3 7 2 2 2 2" xfId="35981" xr:uid="{16FD8BCE-0A4B-4BFD-A9CE-C13AE9511090}"/>
    <cellStyle name="Normal 2 4 2 3 7 2 2 3" xfId="26684" xr:uid="{21BFDCF9-02F3-46EC-A53D-CF44B5E80020}"/>
    <cellStyle name="Normal 2 4 2 3 7 2 3" xfId="13168" xr:uid="{19E1049E-CBFD-44F5-8B8A-ECAF7D4A03B3}"/>
    <cellStyle name="Normal 2 4 2 3 7 2 3 2" xfId="31764" xr:uid="{C13183F5-82FC-4995-90DC-786C7068418C}"/>
    <cellStyle name="Normal 2 4 2 3 7 2 4" xfId="22467" xr:uid="{B42565A9-68ED-4BCC-A1FE-7F4EC877BC9C}"/>
    <cellStyle name="Normal 2 4 2 3 7 3" xfId="5914" xr:uid="{00000000-0005-0000-0000-00002F0F0000}"/>
    <cellStyle name="Normal 2 4 2 3 7 3 2" xfId="15240" xr:uid="{458AB651-2EE5-4EB2-8FC9-71A03CB7BEBD}"/>
    <cellStyle name="Normal 2 4 2 3 7 3 2 2" xfId="33836" xr:uid="{3209D8D6-D7DF-4A9B-8FF4-603C5BA10098}"/>
    <cellStyle name="Normal 2 4 2 3 7 3 3" xfId="24539" xr:uid="{6AB48081-379B-487B-B1CC-0593AF45AB24}"/>
    <cellStyle name="Normal 2 4 2 3 7 4" xfId="11023" xr:uid="{BB9EBC52-4FB5-4BA1-A00F-0AE220E21E6A}"/>
    <cellStyle name="Normal 2 4 2 3 7 4 2" xfId="29619" xr:uid="{8DB2AAB8-4611-41D9-BD88-EBA266DC8F30}"/>
    <cellStyle name="Normal 2 4 2 3 7 5" xfId="20322" xr:uid="{ADECA303-DE63-439B-81F1-A7861ED1875B}"/>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5135F6A1-42AC-4DC1-ADC0-EB6FB077A334}"/>
    <cellStyle name="Normal 2 4 2 3 8 2 2 2 2" xfId="36394" xr:uid="{3125D174-2FD9-47D4-9988-537A6F3404EA}"/>
    <cellStyle name="Normal 2 4 2 3 8 2 2 3" xfId="27097" xr:uid="{DF2AA0B6-22A3-4F3A-8A46-64CC9ABDC345}"/>
    <cellStyle name="Normal 2 4 2 3 8 2 3" xfId="13581" xr:uid="{FA2D472A-B17B-434C-AFA0-9331C11C8BFF}"/>
    <cellStyle name="Normal 2 4 2 3 8 2 3 2" xfId="32177" xr:uid="{382C7000-8001-41C2-9355-46613F879B93}"/>
    <cellStyle name="Normal 2 4 2 3 8 2 4" xfId="22880" xr:uid="{DC169657-518C-4419-8644-B8CDC94E3202}"/>
    <cellStyle name="Normal 2 4 2 3 8 3" xfId="6327" xr:uid="{00000000-0005-0000-0000-0000330F0000}"/>
    <cellStyle name="Normal 2 4 2 3 8 3 2" xfId="15653" xr:uid="{3A91FA6A-7333-4030-BDD0-F45BA6AA5044}"/>
    <cellStyle name="Normal 2 4 2 3 8 3 2 2" xfId="34249" xr:uid="{51FF179F-D390-49A7-B4C7-543D458F33A9}"/>
    <cellStyle name="Normal 2 4 2 3 8 3 3" xfId="24952" xr:uid="{95110541-472F-46B1-AB5B-E2CAB5E0211B}"/>
    <cellStyle name="Normal 2 4 2 3 8 4" xfId="11436" xr:uid="{D0435B1F-1798-4CFC-8153-2C3C34949C79}"/>
    <cellStyle name="Normal 2 4 2 3 8 4 2" xfId="30032" xr:uid="{9BB038EC-7196-4F8B-AE23-F97030529950}"/>
    <cellStyle name="Normal 2 4 2 3 8 5" xfId="20735" xr:uid="{F31A67DC-4DF0-4F72-B525-89471C8ADA57}"/>
    <cellStyle name="Normal 2 4 2 3 9" xfId="2457" xr:uid="{00000000-0005-0000-0000-0000340F0000}"/>
    <cellStyle name="Normal 2 4 2 3 9 2" xfId="6740" xr:uid="{00000000-0005-0000-0000-0000350F0000}"/>
    <cellStyle name="Normal 2 4 2 3 9 2 2" xfId="16066" xr:uid="{27B9DCE6-2508-47B8-820C-0E5959A656FF}"/>
    <cellStyle name="Normal 2 4 2 3 9 2 2 2" xfId="34662" xr:uid="{49F144BD-7A48-41B4-A75C-8324FA785B8C}"/>
    <cellStyle name="Normal 2 4 2 3 9 2 3" xfId="25365" xr:uid="{5CA30A88-D315-4711-A6FC-28D2D66AD26A}"/>
    <cellStyle name="Normal 2 4 2 3 9 3" xfId="11849" xr:uid="{4982FAE9-B9A8-4863-B063-5E3CDC926FFB}"/>
    <cellStyle name="Normal 2 4 2 3 9 3 2" xfId="30445" xr:uid="{E9B34C3A-79F4-48A7-98C4-6F0B8F49C495}"/>
    <cellStyle name="Normal 2 4 2 3 9 4" xfId="21148" xr:uid="{D2988941-FD64-46CE-A7F5-D27D57E561BB}"/>
    <cellStyle name="Normal 2 4 2 4" xfId="289" xr:uid="{00000000-0005-0000-0000-0000360F0000}"/>
    <cellStyle name="Normal 2 4 2 4 10" xfId="8812" xr:uid="{C2E08BA7-2068-4F74-AFE2-E0AED0B82FE2}"/>
    <cellStyle name="Normal 2 4 2 4 10 2" xfId="18136" xr:uid="{89D7D477-8CD8-4923-9D1B-3E02BCBD45EC}"/>
    <cellStyle name="Normal 2 4 2 4 10 2 2" xfId="36731" xr:uid="{8BA8820A-565E-46BB-9DFF-3614884B6147}"/>
    <cellStyle name="Normal 2 4 2 4 10 3" xfId="27434" xr:uid="{56CB4CD2-808A-43DA-A9B7-5C498717BA44}"/>
    <cellStyle name="Normal 2 4 2 4 11" xfId="9791" xr:uid="{2B648245-6FD8-43A1-8ED3-B946CBA0FFA1}"/>
    <cellStyle name="Normal 2 4 2 4 11 2" xfId="28387" xr:uid="{EBE2E5D5-7E92-4BFB-9674-E20ADF688A38}"/>
    <cellStyle name="Normal 2 4 2 4 12" xfId="19090" xr:uid="{A98C1D54-7DE8-4A97-9DDD-6F71F331CCD7}"/>
    <cellStyle name="Normal 2 4 2 4 2" xfId="290" xr:uid="{00000000-0005-0000-0000-0000370F0000}"/>
    <cellStyle name="Normal 2 4 2 4 2 10" xfId="9792" xr:uid="{8FFA14BC-A96B-4AE7-9ABC-DBACE6F0CF75}"/>
    <cellStyle name="Normal 2 4 2 4 2 10 2" xfId="28388" xr:uid="{FFB4AA0C-8328-4F29-93A3-76FC52CC1BBC}"/>
    <cellStyle name="Normal 2 4 2 4 2 11" xfId="19091" xr:uid="{DBD045F1-1262-4F44-A866-798EF8FCE6F1}"/>
    <cellStyle name="Normal 2 4 2 4 2 2" xfId="291" xr:uid="{00000000-0005-0000-0000-0000380F0000}"/>
    <cellStyle name="Normal 2 4 2 4 2 2 10" xfId="19092" xr:uid="{85EE9955-FBF1-4720-85EF-AD9AA8226E84}"/>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5613B986-8FB7-4D41-A5AF-FC5762CC2462}"/>
    <cellStyle name="Normal 2 4 2 4 2 2 2 2 2 2 2" xfId="35165" xr:uid="{99E7F314-6F38-4804-809D-9C8CFEE07898}"/>
    <cellStyle name="Normal 2 4 2 4 2 2 2 2 2 3" xfId="25868" xr:uid="{7872C978-026E-4698-A68F-D4E85A98107F}"/>
    <cellStyle name="Normal 2 4 2 4 2 2 2 2 3" xfId="12352" xr:uid="{5C1A764B-67D1-4B9E-AA48-13E7F9531305}"/>
    <cellStyle name="Normal 2 4 2 4 2 2 2 2 3 2" xfId="30948" xr:uid="{39FEF1C3-34F2-4FB3-A6FA-77A2BA7E645F}"/>
    <cellStyle name="Normal 2 4 2 4 2 2 2 2 4" xfId="21651" xr:uid="{F94DB868-8D62-4298-B575-3C74C08E8A37}"/>
    <cellStyle name="Normal 2 4 2 4 2 2 2 3" xfId="5098" xr:uid="{00000000-0005-0000-0000-00003C0F0000}"/>
    <cellStyle name="Normal 2 4 2 4 2 2 2 3 2" xfId="14424" xr:uid="{63B9DDB6-93A1-4F1D-A121-E4D409AEF171}"/>
    <cellStyle name="Normal 2 4 2 4 2 2 2 3 2 2" xfId="33020" xr:uid="{FAE1824D-4CEC-423B-AE8A-6F6744DEB7A3}"/>
    <cellStyle name="Normal 2 4 2 4 2 2 2 3 3" xfId="23723" xr:uid="{7A11D35D-43DA-416F-9725-9F7C601F4DCF}"/>
    <cellStyle name="Normal 2 4 2 4 2 2 2 4" xfId="9547" xr:uid="{F8909421-8B16-4168-8B85-A5523C430C3C}"/>
    <cellStyle name="Normal 2 4 2 4 2 2 2 4 2" xfId="18862" xr:uid="{91B1E56A-7101-4B38-B250-ADC504499532}"/>
    <cellStyle name="Normal 2 4 2 4 2 2 2 4 2 2" xfId="37456" xr:uid="{4407EEAF-F965-4C15-980E-A9A047204E20}"/>
    <cellStyle name="Normal 2 4 2 4 2 2 2 4 3" xfId="28159" xr:uid="{DDA0077B-8A01-4DA4-B4D2-99E47EE5CDBF}"/>
    <cellStyle name="Normal 2 4 2 4 2 2 2 5" xfId="10207" xr:uid="{825F7FB4-5290-4912-A9AF-B43D1C3C3559}"/>
    <cellStyle name="Normal 2 4 2 4 2 2 2 5 2" xfId="28803" xr:uid="{3A7CB749-2C3A-444C-9718-F62366A91A10}"/>
    <cellStyle name="Normal 2 4 2 4 2 2 2 6" xfId="19506" xr:uid="{6ABD913D-59BF-41B6-B792-BD23DC6F0E39}"/>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6058C008-6F0F-4084-8E89-0B073F4B7360}"/>
    <cellStyle name="Normal 2 4 2 4 2 2 3 2 2 2 2" xfId="35578" xr:uid="{F5716812-EF04-4886-AA18-B437B5D1D77C}"/>
    <cellStyle name="Normal 2 4 2 4 2 2 3 2 2 3" xfId="26281" xr:uid="{4D08CE35-1A27-4677-9264-7B0B5397D82B}"/>
    <cellStyle name="Normal 2 4 2 4 2 2 3 2 3" xfId="12765" xr:uid="{B3361117-BAA9-4A3E-9797-39003FD02E65}"/>
    <cellStyle name="Normal 2 4 2 4 2 2 3 2 3 2" xfId="31361" xr:uid="{10C10999-C9C9-4AC9-B7AA-7CC18A2EC0F9}"/>
    <cellStyle name="Normal 2 4 2 4 2 2 3 2 4" xfId="22064" xr:uid="{77CFF6B1-C3F3-4FED-995B-C289AEE6B80B}"/>
    <cellStyle name="Normal 2 4 2 4 2 2 3 3" xfId="5511" xr:uid="{00000000-0005-0000-0000-0000400F0000}"/>
    <cellStyle name="Normal 2 4 2 4 2 2 3 3 2" xfId="14837" xr:uid="{95742462-4809-45F4-B732-E68DA9DDBA77}"/>
    <cellStyle name="Normal 2 4 2 4 2 2 3 3 2 2" xfId="33433" xr:uid="{1312C8EC-D017-4130-ACEA-A552EAED168B}"/>
    <cellStyle name="Normal 2 4 2 4 2 2 3 3 3" xfId="24136" xr:uid="{A46FC9B6-111D-42DC-8D3F-59E3C8530AE9}"/>
    <cellStyle name="Normal 2 4 2 4 2 2 3 4" xfId="10620" xr:uid="{56031889-55BF-4702-9B20-23BCAD29A9EB}"/>
    <cellStyle name="Normal 2 4 2 4 2 2 3 4 2" xfId="29216" xr:uid="{89F18A87-0A76-49FA-BE3C-69CE7E11115B}"/>
    <cellStyle name="Normal 2 4 2 4 2 2 3 5" xfId="19919" xr:uid="{F10187C1-73A5-4D5F-B1A2-70183ECD4DB6}"/>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84C25A10-65F7-4D81-A87F-5B7F7F42B97E}"/>
    <cellStyle name="Normal 2 4 2 4 2 2 4 2 2 2 2" xfId="35991" xr:uid="{4BF098AD-8145-47CD-927D-0CF5F8F80852}"/>
    <cellStyle name="Normal 2 4 2 4 2 2 4 2 2 3" xfId="26694" xr:uid="{C539CEA6-51A5-49A7-B647-F636EBCB374C}"/>
    <cellStyle name="Normal 2 4 2 4 2 2 4 2 3" xfId="13178" xr:uid="{20757220-B466-49E3-B4A7-EA41B1D4D44A}"/>
    <cellStyle name="Normal 2 4 2 4 2 2 4 2 3 2" xfId="31774" xr:uid="{9D7CC8BF-1F57-497E-A2BD-E396804F9B9A}"/>
    <cellStyle name="Normal 2 4 2 4 2 2 4 2 4" xfId="22477" xr:uid="{69C306E8-9581-4FD7-95B3-78C10264A900}"/>
    <cellStyle name="Normal 2 4 2 4 2 2 4 3" xfId="5924" xr:uid="{00000000-0005-0000-0000-0000440F0000}"/>
    <cellStyle name="Normal 2 4 2 4 2 2 4 3 2" xfId="15250" xr:uid="{D7783C08-8CB1-445A-B1BA-2A0F85001687}"/>
    <cellStyle name="Normal 2 4 2 4 2 2 4 3 2 2" xfId="33846" xr:uid="{6231F4C9-ACDD-4E18-B866-74705DAB1D7D}"/>
    <cellStyle name="Normal 2 4 2 4 2 2 4 3 3" xfId="24549" xr:uid="{0319E401-B5C2-472F-9659-C74D6CD5D0C2}"/>
    <cellStyle name="Normal 2 4 2 4 2 2 4 4" xfId="11033" xr:uid="{DCBF58AB-189D-481A-B8F0-188F59DC37AF}"/>
    <cellStyle name="Normal 2 4 2 4 2 2 4 4 2" xfId="29629" xr:uid="{AB58E72E-39B6-4871-9C69-8441D0FA5F41}"/>
    <cellStyle name="Normal 2 4 2 4 2 2 4 5" xfId="20332" xr:uid="{68F14723-4BC7-4600-8E31-3BBA21DECC25}"/>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BECAF895-058A-4533-961D-799C28393F0A}"/>
    <cellStyle name="Normal 2 4 2 4 2 2 5 2 2 2 2" xfId="36404" xr:uid="{885EE4AE-A89B-4C47-9C65-3E2F0426F7EB}"/>
    <cellStyle name="Normal 2 4 2 4 2 2 5 2 2 3" xfId="27107" xr:uid="{E7AD05A3-3796-43E0-BBEA-A65506733411}"/>
    <cellStyle name="Normal 2 4 2 4 2 2 5 2 3" xfId="13591" xr:uid="{C161C9CA-ECBB-45F7-B5BC-48A65532026E}"/>
    <cellStyle name="Normal 2 4 2 4 2 2 5 2 3 2" xfId="32187" xr:uid="{2DB714CD-0C11-4F04-8877-1FD071F0F7E3}"/>
    <cellStyle name="Normal 2 4 2 4 2 2 5 2 4" xfId="22890" xr:uid="{89D3DE0F-473D-41FF-AD00-C39DC3686F9D}"/>
    <cellStyle name="Normal 2 4 2 4 2 2 5 3" xfId="6337" xr:uid="{00000000-0005-0000-0000-0000480F0000}"/>
    <cellStyle name="Normal 2 4 2 4 2 2 5 3 2" xfId="15663" xr:uid="{BE6BBCE4-4E55-4F7D-A096-E49C4EF982F3}"/>
    <cellStyle name="Normal 2 4 2 4 2 2 5 3 2 2" xfId="34259" xr:uid="{12653108-2D7E-485C-8E0A-040A2F92EC67}"/>
    <cellStyle name="Normal 2 4 2 4 2 2 5 3 3" xfId="24962" xr:uid="{F9CB70F1-E091-45F1-ABF0-85F66A9D1851}"/>
    <cellStyle name="Normal 2 4 2 4 2 2 5 4" xfId="11446" xr:uid="{4D43D9FF-9843-4388-AD13-7792B7B33718}"/>
    <cellStyle name="Normal 2 4 2 4 2 2 5 4 2" xfId="30042" xr:uid="{97900AC2-D34D-4873-9A12-8BCC8643F86E}"/>
    <cellStyle name="Normal 2 4 2 4 2 2 5 5" xfId="20745" xr:uid="{4C2DCFBC-BA6D-4E12-A90F-7DCAF0F97092}"/>
    <cellStyle name="Normal 2 4 2 4 2 2 6" xfId="2467" xr:uid="{00000000-0005-0000-0000-0000490F0000}"/>
    <cellStyle name="Normal 2 4 2 4 2 2 6 2" xfId="6750" xr:uid="{00000000-0005-0000-0000-00004A0F0000}"/>
    <cellStyle name="Normal 2 4 2 4 2 2 6 2 2" xfId="16076" xr:uid="{5A7642C4-8699-4E00-B111-5EED68739DF4}"/>
    <cellStyle name="Normal 2 4 2 4 2 2 6 2 2 2" xfId="34672" xr:uid="{4EADBD17-C9E7-4DE3-9746-EA3EC6706D08}"/>
    <cellStyle name="Normal 2 4 2 4 2 2 6 2 3" xfId="25375" xr:uid="{94BAC907-EBA1-4459-A8A5-172CD5EA8189}"/>
    <cellStyle name="Normal 2 4 2 4 2 2 6 3" xfId="11859" xr:uid="{FC64A24D-6F8C-4021-BC24-52375BABAADD}"/>
    <cellStyle name="Normal 2 4 2 4 2 2 6 3 2" xfId="30455" xr:uid="{DC303D16-43CB-49CD-8A11-D7DD5E519AAE}"/>
    <cellStyle name="Normal 2 4 2 4 2 2 6 4" xfId="21158" xr:uid="{C8628BD7-E1A5-453C-9809-FF7B2A4EE46D}"/>
    <cellStyle name="Normal 2 4 2 4 2 2 7" xfId="4684" xr:uid="{00000000-0005-0000-0000-00004B0F0000}"/>
    <cellStyle name="Normal 2 4 2 4 2 2 7 2" xfId="14010" xr:uid="{578FE390-D5CF-4464-9ED9-450ADBF260D3}"/>
    <cellStyle name="Normal 2 4 2 4 2 2 7 2 2" xfId="32606" xr:uid="{BE199115-0991-4587-A50A-BEC950F79FC6}"/>
    <cellStyle name="Normal 2 4 2 4 2 2 7 3" xfId="23309" xr:uid="{99206B65-CF5C-416E-9A01-4625E3EA3DFE}"/>
    <cellStyle name="Normal 2 4 2 4 2 2 8" xfId="9122" xr:uid="{861CB008-611F-4F3F-9D09-5BCA5A4CB255}"/>
    <cellStyle name="Normal 2 4 2 4 2 2 8 2" xfId="18446" xr:uid="{1C48AE82-4839-4F41-9D00-7BF9677E4002}"/>
    <cellStyle name="Normal 2 4 2 4 2 2 8 2 2" xfId="37041" xr:uid="{BDC48FA1-0711-4268-BFB6-F48F973E49D1}"/>
    <cellStyle name="Normal 2 4 2 4 2 2 8 3" xfId="27744" xr:uid="{59F7D560-6ADB-4CBC-BF26-D8BA13AE61EF}"/>
    <cellStyle name="Normal 2 4 2 4 2 2 9" xfId="9793" xr:uid="{CC60D72A-227C-42D6-8808-8D602DBF372D}"/>
    <cellStyle name="Normal 2 4 2 4 2 2 9 2" xfId="28389" xr:uid="{44F44E45-9F03-4BEE-B83D-2615A7D88AB3}"/>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25958CF6-9A25-4A07-A491-2888C0E19CDB}"/>
    <cellStyle name="Normal 2 4 2 4 2 3 2 2 2 2" xfId="35164" xr:uid="{1361E3F4-5308-4155-A0D8-D739FBBD180C}"/>
    <cellStyle name="Normal 2 4 2 4 2 3 2 2 3" xfId="25867" xr:uid="{180B23D3-A1D9-4D5A-95E7-2ABBEFB5BC34}"/>
    <cellStyle name="Normal 2 4 2 4 2 3 2 3" xfId="12351" xr:uid="{FF67F1D7-F5F8-4567-9A22-A710BCF4EA56}"/>
    <cellStyle name="Normal 2 4 2 4 2 3 2 3 2" xfId="30947" xr:uid="{3085ED43-291B-41B9-B353-349AF526DC68}"/>
    <cellStyle name="Normal 2 4 2 4 2 3 2 4" xfId="21650" xr:uid="{5F34EDD3-EF7F-465D-A470-0EA089C91FBA}"/>
    <cellStyle name="Normal 2 4 2 4 2 3 3" xfId="5097" xr:uid="{00000000-0005-0000-0000-00004F0F0000}"/>
    <cellStyle name="Normal 2 4 2 4 2 3 3 2" xfId="14423" xr:uid="{54AD6E02-E8D4-4013-8F9A-0AF14B536D1B}"/>
    <cellStyle name="Normal 2 4 2 4 2 3 3 2 2" xfId="33019" xr:uid="{FD931C40-1B8C-4FE3-8F52-F82E5655C60E}"/>
    <cellStyle name="Normal 2 4 2 4 2 3 3 3" xfId="23722" xr:uid="{7568C96D-91E1-4BD5-A0AD-6256032D3731}"/>
    <cellStyle name="Normal 2 4 2 4 2 3 4" xfId="9340" xr:uid="{2D1F2F91-F6E8-42AC-98D0-B8667E0ECE37}"/>
    <cellStyle name="Normal 2 4 2 4 2 3 4 2" xfId="18655" xr:uid="{9B368915-FA5E-435D-943A-4D801F07C3E4}"/>
    <cellStyle name="Normal 2 4 2 4 2 3 4 2 2" xfId="37249" xr:uid="{504EF2DB-BCFE-4AE1-A856-A6CE927DB23F}"/>
    <cellStyle name="Normal 2 4 2 4 2 3 4 3" xfId="27952" xr:uid="{2AA83077-E5F3-45F8-B975-29C2B9D0117E}"/>
    <cellStyle name="Normal 2 4 2 4 2 3 5" xfId="10206" xr:uid="{45A44E1A-1C23-4AFF-8FA0-BBA51A9AC7D5}"/>
    <cellStyle name="Normal 2 4 2 4 2 3 5 2" xfId="28802" xr:uid="{DDDEB67F-CCD8-4108-8A2E-CEA1A63777D7}"/>
    <cellStyle name="Normal 2 4 2 4 2 3 6" xfId="19505" xr:uid="{F6F8F54B-E988-45D8-957A-83050D675578}"/>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F141B28A-3848-4303-A052-58E3C4F057F8}"/>
    <cellStyle name="Normal 2 4 2 4 2 4 2 2 2 2" xfId="35577" xr:uid="{CCF80853-570F-4E3F-9C62-96C7F601EA2F}"/>
    <cellStyle name="Normal 2 4 2 4 2 4 2 2 3" xfId="26280" xr:uid="{CE8F8181-8933-47F7-86BB-272D2C8188F4}"/>
    <cellStyle name="Normal 2 4 2 4 2 4 2 3" xfId="12764" xr:uid="{2532DEDE-384D-4ABD-B6B2-E846261E65F6}"/>
    <cellStyle name="Normal 2 4 2 4 2 4 2 3 2" xfId="31360" xr:uid="{B8A2C24A-1B19-4E8B-B84B-66AC7996E5CA}"/>
    <cellStyle name="Normal 2 4 2 4 2 4 2 4" xfId="22063" xr:uid="{65920C5C-98C2-40CF-8D8A-B68C1867DCE6}"/>
    <cellStyle name="Normal 2 4 2 4 2 4 3" xfId="5510" xr:uid="{00000000-0005-0000-0000-0000530F0000}"/>
    <cellStyle name="Normal 2 4 2 4 2 4 3 2" xfId="14836" xr:uid="{18841EAD-B1F0-4374-B378-82D641B7AE6C}"/>
    <cellStyle name="Normal 2 4 2 4 2 4 3 2 2" xfId="33432" xr:uid="{0722C5EC-45DC-4FF0-AB40-B98537E0308F}"/>
    <cellStyle name="Normal 2 4 2 4 2 4 3 3" xfId="24135" xr:uid="{CCCFEAD5-ABCC-4377-A3A4-7BCAAB48039E}"/>
    <cellStyle name="Normal 2 4 2 4 2 4 4" xfId="10619" xr:uid="{015B175B-9423-44F9-A863-7E4ADDDD0637}"/>
    <cellStyle name="Normal 2 4 2 4 2 4 4 2" xfId="29215" xr:uid="{B64D6532-E50F-465A-9E34-1C5FD2FFD20F}"/>
    <cellStyle name="Normal 2 4 2 4 2 4 5" xfId="19918" xr:uid="{D76DB9A6-5F56-4E5A-9946-CC7FC593D7B2}"/>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4090E129-A4A9-4FF9-A8C9-84709F20F38B}"/>
    <cellStyle name="Normal 2 4 2 4 2 5 2 2 2 2" xfId="35990" xr:uid="{13A3D7A5-4DDE-419B-BF6C-5195C79DDB93}"/>
    <cellStyle name="Normal 2 4 2 4 2 5 2 2 3" xfId="26693" xr:uid="{E87F692A-8899-4E65-ADD2-5DED880EC174}"/>
    <cellStyle name="Normal 2 4 2 4 2 5 2 3" xfId="13177" xr:uid="{E04C459E-EB21-4BB5-8401-097E8E2B2A68}"/>
    <cellStyle name="Normal 2 4 2 4 2 5 2 3 2" xfId="31773" xr:uid="{41D89775-7E9A-4B7D-9536-49D749D01F19}"/>
    <cellStyle name="Normal 2 4 2 4 2 5 2 4" xfId="22476" xr:uid="{855C45DC-2267-44AA-82B5-D31DB5634848}"/>
    <cellStyle name="Normal 2 4 2 4 2 5 3" xfId="5923" xr:uid="{00000000-0005-0000-0000-0000570F0000}"/>
    <cellStyle name="Normal 2 4 2 4 2 5 3 2" xfId="15249" xr:uid="{B2425B10-D866-4492-94FC-52D3287A8FB0}"/>
    <cellStyle name="Normal 2 4 2 4 2 5 3 2 2" xfId="33845" xr:uid="{840B226E-DB2A-4AE7-ACC7-7E01E167841A}"/>
    <cellStyle name="Normal 2 4 2 4 2 5 3 3" xfId="24548" xr:uid="{DBB50E85-6606-4196-8AFA-DE88DF863D1A}"/>
    <cellStyle name="Normal 2 4 2 4 2 5 4" xfId="11032" xr:uid="{2D2AFDE3-8B18-4622-9446-D049F806DE22}"/>
    <cellStyle name="Normal 2 4 2 4 2 5 4 2" xfId="29628" xr:uid="{00F6341B-888A-4CE3-8FD3-9F29B78C0179}"/>
    <cellStyle name="Normal 2 4 2 4 2 5 5" xfId="20331" xr:uid="{8154EEB9-3456-4AC0-B009-B0BCE452F105}"/>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0B5A9B89-7ED0-40D0-8DB1-287A3ED20569}"/>
    <cellStyle name="Normal 2 4 2 4 2 6 2 2 2 2" xfId="36403" xr:uid="{72DD34E4-0A06-4C0A-9E78-4810A4F0DE50}"/>
    <cellStyle name="Normal 2 4 2 4 2 6 2 2 3" xfId="27106" xr:uid="{CB8E5DA8-0F7C-44A7-BB3A-88CAB18CB8ED}"/>
    <cellStyle name="Normal 2 4 2 4 2 6 2 3" xfId="13590" xr:uid="{24D9ECA8-DA12-4E8A-AF77-AC335E5C5BF6}"/>
    <cellStyle name="Normal 2 4 2 4 2 6 2 3 2" xfId="32186" xr:uid="{E0241B99-1D78-4654-AA12-43622A90858F}"/>
    <cellStyle name="Normal 2 4 2 4 2 6 2 4" xfId="22889" xr:uid="{7FA227A9-E5F4-4A58-AB52-582AA77C791F}"/>
    <cellStyle name="Normal 2 4 2 4 2 6 3" xfId="6336" xr:uid="{00000000-0005-0000-0000-00005B0F0000}"/>
    <cellStyle name="Normal 2 4 2 4 2 6 3 2" xfId="15662" xr:uid="{0C9C0301-924D-4E3B-A312-F45BCDF099ED}"/>
    <cellStyle name="Normal 2 4 2 4 2 6 3 2 2" xfId="34258" xr:uid="{85C143CE-76D5-4CE5-A4E4-67F49A50EB0F}"/>
    <cellStyle name="Normal 2 4 2 4 2 6 3 3" xfId="24961" xr:uid="{8427E8D6-5D2A-4F01-8DB0-88EA80D24D53}"/>
    <cellStyle name="Normal 2 4 2 4 2 6 4" xfId="11445" xr:uid="{36FF9FEF-09EF-40B1-8D05-AE0799CC2F59}"/>
    <cellStyle name="Normal 2 4 2 4 2 6 4 2" xfId="30041" xr:uid="{A32963DA-E9F6-4E9E-83B3-F0348AB2D6FD}"/>
    <cellStyle name="Normal 2 4 2 4 2 6 5" xfId="20744" xr:uid="{3BD35D02-A921-4316-8752-A87C2DF06EB8}"/>
    <cellStyle name="Normal 2 4 2 4 2 7" xfId="2466" xr:uid="{00000000-0005-0000-0000-00005C0F0000}"/>
    <cellStyle name="Normal 2 4 2 4 2 7 2" xfId="6749" xr:uid="{00000000-0005-0000-0000-00005D0F0000}"/>
    <cellStyle name="Normal 2 4 2 4 2 7 2 2" xfId="16075" xr:uid="{5AEC772E-2C64-4CA6-8E41-FD6AC5947D83}"/>
    <cellStyle name="Normal 2 4 2 4 2 7 2 2 2" xfId="34671" xr:uid="{A8B2736B-74FB-401C-A6B2-D644E9A64C67}"/>
    <cellStyle name="Normal 2 4 2 4 2 7 2 3" xfId="25374" xr:uid="{CF87C0F9-7759-4A4C-854B-5F4718C9F931}"/>
    <cellStyle name="Normal 2 4 2 4 2 7 3" xfId="11858" xr:uid="{FB8CB758-2E62-40D0-9348-4D030D3C3F1E}"/>
    <cellStyle name="Normal 2 4 2 4 2 7 3 2" xfId="30454" xr:uid="{8D9A5746-6C0F-4EEA-8F4F-873195121FC8}"/>
    <cellStyle name="Normal 2 4 2 4 2 7 4" xfId="21157" xr:uid="{2BE2547F-4294-49E9-A424-74187AF9E14A}"/>
    <cellStyle name="Normal 2 4 2 4 2 8" xfId="4683" xr:uid="{00000000-0005-0000-0000-00005E0F0000}"/>
    <cellStyle name="Normal 2 4 2 4 2 8 2" xfId="14009" xr:uid="{D023C00C-EB18-4DAB-9D44-1647B79E9F62}"/>
    <cellStyle name="Normal 2 4 2 4 2 8 2 2" xfId="32605" xr:uid="{7ABEDC9A-73C5-46C2-A1BB-40C13068D6C7}"/>
    <cellStyle name="Normal 2 4 2 4 2 8 3" xfId="23308" xr:uid="{E3E2A7C1-3089-4D1F-A433-284ACF42FD3C}"/>
    <cellStyle name="Normal 2 4 2 4 2 9" xfId="8915" xr:uid="{2BEB15AA-2AFA-47D4-AC0E-63DAF2CFE119}"/>
    <cellStyle name="Normal 2 4 2 4 2 9 2" xfId="18239" xr:uid="{7EBBAAFC-6365-4086-8A3A-24A199293DBC}"/>
    <cellStyle name="Normal 2 4 2 4 2 9 2 2" xfId="36834" xr:uid="{2C7D158E-5816-451E-90C6-B0178FD3012C}"/>
    <cellStyle name="Normal 2 4 2 4 2 9 3" xfId="27537" xr:uid="{61810B3E-6548-4132-87A5-F8DB662FA5EC}"/>
    <cellStyle name="Normal 2 4 2 4 3" xfId="292" xr:uid="{00000000-0005-0000-0000-00005F0F0000}"/>
    <cellStyle name="Normal 2 4 2 4 3 10" xfId="19093" xr:uid="{F7501798-551A-4C73-AC2E-7C2A0B3ED393}"/>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4A606A42-F551-46E4-844F-C92083590DAF}"/>
    <cellStyle name="Normal 2 4 2 4 3 2 2 2 2 2" xfId="35166" xr:uid="{34409177-272B-44D3-9E75-4406BAC27268}"/>
    <cellStyle name="Normal 2 4 2 4 3 2 2 2 3" xfId="25869" xr:uid="{AA06CD92-A4AD-417E-AC64-4AC700732937}"/>
    <cellStyle name="Normal 2 4 2 4 3 2 2 3" xfId="12353" xr:uid="{895FA084-6AAB-4E02-B288-BAD29950AEE7}"/>
    <cellStyle name="Normal 2 4 2 4 3 2 2 3 2" xfId="30949" xr:uid="{CFB3AD61-70FA-4C7E-AB1F-CA4708E85AAA}"/>
    <cellStyle name="Normal 2 4 2 4 3 2 2 4" xfId="21652" xr:uid="{42CEB600-12EF-49EC-996D-261B941F608D}"/>
    <cellStyle name="Normal 2 4 2 4 3 2 3" xfId="5099" xr:uid="{00000000-0005-0000-0000-0000630F0000}"/>
    <cellStyle name="Normal 2 4 2 4 3 2 3 2" xfId="14425" xr:uid="{9272FB53-6CCC-492D-A593-02EB6F2A6A81}"/>
    <cellStyle name="Normal 2 4 2 4 3 2 3 2 2" xfId="33021" xr:uid="{72E36038-8EF3-45AB-A3B2-952E414CFB03}"/>
    <cellStyle name="Normal 2 4 2 4 3 2 3 3" xfId="23724" xr:uid="{5FEBB588-6CF0-46B8-9E16-54D26B91C5F2}"/>
    <cellStyle name="Normal 2 4 2 4 3 2 4" xfId="9444" xr:uid="{807939DF-E7C0-4015-A3D8-AE9E56020172}"/>
    <cellStyle name="Normal 2 4 2 4 3 2 4 2" xfId="18759" xr:uid="{D38299E1-A350-411C-9A4F-9A97FB50937A}"/>
    <cellStyle name="Normal 2 4 2 4 3 2 4 2 2" xfId="37353" xr:uid="{6546105E-00E8-409D-8321-A220500F23E3}"/>
    <cellStyle name="Normal 2 4 2 4 3 2 4 3" xfId="28056" xr:uid="{7ECCC14E-D145-48F3-87C6-4127D5C0E52F}"/>
    <cellStyle name="Normal 2 4 2 4 3 2 5" xfId="10208" xr:uid="{190203F6-64A7-4629-9815-D85BA8EFD865}"/>
    <cellStyle name="Normal 2 4 2 4 3 2 5 2" xfId="28804" xr:uid="{1329B3C6-7A8E-4EB6-A238-1B0DEF075253}"/>
    <cellStyle name="Normal 2 4 2 4 3 2 6" xfId="19507" xr:uid="{A153BB01-2B48-4279-A83C-41CAD7346E91}"/>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5F0FD445-7411-4D16-80A7-9BDEEAC03811}"/>
    <cellStyle name="Normal 2 4 2 4 3 3 2 2 2 2" xfId="35579" xr:uid="{B0196D4D-9783-4729-A46B-1102B3657655}"/>
    <cellStyle name="Normal 2 4 2 4 3 3 2 2 3" xfId="26282" xr:uid="{A501B645-5377-46F8-9325-84973EC84583}"/>
    <cellStyle name="Normal 2 4 2 4 3 3 2 3" xfId="12766" xr:uid="{955DB983-8FE7-4CAA-BCAE-52497DAE6CE1}"/>
    <cellStyle name="Normal 2 4 2 4 3 3 2 3 2" xfId="31362" xr:uid="{99839E6D-7BA8-418F-A471-6593CF9FB477}"/>
    <cellStyle name="Normal 2 4 2 4 3 3 2 4" xfId="22065" xr:uid="{4B2642FC-8809-47E1-A920-79B62481C8BC}"/>
    <cellStyle name="Normal 2 4 2 4 3 3 3" xfId="5512" xr:uid="{00000000-0005-0000-0000-0000670F0000}"/>
    <cellStyle name="Normal 2 4 2 4 3 3 3 2" xfId="14838" xr:uid="{313E9DE5-E972-47D6-B9B4-52585327DDC0}"/>
    <cellStyle name="Normal 2 4 2 4 3 3 3 2 2" xfId="33434" xr:uid="{55C36DCC-3651-47F0-A119-0A65B23B4321}"/>
    <cellStyle name="Normal 2 4 2 4 3 3 3 3" xfId="24137" xr:uid="{82B93318-F1F6-4251-85CF-F521F09DBB58}"/>
    <cellStyle name="Normal 2 4 2 4 3 3 4" xfId="10621" xr:uid="{E8437C66-264D-48E8-8116-57D37517615D}"/>
    <cellStyle name="Normal 2 4 2 4 3 3 4 2" xfId="29217" xr:uid="{00D9DDE4-52C4-4B4E-8B8B-841E7B7E1549}"/>
    <cellStyle name="Normal 2 4 2 4 3 3 5" xfId="19920" xr:uid="{48A61593-7092-4979-AD67-3E6001DE464F}"/>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22E25D20-F12F-4ECB-B043-7D1862D6ACFA}"/>
    <cellStyle name="Normal 2 4 2 4 3 4 2 2 2 2" xfId="35992" xr:uid="{0952A28D-3382-463C-A326-6D83FA5F8802}"/>
    <cellStyle name="Normal 2 4 2 4 3 4 2 2 3" xfId="26695" xr:uid="{229CB44B-F8F0-4D90-A629-E2E06076EDCB}"/>
    <cellStyle name="Normal 2 4 2 4 3 4 2 3" xfId="13179" xr:uid="{6DF3274A-EBA8-4F45-A543-C76FFA4DB36C}"/>
    <cellStyle name="Normal 2 4 2 4 3 4 2 3 2" xfId="31775" xr:uid="{2F21A775-E6AE-4204-9774-789A2B1167FB}"/>
    <cellStyle name="Normal 2 4 2 4 3 4 2 4" xfId="22478" xr:uid="{80FFB79B-0552-4864-BADF-CAC4AC84F711}"/>
    <cellStyle name="Normal 2 4 2 4 3 4 3" xfId="5925" xr:uid="{00000000-0005-0000-0000-00006B0F0000}"/>
    <cellStyle name="Normal 2 4 2 4 3 4 3 2" xfId="15251" xr:uid="{7B08E4D9-B260-48B9-AD80-45BF8ACF195B}"/>
    <cellStyle name="Normal 2 4 2 4 3 4 3 2 2" xfId="33847" xr:uid="{B6A846A8-AF1A-48B6-8A71-E49639201F7E}"/>
    <cellStyle name="Normal 2 4 2 4 3 4 3 3" xfId="24550" xr:uid="{6D30511E-C3FD-4182-854B-F52C3B0CA21E}"/>
    <cellStyle name="Normal 2 4 2 4 3 4 4" xfId="11034" xr:uid="{A0120DDE-39A2-4F06-A0C8-C2A47513D24D}"/>
    <cellStyle name="Normal 2 4 2 4 3 4 4 2" xfId="29630" xr:uid="{A1711B0C-0139-444A-A482-DC7D8C65E981}"/>
    <cellStyle name="Normal 2 4 2 4 3 4 5" xfId="20333" xr:uid="{7218BD28-E49C-4DB0-8799-571FFA517DDC}"/>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E998D19F-796D-4D86-BFEE-E003F2137EB4}"/>
    <cellStyle name="Normal 2 4 2 4 3 5 2 2 2 2" xfId="36405" xr:uid="{627A7B80-238D-452F-9B0C-6C8E56715258}"/>
    <cellStyle name="Normal 2 4 2 4 3 5 2 2 3" xfId="27108" xr:uid="{8FE90D17-C673-4364-AE36-639AF8760CF9}"/>
    <cellStyle name="Normal 2 4 2 4 3 5 2 3" xfId="13592" xr:uid="{D05500DA-E680-4FF2-8E1F-D21AD84E18B2}"/>
    <cellStyle name="Normal 2 4 2 4 3 5 2 3 2" xfId="32188" xr:uid="{8AEAF6D9-7424-405B-9515-9036E3E53AD4}"/>
    <cellStyle name="Normal 2 4 2 4 3 5 2 4" xfId="22891" xr:uid="{2E2D3054-FBD8-47E6-B25B-50085DF7869E}"/>
    <cellStyle name="Normal 2 4 2 4 3 5 3" xfId="6338" xr:uid="{00000000-0005-0000-0000-00006F0F0000}"/>
    <cellStyle name="Normal 2 4 2 4 3 5 3 2" xfId="15664" xr:uid="{AF4B1CCF-B9C4-46B4-95AD-1073A8790A56}"/>
    <cellStyle name="Normal 2 4 2 4 3 5 3 2 2" xfId="34260" xr:uid="{7A959625-E6C5-4B9C-93E0-2C8A24C7F3EC}"/>
    <cellStyle name="Normal 2 4 2 4 3 5 3 3" xfId="24963" xr:uid="{E11CEAB1-D729-4604-894D-93B7020CD3E9}"/>
    <cellStyle name="Normal 2 4 2 4 3 5 4" xfId="11447" xr:uid="{A8E10EBB-AF48-4A44-9CFC-2475B932D750}"/>
    <cellStyle name="Normal 2 4 2 4 3 5 4 2" xfId="30043" xr:uid="{1D10FB09-62C0-4D16-973E-903E3A9587EF}"/>
    <cellStyle name="Normal 2 4 2 4 3 5 5" xfId="20746" xr:uid="{DB38C3C2-2378-4B77-905A-24CAF2842246}"/>
    <cellStyle name="Normal 2 4 2 4 3 6" xfId="2468" xr:uid="{00000000-0005-0000-0000-0000700F0000}"/>
    <cellStyle name="Normal 2 4 2 4 3 6 2" xfId="6751" xr:uid="{00000000-0005-0000-0000-0000710F0000}"/>
    <cellStyle name="Normal 2 4 2 4 3 6 2 2" xfId="16077" xr:uid="{18AEBF28-E4BE-4475-AA9C-819A78B68E2D}"/>
    <cellStyle name="Normal 2 4 2 4 3 6 2 2 2" xfId="34673" xr:uid="{E6310670-C40D-4817-9E92-AFB1F967190B}"/>
    <cellStyle name="Normal 2 4 2 4 3 6 2 3" xfId="25376" xr:uid="{5E6A9146-59BB-4A1D-876F-9763EDEE9E7E}"/>
    <cellStyle name="Normal 2 4 2 4 3 6 3" xfId="11860" xr:uid="{F8986864-5F75-4A2A-BC09-1B85000337A4}"/>
    <cellStyle name="Normal 2 4 2 4 3 6 3 2" xfId="30456" xr:uid="{1AD10804-6EAE-40E0-BB96-9E2965FDED62}"/>
    <cellStyle name="Normal 2 4 2 4 3 6 4" xfId="21159" xr:uid="{9ADDE412-DD59-4A86-9401-26A6AECD4EC7}"/>
    <cellStyle name="Normal 2 4 2 4 3 7" xfId="4685" xr:uid="{00000000-0005-0000-0000-0000720F0000}"/>
    <cellStyle name="Normal 2 4 2 4 3 7 2" xfId="14011" xr:uid="{3BBE4D83-2CE6-4287-8E73-96C68025B693}"/>
    <cellStyle name="Normal 2 4 2 4 3 7 2 2" xfId="32607" xr:uid="{892FC8A3-D032-47B3-B99E-BF5B1557CA09}"/>
    <cellStyle name="Normal 2 4 2 4 3 7 3" xfId="23310" xr:uid="{C933D3AE-2B72-441A-B6BF-182CF763CB33}"/>
    <cellStyle name="Normal 2 4 2 4 3 8" xfId="9019" xr:uid="{1F22810F-FF7D-4FF4-861A-F2BA8F253428}"/>
    <cellStyle name="Normal 2 4 2 4 3 8 2" xfId="18343" xr:uid="{020FAC58-A1C1-4429-AE73-E1947360A796}"/>
    <cellStyle name="Normal 2 4 2 4 3 8 2 2" xfId="36938" xr:uid="{B3125AAA-729E-4973-8CB6-0335B7947204}"/>
    <cellStyle name="Normal 2 4 2 4 3 8 3" xfId="27641" xr:uid="{E0D8DEF1-85E1-473A-BFD9-748D50D40470}"/>
    <cellStyle name="Normal 2 4 2 4 3 9" xfId="9794" xr:uid="{755F8DC7-EDE6-4883-999B-6AB33FA4B936}"/>
    <cellStyle name="Normal 2 4 2 4 3 9 2" xfId="28390" xr:uid="{16D160F3-EAD6-4B6D-920F-69D3F769608D}"/>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92BEEB63-A1E6-48A1-A803-EFD996B57699}"/>
    <cellStyle name="Normal 2 4 2 4 4 2 2 2 2" xfId="35163" xr:uid="{82A381A0-79A9-45CE-B080-7CD4FD3E0A81}"/>
    <cellStyle name="Normal 2 4 2 4 4 2 2 3" xfId="25866" xr:uid="{5BB71D1D-7E75-4E9E-82DC-5CF0E9F74C1F}"/>
    <cellStyle name="Normal 2 4 2 4 4 2 3" xfId="12350" xr:uid="{36681601-4FDD-45DE-BE1F-C3387F582EBF}"/>
    <cellStyle name="Normal 2 4 2 4 4 2 3 2" xfId="30946" xr:uid="{FCF5A312-AF35-4570-A372-F2B837A92C5B}"/>
    <cellStyle name="Normal 2 4 2 4 4 2 4" xfId="21649" xr:uid="{3E0B7479-02EC-4C52-9E67-65D0C42998AB}"/>
    <cellStyle name="Normal 2 4 2 4 4 3" xfId="5096" xr:uid="{00000000-0005-0000-0000-0000760F0000}"/>
    <cellStyle name="Normal 2 4 2 4 4 3 2" xfId="14422" xr:uid="{776C1A01-C956-4D8D-9FA2-D781BA74DA31}"/>
    <cellStyle name="Normal 2 4 2 4 4 3 2 2" xfId="33018" xr:uid="{D9BCA7B2-72F4-4519-B86D-278B12B74C95}"/>
    <cellStyle name="Normal 2 4 2 4 4 3 3" xfId="23721" xr:uid="{BA3B7466-BD5B-4418-9447-9621A528CE8E}"/>
    <cellStyle name="Normal 2 4 2 4 4 4" xfId="9237" xr:uid="{FF4B133D-A40B-4895-9E3D-E727B18E66C8}"/>
    <cellStyle name="Normal 2 4 2 4 4 4 2" xfId="18552" xr:uid="{B9ED8A78-0CA2-4965-A222-D83B3390D3F1}"/>
    <cellStyle name="Normal 2 4 2 4 4 4 2 2" xfId="37146" xr:uid="{E2C6CF1A-C39C-48F7-8DE8-D7BFEAAC2BD7}"/>
    <cellStyle name="Normal 2 4 2 4 4 4 3" xfId="27849" xr:uid="{5E8BDF0E-3F5E-4411-88EF-E73F03DE65AC}"/>
    <cellStyle name="Normal 2 4 2 4 4 5" xfId="10205" xr:uid="{A7815FD6-57AC-4AD4-9E38-5906BA7FCD27}"/>
    <cellStyle name="Normal 2 4 2 4 4 5 2" xfId="28801" xr:uid="{8206DF20-02DA-41D2-99AB-3FDF47CDCD3B}"/>
    <cellStyle name="Normal 2 4 2 4 4 6" xfId="19504" xr:uid="{4564E068-1022-4856-9EBF-F8D2BAB714F5}"/>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F2E44FDA-3BEF-4CCD-B82D-8ED1CDAE968D}"/>
    <cellStyle name="Normal 2 4 2 4 5 2 2 2 2" xfId="35576" xr:uid="{9673FBA5-708E-47DC-B2FD-E58B2E4A1715}"/>
    <cellStyle name="Normal 2 4 2 4 5 2 2 3" xfId="26279" xr:uid="{DE42CBCB-7B49-4DE8-BFA8-744284EEBB11}"/>
    <cellStyle name="Normal 2 4 2 4 5 2 3" xfId="12763" xr:uid="{AD14EF6A-AAC1-4FF5-BBF8-8A1936DBEF3B}"/>
    <cellStyle name="Normal 2 4 2 4 5 2 3 2" xfId="31359" xr:uid="{6BE6D2F6-E3FE-47DE-99C6-6FAC98514E60}"/>
    <cellStyle name="Normal 2 4 2 4 5 2 4" xfId="22062" xr:uid="{636F2C83-379A-40EA-9D67-D9C72049DB3C}"/>
    <cellStyle name="Normal 2 4 2 4 5 3" xfId="5509" xr:uid="{00000000-0005-0000-0000-00007A0F0000}"/>
    <cellStyle name="Normal 2 4 2 4 5 3 2" xfId="14835" xr:uid="{79B7BE7B-7429-4FAC-B85A-311DC7EEFFFA}"/>
    <cellStyle name="Normal 2 4 2 4 5 3 2 2" xfId="33431" xr:uid="{75E09435-0F9E-41BD-B0CC-AF71D932AF66}"/>
    <cellStyle name="Normal 2 4 2 4 5 3 3" xfId="24134" xr:uid="{16A548D1-DA0F-46BA-A5E1-A0199E4FD624}"/>
    <cellStyle name="Normal 2 4 2 4 5 4" xfId="10618" xr:uid="{634BB3B1-A9D0-44BF-A1DE-26DA5427910D}"/>
    <cellStyle name="Normal 2 4 2 4 5 4 2" xfId="29214" xr:uid="{969869A8-2395-4C90-ACA3-1138EDBC9739}"/>
    <cellStyle name="Normal 2 4 2 4 5 5" xfId="19917" xr:uid="{5A9C212D-5580-4D15-BE0A-D449ED2EA83D}"/>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42CD8E44-6021-4454-985B-56077A1B0F37}"/>
    <cellStyle name="Normal 2 4 2 4 6 2 2 2 2" xfId="35989" xr:uid="{FED903C5-D43B-487A-BDD7-DDDE10D1D4CD}"/>
    <cellStyle name="Normal 2 4 2 4 6 2 2 3" xfId="26692" xr:uid="{2B3429F2-12C1-42F7-A830-E27A42288C9A}"/>
    <cellStyle name="Normal 2 4 2 4 6 2 3" xfId="13176" xr:uid="{0C1A2DD5-1E67-4996-8D63-0FD04FCC83EF}"/>
    <cellStyle name="Normal 2 4 2 4 6 2 3 2" xfId="31772" xr:uid="{39E19E04-2FC8-4277-A0FB-417E410E67A6}"/>
    <cellStyle name="Normal 2 4 2 4 6 2 4" xfId="22475" xr:uid="{9953AD8E-CD64-4D4B-A0CB-1AE47A1DEF04}"/>
    <cellStyle name="Normal 2 4 2 4 6 3" xfId="5922" xr:uid="{00000000-0005-0000-0000-00007E0F0000}"/>
    <cellStyle name="Normal 2 4 2 4 6 3 2" xfId="15248" xr:uid="{B20706B4-0EF8-46E4-9A33-E9411848A2C2}"/>
    <cellStyle name="Normal 2 4 2 4 6 3 2 2" xfId="33844" xr:uid="{AD74232E-212B-40C8-9238-6B9D74D9C34E}"/>
    <cellStyle name="Normal 2 4 2 4 6 3 3" xfId="24547" xr:uid="{30A48DA8-DEE3-4BC9-844B-4CCF69E4B649}"/>
    <cellStyle name="Normal 2 4 2 4 6 4" xfId="11031" xr:uid="{98468953-D27E-4C5A-9EB2-44FED5F6FD19}"/>
    <cellStyle name="Normal 2 4 2 4 6 4 2" xfId="29627" xr:uid="{47E2B340-96C9-4DDA-A15F-3FC73240157D}"/>
    <cellStyle name="Normal 2 4 2 4 6 5" xfId="20330" xr:uid="{D3ABAA97-3BD3-4434-9FB4-5D3B1FC8FF41}"/>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8655138F-78E1-46BC-BAF4-FDE2F2F2986F}"/>
    <cellStyle name="Normal 2 4 2 4 7 2 2 2 2" xfId="36402" xr:uid="{D75B07A3-8769-4221-AED8-C11262CFA9F7}"/>
    <cellStyle name="Normal 2 4 2 4 7 2 2 3" xfId="27105" xr:uid="{7BEB8F3A-F920-499E-A396-FD329961BA07}"/>
    <cellStyle name="Normal 2 4 2 4 7 2 3" xfId="13589" xr:uid="{896767A8-E095-4437-928F-5E3428F7A334}"/>
    <cellStyle name="Normal 2 4 2 4 7 2 3 2" xfId="32185" xr:uid="{B0625CA5-033A-4325-9822-2B8A0DEE2A66}"/>
    <cellStyle name="Normal 2 4 2 4 7 2 4" xfId="22888" xr:uid="{BEBC58F1-6F7E-45CE-955B-7CCB6206966E}"/>
    <cellStyle name="Normal 2 4 2 4 7 3" xfId="6335" xr:uid="{00000000-0005-0000-0000-0000820F0000}"/>
    <cellStyle name="Normal 2 4 2 4 7 3 2" xfId="15661" xr:uid="{E3777FAF-C25E-4B58-B7BA-A9AAE3DB0ACD}"/>
    <cellStyle name="Normal 2 4 2 4 7 3 2 2" xfId="34257" xr:uid="{9861DB77-E0F4-4FDC-897E-D1E6B411AC28}"/>
    <cellStyle name="Normal 2 4 2 4 7 3 3" xfId="24960" xr:uid="{15D2628D-BFAD-4D0D-B8E7-DB75858134E8}"/>
    <cellStyle name="Normal 2 4 2 4 7 4" xfId="11444" xr:uid="{3C640473-C0F8-45E5-8D9B-22D873F8BE9B}"/>
    <cellStyle name="Normal 2 4 2 4 7 4 2" xfId="30040" xr:uid="{D2E04791-C3B4-4F2E-8D3E-85A576AB7018}"/>
    <cellStyle name="Normal 2 4 2 4 7 5" xfId="20743" xr:uid="{19DBABBA-37C6-4D66-8ABE-42B1D8BEB8B6}"/>
    <cellStyle name="Normal 2 4 2 4 8" xfId="2465" xr:uid="{00000000-0005-0000-0000-0000830F0000}"/>
    <cellStyle name="Normal 2 4 2 4 8 2" xfId="6748" xr:uid="{00000000-0005-0000-0000-0000840F0000}"/>
    <cellStyle name="Normal 2 4 2 4 8 2 2" xfId="16074" xr:uid="{35FF22B6-FEAA-4A8A-A52E-A65A28921756}"/>
    <cellStyle name="Normal 2 4 2 4 8 2 2 2" xfId="34670" xr:uid="{CB9883A4-DB07-4EDC-9990-7FC2E852A0D7}"/>
    <cellStyle name="Normal 2 4 2 4 8 2 3" xfId="25373" xr:uid="{5FE00CA7-3C3A-4B97-8B58-621AC3A777BB}"/>
    <cellStyle name="Normal 2 4 2 4 8 3" xfId="11857" xr:uid="{20E4849E-8B67-4CAB-9A68-4EAAB3A8C596}"/>
    <cellStyle name="Normal 2 4 2 4 8 3 2" xfId="30453" xr:uid="{6270A21C-FBBC-481C-9063-DEB55FCB8F82}"/>
    <cellStyle name="Normal 2 4 2 4 8 4" xfId="21156" xr:uid="{D3CA37DB-6953-4EE0-8B11-AC72B0840D83}"/>
    <cellStyle name="Normal 2 4 2 4 9" xfId="4682" xr:uid="{00000000-0005-0000-0000-0000850F0000}"/>
    <cellStyle name="Normal 2 4 2 4 9 2" xfId="14008" xr:uid="{AB30CF4E-E217-44FA-8457-9552EDD6951F}"/>
    <cellStyle name="Normal 2 4 2 4 9 2 2" xfId="32604" xr:uid="{59572432-368A-4EDB-A040-24C54E659C05}"/>
    <cellStyle name="Normal 2 4 2 4 9 3" xfId="23307" xr:uid="{D733D439-6D32-4AD7-93E1-B1CA6032B950}"/>
    <cellStyle name="Normal 2 4 2 5" xfId="293" xr:uid="{00000000-0005-0000-0000-0000860F0000}"/>
    <cellStyle name="Normal 2 4 2 5 10" xfId="9795" xr:uid="{99007755-31C3-4558-8328-A82D57768814}"/>
    <cellStyle name="Normal 2 4 2 5 10 2" xfId="28391" xr:uid="{05DD0E3A-D2F5-445F-A2EE-04ED6E4C29F7}"/>
    <cellStyle name="Normal 2 4 2 5 11" xfId="19094" xr:uid="{55C28BD2-1EE7-4572-B5FB-0DA999382F36}"/>
    <cellStyle name="Normal 2 4 2 5 2" xfId="294" xr:uid="{00000000-0005-0000-0000-0000870F0000}"/>
    <cellStyle name="Normal 2 4 2 5 2 10" xfId="19095" xr:uid="{147C649B-B603-4049-8947-8C139DF8D25D}"/>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B494DFAF-9D8D-4D97-9EAF-28DF1B488B64}"/>
    <cellStyle name="Normal 2 4 2 5 2 2 2 2 2 2" xfId="35168" xr:uid="{D39B1BBF-E3D3-41BD-AB9F-2BD57AE86D7C}"/>
    <cellStyle name="Normal 2 4 2 5 2 2 2 2 3" xfId="25871" xr:uid="{5C554237-6B1D-425E-8E48-4F125469706D}"/>
    <cellStyle name="Normal 2 4 2 5 2 2 2 3" xfId="12355" xr:uid="{9C2269F0-3492-43F7-AA61-ABAA0B03CDA8}"/>
    <cellStyle name="Normal 2 4 2 5 2 2 2 3 2" xfId="30951" xr:uid="{5FE665BE-EFBE-4FA6-8CF2-76A96652AFA1}"/>
    <cellStyle name="Normal 2 4 2 5 2 2 2 4" xfId="21654" xr:uid="{66508AB9-96AF-42AF-8050-59E2820780EB}"/>
    <cellStyle name="Normal 2 4 2 5 2 2 3" xfId="5101" xr:uid="{00000000-0005-0000-0000-00008B0F0000}"/>
    <cellStyle name="Normal 2 4 2 5 2 2 3 2" xfId="14427" xr:uid="{5839360B-A695-4C90-81FB-B36E1431C841}"/>
    <cellStyle name="Normal 2 4 2 5 2 2 3 2 2" xfId="33023" xr:uid="{23CF7C13-9818-4ADF-97EB-41CD154CA093}"/>
    <cellStyle name="Normal 2 4 2 5 2 2 3 3" xfId="23726" xr:uid="{8B2F4BE7-BDF8-4233-AD16-EDB6D2086351}"/>
    <cellStyle name="Normal 2 4 2 5 2 2 4" xfId="9492" xr:uid="{07DC9204-2F52-408E-80EE-617A106DD9FD}"/>
    <cellStyle name="Normal 2 4 2 5 2 2 4 2" xfId="18807" xr:uid="{7777D67B-79F6-4F32-A8CB-7141FD40FB7A}"/>
    <cellStyle name="Normal 2 4 2 5 2 2 4 2 2" xfId="37401" xr:uid="{4B92ECAC-09C2-4CE4-B234-1023A6C1AD84}"/>
    <cellStyle name="Normal 2 4 2 5 2 2 4 3" xfId="28104" xr:uid="{5C04B181-4B96-4951-ACC7-7585EC103539}"/>
    <cellStyle name="Normal 2 4 2 5 2 2 5" xfId="10210" xr:uid="{F6DD96A0-CB1E-4875-98E7-7F7513456A63}"/>
    <cellStyle name="Normal 2 4 2 5 2 2 5 2" xfId="28806" xr:uid="{70A4BE3D-C5D3-4052-80A4-570AB854FC7C}"/>
    <cellStyle name="Normal 2 4 2 5 2 2 6" xfId="19509" xr:uid="{B52EC2E4-C0B3-418C-8D3F-E8B9E2632925}"/>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366C13D5-1CD7-40F0-B4C7-BFA2C7FD68A7}"/>
    <cellStyle name="Normal 2 4 2 5 2 3 2 2 2 2" xfId="35581" xr:uid="{E4592418-3A1B-4D21-8A12-1DF0D83AE258}"/>
    <cellStyle name="Normal 2 4 2 5 2 3 2 2 3" xfId="26284" xr:uid="{97227605-D73A-48B5-B951-92797F92F399}"/>
    <cellStyle name="Normal 2 4 2 5 2 3 2 3" xfId="12768" xr:uid="{926AE712-FC77-4A0B-A869-3F1D3324E004}"/>
    <cellStyle name="Normal 2 4 2 5 2 3 2 3 2" xfId="31364" xr:uid="{E9416DBF-F38E-4F27-801E-E01F16E1CDFE}"/>
    <cellStyle name="Normal 2 4 2 5 2 3 2 4" xfId="22067" xr:uid="{D0EA3D09-7433-4C8C-8596-1A9864811FB0}"/>
    <cellStyle name="Normal 2 4 2 5 2 3 3" xfId="5514" xr:uid="{00000000-0005-0000-0000-00008F0F0000}"/>
    <cellStyle name="Normal 2 4 2 5 2 3 3 2" xfId="14840" xr:uid="{ECC9959E-8A5C-405E-A398-20408EF8EDF5}"/>
    <cellStyle name="Normal 2 4 2 5 2 3 3 2 2" xfId="33436" xr:uid="{C94614FD-55DA-4B02-979E-717426F5FD2A}"/>
    <cellStyle name="Normal 2 4 2 5 2 3 3 3" xfId="24139" xr:uid="{8484FA93-563A-4739-8D84-7700A89DC407}"/>
    <cellStyle name="Normal 2 4 2 5 2 3 4" xfId="10623" xr:uid="{DE8713B1-CAB8-4BCE-9C00-9720A111CBFE}"/>
    <cellStyle name="Normal 2 4 2 5 2 3 4 2" xfId="29219" xr:uid="{2BF282D7-05BF-4BFB-98B7-5DAC63B74CE1}"/>
    <cellStyle name="Normal 2 4 2 5 2 3 5" xfId="19922" xr:uid="{957163C0-D0E6-4629-851A-95EB96C398A5}"/>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DD743FBF-1450-47A9-ADE5-6BCB18EF5C62}"/>
    <cellStyle name="Normal 2 4 2 5 2 4 2 2 2 2" xfId="35994" xr:uid="{FAFFCEEF-AF0C-4EF3-BB74-0E2048F39503}"/>
    <cellStyle name="Normal 2 4 2 5 2 4 2 2 3" xfId="26697" xr:uid="{DC6EC38C-D28F-436F-BCC4-FEB1B31CF987}"/>
    <cellStyle name="Normal 2 4 2 5 2 4 2 3" xfId="13181" xr:uid="{CD36BA2C-7C5A-41E2-8690-902972CED6E7}"/>
    <cellStyle name="Normal 2 4 2 5 2 4 2 3 2" xfId="31777" xr:uid="{D44B5E03-159C-4ADD-B2F1-D59DE8CCB766}"/>
    <cellStyle name="Normal 2 4 2 5 2 4 2 4" xfId="22480" xr:uid="{853F05C7-F3C6-43E3-998A-B9A15EAA3C3E}"/>
    <cellStyle name="Normal 2 4 2 5 2 4 3" xfId="5927" xr:uid="{00000000-0005-0000-0000-0000930F0000}"/>
    <cellStyle name="Normal 2 4 2 5 2 4 3 2" xfId="15253" xr:uid="{99C984E5-9EFA-43BE-866B-9CB49B97FD28}"/>
    <cellStyle name="Normal 2 4 2 5 2 4 3 2 2" xfId="33849" xr:uid="{E2E6075C-44E0-49D1-B959-A8BDAA65C27C}"/>
    <cellStyle name="Normal 2 4 2 5 2 4 3 3" xfId="24552" xr:uid="{2AFED1D5-402B-4B7C-A80E-48218D2DEB92}"/>
    <cellStyle name="Normal 2 4 2 5 2 4 4" xfId="11036" xr:uid="{F22B78FE-6200-4669-8B42-DA71F6281B2C}"/>
    <cellStyle name="Normal 2 4 2 5 2 4 4 2" xfId="29632" xr:uid="{7F025779-3EC6-4957-B726-F200F4949AAC}"/>
    <cellStyle name="Normal 2 4 2 5 2 4 5" xfId="20335" xr:uid="{D76829A3-6429-453F-A110-575AC75A7B88}"/>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2BB85920-AB20-4E57-86A6-67DE01075DEE}"/>
    <cellStyle name="Normal 2 4 2 5 2 5 2 2 2 2" xfId="36407" xr:uid="{253DD077-B1B8-4B46-851C-D85DBFFD602E}"/>
    <cellStyle name="Normal 2 4 2 5 2 5 2 2 3" xfId="27110" xr:uid="{092A0854-6BC4-4B4B-800D-D90280D4B9F7}"/>
    <cellStyle name="Normal 2 4 2 5 2 5 2 3" xfId="13594" xr:uid="{373CF055-35D7-4251-9434-F1825583C577}"/>
    <cellStyle name="Normal 2 4 2 5 2 5 2 3 2" xfId="32190" xr:uid="{F16A857A-C416-428B-B8AE-E794852470AD}"/>
    <cellStyle name="Normal 2 4 2 5 2 5 2 4" xfId="22893" xr:uid="{18A25592-9327-49BC-B3FF-A6322C453BD1}"/>
    <cellStyle name="Normal 2 4 2 5 2 5 3" xfId="6340" xr:uid="{00000000-0005-0000-0000-0000970F0000}"/>
    <cellStyle name="Normal 2 4 2 5 2 5 3 2" xfId="15666" xr:uid="{ACBB62B4-0C94-4181-A287-9EA34F5A7DBD}"/>
    <cellStyle name="Normal 2 4 2 5 2 5 3 2 2" xfId="34262" xr:uid="{7C99EEEF-8642-4BDE-BF32-47BD2F33BC1D}"/>
    <cellStyle name="Normal 2 4 2 5 2 5 3 3" xfId="24965" xr:uid="{F2931211-CED5-48CD-B23B-724B074827CC}"/>
    <cellStyle name="Normal 2 4 2 5 2 5 4" xfId="11449" xr:uid="{EF3003AF-B5BF-455C-8B8B-C6533EADB588}"/>
    <cellStyle name="Normal 2 4 2 5 2 5 4 2" xfId="30045" xr:uid="{75F8DB3E-B137-4E22-89C1-6520DDC58085}"/>
    <cellStyle name="Normal 2 4 2 5 2 5 5" xfId="20748" xr:uid="{390968CA-A273-4C2C-8A81-D763F7CECFBB}"/>
    <cellStyle name="Normal 2 4 2 5 2 6" xfId="2470" xr:uid="{00000000-0005-0000-0000-0000980F0000}"/>
    <cellStyle name="Normal 2 4 2 5 2 6 2" xfId="6753" xr:uid="{00000000-0005-0000-0000-0000990F0000}"/>
    <cellStyle name="Normal 2 4 2 5 2 6 2 2" xfId="16079" xr:uid="{F91640FA-D938-48BA-888F-5467311C3166}"/>
    <cellStyle name="Normal 2 4 2 5 2 6 2 2 2" xfId="34675" xr:uid="{78F66787-38EE-4D4E-AEF7-35BA62B9D59D}"/>
    <cellStyle name="Normal 2 4 2 5 2 6 2 3" xfId="25378" xr:uid="{14410DE4-1D25-41CD-B03F-6B80072F0D4B}"/>
    <cellStyle name="Normal 2 4 2 5 2 6 3" xfId="11862" xr:uid="{F73D460F-E440-4346-A120-A03735A938D9}"/>
    <cellStyle name="Normal 2 4 2 5 2 6 3 2" xfId="30458" xr:uid="{1BA3F656-6C6C-4A28-957B-17EF0AF050C6}"/>
    <cellStyle name="Normal 2 4 2 5 2 6 4" xfId="21161" xr:uid="{A58C8231-2310-42A5-A533-28FC4BDF810F}"/>
    <cellStyle name="Normal 2 4 2 5 2 7" xfId="4687" xr:uid="{00000000-0005-0000-0000-00009A0F0000}"/>
    <cellStyle name="Normal 2 4 2 5 2 7 2" xfId="14013" xr:uid="{AFC7F695-01E1-4977-8546-CEA4796C4292}"/>
    <cellStyle name="Normal 2 4 2 5 2 7 2 2" xfId="32609" xr:uid="{30490115-A7C5-499B-9CA2-831AD8C4501E}"/>
    <cellStyle name="Normal 2 4 2 5 2 7 3" xfId="23312" xr:uid="{D12FA52A-42DE-4BE6-8F06-381E678A689F}"/>
    <cellStyle name="Normal 2 4 2 5 2 8" xfId="9067" xr:uid="{89D5CB5A-ADE0-44B8-BC1E-FDE984B579C9}"/>
    <cellStyle name="Normal 2 4 2 5 2 8 2" xfId="18391" xr:uid="{16B53F05-4A3B-42FE-82CF-66167D9A6476}"/>
    <cellStyle name="Normal 2 4 2 5 2 8 2 2" xfId="36986" xr:uid="{2D3DD316-337D-4065-9079-C9198B90AF10}"/>
    <cellStyle name="Normal 2 4 2 5 2 8 3" xfId="27689" xr:uid="{DE64D1DA-FCAF-43A9-ADCF-9AA2440C9306}"/>
    <cellStyle name="Normal 2 4 2 5 2 9" xfId="9796" xr:uid="{D320E202-2132-4141-AFFF-C138B12734C3}"/>
    <cellStyle name="Normal 2 4 2 5 2 9 2" xfId="28392" xr:uid="{345BC384-1746-4DE1-8C40-FA2873F259A8}"/>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D92BCEA2-D99A-4D93-95AF-0D62B8B17B31}"/>
    <cellStyle name="Normal 2 4 2 5 3 2 2 2 2" xfId="35167" xr:uid="{EF76F216-8A11-45EF-8859-4BFE82F09542}"/>
    <cellStyle name="Normal 2 4 2 5 3 2 2 3" xfId="25870" xr:uid="{B2575773-F0AA-4B6F-9F64-02F0AAEE4737}"/>
    <cellStyle name="Normal 2 4 2 5 3 2 3" xfId="12354" xr:uid="{D4E95160-9F18-4ABF-AB66-292F9D92418D}"/>
    <cellStyle name="Normal 2 4 2 5 3 2 3 2" xfId="30950" xr:uid="{50F1E5B4-AE28-421D-BD42-E2E3AEA6C2E4}"/>
    <cellStyle name="Normal 2 4 2 5 3 2 4" xfId="21653" xr:uid="{D1CD70C0-7456-4528-96F8-3D93EF0EA339}"/>
    <cellStyle name="Normal 2 4 2 5 3 3" xfId="5100" xr:uid="{00000000-0005-0000-0000-00009E0F0000}"/>
    <cellStyle name="Normal 2 4 2 5 3 3 2" xfId="14426" xr:uid="{42CC187C-83E7-4870-BB30-7B15E4DE551B}"/>
    <cellStyle name="Normal 2 4 2 5 3 3 2 2" xfId="33022" xr:uid="{C5EBD97F-2F22-4FB5-8867-7A5AFECCBC13}"/>
    <cellStyle name="Normal 2 4 2 5 3 3 3" xfId="23725" xr:uid="{9591D0B2-882C-456E-BAD1-A911F57EEF02}"/>
    <cellStyle name="Normal 2 4 2 5 3 4" xfId="9285" xr:uid="{5DA39FB9-904E-46D3-8E24-58BF2F19DA5B}"/>
    <cellStyle name="Normal 2 4 2 5 3 4 2" xfId="18600" xr:uid="{27A5DB3F-9B1C-4F4D-90E5-EF8189DDEE5A}"/>
    <cellStyle name="Normal 2 4 2 5 3 4 2 2" xfId="37194" xr:uid="{8FC8A35A-052B-45ED-9104-56500101F751}"/>
    <cellStyle name="Normal 2 4 2 5 3 4 3" xfId="27897" xr:uid="{3006788B-2259-4F79-82D8-4275BB16CA98}"/>
    <cellStyle name="Normal 2 4 2 5 3 5" xfId="10209" xr:uid="{31ED45E9-AD98-429D-8A3C-3CBE484EF167}"/>
    <cellStyle name="Normal 2 4 2 5 3 5 2" xfId="28805" xr:uid="{0E4FFF6D-FB68-4E22-897E-A252FB19DB18}"/>
    <cellStyle name="Normal 2 4 2 5 3 6" xfId="19508" xr:uid="{A7422DE8-E7A9-413C-AAE9-785D1BC8A95D}"/>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7CDC8CA4-F3A8-4EB1-89BB-548DDBC5C2B8}"/>
    <cellStyle name="Normal 2 4 2 5 4 2 2 2 2" xfId="35580" xr:uid="{2F248DE7-4411-4092-BA90-4767CC5434B2}"/>
    <cellStyle name="Normal 2 4 2 5 4 2 2 3" xfId="26283" xr:uid="{E2308753-1D34-4273-AE60-6D20DAD01658}"/>
    <cellStyle name="Normal 2 4 2 5 4 2 3" xfId="12767" xr:uid="{23FC04B2-36C3-42F7-BE6B-6D00DC954C98}"/>
    <cellStyle name="Normal 2 4 2 5 4 2 3 2" xfId="31363" xr:uid="{FD1AF828-BA54-4C5C-96E2-807CC2C67315}"/>
    <cellStyle name="Normal 2 4 2 5 4 2 4" xfId="22066" xr:uid="{9CD3453A-6DCC-4CF8-AA9D-E7314FC00C52}"/>
    <cellStyle name="Normal 2 4 2 5 4 3" xfId="5513" xr:uid="{00000000-0005-0000-0000-0000A20F0000}"/>
    <cellStyle name="Normal 2 4 2 5 4 3 2" xfId="14839" xr:uid="{DA2383A3-B759-4374-B3D8-B117D45A9A95}"/>
    <cellStyle name="Normal 2 4 2 5 4 3 2 2" xfId="33435" xr:uid="{12C04CEA-0C35-419D-A20C-5A6E268DF09C}"/>
    <cellStyle name="Normal 2 4 2 5 4 3 3" xfId="24138" xr:uid="{FE3679BE-3352-4456-BAA6-D30BB6A3CCAD}"/>
    <cellStyle name="Normal 2 4 2 5 4 4" xfId="10622" xr:uid="{F43A93D0-29C6-4200-B92F-28CC5AAD893B}"/>
    <cellStyle name="Normal 2 4 2 5 4 4 2" xfId="29218" xr:uid="{62B6C31F-7BFD-4CE2-B8DE-25638CAE0AF0}"/>
    <cellStyle name="Normal 2 4 2 5 4 5" xfId="19921" xr:uid="{B545B2B5-889D-47BD-AE5D-35CEBDB0EE99}"/>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42D6B0AB-D866-41FB-8AEA-BCEBCCC1A0CF}"/>
    <cellStyle name="Normal 2 4 2 5 5 2 2 2 2" xfId="35993" xr:uid="{44958A5E-E70E-4933-A454-AB05113AD080}"/>
    <cellStyle name="Normal 2 4 2 5 5 2 2 3" xfId="26696" xr:uid="{FDE64005-BCED-4D92-B935-D1203DC0E610}"/>
    <cellStyle name="Normal 2 4 2 5 5 2 3" xfId="13180" xr:uid="{627BA19A-F470-4C47-B825-8F2C7DE6B763}"/>
    <cellStyle name="Normal 2 4 2 5 5 2 3 2" xfId="31776" xr:uid="{D6E46551-1EEB-4417-B4BA-2A483F64D2A8}"/>
    <cellStyle name="Normal 2 4 2 5 5 2 4" xfId="22479" xr:uid="{5371EAEE-A821-4BF8-8AD0-ED52AC9CEE3C}"/>
    <cellStyle name="Normal 2 4 2 5 5 3" xfId="5926" xr:uid="{00000000-0005-0000-0000-0000A60F0000}"/>
    <cellStyle name="Normal 2 4 2 5 5 3 2" xfId="15252" xr:uid="{01F71909-7E2E-434A-B111-165E52900292}"/>
    <cellStyle name="Normal 2 4 2 5 5 3 2 2" xfId="33848" xr:uid="{07F321C6-8681-4B98-91A7-FBA92A12D68C}"/>
    <cellStyle name="Normal 2 4 2 5 5 3 3" xfId="24551" xr:uid="{E74E3B81-0926-4C71-8B56-63A16A291884}"/>
    <cellStyle name="Normal 2 4 2 5 5 4" xfId="11035" xr:uid="{6F920DB6-B3F0-4B8B-944D-F10706B253B8}"/>
    <cellStyle name="Normal 2 4 2 5 5 4 2" xfId="29631" xr:uid="{1B24C6FD-82FA-452D-9BF3-EB41D790206A}"/>
    <cellStyle name="Normal 2 4 2 5 5 5" xfId="20334" xr:uid="{00710A3B-468F-4E92-B7D6-AE57CDC802EE}"/>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7E3AD0B5-7087-4CA9-898E-5A0EC86D2245}"/>
    <cellStyle name="Normal 2 4 2 5 6 2 2 2 2" xfId="36406" xr:uid="{9536A2F1-1248-4130-BC3C-FA34E135EC82}"/>
    <cellStyle name="Normal 2 4 2 5 6 2 2 3" xfId="27109" xr:uid="{27B8C319-ABDF-4BCD-B150-B97B7580A477}"/>
    <cellStyle name="Normal 2 4 2 5 6 2 3" xfId="13593" xr:uid="{027DD8C3-1609-4454-93FE-E345EC71AA69}"/>
    <cellStyle name="Normal 2 4 2 5 6 2 3 2" xfId="32189" xr:uid="{21815DDA-0837-4816-B8A0-BE9053C19A8F}"/>
    <cellStyle name="Normal 2 4 2 5 6 2 4" xfId="22892" xr:uid="{DB35F130-56A1-4741-887D-13A7108B96C2}"/>
    <cellStyle name="Normal 2 4 2 5 6 3" xfId="6339" xr:uid="{00000000-0005-0000-0000-0000AA0F0000}"/>
    <cellStyle name="Normal 2 4 2 5 6 3 2" xfId="15665" xr:uid="{0C963A10-CD23-4CD7-B767-719601430398}"/>
    <cellStyle name="Normal 2 4 2 5 6 3 2 2" xfId="34261" xr:uid="{B062CCE7-14FF-4939-933F-AA8FCA05F5FE}"/>
    <cellStyle name="Normal 2 4 2 5 6 3 3" xfId="24964" xr:uid="{364EAE82-0CAF-48E0-9D72-DFF8CFFC9AB8}"/>
    <cellStyle name="Normal 2 4 2 5 6 4" xfId="11448" xr:uid="{209E9E7B-59C7-44D9-A05A-E8FABA7C6B24}"/>
    <cellStyle name="Normal 2 4 2 5 6 4 2" xfId="30044" xr:uid="{31EA40A9-64BB-4402-974D-6D45F51DB29F}"/>
    <cellStyle name="Normal 2 4 2 5 6 5" xfId="20747" xr:uid="{D7E44A08-A9A1-4F83-85D6-9C8F47E6D135}"/>
    <cellStyle name="Normal 2 4 2 5 7" xfId="2469" xr:uid="{00000000-0005-0000-0000-0000AB0F0000}"/>
    <cellStyle name="Normal 2 4 2 5 7 2" xfId="6752" xr:uid="{00000000-0005-0000-0000-0000AC0F0000}"/>
    <cellStyle name="Normal 2 4 2 5 7 2 2" xfId="16078" xr:uid="{58E35CC2-E3F0-404D-AD9B-5CB103D92669}"/>
    <cellStyle name="Normal 2 4 2 5 7 2 2 2" xfId="34674" xr:uid="{D58897D9-BD5D-4369-B036-1B82679DF40E}"/>
    <cellStyle name="Normal 2 4 2 5 7 2 3" xfId="25377" xr:uid="{5998E6B1-A1A2-428C-AF66-A7F84474A8C5}"/>
    <cellStyle name="Normal 2 4 2 5 7 3" xfId="11861" xr:uid="{BF333287-F484-415C-BE01-91342A8AAA8B}"/>
    <cellStyle name="Normal 2 4 2 5 7 3 2" xfId="30457" xr:uid="{0D05CCC6-9AE5-4271-A3C0-2D176AE65A27}"/>
    <cellStyle name="Normal 2 4 2 5 7 4" xfId="21160" xr:uid="{E0B79F14-8769-43D6-9FD9-00577B0EEF0D}"/>
    <cellStyle name="Normal 2 4 2 5 8" xfId="4686" xr:uid="{00000000-0005-0000-0000-0000AD0F0000}"/>
    <cellStyle name="Normal 2 4 2 5 8 2" xfId="14012" xr:uid="{F2C79D29-D76B-40B5-A234-3941663250B7}"/>
    <cellStyle name="Normal 2 4 2 5 8 2 2" xfId="32608" xr:uid="{9F46F0C1-9F3F-48CE-B64B-9D980D9116D5}"/>
    <cellStyle name="Normal 2 4 2 5 8 3" xfId="23311" xr:uid="{077D6DFA-8E10-4AA4-906E-605339CC6B8B}"/>
    <cellStyle name="Normal 2 4 2 5 9" xfId="8860" xr:uid="{5FAFEFC0-3249-464B-9F12-2B1DA137C588}"/>
    <cellStyle name="Normal 2 4 2 5 9 2" xfId="18184" xr:uid="{6710C108-3F3C-40B2-96EC-2665397F26E6}"/>
    <cellStyle name="Normal 2 4 2 5 9 2 2" xfId="36779" xr:uid="{DC27B83F-E6B8-47C1-B756-05D6276D1001}"/>
    <cellStyle name="Normal 2 4 2 5 9 3" xfId="27482" xr:uid="{B8ECBF2F-2CA1-4ADB-899D-692823577AFB}"/>
    <cellStyle name="Normal 2 4 2 6" xfId="295" xr:uid="{00000000-0005-0000-0000-0000AE0F0000}"/>
    <cellStyle name="Normal 2 4 2 6 10" xfId="19096" xr:uid="{28A55F11-5421-48B3-AC9F-3E2F20B26505}"/>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E3BBDF07-1AD6-45CD-AF3C-067BB9C9CABF}"/>
    <cellStyle name="Normal 2 4 2 6 2 2 2 2 2" xfId="35169" xr:uid="{C82E2DF9-B213-4DD7-9DE5-EBBEFB54528E}"/>
    <cellStyle name="Normal 2 4 2 6 2 2 2 3" xfId="25872" xr:uid="{D47D691A-C0F0-4BC1-8108-8BC713A2DDFA}"/>
    <cellStyle name="Normal 2 4 2 6 2 2 3" xfId="12356" xr:uid="{6A71926F-5DDB-4A4D-9022-EBF64311725E}"/>
    <cellStyle name="Normal 2 4 2 6 2 2 3 2" xfId="30952" xr:uid="{A16DBF84-9A1D-4D3B-9AAF-BD0B7E1F3E0A}"/>
    <cellStyle name="Normal 2 4 2 6 2 2 4" xfId="21655" xr:uid="{35373866-EDD9-4E63-8319-CDE63E5BA96D}"/>
    <cellStyle name="Normal 2 4 2 6 2 3" xfId="5102" xr:uid="{00000000-0005-0000-0000-0000B20F0000}"/>
    <cellStyle name="Normal 2 4 2 6 2 3 2" xfId="14428" xr:uid="{FBE756E6-8C1B-407C-B249-9F44CD4B983B}"/>
    <cellStyle name="Normal 2 4 2 6 2 3 2 2" xfId="33024" xr:uid="{A379DF0A-6B16-43C0-BD1E-1D1FDEFB940C}"/>
    <cellStyle name="Normal 2 4 2 6 2 3 3" xfId="23727" xr:uid="{E06983B4-805B-4596-9681-BA7B7DDD61BA}"/>
    <cellStyle name="Normal 2 4 2 6 2 4" xfId="9401" xr:uid="{C89DD342-23DD-474B-84C5-F9DED42F169B}"/>
    <cellStyle name="Normal 2 4 2 6 2 4 2" xfId="18716" xr:uid="{226B7C6A-8694-475F-A6FF-2DD55850CC08}"/>
    <cellStyle name="Normal 2 4 2 6 2 4 2 2" xfId="37310" xr:uid="{733FBD08-9C93-484A-90FE-59191EBBA9E2}"/>
    <cellStyle name="Normal 2 4 2 6 2 4 3" xfId="28013" xr:uid="{5941E80E-7CDB-4377-B93E-2A87E88B8961}"/>
    <cellStyle name="Normal 2 4 2 6 2 5" xfId="10211" xr:uid="{8EDD3B47-12B1-42AA-9728-83E207C2B308}"/>
    <cellStyle name="Normal 2 4 2 6 2 5 2" xfId="28807" xr:uid="{8189E3A8-9CA5-4509-AFB8-1DA32CAB2FF9}"/>
    <cellStyle name="Normal 2 4 2 6 2 6" xfId="19510" xr:uid="{532A7A6F-88FA-44D1-A463-4400F95C5CC6}"/>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0CC6DAC3-D9A3-4FB8-83D5-2B2A1D033492}"/>
    <cellStyle name="Normal 2 4 2 6 3 2 2 2 2" xfId="35582" xr:uid="{531A150C-D3BE-408B-8DBE-9FB34FA2F604}"/>
    <cellStyle name="Normal 2 4 2 6 3 2 2 3" xfId="26285" xr:uid="{310E5DFB-D091-465F-8564-3E099E92C96A}"/>
    <cellStyle name="Normal 2 4 2 6 3 2 3" xfId="12769" xr:uid="{529F36D2-9042-4D42-9661-AC209BDC28CD}"/>
    <cellStyle name="Normal 2 4 2 6 3 2 3 2" xfId="31365" xr:uid="{300925B5-23CE-4292-9549-E62FC455DFE8}"/>
    <cellStyle name="Normal 2 4 2 6 3 2 4" xfId="22068" xr:uid="{45F8C849-338A-4719-A0A1-20A0911C4216}"/>
    <cellStyle name="Normal 2 4 2 6 3 3" xfId="5515" xr:uid="{00000000-0005-0000-0000-0000B60F0000}"/>
    <cellStyle name="Normal 2 4 2 6 3 3 2" xfId="14841" xr:uid="{6F8385DC-CCD6-4242-A104-1889A7CB7CD2}"/>
    <cellStyle name="Normal 2 4 2 6 3 3 2 2" xfId="33437" xr:uid="{0E7C6B8E-17FD-4E1E-A59A-E1309159F531}"/>
    <cellStyle name="Normal 2 4 2 6 3 3 3" xfId="24140" xr:uid="{3BBB29B2-B8C2-4EF5-89FB-92BBAF526DE6}"/>
    <cellStyle name="Normal 2 4 2 6 3 4" xfId="10624" xr:uid="{1E946A1E-1DD8-4156-B1D7-E6A6CA181BD4}"/>
    <cellStyle name="Normal 2 4 2 6 3 4 2" xfId="29220" xr:uid="{8E5E74F5-FD2F-4BCD-9E32-2D2BFC00F241}"/>
    <cellStyle name="Normal 2 4 2 6 3 5" xfId="19923" xr:uid="{B31E0C97-4AA6-4732-94B0-9C3E23F62B8B}"/>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4F7087F7-7856-4A90-A791-FD4F8B3DB58F}"/>
    <cellStyle name="Normal 2 4 2 6 4 2 2 2 2" xfId="35995" xr:uid="{E185D7DB-FC4F-4093-893D-DEA1F1270AC4}"/>
    <cellStyle name="Normal 2 4 2 6 4 2 2 3" xfId="26698" xr:uid="{2AD9131A-1B1A-4F9C-9FE1-74E26F901B4F}"/>
    <cellStyle name="Normal 2 4 2 6 4 2 3" xfId="13182" xr:uid="{5940E1E1-1D1C-4260-99A6-DDE6233CDEE2}"/>
    <cellStyle name="Normal 2 4 2 6 4 2 3 2" xfId="31778" xr:uid="{5257DCF3-7D8B-429F-907A-557388EA612D}"/>
    <cellStyle name="Normal 2 4 2 6 4 2 4" xfId="22481" xr:uid="{C5E32580-39A4-4F3A-8889-C3684404B5BA}"/>
    <cellStyle name="Normal 2 4 2 6 4 3" xfId="5928" xr:uid="{00000000-0005-0000-0000-0000BA0F0000}"/>
    <cellStyle name="Normal 2 4 2 6 4 3 2" xfId="15254" xr:uid="{D7876D9C-FBB1-4417-8F3B-9FC6444A29AB}"/>
    <cellStyle name="Normal 2 4 2 6 4 3 2 2" xfId="33850" xr:uid="{68C3FC30-FC44-443E-BC73-21EA8421A51E}"/>
    <cellStyle name="Normal 2 4 2 6 4 3 3" xfId="24553" xr:uid="{377B1B6B-43BC-4F31-816F-3954857BA905}"/>
    <cellStyle name="Normal 2 4 2 6 4 4" xfId="11037" xr:uid="{5B1DAB2D-9C81-4CB5-AB2E-21281DD0FEE2}"/>
    <cellStyle name="Normal 2 4 2 6 4 4 2" xfId="29633" xr:uid="{B31956F2-961F-4125-874B-170225D9DD39}"/>
    <cellStyle name="Normal 2 4 2 6 4 5" xfId="20336" xr:uid="{A00C2035-816B-4F18-8FAC-0B692018C092}"/>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8E2A2A28-4A1D-4985-AA20-FE6446D66275}"/>
    <cellStyle name="Normal 2 4 2 6 5 2 2 2 2" xfId="36408" xr:uid="{11E50716-783D-4A10-A660-A404E29EE2A9}"/>
    <cellStyle name="Normal 2 4 2 6 5 2 2 3" xfId="27111" xr:uid="{6CDB2433-5470-4BD0-9187-3E297F16A64C}"/>
    <cellStyle name="Normal 2 4 2 6 5 2 3" xfId="13595" xr:uid="{22AF81E9-D002-4620-BD91-EFD856052E42}"/>
    <cellStyle name="Normal 2 4 2 6 5 2 3 2" xfId="32191" xr:uid="{B4FB20A4-0CCB-44B4-BED4-B3863E648CA1}"/>
    <cellStyle name="Normal 2 4 2 6 5 2 4" xfId="22894" xr:uid="{05B2E26E-53B5-4847-B48C-377B364A4504}"/>
    <cellStyle name="Normal 2 4 2 6 5 3" xfId="6341" xr:uid="{00000000-0005-0000-0000-0000BE0F0000}"/>
    <cellStyle name="Normal 2 4 2 6 5 3 2" xfId="15667" xr:uid="{088B6CF4-AEBD-49FE-B2DB-E41C5AA88F92}"/>
    <cellStyle name="Normal 2 4 2 6 5 3 2 2" xfId="34263" xr:uid="{5C1ED417-AF9C-42A8-A815-1EC6C68D7ADC}"/>
    <cellStyle name="Normal 2 4 2 6 5 3 3" xfId="24966" xr:uid="{E627B0D6-DD12-465F-826C-AF68259D638D}"/>
    <cellStyle name="Normal 2 4 2 6 5 4" xfId="11450" xr:uid="{91637509-E3D3-4931-8D08-A8DCF96CF4A8}"/>
    <cellStyle name="Normal 2 4 2 6 5 4 2" xfId="30046" xr:uid="{D234BFD9-C502-4163-9F95-CAF78B3A228F}"/>
    <cellStyle name="Normal 2 4 2 6 5 5" xfId="20749" xr:uid="{2B543B1F-542E-472E-8C5B-472872C5C590}"/>
    <cellStyle name="Normal 2 4 2 6 6" xfId="2471" xr:uid="{00000000-0005-0000-0000-0000BF0F0000}"/>
    <cellStyle name="Normal 2 4 2 6 6 2" xfId="6754" xr:uid="{00000000-0005-0000-0000-0000C00F0000}"/>
    <cellStyle name="Normal 2 4 2 6 6 2 2" xfId="16080" xr:uid="{E030465E-25D5-4083-A953-DC12D129BC37}"/>
    <cellStyle name="Normal 2 4 2 6 6 2 2 2" xfId="34676" xr:uid="{0E32B7F6-9F74-4A26-B387-A8362CA686EA}"/>
    <cellStyle name="Normal 2 4 2 6 6 2 3" xfId="25379" xr:uid="{47A890B7-1597-4C48-90D0-05AF0E1305D6}"/>
    <cellStyle name="Normal 2 4 2 6 6 3" xfId="11863" xr:uid="{520A7E0E-D5FB-4BEC-B3F8-982BC9DE13B2}"/>
    <cellStyle name="Normal 2 4 2 6 6 3 2" xfId="30459" xr:uid="{17065D95-8F97-4BFD-8B81-4505F3049BE2}"/>
    <cellStyle name="Normal 2 4 2 6 6 4" xfId="21162" xr:uid="{632C6543-754C-419F-BE85-6130E709137C}"/>
    <cellStyle name="Normal 2 4 2 6 7" xfId="4688" xr:uid="{00000000-0005-0000-0000-0000C10F0000}"/>
    <cellStyle name="Normal 2 4 2 6 7 2" xfId="14014" xr:uid="{8F29A294-6955-4086-9AE1-F5F42C257A90}"/>
    <cellStyle name="Normal 2 4 2 6 7 2 2" xfId="32610" xr:uid="{B1D2E897-A453-4130-9DA1-6FBA75F0E8C2}"/>
    <cellStyle name="Normal 2 4 2 6 7 3" xfId="23313" xr:uid="{DDA56415-F24B-41E7-9098-84713388EE58}"/>
    <cellStyle name="Normal 2 4 2 6 8" xfId="8976" xr:uid="{6DEAFF8C-68CB-4364-A161-479509F453AE}"/>
    <cellStyle name="Normal 2 4 2 6 8 2" xfId="18300" xr:uid="{0DE7D7C9-4539-490F-81F9-56B61CD5B561}"/>
    <cellStyle name="Normal 2 4 2 6 8 2 2" xfId="36895" xr:uid="{50317293-282D-4A04-8A0A-F4EB877FF257}"/>
    <cellStyle name="Normal 2 4 2 6 8 3" xfId="27598" xr:uid="{E7A7E1C3-C822-47A1-B70C-289CE7FB92C0}"/>
    <cellStyle name="Normal 2 4 2 6 9" xfId="9797" xr:uid="{2B0B54FC-A754-44C3-8481-8DE7691D4E56}"/>
    <cellStyle name="Normal 2 4 2 6 9 2" xfId="28393" xr:uid="{3F46C617-02FC-4EFF-ABED-2E866B3F090D}"/>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2BC8AC51-584C-4AD6-901B-D1FB1D5694D6}"/>
    <cellStyle name="Normal 2 4 2 7 2 2 2 2" xfId="35154" xr:uid="{3DBF586B-49D0-4804-ACB4-A485073354CA}"/>
    <cellStyle name="Normal 2 4 2 7 2 2 3" xfId="25857" xr:uid="{ECF1330B-5A10-48AA-83A0-9F34BDB26206}"/>
    <cellStyle name="Normal 2 4 2 7 2 3" xfId="12341" xr:uid="{27DBE0A4-BBC3-4F4D-B66B-BA17E1D426E9}"/>
    <cellStyle name="Normal 2 4 2 7 2 3 2" xfId="30937" xr:uid="{3FEE6B7B-BA5F-49E9-96D6-A9D6CC85ECEB}"/>
    <cellStyle name="Normal 2 4 2 7 2 4" xfId="21640" xr:uid="{A819E82A-1C27-4F67-90CC-23C1A62194D5}"/>
    <cellStyle name="Normal 2 4 2 7 3" xfId="5087" xr:uid="{00000000-0005-0000-0000-0000C50F0000}"/>
    <cellStyle name="Normal 2 4 2 7 3 2" xfId="14413" xr:uid="{EECA0F79-0A70-47DE-9B0A-8E2D5BBF6421}"/>
    <cellStyle name="Normal 2 4 2 7 3 2 2" xfId="33009" xr:uid="{8FCE3FFC-8448-4F1D-B60F-C7C92211D4C3}"/>
    <cellStyle name="Normal 2 4 2 7 3 3" xfId="23712" xr:uid="{9BE84713-1347-4DBA-848D-A633986FAD33}"/>
    <cellStyle name="Normal 2 4 2 7 4" xfId="9179" xr:uid="{D1C44CED-398E-43B3-AFA3-1E7DC60C5D92}"/>
    <cellStyle name="Normal 2 4 2 7 4 2" xfId="18497" xr:uid="{01F14853-B1C4-44B7-B37E-529C10164A86}"/>
    <cellStyle name="Normal 2 4 2 7 4 2 2" xfId="37091" xr:uid="{E425A58D-1DE7-48A5-B92D-5A4F21CC0B4D}"/>
    <cellStyle name="Normal 2 4 2 7 4 3" xfId="27794" xr:uid="{8650E660-6016-4DD0-81D8-94E5C7A329A4}"/>
    <cellStyle name="Normal 2 4 2 7 5" xfId="10196" xr:uid="{E4293A02-1C93-4340-9927-03C9A22C09E4}"/>
    <cellStyle name="Normal 2 4 2 7 5 2" xfId="28792" xr:uid="{50023097-9B31-4687-9B01-A823ADB7AA34}"/>
    <cellStyle name="Normal 2 4 2 7 6" xfId="19495" xr:uid="{0916740A-A44E-46CE-9436-43ADF9207246}"/>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4C145CBC-044B-4162-A91B-058643AA6AF7}"/>
    <cellStyle name="Normal 2 4 2 8 2 2 2 2" xfId="35567" xr:uid="{F0056F64-35C4-4A28-904C-D6104C524795}"/>
    <cellStyle name="Normal 2 4 2 8 2 2 3" xfId="26270" xr:uid="{BDFD7519-9C8E-4CFE-BA8D-C15C49DACD32}"/>
    <cellStyle name="Normal 2 4 2 8 2 3" xfId="12754" xr:uid="{AF683B21-FDE9-4BB0-9A2C-68CFB7C1049B}"/>
    <cellStyle name="Normal 2 4 2 8 2 3 2" xfId="31350" xr:uid="{911000D0-7063-438F-9491-D47A2B5D20AD}"/>
    <cellStyle name="Normal 2 4 2 8 2 4" xfId="22053" xr:uid="{4AFE8150-4DA3-4716-8218-796D9FC9C424}"/>
    <cellStyle name="Normal 2 4 2 8 3" xfId="5500" xr:uid="{00000000-0005-0000-0000-0000C90F0000}"/>
    <cellStyle name="Normal 2 4 2 8 3 2" xfId="14826" xr:uid="{B11FCE87-CA7C-4C29-8A6D-702C9C731197}"/>
    <cellStyle name="Normal 2 4 2 8 3 2 2" xfId="33422" xr:uid="{F68DE5CC-A692-4144-936C-E9BEAA378959}"/>
    <cellStyle name="Normal 2 4 2 8 3 3" xfId="24125" xr:uid="{2AF1E0AD-E5B4-4A66-876B-C873BB28E82E}"/>
    <cellStyle name="Normal 2 4 2 8 4" xfId="10609" xr:uid="{F19D1F48-8690-4AE9-AF9F-AFDC80EAC120}"/>
    <cellStyle name="Normal 2 4 2 8 4 2" xfId="29205" xr:uid="{4CA57579-1D55-41C1-A25F-38EE91AE69AC}"/>
    <cellStyle name="Normal 2 4 2 8 5" xfId="19908" xr:uid="{9FD3DA5B-64D4-4A82-BBB8-1A80410FE628}"/>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D8E645AA-CE4A-4B76-8BFD-7B625C3BFE0E}"/>
    <cellStyle name="Normal 2 4 2 9 2 2 2 2" xfId="35980" xr:uid="{EFC3A398-76FF-499E-AB44-1C331E53037C}"/>
    <cellStyle name="Normal 2 4 2 9 2 2 3" xfId="26683" xr:uid="{FF05B782-E56C-41CC-BD19-CA978A5E4474}"/>
    <cellStyle name="Normal 2 4 2 9 2 3" xfId="13167" xr:uid="{72362A88-B80F-4702-A695-8403A93CBAC2}"/>
    <cellStyle name="Normal 2 4 2 9 2 3 2" xfId="31763" xr:uid="{A0DFFC68-CDE9-4675-A79F-D090977FC4CA}"/>
    <cellStyle name="Normal 2 4 2 9 2 4" xfId="22466" xr:uid="{C796E678-E10E-498F-8AD1-CA62C2785C89}"/>
    <cellStyle name="Normal 2 4 2 9 3" xfId="5913" xr:uid="{00000000-0005-0000-0000-0000CD0F0000}"/>
    <cellStyle name="Normal 2 4 2 9 3 2" xfId="15239" xr:uid="{35F92618-9EF1-47EA-B3EF-75F80DF2090A}"/>
    <cellStyle name="Normal 2 4 2 9 3 2 2" xfId="33835" xr:uid="{3208585F-C412-4EA4-8B88-5506EFDB6F99}"/>
    <cellStyle name="Normal 2 4 2 9 3 3" xfId="24538" xr:uid="{A40F74EB-90FC-4537-83B1-FE7C77371C2D}"/>
    <cellStyle name="Normal 2 4 2 9 4" xfId="11022" xr:uid="{811C060F-A56D-44F6-AAB8-3EB423CC1808}"/>
    <cellStyle name="Normal 2 4 2 9 4 2" xfId="29618" xr:uid="{62D8EAC1-E972-4A8E-B9F3-5C4114DDFBC7}"/>
    <cellStyle name="Normal 2 4 2 9 5" xfId="20321" xr:uid="{D8393876-E7B4-4B35-B822-936EE2E7C2B1}"/>
    <cellStyle name="Normal 2 4 3" xfId="296" xr:uid="{00000000-0005-0000-0000-0000CE0F0000}"/>
    <cellStyle name="Normal 2 4 3 10" xfId="9798" xr:uid="{5F14A585-7279-42BE-A17B-1154EAD559C5}"/>
    <cellStyle name="Normal 2 4 3 10 2" xfId="28394" xr:uid="{217418F2-2D41-4949-886D-CF5D12E52BF5}"/>
    <cellStyle name="Normal 2 4 3 11" xfId="19097" xr:uid="{775D056A-5B78-450C-B594-3A8ADE0AFD3B}"/>
    <cellStyle name="Normal 2 4 3 2" xfId="297" xr:uid="{00000000-0005-0000-0000-0000CF0F0000}"/>
    <cellStyle name="Normal 2 4 3 3" xfId="298" xr:uid="{00000000-0005-0000-0000-0000D00F0000}"/>
    <cellStyle name="Normal 2 4 3 3 10" xfId="8814" xr:uid="{F78EFD99-FCC5-4915-ACA3-DFC3FC0D45A5}"/>
    <cellStyle name="Normal 2 4 3 3 10 2" xfId="18138" xr:uid="{E36B263F-F8F7-40FE-8128-5074BE37F047}"/>
    <cellStyle name="Normal 2 4 3 3 10 2 2" xfId="36733" xr:uid="{A628B7A8-9E69-445E-B1D8-5332807E853B}"/>
    <cellStyle name="Normal 2 4 3 3 10 3" xfId="27436" xr:uid="{E1C45FA8-4426-47D7-B961-8FB8FF16A9D5}"/>
    <cellStyle name="Normal 2 4 3 3 11" xfId="9799" xr:uid="{D2009704-D34F-4ECC-8733-A2DD5C1A7D3F}"/>
    <cellStyle name="Normal 2 4 3 3 11 2" xfId="28395" xr:uid="{DA886A97-A2A1-4D7E-9B24-9CCA58E23F40}"/>
    <cellStyle name="Normal 2 4 3 3 12" xfId="19098" xr:uid="{DAABA54B-73F9-4B7F-987E-ACFBEA849DE3}"/>
    <cellStyle name="Normal 2 4 3 3 2" xfId="299" xr:uid="{00000000-0005-0000-0000-0000D10F0000}"/>
    <cellStyle name="Normal 2 4 3 3 2 10" xfId="9800" xr:uid="{AD4E18D3-00C6-4476-A9F5-F99B4BA56660}"/>
    <cellStyle name="Normal 2 4 3 3 2 10 2" xfId="28396" xr:uid="{C59B24C5-17D1-43F2-9918-9195550209A2}"/>
    <cellStyle name="Normal 2 4 3 3 2 11" xfId="19099" xr:uid="{CAB3E895-69F3-4638-8DEF-CD28E1C1D012}"/>
    <cellStyle name="Normal 2 4 3 3 2 2" xfId="300" xr:uid="{00000000-0005-0000-0000-0000D20F0000}"/>
    <cellStyle name="Normal 2 4 3 3 2 2 10" xfId="19100" xr:uid="{A367C001-1687-455C-97D2-1DA08785F46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27E31892-B3A0-45AD-A22B-B5B93579685F}"/>
    <cellStyle name="Normal 2 4 3 3 2 2 2 2 2 2 2" xfId="35173" xr:uid="{3A4C9A86-C9BE-40F4-B94B-3597C9F731F9}"/>
    <cellStyle name="Normal 2 4 3 3 2 2 2 2 2 3" xfId="25876" xr:uid="{F5981CD6-3E34-45C3-AB22-25E6E9675678}"/>
    <cellStyle name="Normal 2 4 3 3 2 2 2 2 3" xfId="12360" xr:uid="{1DB0B19F-2BB6-4C67-968B-CC0D78872812}"/>
    <cellStyle name="Normal 2 4 3 3 2 2 2 2 3 2" xfId="30956" xr:uid="{A9E04690-5666-4A04-B032-87732971D70B}"/>
    <cellStyle name="Normal 2 4 3 3 2 2 2 2 4" xfId="21659" xr:uid="{E35ABB4B-2295-46D3-8697-E3CF086C8EAB}"/>
    <cellStyle name="Normal 2 4 3 3 2 2 2 3" xfId="5106" xr:uid="{00000000-0005-0000-0000-0000D60F0000}"/>
    <cellStyle name="Normal 2 4 3 3 2 2 2 3 2" xfId="14432" xr:uid="{BE217E18-B000-43DE-94F6-74F57EA4D87A}"/>
    <cellStyle name="Normal 2 4 3 3 2 2 2 3 2 2" xfId="33028" xr:uid="{69AFA2A5-2141-4E69-B79E-5CAAB4F7F92D}"/>
    <cellStyle name="Normal 2 4 3 3 2 2 2 3 3" xfId="23731" xr:uid="{1B5A5F72-C13F-4ECD-A629-C568B54FAC8D}"/>
    <cellStyle name="Normal 2 4 3 3 2 2 2 4" xfId="9549" xr:uid="{EA88B7BC-E37D-4688-A768-0D7FE5EF9F42}"/>
    <cellStyle name="Normal 2 4 3 3 2 2 2 4 2" xfId="18864" xr:uid="{9FE08AEE-6D86-4924-ACC5-304801A42DE4}"/>
    <cellStyle name="Normal 2 4 3 3 2 2 2 4 2 2" xfId="37458" xr:uid="{533A7A4E-883C-4D71-9CCB-9CD30584A1DA}"/>
    <cellStyle name="Normal 2 4 3 3 2 2 2 4 3" xfId="28161" xr:uid="{A07ECFB8-565D-4D41-A6C4-BC0DEC9186D2}"/>
    <cellStyle name="Normal 2 4 3 3 2 2 2 5" xfId="10215" xr:uid="{C2FFEAB1-80A4-444C-B984-F2D21E117B75}"/>
    <cellStyle name="Normal 2 4 3 3 2 2 2 5 2" xfId="28811" xr:uid="{DD836D2C-00A2-4C31-9563-339B622EB0FB}"/>
    <cellStyle name="Normal 2 4 3 3 2 2 2 6" xfId="19514" xr:uid="{6A2A1048-8A53-4FB2-AC63-62FFDA3DC18F}"/>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FE3F088D-6D1A-4C93-AD25-0609072B049D}"/>
    <cellStyle name="Normal 2 4 3 3 2 2 3 2 2 2 2" xfId="35586" xr:uid="{21A4CA30-D4E1-483A-9B34-156233E584BA}"/>
    <cellStyle name="Normal 2 4 3 3 2 2 3 2 2 3" xfId="26289" xr:uid="{CCFFF95B-31C6-45FA-B243-587389304808}"/>
    <cellStyle name="Normal 2 4 3 3 2 2 3 2 3" xfId="12773" xr:uid="{BCAD2C81-F7DE-4643-B794-D5E7CD58CEAB}"/>
    <cellStyle name="Normal 2 4 3 3 2 2 3 2 3 2" xfId="31369" xr:uid="{66A33476-5297-4A98-AC00-CFF6EDA605E3}"/>
    <cellStyle name="Normal 2 4 3 3 2 2 3 2 4" xfId="22072" xr:uid="{BB6615C0-7E50-41CD-B4AB-BF747EBCC4F2}"/>
    <cellStyle name="Normal 2 4 3 3 2 2 3 3" xfId="5519" xr:uid="{00000000-0005-0000-0000-0000DA0F0000}"/>
    <cellStyle name="Normal 2 4 3 3 2 2 3 3 2" xfId="14845" xr:uid="{79E8CD2D-F975-4913-A714-7AA3DA153022}"/>
    <cellStyle name="Normal 2 4 3 3 2 2 3 3 2 2" xfId="33441" xr:uid="{A9A89A51-1C3E-4E9C-8234-17BF2FDE99B8}"/>
    <cellStyle name="Normal 2 4 3 3 2 2 3 3 3" xfId="24144" xr:uid="{695E95E4-B90F-4DC2-A898-6850D4E2505B}"/>
    <cellStyle name="Normal 2 4 3 3 2 2 3 4" xfId="10628" xr:uid="{D6CF7893-10C5-4748-B56D-338C29F00756}"/>
    <cellStyle name="Normal 2 4 3 3 2 2 3 4 2" xfId="29224" xr:uid="{A7E75F37-2245-46DB-AA7C-46B7A6B3CDD8}"/>
    <cellStyle name="Normal 2 4 3 3 2 2 3 5" xfId="19927" xr:uid="{841B7D35-7795-4756-A2D4-E792066213FB}"/>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74659BC1-9B29-4EA3-AFAA-972ADC44D917}"/>
    <cellStyle name="Normal 2 4 3 3 2 2 4 2 2 2 2" xfId="35999" xr:uid="{27D9268C-09C1-47C1-9302-BCF2CF428775}"/>
    <cellStyle name="Normal 2 4 3 3 2 2 4 2 2 3" xfId="26702" xr:uid="{FF02C634-2481-4E1E-A176-0BC31D882103}"/>
    <cellStyle name="Normal 2 4 3 3 2 2 4 2 3" xfId="13186" xr:uid="{252E3CDF-9158-41E1-AFFE-63F1BF544627}"/>
    <cellStyle name="Normal 2 4 3 3 2 2 4 2 3 2" xfId="31782" xr:uid="{4BEDCFE9-2A0B-4A05-B717-DCCD7CAEF7DC}"/>
    <cellStyle name="Normal 2 4 3 3 2 2 4 2 4" xfId="22485" xr:uid="{9F7BE112-3B92-4A79-822D-B390F76BBBB5}"/>
    <cellStyle name="Normal 2 4 3 3 2 2 4 3" xfId="5932" xr:uid="{00000000-0005-0000-0000-0000DE0F0000}"/>
    <cellStyle name="Normal 2 4 3 3 2 2 4 3 2" xfId="15258" xr:uid="{76FB5A3F-ED8E-450D-8C6F-36471F330C06}"/>
    <cellStyle name="Normal 2 4 3 3 2 2 4 3 2 2" xfId="33854" xr:uid="{C46FDFC5-25BE-4FDF-A6B2-56BDF2028A8A}"/>
    <cellStyle name="Normal 2 4 3 3 2 2 4 3 3" xfId="24557" xr:uid="{C6591ED0-0B3D-4BA6-8914-98FEA157EE13}"/>
    <cellStyle name="Normal 2 4 3 3 2 2 4 4" xfId="11041" xr:uid="{51D443D8-712D-4ED9-87F0-7A867475BD55}"/>
    <cellStyle name="Normal 2 4 3 3 2 2 4 4 2" xfId="29637" xr:uid="{B586A3EC-D0EB-4DAC-991E-4A16E2B0B71C}"/>
    <cellStyle name="Normal 2 4 3 3 2 2 4 5" xfId="20340" xr:uid="{4817DF53-E439-4AD9-932C-082E6924EE16}"/>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6C0F89E3-7358-4119-8FDF-9B274AE913A5}"/>
    <cellStyle name="Normal 2 4 3 3 2 2 5 2 2 2 2" xfId="36412" xr:uid="{8EF1B302-B56F-4E83-91FD-5E2DCACF1FC6}"/>
    <cellStyle name="Normal 2 4 3 3 2 2 5 2 2 3" xfId="27115" xr:uid="{626EA40D-FDB8-4E07-816F-44570883C572}"/>
    <cellStyle name="Normal 2 4 3 3 2 2 5 2 3" xfId="13599" xr:uid="{97D4851F-54C5-4C0C-BFD6-5F4E541C00C9}"/>
    <cellStyle name="Normal 2 4 3 3 2 2 5 2 3 2" xfId="32195" xr:uid="{7F0B9642-261D-4995-A820-2C7FA56DEF6A}"/>
    <cellStyle name="Normal 2 4 3 3 2 2 5 2 4" xfId="22898" xr:uid="{3BF817E4-D6C0-4629-B425-1A1F261A4869}"/>
    <cellStyle name="Normal 2 4 3 3 2 2 5 3" xfId="6345" xr:uid="{00000000-0005-0000-0000-0000E20F0000}"/>
    <cellStyle name="Normal 2 4 3 3 2 2 5 3 2" xfId="15671" xr:uid="{E5E94D5B-6C38-4B14-A90F-29F225CA6E50}"/>
    <cellStyle name="Normal 2 4 3 3 2 2 5 3 2 2" xfId="34267" xr:uid="{3E0945D2-0C66-4BE9-ACCE-9AA6C4F806A4}"/>
    <cellStyle name="Normal 2 4 3 3 2 2 5 3 3" xfId="24970" xr:uid="{4F5A5996-4231-4268-A36A-883020FB0DFB}"/>
    <cellStyle name="Normal 2 4 3 3 2 2 5 4" xfId="11454" xr:uid="{599DF6D3-7356-472C-AA70-95F7F430E0BD}"/>
    <cellStyle name="Normal 2 4 3 3 2 2 5 4 2" xfId="30050" xr:uid="{C1D9FE76-BBA4-4B4B-A422-12C3D1BD5AC7}"/>
    <cellStyle name="Normal 2 4 3 3 2 2 5 5" xfId="20753" xr:uid="{907ABCAA-C2D8-4E14-9360-DFCA966180FE}"/>
    <cellStyle name="Normal 2 4 3 3 2 2 6" xfId="2475" xr:uid="{00000000-0005-0000-0000-0000E30F0000}"/>
    <cellStyle name="Normal 2 4 3 3 2 2 6 2" xfId="6758" xr:uid="{00000000-0005-0000-0000-0000E40F0000}"/>
    <cellStyle name="Normal 2 4 3 3 2 2 6 2 2" xfId="16084" xr:uid="{68613155-91AB-42FE-9033-A3139E4AEECD}"/>
    <cellStyle name="Normal 2 4 3 3 2 2 6 2 2 2" xfId="34680" xr:uid="{69ED0853-1063-4A03-94B2-AF4A8EC7C185}"/>
    <cellStyle name="Normal 2 4 3 3 2 2 6 2 3" xfId="25383" xr:uid="{E62A67C1-EEEE-4FAE-8B8E-BD46D1311A15}"/>
    <cellStyle name="Normal 2 4 3 3 2 2 6 3" xfId="11867" xr:uid="{E71C2FDB-BEA7-4BEC-B3BE-A47F5ECF3F0F}"/>
    <cellStyle name="Normal 2 4 3 3 2 2 6 3 2" xfId="30463" xr:uid="{78A23E84-4631-4979-BAD2-598127F0B601}"/>
    <cellStyle name="Normal 2 4 3 3 2 2 6 4" xfId="21166" xr:uid="{980CF2FA-448E-4C69-BEEA-3487DCA5B978}"/>
    <cellStyle name="Normal 2 4 3 3 2 2 7" xfId="4692" xr:uid="{00000000-0005-0000-0000-0000E50F0000}"/>
    <cellStyle name="Normal 2 4 3 3 2 2 7 2" xfId="14018" xr:uid="{3359BEBF-83B5-4981-84E1-E31017F32B06}"/>
    <cellStyle name="Normal 2 4 3 3 2 2 7 2 2" xfId="32614" xr:uid="{609B73CF-B0E0-4F78-B282-2E2F13A169F5}"/>
    <cellStyle name="Normal 2 4 3 3 2 2 7 3" xfId="23317" xr:uid="{488F9022-E0FA-431F-87AE-F686EC84A9F3}"/>
    <cellStyle name="Normal 2 4 3 3 2 2 8" xfId="9124" xr:uid="{1FF2B195-09C8-4D7B-A363-E8AF809A669B}"/>
    <cellStyle name="Normal 2 4 3 3 2 2 8 2" xfId="18448" xr:uid="{64459F37-DC1B-4601-8C34-75BDBDF105B5}"/>
    <cellStyle name="Normal 2 4 3 3 2 2 8 2 2" xfId="37043" xr:uid="{BA430FCF-06E5-4959-A402-0ED2828ABAAC}"/>
    <cellStyle name="Normal 2 4 3 3 2 2 8 3" xfId="27746" xr:uid="{ACC2C7D3-BC0D-4D92-B427-A0A8EF764D59}"/>
    <cellStyle name="Normal 2 4 3 3 2 2 9" xfId="9801" xr:uid="{A20CBA1A-7522-49D1-8534-8BFD8865830F}"/>
    <cellStyle name="Normal 2 4 3 3 2 2 9 2" xfId="28397" xr:uid="{BEE795A3-4658-4E80-8B8F-88B07AF7F0E9}"/>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65E49E71-048B-407B-A014-ACD8079305AB}"/>
    <cellStyle name="Normal 2 4 3 3 2 3 2 2 2 2" xfId="35172" xr:uid="{E9630FA4-E41D-4BFD-A02C-769489BB2C2E}"/>
    <cellStyle name="Normal 2 4 3 3 2 3 2 2 3" xfId="25875" xr:uid="{2755C7E6-35AC-4C30-80F9-15212904F362}"/>
    <cellStyle name="Normal 2 4 3 3 2 3 2 3" xfId="12359" xr:uid="{040C80F1-A3DE-4699-8757-6389F16E9D3C}"/>
    <cellStyle name="Normal 2 4 3 3 2 3 2 3 2" xfId="30955" xr:uid="{C6C48CC1-011A-4362-8417-6EA04A6EAD42}"/>
    <cellStyle name="Normal 2 4 3 3 2 3 2 4" xfId="21658" xr:uid="{3B2BC865-7D80-4933-924B-A0CB0B8585C5}"/>
    <cellStyle name="Normal 2 4 3 3 2 3 3" xfId="5105" xr:uid="{00000000-0005-0000-0000-0000E90F0000}"/>
    <cellStyle name="Normal 2 4 3 3 2 3 3 2" xfId="14431" xr:uid="{29A95482-9068-4702-8C0E-3BC316A48E9E}"/>
    <cellStyle name="Normal 2 4 3 3 2 3 3 2 2" xfId="33027" xr:uid="{3F02D674-28EA-4BEE-8509-F53E9D3D7699}"/>
    <cellStyle name="Normal 2 4 3 3 2 3 3 3" xfId="23730" xr:uid="{2F59DAD0-0559-4F18-B083-9A3A01079C3C}"/>
    <cellStyle name="Normal 2 4 3 3 2 3 4" xfId="9342" xr:uid="{41454CF9-47C1-4E8A-868A-8F39341308EB}"/>
    <cellStyle name="Normal 2 4 3 3 2 3 4 2" xfId="18657" xr:uid="{B4A4C467-3E5C-4046-8AAC-C849C884ABB7}"/>
    <cellStyle name="Normal 2 4 3 3 2 3 4 2 2" xfId="37251" xr:uid="{2C4E2CF2-B1C1-4561-A02C-671AF4B3B472}"/>
    <cellStyle name="Normal 2 4 3 3 2 3 4 3" xfId="27954" xr:uid="{E8B5806D-8631-47E8-A302-2EC0F2ECA1A6}"/>
    <cellStyle name="Normal 2 4 3 3 2 3 5" xfId="10214" xr:uid="{47F748DC-03CB-4422-8A81-7241B3727C5A}"/>
    <cellStyle name="Normal 2 4 3 3 2 3 5 2" xfId="28810" xr:uid="{F6C848EC-3744-493E-8FAC-964BC9F25F9D}"/>
    <cellStyle name="Normal 2 4 3 3 2 3 6" xfId="19513" xr:uid="{8599DE2D-A6F9-467C-B3A1-D5E502E27FBE}"/>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40F9E23F-95C5-4482-A45C-B6C5AB71FFE7}"/>
    <cellStyle name="Normal 2 4 3 3 2 4 2 2 2 2" xfId="35585" xr:uid="{15A68878-1A8E-4B49-ADB3-CB0CE7F3668E}"/>
    <cellStyle name="Normal 2 4 3 3 2 4 2 2 3" xfId="26288" xr:uid="{4A927837-7A3C-4581-A8B6-D66B2CAC4056}"/>
    <cellStyle name="Normal 2 4 3 3 2 4 2 3" xfId="12772" xr:uid="{F4988BF4-98E4-4C0A-9A30-17E8D4AD2890}"/>
    <cellStyle name="Normal 2 4 3 3 2 4 2 3 2" xfId="31368" xr:uid="{77AB5A94-88B9-4DA8-808C-31C14CA6A19F}"/>
    <cellStyle name="Normal 2 4 3 3 2 4 2 4" xfId="22071" xr:uid="{CC9C9610-D762-4048-8A8A-A487054CB338}"/>
    <cellStyle name="Normal 2 4 3 3 2 4 3" xfId="5518" xr:uid="{00000000-0005-0000-0000-0000ED0F0000}"/>
    <cellStyle name="Normal 2 4 3 3 2 4 3 2" xfId="14844" xr:uid="{FCC76057-CC3C-4C3A-843C-9520BBFFD6AE}"/>
    <cellStyle name="Normal 2 4 3 3 2 4 3 2 2" xfId="33440" xr:uid="{0CF3DAEF-7124-4634-90E8-9C892A6FCBCB}"/>
    <cellStyle name="Normal 2 4 3 3 2 4 3 3" xfId="24143" xr:uid="{339EDF75-190C-4943-BE38-DC051BA75B41}"/>
    <cellStyle name="Normal 2 4 3 3 2 4 4" xfId="10627" xr:uid="{C8DCB2B1-8F71-48EB-A3D5-3EEF0A1D6767}"/>
    <cellStyle name="Normal 2 4 3 3 2 4 4 2" xfId="29223" xr:uid="{7A155D82-04F4-441F-976F-F7A9ECBDE7A8}"/>
    <cellStyle name="Normal 2 4 3 3 2 4 5" xfId="19926" xr:uid="{527D4243-D34C-4944-996E-299D3C211E59}"/>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BEBA1DCE-968A-4D58-9124-BA3ED10648DC}"/>
    <cellStyle name="Normal 2 4 3 3 2 5 2 2 2 2" xfId="35998" xr:uid="{2852F33E-D4A9-4C77-B115-CFA3D9DDC5CF}"/>
    <cellStyle name="Normal 2 4 3 3 2 5 2 2 3" xfId="26701" xr:uid="{28D41ACF-CCFC-4F72-AD4E-F851A55B81DE}"/>
    <cellStyle name="Normal 2 4 3 3 2 5 2 3" xfId="13185" xr:uid="{FC8D7EF8-03D7-40DE-81CF-879B207AB228}"/>
    <cellStyle name="Normal 2 4 3 3 2 5 2 3 2" xfId="31781" xr:uid="{23675C12-74A0-47E3-9351-EC8FF14827D5}"/>
    <cellStyle name="Normal 2 4 3 3 2 5 2 4" xfId="22484" xr:uid="{B90AF757-5283-4FDB-859B-368723A1E86E}"/>
    <cellStyle name="Normal 2 4 3 3 2 5 3" xfId="5931" xr:uid="{00000000-0005-0000-0000-0000F10F0000}"/>
    <cellStyle name="Normal 2 4 3 3 2 5 3 2" xfId="15257" xr:uid="{4B935387-FCD0-48E2-A778-DCD667D57F50}"/>
    <cellStyle name="Normal 2 4 3 3 2 5 3 2 2" xfId="33853" xr:uid="{E197A915-675B-4651-9625-017A9A255E3A}"/>
    <cellStyle name="Normal 2 4 3 3 2 5 3 3" xfId="24556" xr:uid="{3C7D92D4-2367-4C4B-BC80-CF99A3FC18EA}"/>
    <cellStyle name="Normal 2 4 3 3 2 5 4" xfId="11040" xr:uid="{B4C78242-43AA-4900-8525-1351C0E52338}"/>
    <cellStyle name="Normal 2 4 3 3 2 5 4 2" xfId="29636" xr:uid="{8EA613DA-11BA-42FB-AFE5-A2735C27C462}"/>
    <cellStyle name="Normal 2 4 3 3 2 5 5" xfId="20339" xr:uid="{5EF4E76B-49F4-442C-B2DF-A22EF28153A8}"/>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1113F175-FE71-4A42-89C4-E36E84D35E62}"/>
    <cellStyle name="Normal 2 4 3 3 2 6 2 2 2 2" xfId="36411" xr:uid="{B1C63FB7-92C0-4423-9D51-285DE818F365}"/>
    <cellStyle name="Normal 2 4 3 3 2 6 2 2 3" xfId="27114" xr:uid="{C5F9CE53-9FA3-41F1-9A9C-D2A306597F90}"/>
    <cellStyle name="Normal 2 4 3 3 2 6 2 3" xfId="13598" xr:uid="{736405B2-6CCA-47CB-B147-4F1AB3F21122}"/>
    <cellStyle name="Normal 2 4 3 3 2 6 2 3 2" xfId="32194" xr:uid="{3925EF7A-5EC9-4A63-9670-E23ADD8E7C15}"/>
    <cellStyle name="Normal 2 4 3 3 2 6 2 4" xfId="22897" xr:uid="{C48115C8-2E29-4C59-BFA3-26A72D933D27}"/>
    <cellStyle name="Normal 2 4 3 3 2 6 3" xfId="6344" xr:uid="{00000000-0005-0000-0000-0000F50F0000}"/>
    <cellStyle name="Normal 2 4 3 3 2 6 3 2" xfId="15670" xr:uid="{A208A1C0-0879-40B2-93E2-F83AEFBE7637}"/>
    <cellStyle name="Normal 2 4 3 3 2 6 3 2 2" xfId="34266" xr:uid="{066541D8-C54C-4F8D-BECD-1694977CB232}"/>
    <cellStyle name="Normal 2 4 3 3 2 6 3 3" xfId="24969" xr:uid="{7ECD1F3F-D275-46D1-BA27-35B23A9360B8}"/>
    <cellStyle name="Normal 2 4 3 3 2 6 4" xfId="11453" xr:uid="{760CA0FD-491D-4137-9241-C723D7D12793}"/>
    <cellStyle name="Normal 2 4 3 3 2 6 4 2" xfId="30049" xr:uid="{B467268E-3396-4F55-AF24-34C5F86F350B}"/>
    <cellStyle name="Normal 2 4 3 3 2 6 5" xfId="20752" xr:uid="{1F46D13F-3667-42BD-81F3-62CCC469DB9C}"/>
    <cellStyle name="Normal 2 4 3 3 2 7" xfId="2474" xr:uid="{00000000-0005-0000-0000-0000F60F0000}"/>
    <cellStyle name="Normal 2 4 3 3 2 7 2" xfId="6757" xr:uid="{00000000-0005-0000-0000-0000F70F0000}"/>
    <cellStyle name="Normal 2 4 3 3 2 7 2 2" xfId="16083" xr:uid="{AA7ACFF6-AD64-44F6-9A2F-87B0635E17AC}"/>
    <cellStyle name="Normal 2 4 3 3 2 7 2 2 2" xfId="34679" xr:uid="{10D5A39F-5692-4E25-B860-36FA530D21CB}"/>
    <cellStyle name="Normal 2 4 3 3 2 7 2 3" xfId="25382" xr:uid="{4923D924-A3B2-4288-9066-C2A2C88E0118}"/>
    <cellStyle name="Normal 2 4 3 3 2 7 3" xfId="11866" xr:uid="{86129568-54C0-4992-9923-C49A93812B90}"/>
    <cellStyle name="Normal 2 4 3 3 2 7 3 2" xfId="30462" xr:uid="{55A35827-E4F0-4D94-BA81-1F3B08FB210D}"/>
    <cellStyle name="Normal 2 4 3 3 2 7 4" xfId="21165" xr:uid="{F4846096-3109-4711-AC3E-A5F42E35F5BE}"/>
    <cellStyle name="Normal 2 4 3 3 2 8" xfId="4691" xr:uid="{00000000-0005-0000-0000-0000F80F0000}"/>
    <cellStyle name="Normal 2 4 3 3 2 8 2" xfId="14017" xr:uid="{5BA32844-0B9F-4B46-A9FC-77D2331999DD}"/>
    <cellStyle name="Normal 2 4 3 3 2 8 2 2" xfId="32613" xr:uid="{7BE53923-F28A-4508-B638-B900A63CB8A2}"/>
    <cellStyle name="Normal 2 4 3 3 2 8 3" xfId="23316" xr:uid="{4D9527BD-3ECE-4536-B2F8-F50FBBEF6040}"/>
    <cellStyle name="Normal 2 4 3 3 2 9" xfId="8917" xr:uid="{1E22693C-F4B1-4678-80B0-65CF6DC31586}"/>
    <cellStyle name="Normal 2 4 3 3 2 9 2" xfId="18241" xr:uid="{4DE84751-6FDA-4CE9-A88B-7980D98B1CC2}"/>
    <cellStyle name="Normal 2 4 3 3 2 9 2 2" xfId="36836" xr:uid="{7B25901B-0919-4D56-9431-22580AD10B8A}"/>
    <cellStyle name="Normal 2 4 3 3 2 9 3" xfId="27539" xr:uid="{2335CBF4-33F9-44F6-A64B-1070B368FC09}"/>
    <cellStyle name="Normal 2 4 3 3 3" xfId="301" xr:uid="{00000000-0005-0000-0000-0000F90F0000}"/>
    <cellStyle name="Normal 2 4 3 3 3 10" xfId="19101" xr:uid="{4D16F19C-E1DE-4B5E-8EA6-7B43D9BAEE13}"/>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51BEE9B3-11E1-400A-8D31-D3AE6717B390}"/>
    <cellStyle name="Normal 2 4 3 3 3 2 2 2 2 2" xfId="35174" xr:uid="{2DEFB21C-92D8-4C9A-9715-4558ACB63B86}"/>
    <cellStyle name="Normal 2 4 3 3 3 2 2 2 3" xfId="25877" xr:uid="{D1561B43-CE45-4617-9614-BDF6F7D22AAB}"/>
    <cellStyle name="Normal 2 4 3 3 3 2 2 3" xfId="12361" xr:uid="{B60BBA9A-4A57-4AA3-8B10-1E55AA9C8C19}"/>
    <cellStyle name="Normal 2 4 3 3 3 2 2 3 2" xfId="30957" xr:uid="{D5115141-4F55-4BDD-96FB-3FE4C029D4DF}"/>
    <cellStyle name="Normal 2 4 3 3 3 2 2 4" xfId="21660" xr:uid="{7A2AEBE2-2821-4D91-BEEA-57EB73CFCBAF}"/>
    <cellStyle name="Normal 2 4 3 3 3 2 3" xfId="5107" xr:uid="{00000000-0005-0000-0000-0000FD0F0000}"/>
    <cellStyle name="Normal 2 4 3 3 3 2 3 2" xfId="14433" xr:uid="{EC3A60BE-D227-459A-9021-26B3DCD119EC}"/>
    <cellStyle name="Normal 2 4 3 3 3 2 3 2 2" xfId="33029" xr:uid="{F466AFB1-8086-4A4E-89DB-25FFE1F07FD2}"/>
    <cellStyle name="Normal 2 4 3 3 3 2 3 3" xfId="23732" xr:uid="{AACF10F1-8080-44AB-8572-07038EC7DFD1}"/>
    <cellStyle name="Normal 2 4 3 3 3 2 4" xfId="9446" xr:uid="{7ACDBBC8-943F-41CF-9832-96F56BCB3985}"/>
    <cellStyle name="Normal 2 4 3 3 3 2 4 2" xfId="18761" xr:uid="{BD36680C-5B0B-4230-9BCD-D989C8CFC77B}"/>
    <cellStyle name="Normal 2 4 3 3 3 2 4 2 2" xfId="37355" xr:uid="{714965FC-9AF5-491D-B1E1-F95BA8F9F0AD}"/>
    <cellStyle name="Normal 2 4 3 3 3 2 4 3" xfId="28058" xr:uid="{229C77A1-EC64-41CA-8918-1BA21B4B76C4}"/>
    <cellStyle name="Normal 2 4 3 3 3 2 5" xfId="10216" xr:uid="{6D74D25C-72A2-489E-8109-B3E9DC399A68}"/>
    <cellStyle name="Normal 2 4 3 3 3 2 5 2" xfId="28812" xr:uid="{43EDA1D0-C2A4-4830-A678-E0B3C22162A0}"/>
    <cellStyle name="Normal 2 4 3 3 3 2 6" xfId="19515" xr:uid="{036F6CA7-2569-4805-B71F-CDBB5DAB1968}"/>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C8AFB60A-F061-4F94-9D4E-5E52073AC80D}"/>
    <cellStyle name="Normal 2 4 3 3 3 3 2 2 2 2" xfId="35587" xr:uid="{B3D40153-20CE-4A17-80DB-E588841EBC16}"/>
    <cellStyle name="Normal 2 4 3 3 3 3 2 2 3" xfId="26290" xr:uid="{24F0F3AF-9B53-4C83-8103-440FFE11AE48}"/>
    <cellStyle name="Normal 2 4 3 3 3 3 2 3" xfId="12774" xr:uid="{9866B2CB-C9C8-41EB-A849-B309D4FBE687}"/>
    <cellStyle name="Normal 2 4 3 3 3 3 2 3 2" xfId="31370" xr:uid="{DD089AE4-420A-460C-B7A8-493D283AC858}"/>
    <cellStyle name="Normal 2 4 3 3 3 3 2 4" xfId="22073" xr:uid="{6BAB937D-7FF7-4796-B89D-43634392957A}"/>
    <cellStyle name="Normal 2 4 3 3 3 3 3" xfId="5520" xr:uid="{00000000-0005-0000-0000-000001100000}"/>
    <cellStyle name="Normal 2 4 3 3 3 3 3 2" xfId="14846" xr:uid="{D2206952-1597-4EC0-B164-7BB68078A683}"/>
    <cellStyle name="Normal 2 4 3 3 3 3 3 2 2" xfId="33442" xr:uid="{FA6622E9-DDBA-451F-B12D-F594A53C3F1A}"/>
    <cellStyle name="Normal 2 4 3 3 3 3 3 3" xfId="24145" xr:uid="{98C1C76D-8D2D-457C-8D38-C531AF4C48E6}"/>
    <cellStyle name="Normal 2 4 3 3 3 3 4" xfId="10629" xr:uid="{C8957E4B-DEAF-4E78-8742-4E9A2CB3C102}"/>
    <cellStyle name="Normal 2 4 3 3 3 3 4 2" xfId="29225" xr:uid="{4C13DC4D-155F-467B-BEF3-41B3EE8F1291}"/>
    <cellStyle name="Normal 2 4 3 3 3 3 5" xfId="19928" xr:uid="{0EAD6C69-B2A5-4A61-9865-360D437A1C9D}"/>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E2013209-32E9-4693-9364-C725D2FA56D4}"/>
    <cellStyle name="Normal 2 4 3 3 3 4 2 2 2 2" xfId="36000" xr:uid="{805E7227-B7C6-496C-8E3B-52CF7C7E1C70}"/>
    <cellStyle name="Normal 2 4 3 3 3 4 2 2 3" xfId="26703" xr:uid="{8F76B16E-249F-466C-BA17-0C43DDE83013}"/>
    <cellStyle name="Normal 2 4 3 3 3 4 2 3" xfId="13187" xr:uid="{771C2508-5140-498A-8584-5B56B5F834DF}"/>
    <cellStyle name="Normal 2 4 3 3 3 4 2 3 2" xfId="31783" xr:uid="{0A87B5C8-2261-4571-92DD-2538C2E71B21}"/>
    <cellStyle name="Normal 2 4 3 3 3 4 2 4" xfId="22486" xr:uid="{B56D09D6-F83F-4B2E-9A8A-D9FCB7CE8E1C}"/>
    <cellStyle name="Normal 2 4 3 3 3 4 3" xfId="5933" xr:uid="{00000000-0005-0000-0000-000005100000}"/>
    <cellStyle name="Normal 2 4 3 3 3 4 3 2" xfId="15259" xr:uid="{D443A71C-1645-4CCC-B816-33473A6F4185}"/>
    <cellStyle name="Normal 2 4 3 3 3 4 3 2 2" xfId="33855" xr:uid="{BF30E3DD-A465-43CE-88E5-76CB63BFDDCC}"/>
    <cellStyle name="Normal 2 4 3 3 3 4 3 3" xfId="24558" xr:uid="{82EB86ED-DC2E-48CE-829E-D5A219E4C618}"/>
    <cellStyle name="Normal 2 4 3 3 3 4 4" xfId="11042" xr:uid="{71297C10-3981-4A4C-8ABB-D916A17BA7E8}"/>
    <cellStyle name="Normal 2 4 3 3 3 4 4 2" xfId="29638" xr:uid="{9203A7EA-F1E1-4CFE-9D69-1B142672B29B}"/>
    <cellStyle name="Normal 2 4 3 3 3 4 5" xfId="20341" xr:uid="{FE086236-7D6B-4A94-B011-C7D3019E6AEA}"/>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68BDDD6F-7DA1-4D5B-9B31-BD32067EC5C9}"/>
    <cellStyle name="Normal 2 4 3 3 3 5 2 2 2 2" xfId="36413" xr:uid="{676CEA34-3784-4153-84A4-620F95495C92}"/>
    <cellStyle name="Normal 2 4 3 3 3 5 2 2 3" xfId="27116" xr:uid="{8672D430-3809-40D8-9340-BD7412B45468}"/>
    <cellStyle name="Normal 2 4 3 3 3 5 2 3" xfId="13600" xr:uid="{77AC7141-69DB-4B36-8FF3-37B3E3C0F5A0}"/>
    <cellStyle name="Normal 2 4 3 3 3 5 2 3 2" xfId="32196" xr:uid="{FFB9B7AE-F92D-4160-BD47-9B6139E3BF95}"/>
    <cellStyle name="Normal 2 4 3 3 3 5 2 4" xfId="22899" xr:uid="{4BB2B692-672A-4A77-8A11-84E3B7A437EE}"/>
    <cellStyle name="Normal 2 4 3 3 3 5 3" xfId="6346" xr:uid="{00000000-0005-0000-0000-000009100000}"/>
    <cellStyle name="Normal 2 4 3 3 3 5 3 2" xfId="15672" xr:uid="{89122143-2F1F-4198-9F63-CCE17308841F}"/>
    <cellStyle name="Normal 2 4 3 3 3 5 3 2 2" xfId="34268" xr:uid="{4F54EF21-93E7-431C-AAAD-5DDA82B4E132}"/>
    <cellStyle name="Normal 2 4 3 3 3 5 3 3" xfId="24971" xr:uid="{993B10DB-5A8F-4108-8652-50E99C1D15AE}"/>
    <cellStyle name="Normal 2 4 3 3 3 5 4" xfId="11455" xr:uid="{47C1DD71-FCFA-4DB5-8983-5C8446665387}"/>
    <cellStyle name="Normal 2 4 3 3 3 5 4 2" xfId="30051" xr:uid="{60E0E78E-F464-4A4A-B967-DE8286936B95}"/>
    <cellStyle name="Normal 2 4 3 3 3 5 5" xfId="20754" xr:uid="{CF0BCF62-624B-4218-9C4C-6D66256AD807}"/>
    <cellStyle name="Normal 2 4 3 3 3 6" xfId="2476" xr:uid="{00000000-0005-0000-0000-00000A100000}"/>
    <cellStyle name="Normal 2 4 3 3 3 6 2" xfId="6759" xr:uid="{00000000-0005-0000-0000-00000B100000}"/>
    <cellStyle name="Normal 2 4 3 3 3 6 2 2" xfId="16085" xr:uid="{E8399718-B99D-4511-93DE-9E637986070E}"/>
    <cellStyle name="Normal 2 4 3 3 3 6 2 2 2" xfId="34681" xr:uid="{C095D153-1CC8-49C9-A4E3-4B1208A8AF1B}"/>
    <cellStyle name="Normal 2 4 3 3 3 6 2 3" xfId="25384" xr:uid="{8EFB371F-F7C9-4F17-9EC4-C23F145D3761}"/>
    <cellStyle name="Normal 2 4 3 3 3 6 3" xfId="11868" xr:uid="{EC19BC82-D5DA-40F4-82CE-1A851E71DED4}"/>
    <cellStyle name="Normal 2 4 3 3 3 6 3 2" xfId="30464" xr:uid="{354D87DB-EE9C-4A6C-998D-BB9918FE35CC}"/>
    <cellStyle name="Normal 2 4 3 3 3 6 4" xfId="21167" xr:uid="{B6425D30-2F04-4013-8999-CD9B7DECC255}"/>
    <cellStyle name="Normal 2 4 3 3 3 7" xfId="4693" xr:uid="{00000000-0005-0000-0000-00000C100000}"/>
    <cellStyle name="Normal 2 4 3 3 3 7 2" xfId="14019" xr:uid="{79252CA8-E4E0-40F4-A839-8A2FEC096E29}"/>
    <cellStyle name="Normal 2 4 3 3 3 7 2 2" xfId="32615" xr:uid="{D0E4D87E-472C-4104-92A0-1740C5A158B5}"/>
    <cellStyle name="Normal 2 4 3 3 3 7 3" xfId="23318" xr:uid="{DE42235F-FCF0-456A-A9F5-2B3B2A842ED3}"/>
    <cellStyle name="Normal 2 4 3 3 3 8" xfId="9021" xr:uid="{4EC0F035-DC07-4262-9C58-7142AC357944}"/>
    <cellStyle name="Normal 2 4 3 3 3 8 2" xfId="18345" xr:uid="{70C09138-49DB-4131-AEC7-C793169166AC}"/>
    <cellStyle name="Normal 2 4 3 3 3 8 2 2" xfId="36940" xr:uid="{49885C33-531E-4A61-BFA7-89B5EFB83960}"/>
    <cellStyle name="Normal 2 4 3 3 3 8 3" xfId="27643" xr:uid="{D1443BF7-CA17-463F-AA97-81AACAA2ACFA}"/>
    <cellStyle name="Normal 2 4 3 3 3 9" xfId="9802" xr:uid="{0144C3C9-CDB4-4A8C-9256-DB948859F9F7}"/>
    <cellStyle name="Normal 2 4 3 3 3 9 2" xfId="28398" xr:uid="{502D73BB-0871-4F5E-9264-0BBC9C551BDF}"/>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CC1D820A-E1AE-419C-87A3-6247CE332004}"/>
    <cellStyle name="Normal 2 4 3 3 4 2 2 2 2" xfId="35171" xr:uid="{58FDB7D1-5AAB-4F54-BEA8-B39AA2BD8B73}"/>
    <cellStyle name="Normal 2 4 3 3 4 2 2 3" xfId="25874" xr:uid="{CB0D6AD6-36A5-4AC2-BF29-B22DB2A12ECC}"/>
    <cellStyle name="Normal 2 4 3 3 4 2 3" xfId="12358" xr:uid="{B6A6283E-EF65-4FAD-B4D0-9A28DCE72514}"/>
    <cellStyle name="Normal 2 4 3 3 4 2 3 2" xfId="30954" xr:uid="{46315E41-5D9F-4556-B321-6F002E03EC2F}"/>
    <cellStyle name="Normal 2 4 3 3 4 2 4" xfId="21657" xr:uid="{0B05B3F2-85BB-460A-AF48-E5FF97EDFE9E}"/>
    <cellStyle name="Normal 2 4 3 3 4 3" xfId="5104" xr:uid="{00000000-0005-0000-0000-000010100000}"/>
    <cellStyle name="Normal 2 4 3 3 4 3 2" xfId="14430" xr:uid="{BAFC8D4F-1784-4C06-8DC0-EC780BA7BBC1}"/>
    <cellStyle name="Normal 2 4 3 3 4 3 2 2" xfId="33026" xr:uid="{A6ABC29F-3C3D-4CC8-8462-31B88DCBA7A5}"/>
    <cellStyle name="Normal 2 4 3 3 4 3 3" xfId="23729" xr:uid="{2A588CEF-555C-4F12-BA5A-260C01CB2927}"/>
    <cellStyle name="Normal 2 4 3 3 4 4" xfId="9239" xr:uid="{3DCBA9AF-C63D-4CA9-81B6-AC7CB7B67292}"/>
    <cellStyle name="Normal 2 4 3 3 4 4 2" xfId="18554" xr:uid="{BD477818-53DC-4EF0-B61B-371B790309DA}"/>
    <cellStyle name="Normal 2 4 3 3 4 4 2 2" xfId="37148" xr:uid="{83005CD6-C009-4BA4-88A9-144987D19AB6}"/>
    <cellStyle name="Normal 2 4 3 3 4 4 3" xfId="27851" xr:uid="{17F6D428-37CA-4261-A5D5-F0CB7CB25746}"/>
    <cellStyle name="Normal 2 4 3 3 4 5" xfId="10213" xr:uid="{5881EF32-3A74-4248-A1C4-03ED5C06CFCA}"/>
    <cellStyle name="Normal 2 4 3 3 4 5 2" xfId="28809" xr:uid="{99736D06-F5B8-4DC6-80FE-4407C7DA2557}"/>
    <cellStyle name="Normal 2 4 3 3 4 6" xfId="19512" xr:uid="{3D4DC3F8-1E73-4F6D-AA3A-5B2C5663850D}"/>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7DB73618-BE4B-4AD9-898F-A9719378D185}"/>
    <cellStyle name="Normal 2 4 3 3 5 2 2 2 2" xfId="35584" xr:uid="{D79D0565-AD02-498D-A03D-DE4F2C45F113}"/>
    <cellStyle name="Normal 2 4 3 3 5 2 2 3" xfId="26287" xr:uid="{2278DBAC-6CD9-4D41-B9B8-A0D39D7A7991}"/>
    <cellStyle name="Normal 2 4 3 3 5 2 3" xfId="12771" xr:uid="{193CEC64-2514-49DD-ABA2-5813E10B311E}"/>
    <cellStyle name="Normal 2 4 3 3 5 2 3 2" xfId="31367" xr:uid="{63510A89-A77F-49F4-B4FD-6EFD884F0968}"/>
    <cellStyle name="Normal 2 4 3 3 5 2 4" xfId="22070" xr:uid="{D75A3F60-BC14-4988-858C-6922BE7C4512}"/>
    <cellStyle name="Normal 2 4 3 3 5 3" xfId="5517" xr:uid="{00000000-0005-0000-0000-000014100000}"/>
    <cellStyle name="Normal 2 4 3 3 5 3 2" xfId="14843" xr:uid="{C41C26E7-99BE-4AD6-BE2F-606155F30431}"/>
    <cellStyle name="Normal 2 4 3 3 5 3 2 2" xfId="33439" xr:uid="{C12B4A13-050B-4036-98E4-36D75F04D21C}"/>
    <cellStyle name="Normal 2 4 3 3 5 3 3" xfId="24142" xr:uid="{93D01A1A-E4D0-407B-9846-4A16AE79B384}"/>
    <cellStyle name="Normal 2 4 3 3 5 4" xfId="10626" xr:uid="{E39E66A6-1C73-4E7F-9502-6048931DB02C}"/>
    <cellStyle name="Normal 2 4 3 3 5 4 2" xfId="29222" xr:uid="{412FC5C7-EB0A-4EC9-8269-961C2325404D}"/>
    <cellStyle name="Normal 2 4 3 3 5 5" xfId="19925" xr:uid="{F2D1FF92-1895-422B-A71D-285E4D4874BF}"/>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9B3CA0D8-FEFD-43CE-8DBF-ACF1761698F8}"/>
    <cellStyle name="Normal 2 4 3 3 6 2 2 2 2" xfId="35997" xr:uid="{096DD2D4-EB31-4BAF-8172-C9F1BB418F8F}"/>
    <cellStyle name="Normal 2 4 3 3 6 2 2 3" xfId="26700" xr:uid="{0B71F820-6FF8-4713-BE1F-A6A1EA500EE8}"/>
    <cellStyle name="Normal 2 4 3 3 6 2 3" xfId="13184" xr:uid="{05ADD82A-2A8C-43C5-941B-B490A41550BE}"/>
    <cellStyle name="Normal 2 4 3 3 6 2 3 2" xfId="31780" xr:uid="{0DE98237-8C21-44F9-B986-0FBAC8A66D3D}"/>
    <cellStyle name="Normal 2 4 3 3 6 2 4" xfId="22483" xr:uid="{45DBB1DA-4AD5-474F-8322-9E3FC77078A5}"/>
    <cellStyle name="Normal 2 4 3 3 6 3" xfId="5930" xr:uid="{00000000-0005-0000-0000-000018100000}"/>
    <cellStyle name="Normal 2 4 3 3 6 3 2" xfId="15256" xr:uid="{C0AF64D6-DCD6-4388-98FD-0A4BD3CA01A4}"/>
    <cellStyle name="Normal 2 4 3 3 6 3 2 2" xfId="33852" xr:uid="{608322E8-952C-436B-9B03-B02431602FD0}"/>
    <cellStyle name="Normal 2 4 3 3 6 3 3" xfId="24555" xr:uid="{C051027A-968A-4669-BC35-70220BFC29EB}"/>
    <cellStyle name="Normal 2 4 3 3 6 4" xfId="11039" xr:uid="{446070E5-42D1-4057-80A9-62BBAF1398EC}"/>
    <cellStyle name="Normal 2 4 3 3 6 4 2" xfId="29635" xr:uid="{669701C1-D398-4E90-B3DE-26F12AB341B7}"/>
    <cellStyle name="Normal 2 4 3 3 6 5" xfId="20338" xr:uid="{E9407BAA-42B2-4D2F-B943-B93FA8D9FBE5}"/>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0657E963-45CA-4403-A0E6-6D39033F308D}"/>
    <cellStyle name="Normal 2 4 3 3 7 2 2 2 2" xfId="36410" xr:uid="{CD7D2594-6581-4D79-82FF-D04DC01896ED}"/>
    <cellStyle name="Normal 2 4 3 3 7 2 2 3" xfId="27113" xr:uid="{028ED9EC-ABAE-49CC-80A6-79802443A1B8}"/>
    <cellStyle name="Normal 2 4 3 3 7 2 3" xfId="13597" xr:uid="{B63A258C-B320-47FE-81A5-81C3C3D109C7}"/>
    <cellStyle name="Normal 2 4 3 3 7 2 3 2" xfId="32193" xr:uid="{7DF00423-BEA0-418A-82BB-AB4234652190}"/>
    <cellStyle name="Normal 2 4 3 3 7 2 4" xfId="22896" xr:uid="{50E8A62C-9CB9-41F0-ACB7-26DC893B7680}"/>
    <cellStyle name="Normal 2 4 3 3 7 3" xfId="6343" xr:uid="{00000000-0005-0000-0000-00001C100000}"/>
    <cellStyle name="Normal 2 4 3 3 7 3 2" xfId="15669" xr:uid="{880F105B-61C8-4152-8B7F-42721643F879}"/>
    <cellStyle name="Normal 2 4 3 3 7 3 2 2" xfId="34265" xr:uid="{1CE541AE-9733-4492-8CE3-02C0A94016BE}"/>
    <cellStyle name="Normal 2 4 3 3 7 3 3" xfId="24968" xr:uid="{FCF15CCD-6F0D-4CC7-B2A2-DD1FD956F689}"/>
    <cellStyle name="Normal 2 4 3 3 7 4" xfId="11452" xr:uid="{A1B7B0FB-1ECF-44FD-9493-FE326FE7F725}"/>
    <cellStyle name="Normal 2 4 3 3 7 4 2" xfId="30048" xr:uid="{EA6A1DA5-F9E7-4D89-91C7-381A7616D7A8}"/>
    <cellStyle name="Normal 2 4 3 3 7 5" xfId="20751" xr:uid="{177D689F-373D-4271-B5AF-BF94E59D0F32}"/>
    <cellStyle name="Normal 2 4 3 3 8" xfId="2473" xr:uid="{00000000-0005-0000-0000-00001D100000}"/>
    <cellStyle name="Normal 2 4 3 3 8 2" xfId="6756" xr:uid="{00000000-0005-0000-0000-00001E100000}"/>
    <cellStyle name="Normal 2 4 3 3 8 2 2" xfId="16082" xr:uid="{80E1F04E-B41A-4339-B1B3-734DF6656A9C}"/>
    <cellStyle name="Normal 2 4 3 3 8 2 2 2" xfId="34678" xr:uid="{0C4F15D1-46A9-4DAD-BB05-4FFA7551F0E2}"/>
    <cellStyle name="Normal 2 4 3 3 8 2 3" xfId="25381" xr:uid="{C89D4633-1588-45F7-A4A1-432A72240C5B}"/>
    <cellStyle name="Normal 2 4 3 3 8 3" xfId="11865" xr:uid="{6CABD520-3526-4A9D-93DC-519E04CEC1F1}"/>
    <cellStyle name="Normal 2 4 3 3 8 3 2" xfId="30461" xr:uid="{610914E4-82D6-489E-91E3-6BA7EA0461EA}"/>
    <cellStyle name="Normal 2 4 3 3 8 4" xfId="21164" xr:uid="{511AF52E-BE5E-4412-AC39-2FE4470E0CEE}"/>
    <cellStyle name="Normal 2 4 3 3 9" xfId="4690" xr:uid="{00000000-0005-0000-0000-00001F100000}"/>
    <cellStyle name="Normal 2 4 3 3 9 2" xfId="14016" xr:uid="{1B8509A7-9007-4A8A-9CC2-462C69AED22F}"/>
    <cellStyle name="Normal 2 4 3 3 9 2 2" xfId="32612" xr:uid="{59DA02D9-6A7E-4679-9D34-F62941E20434}"/>
    <cellStyle name="Normal 2 4 3 3 9 3" xfId="23315" xr:uid="{1F3A1569-A952-47AB-91A0-C27B3C873042}"/>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0A674235-A5EB-4C9E-9192-360C182F6B7D}"/>
    <cellStyle name="Normal 2 4 3 4 2 2 2 2" xfId="35170" xr:uid="{D7032BC1-11B9-4713-BBD3-A431334477D2}"/>
    <cellStyle name="Normal 2 4 3 4 2 2 3" xfId="25873" xr:uid="{2362FA3D-10FC-4AD2-A5CE-5A7ABB0DD76D}"/>
    <cellStyle name="Normal 2 4 3 4 2 3" xfId="12357" xr:uid="{73A561CA-A48E-4FD9-8393-F0F97D104E60}"/>
    <cellStyle name="Normal 2 4 3 4 2 3 2" xfId="30953" xr:uid="{FFFFE02C-41AF-495E-9CFE-2B3F52E670A0}"/>
    <cellStyle name="Normal 2 4 3 4 2 4" xfId="21656" xr:uid="{4BD825D6-6878-4421-8EBC-0F082DB3FC65}"/>
    <cellStyle name="Normal 2 4 3 4 3" xfId="5103" xr:uid="{00000000-0005-0000-0000-000023100000}"/>
    <cellStyle name="Normal 2 4 3 4 3 2" xfId="14429" xr:uid="{65DEBB31-CF4D-44F5-B7B5-435BD0BEE463}"/>
    <cellStyle name="Normal 2 4 3 4 3 2 2" xfId="33025" xr:uid="{18532F9E-90B5-453D-8D3C-F77C3C3F8620}"/>
    <cellStyle name="Normal 2 4 3 4 3 3" xfId="23728" xr:uid="{A23942A4-1AEF-4FAA-AAFF-696FC049D0D3}"/>
    <cellStyle name="Normal 2 4 3 4 4" xfId="9605" xr:uid="{31B075F0-6828-4EC6-AC77-4B4B0626A722}"/>
    <cellStyle name="Normal 2 4 3 4 4 2" xfId="18906" xr:uid="{6880CC50-0BDB-429F-9D61-A2671B8508F6}"/>
    <cellStyle name="Normal 2 4 3 4 4 2 2" xfId="37500" xr:uid="{3563D5DB-9234-413A-87C9-070EB576E378}"/>
    <cellStyle name="Normal 2 4 3 4 4 3" xfId="28203" xr:uid="{ADD00926-665A-4D8F-8547-F8C1F165D5B6}"/>
    <cellStyle name="Normal 2 4 3 4 5" xfId="10212" xr:uid="{4677AAA3-5002-42DC-ADB7-0689CA853CD0}"/>
    <cellStyle name="Normal 2 4 3 4 5 2" xfId="28808" xr:uid="{45272D3C-E9F2-4C7F-9838-8DE358C97EFC}"/>
    <cellStyle name="Normal 2 4 3 4 6" xfId="19511" xr:uid="{9D4FB5EB-A874-400A-BF71-D093FB5F83DC}"/>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3426C514-9B32-4D2D-B1FD-B1D4A7FF1343}"/>
    <cellStyle name="Normal 2 4 3 5 2 2 2 2" xfId="35583" xr:uid="{C5681229-7E38-4457-94AB-0C7DA316FD66}"/>
    <cellStyle name="Normal 2 4 3 5 2 2 3" xfId="26286" xr:uid="{51DDABEB-5F93-4D5E-9998-4F197200D4E4}"/>
    <cellStyle name="Normal 2 4 3 5 2 3" xfId="12770" xr:uid="{6DC0A14B-3F1D-412A-BFD5-CBD449DCD2AA}"/>
    <cellStyle name="Normal 2 4 3 5 2 3 2" xfId="31366" xr:uid="{D523643E-7663-47F8-8B99-917BF088615A}"/>
    <cellStyle name="Normal 2 4 3 5 2 4" xfId="22069" xr:uid="{1168B791-8285-4C01-B33A-3D222393ACA6}"/>
    <cellStyle name="Normal 2 4 3 5 3" xfId="5516" xr:uid="{00000000-0005-0000-0000-000027100000}"/>
    <cellStyle name="Normal 2 4 3 5 3 2" xfId="14842" xr:uid="{1786B863-2B1C-425B-A490-37B39FF040C2}"/>
    <cellStyle name="Normal 2 4 3 5 3 2 2" xfId="33438" xr:uid="{02B41C21-F26E-4BD8-85FE-97594BF385CB}"/>
    <cellStyle name="Normal 2 4 3 5 3 3" xfId="24141" xr:uid="{5D52C5CA-4987-4AEE-99F7-DF4C8414300B}"/>
    <cellStyle name="Normal 2 4 3 5 4" xfId="10625" xr:uid="{6E04D76F-0551-4224-90F1-64B3BF60D9FC}"/>
    <cellStyle name="Normal 2 4 3 5 4 2" xfId="29221" xr:uid="{97BCA559-5BD9-4C1A-B61C-AD6BACF729F5}"/>
    <cellStyle name="Normal 2 4 3 5 5" xfId="19924" xr:uid="{83477789-8352-45DC-8345-85DA6EAF793D}"/>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F1633327-5325-4C06-A023-8DC93B88B08B}"/>
    <cellStyle name="Normal 2 4 3 6 2 2 2 2" xfId="35996" xr:uid="{136AF80D-61FB-4939-B348-2922FB3671A9}"/>
    <cellStyle name="Normal 2 4 3 6 2 2 3" xfId="26699" xr:uid="{3AF7B1EE-E0E1-471A-9D52-CA78354CC214}"/>
    <cellStyle name="Normal 2 4 3 6 2 3" xfId="13183" xr:uid="{1E2FA7BE-C430-40E0-808C-07AFE11775F3}"/>
    <cellStyle name="Normal 2 4 3 6 2 3 2" xfId="31779" xr:uid="{024B0AC3-50D6-4F08-8789-B0CEA7D89415}"/>
    <cellStyle name="Normal 2 4 3 6 2 4" xfId="22482" xr:uid="{2A53946E-60E1-4F18-8A2A-C883E6BB79B9}"/>
    <cellStyle name="Normal 2 4 3 6 3" xfId="5929" xr:uid="{00000000-0005-0000-0000-00002B100000}"/>
    <cellStyle name="Normal 2 4 3 6 3 2" xfId="15255" xr:uid="{EC6A56D7-E1A9-4B75-9FA2-CAB327C6E458}"/>
    <cellStyle name="Normal 2 4 3 6 3 2 2" xfId="33851" xr:uid="{B18F5B40-0D53-458C-9133-530B036E47C8}"/>
    <cellStyle name="Normal 2 4 3 6 3 3" xfId="24554" xr:uid="{47B891C5-B462-4C96-A7FD-0041EA444219}"/>
    <cellStyle name="Normal 2 4 3 6 4" xfId="11038" xr:uid="{2C55CA70-0D22-4745-A9B4-151FC5F8616D}"/>
    <cellStyle name="Normal 2 4 3 6 4 2" xfId="29634" xr:uid="{8BC5E192-E2DE-4AB2-98D9-03CA0636F17D}"/>
    <cellStyle name="Normal 2 4 3 6 5" xfId="20337" xr:uid="{8F62B272-42F0-4A18-ACF3-E10C7C8BA6E1}"/>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C68590EC-8997-4157-8B5A-9F8D7E0C1E61}"/>
    <cellStyle name="Normal 2 4 3 7 2 2 2 2" xfId="36409" xr:uid="{F4322340-0DF1-4C12-BAB6-125186877ED1}"/>
    <cellStyle name="Normal 2 4 3 7 2 2 3" xfId="27112" xr:uid="{21735D5D-9E87-4E5B-8CEA-E409E34050BA}"/>
    <cellStyle name="Normal 2 4 3 7 2 3" xfId="13596" xr:uid="{00969ADA-9430-48ED-ADCE-3AB79ED89159}"/>
    <cellStyle name="Normal 2 4 3 7 2 3 2" xfId="32192" xr:uid="{6F9D5661-B5D4-4E14-89F9-1350030CE032}"/>
    <cellStyle name="Normal 2 4 3 7 2 4" xfId="22895" xr:uid="{528822AE-A41A-47AB-B15D-C30E96CA5FB0}"/>
    <cellStyle name="Normal 2 4 3 7 3" xfId="6342" xr:uid="{00000000-0005-0000-0000-00002F100000}"/>
    <cellStyle name="Normal 2 4 3 7 3 2" xfId="15668" xr:uid="{D19B620B-F793-47C8-8A76-C1729971E2B2}"/>
    <cellStyle name="Normal 2 4 3 7 3 2 2" xfId="34264" xr:uid="{D53E706C-0425-442E-89BB-B5AE87FB8DB3}"/>
    <cellStyle name="Normal 2 4 3 7 3 3" xfId="24967" xr:uid="{362B96E4-0A66-4CA5-BDA9-F937D8835EBA}"/>
    <cellStyle name="Normal 2 4 3 7 4" xfId="11451" xr:uid="{3C02B99B-17C8-4B6E-A27B-B5870A22C325}"/>
    <cellStyle name="Normal 2 4 3 7 4 2" xfId="30047" xr:uid="{E55FFA1B-2C56-4760-9730-BD17F8DF0449}"/>
    <cellStyle name="Normal 2 4 3 7 5" xfId="20750" xr:uid="{97A66BA5-A0B0-4681-A24E-AD1E2E89ED8A}"/>
    <cellStyle name="Normal 2 4 3 8" xfId="2472" xr:uid="{00000000-0005-0000-0000-000030100000}"/>
    <cellStyle name="Normal 2 4 3 8 2" xfId="6755" xr:uid="{00000000-0005-0000-0000-000031100000}"/>
    <cellStyle name="Normal 2 4 3 8 2 2" xfId="16081" xr:uid="{DDA50FFA-F073-4C03-924B-01B74CDE6076}"/>
    <cellStyle name="Normal 2 4 3 8 2 2 2" xfId="34677" xr:uid="{FD4784AF-AF40-4C92-8914-0E3BD9A85DD7}"/>
    <cellStyle name="Normal 2 4 3 8 2 3" xfId="25380" xr:uid="{C0AB1032-B1E7-4E45-9C79-4227EDD783DD}"/>
    <cellStyle name="Normal 2 4 3 8 3" xfId="11864" xr:uid="{5DC747A7-A46A-404B-B009-C41010DEFD3D}"/>
    <cellStyle name="Normal 2 4 3 8 3 2" xfId="30460" xr:uid="{128AED8E-F81D-428F-B589-34C2DB6C7F7F}"/>
    <cellStyle name="Normal 2 4 3 8 4" xfId="21163" xr:uid="{E5B752D9-D3FC-4679-A3DF-466DB6985673}"/>
    <cellStyle name="Normal 2 4 3 9" xfId="4689" xr:uid="{00000000-0005-0000-0000-000032100000}"/>
    <cellStyle name="Normal 2 4 3 9 2" xfId="14015" xr:uid="{B6B3ABA6-0DCF-4739-9883-33BA7BF4CD3F}"/>
    <cellStyle name="Normal 2 4 3 9 2 2" xfId="32611" xr:uid="{35BCF517-5664-45AE-869C-A8499295A325}"/>
    <cellStyle name="Normal 2 4 3 9 3" xfId="23314" xr:uid="{DA1DFFC3-8BA2-4855-BFEE-054661E53647}"/>
    <cellStyle name="Normal 2 4 4" xfId="302" xr:uid="{00000000-0005-0000-0000-000033100000}"/>
    <cellStyle name="Normal 2 4 5" xfId="303" xr:uid="{00000000-0005-0000-0000-000034100000}"/>
    <cellStyle name="Normal 2 4 5 10" xfId="4694" xr:uid="{00000000-0005-0000-0000-000035100000}"/>
    <cellStyle name="Normal 2 4 5 10 2" xfId="14020" xr:uid="{E737DAF0-D525-47B7-B222-8A636F0ADAA0}"/>
    <cellStyle name="Normal 2 4 5 10 2 2" xfId="32616" xr:uid="{B703C86B-443A-42AD-9898-85898D6417EC}"/>
    <cellStyle name="Normal 2 4 5 10 3" xfId="23319" xr:uid="{8946E2DB-7FDA-43F6-95A7-AEF4340F3931}"/>
    <cellStyle name="Normal 2 4 5 11" xfId="8780" xr:uid="{7650B30D-5C17-47F0-B17B-A5E27258C29E}"/>
    <cellStyle name="Normal 2 4 5 11 2" xfId="18104" xr:uid="{E3E89652-3BC9-4214-BABB-5C4DBA01C76C}"/>
    <cellStyle name="Normal 2 4 5 11 2 2" xfId="36699" xr:uid="{3A4C11B5-D9A2-4F93-9EB5-CD7C60965F67}"/>
    <cellStyle name="Normal 2 4 5 11 3" xfId="27402" xr:uid="{FE15A9A8-3EC6-4645-B12F-8E97198D9788}"/>
    <cellStyle name="Normal 2 4 5 12" xfId="9803" xr:uid="{57FE6A94-6717-49D5-9F11-37A8E1E387C4}"/>
    <cellStyle name="Normal 2 4 5 12 2" xfId="28399" xr:uid="{C3AB9056-5A08-425B-A367-9422668C0C6B}"/>
    <cellStyle name="Normal 2 4 5 13" xfId="19102" xr:uid="{936F99A5-B7D3-4F5A-8BB3-67B4541780D8}"/>
    <cellStyle name="Normal 2 4 5 2" xfId="304" xr:uid="{00000000-0005-0000-0000-000036100000}"/>
    <cellStyle name="Normal 2 4 5 2 10" xfId="8815" xr:uid="{40A5EFE5-2EC9-4F25-B9EC-CAF9321E00F7}"/>
    <cellStyle name="Normal 2 4 5 2 10 2" xfId="18139" xr:uid="{1DAEF9A7-2EDF-4AF4-85F2-FCC6278A937D}"/>
    <cellStyle name="Normal 2 4 5 2 10 2 2" xfId="36734" xr:uid="{76A53257-BC00-4E2A-A68E-E7EF4A291655}"/>
    <cellStyle name="Normal 2 4 5 2 10 3" xfId="27437" xr:uid="{6B0B0B56-A796-4954-96B8-BDD7BAF71300}"/>
    <cellStyle name="Normal 2 4 5 2 11" xfId="9804" xr:uid="{59337791-1A93-47CF-A272-CA3D23CC671B}"/>
    <cellStyle name="Normal 2 4 5 2 11 2" xfId="28400" xr:uid="{0F240E8A-CEE4-420A-A051-2F90A1D0AD4B}"/>
    <cellStyle name="Normal 2 4 5 2 12" xfId="19103" xr:uid="{9DEFEC6A-FB17-474E-92A8-C7287F2A0BF1}"/>
    <cellStyle name="Normal 2 4 5 2 2" xfId="305" xr:uid="{00000000-0005-0000-0000-000037100000}"/>
    <cellStyle name="Normal 2 4 5 2 2 10" xfId="9805" xr:uid="{C7ED3637-B44E-4EFD-878A-20E4D7249C67}"/>
    <cellStyle name="Normal 2 4 5 2 2 10 2" xfId="28401" xr:uid="{8B57F4A5-856B-458F-BC3E-251955F8090C}"/>
    <cellStyle name="Normal 2 4 5 2 2 11" xfId="19104" xr:uid="{A6183CAE-F8C7-44C9-8472-86E534DDE542}"/>
    <cellStyle name="Normal 2 4 5 2 2 2" xfId="306" xr:uid="{00000000-0005-0000-0000-000038100000}"/>
    <cellStyle name="Normal 2 4 5 2 2 2 10" xfId="19105" xr:uid="{1893526C-17E8-473E-8BD3-F999660563FE}"/>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36330192-D7FF-4A3D-BFB8-DC5D9C777B25}"/>
    <cellStyle name="Normal 2 4 5 2 2 2 2 2 2 2 2" xfId="35178" xr:uid="{1EAC5B67-9E29-456E-9BB1-7C4E24D7CC37}"/>
    <cellStyle name="Normal 2 4 5 2 2 2 2 2 2 3" xfId="25881" xr:uid="{9710F1EA-DF1F-41CE-981C-DA45F6EDE8B3}"/>
    <cellStyle name="Normal 2 4 5 2 2 2 2 2 3" xfId="12365" xr:uid="{B1CF332D-5F4A-4140-A7B1-E9B67DBD5CC0}"/>
    <cellStyle name="Normal 2 4 5 2 2 2 2 2 3 2" xfId="30961" xr:uid="{349B9104-585D-447B-B650-052B544F88A5}"/>
    <cellStyle name="Normal 2 4 5 2 2 2 2 2 4" xfId="21664" xr:uid="{C6196722-8BEA-486D-95EB-E48466A82390}"/>
    <cellStyle name="Normal 2 4 5 2 2 2 2 3" xfId="5111" xr:uid="{00000000-0005-0000-0000-00003C100000}"/>
    <cellStyle name="Normal 2 4 5 2 2 2 2 3 2" xfId="14437" xr:uid="{CBA105D9-5FEB-4D8A-A6A5-FD312DCB1D5A}"/>
    <cellStyle name="Normal 2 4 5 2 2 2 2 3 2 2" xfId="33033" xr:uid="{B79CD137-6082-4B17-96E1-3BE98A9BDA72}"/>
    <cellStyle name="Normal 2 4 5 2 2 2 2 3 3" xfId="23736" xr:uid="{522C8DC0-359D-4FCC-962B-1EBD40970AE0}"/>
    <cellStyle name="Normal 2 4 5 2 2 2 2 4" xfId="9550" xr:uid="{8A7671EC-AB7E-4F51-9B1B-FE1F0FDC42A9}"/>
    <cellStyle name="Normal 2 4 5 2 2 2 2 4 2" xfId="18865" xr:uid="{F57EE773-EC84-458A-84D2-1757277639EC}"/>
    <cellStyle name="Normal 2 4 5 2 2 2 2 4 2 2" xfId="37459" xr:uid="{29B1C8CB-912A-4D39-9188-83F176408C23}"/>
    <cellStyle name="Normal 2 4 5 2 2 2 2 4 3" xfId="28162" xr:uid="{B325783A-942A-4CB4-836B-2536B8644664}"/>
    <cellStyle name="Normal 2 4 5 2 2 2 2 5" xfId="10220" xr:uid="{43AE3CE5-C679-4542-BEDF-3813ED7219DC}"/>
    <cellStyle name="Normal 2 4 5 2 2 2 2 5 2" xfId="28816" xr:uid="{E3EA5F58-92EF-4FD8-A78F-0CDF434E8923}"/>
    <cellStyle name="Normal 2 4 5 2 2 2 2 6" xfId="19519" xr:uid="{21ECD3B8-A30C-4A61-8E37-63753E65F3B3}"/>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FADD73D0-8D2F-4B75-954C-CFE070E1F110}"/>
    <cellStyle name="Normal 2 4 5 2 2 2 3 2 2 2 2" xfId="35591" xr:uid="{8AADAA38-0740-497E-970F-6814874E2A14}"/>
    <cellStyle name="Normal 2 4 5 2 2 2 3 2 2 3" xfId="26294" xr:uid="{628A8361-9D24-40A8-A405-8112B06170E3}"/>
    <cellStyle name="Normal 2 4 5 2 2 2 3 2 3" xfId="12778" xr:uid="{B7D68E6E-CE84-4AED-9A23-390753BC7ACF}"/>
    <cellStyle name="Normal 2 4 5 2 2 2 3 2 3 2" xfId="31374" xr:uid="{6A0E86FB-EE27-4E65-8658-FFF9C5692A5F}"/>
    <cellStyle name="Normal 2 4 5 2 2 2 3 2 4" xfId="22077" xr:uid="{FC6ECF13-BAD6-40AC-B1B9-5436A8E60DAA}"/>
    <cellStyle name="Normal 2 4 5 2 2 2 3 3" xfId="5524" xr:uid="{00000000-0005-0000-0000-000040100000}"/>
    <cellStyle name="Normal 2 4 5 2 2 2 3 3 2" xfId="14850" xr:uid="{E89B3314-43D1-4B23-8259-C74DF8D5D35F}"/>
    <cellStyle name="Normal 2 4 5 2 2 2 3 3 2 2" xfId="33446" xr:uid="{339E208B-4BD6-44D2-B050-57801198FD66}"/>
    <cellStyle name="Normal 2 4 5 2 2 2 3 3 3" xfId="24149" xr:uid="{57E7C23E-6A81-43D8-A3A1-204F766CDCD0}"/>
    <cellStyle name="Normal 2 4 5 2 2 2 3 4" xfId="10633" xr:uid="{73FCC4F3-D9A9-4C40-8DE2-CDCFF1259CE0}"/>
    <cellStyle name="Normal 2 4 5 2 2 2 3 4 2" xfId="29229" xr:uid="{AA7FCA30-B231-47B4-AA5B-CDE599AB9AF1}"/>
    <cellStyle name="Normal 2 4 5 2 2 2 3 5" xfId="19932" xr:uid="{4D84D028-40A7-4D36-80FA-2AE8F7E69461}"/>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7523A7DF-45FF-4E7E-BD88-E7C789B71098}"/>
    <cellStyle name="Normal 2 4 5 2 2 2 4 2 2 2 2" xfId="36004" xr:uid="{C709E4B4-2842-4FB0-9B34-716834E74681}"/>
    <cellStyle name="Normal 2 4 5 2 2 2 4 2 2 3" xfId="26707" xr:uid="{85182375-AC63-410C-9D8C-E993DF006B78}"/>
    <cellStyle name="Normal 2 4 5 2 2 2 4 2 3" xfId="13191" xr:uid="{E780C6B3-0E81-4E56-BA4F-446194689920}"/>
    <cellStyle name="Normal 2 4 5 2 2 2 4 2 3 2" xfId="31787" xr:uid="{069ABEA3-87E4-4CA6-B3FC-C592DDD11A4B}"/>
    <cellStyle name="Normal 2 4 5 2 2 2 4 2 4" xfId="22490" xr:uid="{21EC68E7-7B08-4D30-B6BE-4AB680E78DA3}"/>
    <cellStyle name="Normal 2 4 5 2 2 2 4 3" xfId="5937" xr:uid="{00000000-0005-0000-0000-000044100000}"/>
    <cellStyle name="Normal 2 4 5 2 2 2 4 3 2" xfId="15263" xr:uid="{3065769F-B8F1-47B4-AF3C-8ACFF96F0EE7}"/>
    <cellStyle name="Normal 2 4 5 2 2 2 4 3 2 2" xfId="33859" xr:uid="{34B31842-FE72-494D-9E86-96C4DEC203E1}"/>
    <cellStyle name="Normal 2 4 5 2 2 2 4 3 3" xfId="24562" xr:uid="{84FB6578-7437-4A86-AF2E-A3C44C6367EA}"/>
    <cellStyle name="Normal 2 4 5 2 2 2 4 4" xfId="11046" xr:uid="{93B8698C-081B-41B4-9A2E-5B8058242614}"/>
    <cellStyle name="Normal 2 4 5 2 2 2 4 4 2" xfId="29642" xr:uid="{CAE3DE04-C8E2-4B9F-B87A-62EFC061890A}"/>
    <cellStyle name="Normal 2 4 5 2 2 2 4 5" xfId="20345" xr:uid="{54EA9714-CC7B-4428-A903-FA8551B19CA7}"/>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12CA6A25-B937-48DF-8556-BDBDB121A435}"/>
    <cellStyle name="Normal 2 4 5 2 2 2 5 2 2 2 2" xfId="36417" xr:uid="{E2E02429-AB02-4FC4-9700-E5523678D986}"/>
    <cellStyle name="Normal 2 4 5 2 2 2 5 2 2 3" xfId="27120" xr:uid="{25EADD47-5607-4D90-A8D0-B18426CD820D}"/>
    <cellStyle name="Normal 2 4 5 2 2 2 5 2 3" xfId="13604" xr:uid="{1B99DA32-89BE-4396-A9C6-D0086008A32B}"/>
    <cellStyle name="Normal 2 4 5 2 2 2 5 2 3 2" xfId="32200" xr:uid="{90C90C10-84F4-41E7-AC42-9625D2333164}"/>
    <cellStyle name="Normal 2 4 5 2 2 2 5 2 4" xfId="22903" xr:uid="{38D7594E-3ACD-4750-B67D-BCA8ADE76E1D}"/>
    <cellStyle name="Normal 2 4 5 2 2 2 5 3" xfId="6350" xr:uid="{00000000-0005-0000-0000-000048100000}"/>
    <cellStyle name="Normal 2 4 5 2 2 2 5 3 2" xfId="15676" xr:uid="{6D03B9B3-320D-4A0E-8089-AD6CB79B4046}"/>
    <cellStyle name="Normal 2 4 5 2 2 2 5 3 2 2" xfId="34272" xr:uid="{FC242C59-EA93-49D0-8D9A-33E27BEBC039}"/>
    <cellStyle name="Normal 2 4 5 2 2 2 5 3 3" xfId="24975" xr:uid="{1F881D79-3B38-42F9-AB16-ACC273092F89}"/>
    <cellStyle name="Normal 2 4 5 2 2 2 5 4" xfId="11459" xr:uid="{EB5985B1-08FD-4641-96CE-84519224E3FE}"/>
    <cellStyle name="Normal 2 4 5 2 2 2 5 4 2" xfId="30055" xr:uid="{9785ABD2-62D5-4FDF-AE47-76659165B22B}"/>
    <cellStyle name="Normal 2 4 5 2 2 2 5 5" xfId="20758" xr:uid="{76890692-D20D-46F7-A0CB-FE14827C0D4C}"/>
    <cellStyle name="Normal 2 4 5 2 2 2 6" xfId="2480" xr:uid="{00000000-0005-0000-0000-000049100000}"/>
    <cellStyle name="Normal 2 4 5 2 2 2 6 2" xfId="6763" xr:uid="{00000000-0005-0000-0000-00004A100000}"/>
    <cellStyle name="Normal 2 4 5 2 2 2 6 2 2" xfId="16089" xr:uid="{817B80E3-4662-4DC2-B0B3-2DC31AF5F541}"/>
    <cellStyle name="Normal 2 4 5 2 2 2 6 2 2 2" xfId="34685" xr:uid="{6C38F450-1443-4E18-900B-71E3EABA7C71}"/>
    <cellStyle name="Normal 2 4 5 2 2 2 6 2 3" xfId="25388" xr:uid="{723DEC63-60B0-47B2-8B95-348A986EC662}"/>
    <cellStyle name="Normal 2 4 5 2 2 2 6 3" xfId="11872" xr:uid="{71D5FFFF-A481-4592-A178-F131A2BD6D95}"/>
    <cellStyle name="Normal 2 4 5 2 2 2 6 3 2" xfId="30468" xr:uid="{5A31C5EB-4704-4021-9206-50C6266BB4A8}"/>
    <cellStyle name="Normal 2 4 5 2 2 2 6 4" xfId="21171" xr:uid="{8ED798AA-2226-4689-BB9C-019BC4EF50F1}"/>
    <cellStyle name="Normal 2 4 5 2 2 2 7" xfId="4697" xr:uid="{00000000-0005-0000-0000-00004B100000}"/>
    <cellStyle name="Normal 2 4 5 2 2 2 7 2" xfId="14023" xr:uid="{1B24D9EC-554B-4358-ADB3-2EBD4C3F8AFB}"/>
    <cellStyle name="Normal 2 4 5 2 2 2 7 2 2" xfId="32619" xr:uid="{9B96738D-9828-4733-8535-C69118C78B07}"/>
    <cellStyle name="Normal 2 4 5 2 2 2 7 3" xfId="23322" xr:uid="{B0DCD5C6-34A0-4841-A40C-7CF9E92A37B3}"/>
    <cellStyle name="Normal 2 4 5 2 2 2 8" xfId="9125" xr:uid="{AE6B93A1-5C0B-49F1-AF15-6FC3FAFFE3B2}"/>
    <cellStyle name="Normal 2 4 5 2 2 2 8 2" xfId="18449" xr:uid="{CE4B297C-CF77-46EC-9379-768D51831115}"/>
    <cellStyle name="Normal 2 4 5 2 2 2 8 2 2" xfId="37044" xr:uid="{30CCC216-6A6C-4506-8E9E-17F69B2492E0}"/>
    <cellStyle name="Normal 2 4 5 2 2 2 8 3" xfId="27747" xr:uid="{888F550F-28FF-4266-BAEF-EAC17C62A7AB}"/>
    <cellStyle name="Normal 2 4 5 2 2 2 9" xfId="9806" xr:uid="{2CFE0141-51D7-44B9-B2D5-8D99D9650C7D}"/>
    <cellStyle name="Normal 2 4 5 2 2 2 9 2" xfId="28402" xr:uid="{ECFE5DB1-5905-40B9-9DA7-8B9269C439BE}"/>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8996894D-3364-46D1-86E0-EC157D97F48F}"/>
    <cellStyle name="Normal 2 4 5 2 2 3 2 2 2 2" xfId="35177" xr:uid="{121DB27F-CCCF-4FF1-878A-5466F67C51AB}"/>
    <cellStyle name="Normal 2 4 5 2 2 3 2 2 3" xfId="25880" xr:uid="{31275E95-C4DB-4100-9505-BEE6B2E9DA18}"/>
    <cellStyle name="Normal 2 4 5 2 2 3 2 3" xfId="12364" xr:uid="{6C0DA297-3169-444B-8469-7E68FBCD7649}"/>
    <cellStyle name="Normal 2 4 5 2 2 3 2 3 2" xfId="30960" xr:uid="{6135DA1B-CCA8-47D1-9191-08494AA3DE91}"/>
    <cellStyle name="Normal 2 4 5 2 2 3 2 4" xfId="21663" xr:uid="{8C241496-9911-4A0C-B48C-7B6E2EE7E839}"/>
    <cellStyle name="Normal 2 4 5 2 2 3 3" xfId="5110" xr:uid="{00000000-0005-0000-0000-00004F100000}"/>
    <cellStyle name="Normal 2 4 5 2 2 3 3 2" xfId="14436" xr:uid="{82E6D6F3-87F0-4F64-8BCC-57BABB52B244}"/>
    <cellStyle name="Normal 2 4 5 2 2 3 3 2 2" xfId="33032" xr:uid="{D36B07BC-E535-4EAA-8C67-344E36F8F91F}"/>
    <cellStyle name="Normal 2 4 5 2 2 3 3 3" xfId="23735" xr:uid="{8B5BD115-FC99-4F8B-9307-2E44D6ED1A6E}"/>
    <cellStyle name="Normal 2 4 5 2 2 3 4" xfId="9343" xr:uid="{FC4CD386-4202-45E2-8021-2A85CACF4E8B}"/>
    <cellStyle name="Normal 2 4 5 2 2 3 4 2" xfId="18658" xr:uid="{A33465CE-C87E-45DC-BFDC-B96E11F571E3}"/>
    <cellStyle name="Normal 2 4 5 2 2 3 4 2 2" xfId="37252" xr:uid="{B2531A28-63FE-4FCB-906C-88E62ECE0F61}"/>
    <cellStyle name="Normal 2 4 5 2 2 3 4 3" xfId="27955" xr:uid="{7A2B70DE-223A-40E8-BC5F-F23D7A39490C}"/>
    <cellStyle name="Normal 2 4 5 2 2 3 5" xfId="10219" xr:uid="{35D8C9B9-2DE5-4F1C-9085-DFB4C31E057E}"/>
    <cellStyle name="Normal 2 4 5 2 2 3 5 2" xfId="28815" xr:uid="{867118B5-E6C5-4FC7-B8AB-83E780E596D9}"/>
    <cellStyle name="Normal 2 4 5 2 2 3 6" xfId="19518" xr:uid="{0CD53EE3-1A36-46A6-9B4D-ECB6A05BEDF5}"/>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F9F28CE9-9F26-4F84-903C-698F8B3EC62E}"/>
    <cellStyle name="Normal 2 4 5 2 2 4 2 2 2 2" xfId="35590" xr:uid="{06889BF3-FA79-4EAC-9A78-BB1349A5C9C3}"/>
    <cellStyle name="Normal 2 4 5 2 2 4 2 2 3" xfId="26293" xr:uid="{900EFE45-8336-4722-9FF0-B2A410F39210}"/>
    <cellStyle name="Normal 2 4 5 2 2 4 2 3" xfId="12777" xr:uid="{74C8782E-E5B7-485C-B68C-B7984C245278}"/>
    <cellStyle name="Normal 2 4 5 2 2 4 2 3 2" xfId="31373" xr:uid="{07BE55C3-A1AE-457E-816D-3BA631401110}"/>
    <cellStyle name="Normal 2 4 5 2 2 4 2 4" xfId="22076" xr:uid="{E88050CE-FA72-4FBD-80D2-277C9DB17483}"/>
    <cellStyle name="Normal 2 4 5 2 2 4 3" xfId="5523" xr:uid="{00000000-0005-0000-0000-000053100000}"/>
    <cellStyle name="Normal 2 4 5 2 2 4 3 2" xfId="14849" xr:uid="{6E4EFD9F-C576-41ED-8AD1-AA824F725431}"/>
    <cellStyle name="Normal 2 4 5 2 2 4 3 2 2" xfId="33445" xr:uid="{9744E380-E0B8-49A9-8D0B-DCDC7E5B495B}"/>
    <cellStyle name="Normal 2 4 5 2 2 4 3 3" xfId="24148" xr:uid="{0A205A36-AD67-4D9B-80A6-672E31208765}"/>
    <cellStyle name="Normal 2 4 5 2 2 4 4" xfId="10632" xr:uid="{23BFE919-6B71-4ED4-A1D0-62ACF00A36F6}"/>
    <cellStyle name="Normal 2 4 5 2 2 4 4 2" xfId="29228" xr:uid="{41498175-93B9-4E2B-BD3E-4E356B054B86}"/>
    <cellStyle name="Normal 2 4 5 2 2 4 5" xfId="19931" xr:uid="{EE2A2350-0A14-4F00-B1CC-1E76BA67416C}"/>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A60958B1-0508-4B10-837A-A08DCD590D58}"/>
    <cellStyle name="Normal 2 4 5 2 2 5 2 2 2 2" xfId="36003" xr:uid="{7F8E2AA7-6397-4E53-B5D9-21720AF05E8D}"/>
    <cellStyle name="Normal 2 4 5 2 2 5 2 2 3" xfId="26706" xr:uid="{6E60CB39-E38B-4F81-B6D9-FC980BF0D7B5}"/>
    <cellStyle name="Normal 2 4 5 2 2 5 2 3" xfId="13190" xr:uid="{C7A15618-9E3B-420E-B251-DF45721EE90A}"/>
    <cellStyle name="Normal 2 4 5 2 2 5 2 3 2" xfId="31786" xr:uid="{2C3683F2-D0C0-404C-A141-3B1160834ACB}"/>
    <cellStyle name="Normal 2 4 5 2 2 5 2 4" xfId="22489" xr:uid="{7AAF82D4-A280-477F-BAE5-0EE787CB98F0}"/>
    <cellStyle name="Normal 2 4 5 2 2 5 3" xfId="5936" xr:uid="{00000000-0005-0000-0000-000057100000}"/>
    <cellStyle name="Normal 2 4 5 2 2 5 3 2" xfId="15262" xr:uid="{9F32830B-7458-43D5-A176-713F0922C627}"/>
    <cellStyle name="Normal 2 4 5 2 2 5 3 2 2" xfId="33858" xr:uid="{194C2D17-E940-41BA-887C-8C95F17E5A61}"/>
    <cellStyle name="Normal 2 4 5 2 2 5 3 3" xfId="24561" xr:uid="{EE83F50C-51AE-4A19-8C15-2213D960C24D}"/>
    <cellStyle name="Normal 2 4 5 2 2 5 4" xfId="11045" xr:uid="{B46B9F12-1CF1-487E-998F-2D5F24E59894}"/>
    <cellStyle name="Normal 2 4 5 2 2 5 4 2" xfId="29641" xr:uid="{D5E6D710-52E8-444F-8DE3-E05DED8CFB39}"/>
    <cellStyle name="Normal 2 4 5 2 2 5 5" xfId="20344" xr:uid="{F5DA4834-1009-43A8-AD5F-6558D8B43808}"/>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E4E1407B-B746-457C-B79A-0FB5811D44DD}"/>
    <cellStyle name="Normal 2 4 5 2 2 6 2 2 2 2" xfId="36416" xr:uid="{1766F800-5689-446D-8173-4CB6D55BD392}"/>
    <cellStyle name="Normal 2 4 5 2 2 6 2 2 3" xfId="27119" xr:uid="{4A8B6610-617F-4780-8AF5-0C4216B8EC55}"/>
    <cellStyle name="Normal 2 4 5 2 2 6 2 3" xfId="13603" xr:uid="{A4CC6F0E-071C-4A76-AF28-2541927A59EB}"/>
    <cellStyle name="Normal 2 4 5 2 2 6 2 3 2" xfId="32199" xr:uid="{27D8DECD-E94D-4A1A-8F31-5EC5AB36D71C}"/>
    <cellStyle name="Normal 2 4 5 2 2 6 2 4" xfId="22902" xr:uid="{DE5345B3-8712-40B3-A4C4-9E9C8B13D7B8}"/>
    <cellStyle name="Normal 2 4 5 2 2 6 3" xfId="6349" xr:uid="{00000000-0005-0000-0000-00005B100000}"/>
    <cellStyle name="Normal 2 4 5 2 2 6 3 2" xfId="15675" xr:uid="{3E188261-F0DE-47AD-8794-05D617F58754}"/>
    <cellStyle name="Normal 2 4 5 2 2 6 3 2 2" xfId="34271" xr:uid="{8D56607D-C859-4262-8D16-34DA4B73C119}"/>
    <cellStyle name="Normal 2 4 5 2 2 6 3 3" xfId="24974" xr:uid="{AE163A21-0A29-4D95-AC85-9B641C69B307}"/>
    <cellStyle name="Normal 2 4 5 2 2 6 4" xfId="11458" xr:uid="{0411B3C7-D121-40B6-973A-1FF7525F8EB1}"/>
    <cellStyle name="Normal 2 4 5 2 2 6 4 2" xfId="30054" xr:uid="{BFFE0D41-871A-4113-BE62-D995F2572CDE}"/>
    <cellStyle name="Normal 2 4 5 2 2 6 5" xfId="20757" xr:uid="{9A4E3561-8B33-4130-B827-B67F6E6A8560}"/>
    <cellStyle name="Normal 2 4 5 2 2 7" xfId="2479" xr:uid="{00000000-0005-0000-0000-00005C100000}"/>
    <cellStyle name="Normal 2 4 5 2 2 7 2" xfId="6762" xr:uid="{00000000-0005-0000-0000-00005D100000}"/>
    <cellStyle name="Normal 2 4 5 2 2 7 2 2" xfId="16088" xr:uid="{1CAA51CC-C320-4888-8BEF-84743F3B1420}"/>
    <cellStyle name="Normal 2 4 5 2 2 7 2 2 2" xfId="34684" xr:uid="{0D77F30A-9239-4C6C-9FB4-5C67DE931952}"/>
    <cellStyle name="Normal 2 4 5 2 2 7 2 3" xfId="25387" xr:uid="{54DA5599-79FC-4C11-B38E-00304EF939F1}"/>
    <cellStyle name="Normal 2 4 5 2 2 7 3" xfId="11871" xr:uid="{251EA234-774F-4014-BD2F-E4CE04D4E94A}"/>
    <cellStyle name="Normal 2 4 5 2 2 7 3 2" xfId="30467" xr:uid="{DEBF2475-23B7-431D-85DA-554B425D8A25}"/>
    <cellStyle name="Normal 2 4 5 2 2 7 4" xfId="21170" xr:uid="{ADB714A5-9AB3-4142-91C7-0673A582F3E9}"/>
    <cellStyle name="Normal 2 4 5 2 2 8" xfId="4696" xr:uid="{00000000-0005-0000-0000-00005E100000}"/>
    <cellStyle name="Normal 2 4 5 2 2 8 2" xfId="14022" xr:uid="{7AC41440-6699-48EA-95CB-444E5A980E2E}"/>
    <cellStyle name="Normal 2 4 5 2 2 8 2 2" xfId="32618" xr:uid="{EDABA9B9-FE42-4CF5-89A5-088E0E96A88F}"/>
    <cellStyle name="Normal 2 4 5 2 2 8 3" xfId="23321" xr:uid="{331BFD01-03E0-4ADB-A535-732C810D83B1}"/>
    <cellStyle name="Normal 2 4 5 2 2 9" xfId="8918" xr:uid="{C191AFB9-5B9B-45BF-8589-0BB68E370D0F}"/>
    <cellStyle name="Normal 2 4 5 2 2 9 2" xfId="18242" xr:uid="{ABDD61CB-042E-4E33-8A2C-424D0991B0A3}"/>
    <cellStyle name="Normal 2 4 5 2 2 9 2 2" xfId="36837" xr:uid="{0193C8AF-F785-432E-BFD5-41349DC74400}"/>
    <cellStyle name="Normal 2 4 5 2 2 9 3" xfId="27540" xr:uid="{B03BB0F5-89E3-4E07-97A7-062AC167D8A0}"/>
    <cellStyle name="Normal 2 4 5 2 3" xfId="307" xr:uid="{00000000-0005-0000-0000-00005F100000}"/>
    <cellStyle name="Normal 2 4 5 2 3 10" xfId="19106" xr:uid="{1D033187-03E4-421C-AC25-543605789B57}"/>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E7C75F48-5491-413D-AEF7-24D3F736C564}"/>
    <cellStyle name="Normal 2 4 5 2 3 2 2 2 2 2" xfId="35179" xr:uid="{30B46716-3018-4CAB-9BD3-FADD6542CC58}"/>
    <cellStyle name="Normal 2 4 5 2 3 2 2 2 3" xfId="25882" xr:uid="{87AC740D-5201-4AF7-8C62-252E82D5AD0C}"/>
    <cellStyle name="Normal 2 4 5 2 3 2 2 3" xfId="12366" xr:uid="{86E26F0E-EC5D-4B03-B1D7-9E8B949EA4DA}"/>
    <cellStyle name="Normal 2 4 5 2 3 2 2 3 2" xfId="30962" xr:uid="{B38521EB-7A03-471D-8107-BD5A531C6B0C}"/>
    <cellStyle name="Normal 2 4 5 2 3 2 2 4" xfId="21665" xr:uid="{E1FD292B-611A-4688-88A7-620C1C0A9FA8}"/>
    <cellStyle name="Normal 2 4 5 2 3 2 3" xfId="5112" xr:uid="{00000000-0005-0000-0000-000063100000}"/>
    <cellStyle name="Normal 2 4 5 2 3 2 3 2" xfId="14438" xr:uid="{24D3B92E-0A4E-4D3C-8726-0BE8012C2FDD}"/>
    <cellStyle name="Normal 2 4 5 2 3 2 3 2 2" xfId="33034" xr:uid="{022ABE79-8CE3-4C68-A8F1-C26A5DE47143}"/>
    <cellStyle name="Normal 2 4 5 2 3 2 3 3" xfId="23737" xr:uid="{8C3CD943-8F49-40FC-8FA9-A3F6E8AC0A51}"/>
    <cellStyle name="Normal 2 4 5 2 3 2 4" xfId="9447" xr:uid="{5DAE67B2-15F6-4C7F-9310-B9C816D42F72}"/>
    <cellStyle name="Normal 2 4 5 2 3 2 4 2" xfId="18762" xr:uid="{37744F1F-2B43-4E84-97C3-806F6F7762A9}"/>
    <cellStyle name="Normal 2 4 5 2 3 2 4 2 2" xfId="37356" xr:uid="{BBBF9B98-A2CE-47FA-98F6-5579D4198B6C}"/>
    <cellStyle name="Normal 2 4 5 2 3 2 4 3" xfId="28059" xr:uid="{9A06414E-E948-4E4A-B916-C9FC0FC6DB29}"/>
    <cellStyle name="Normal 2 4 5 2 3 2 5" xfId="10221" xr:uid="{B6939914-4F17-4808-84E0-3FADF1A0C60F}"/>
    <cellStyle name="Normal 2 4 5 2 3 2 5 2" xfId="28817" xr:uid="{DE27FF26-69EC-4341-98FC-F26FD145904D}"/>
    <cellStyle name="Normal 2 4 5 2 3 2 6" xfId="19520" xr:uid="{CFEA172F-5824-409E-8D5F-F4360C80CA7D}"/>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F90A909D-1F17-48D8-93CD-4B6DC7096F61}"/>
    <cellStyle name="Normal 2 4 5 2 3 3 2 2 2 2" xfId="35592" xr:uid="{623EF382-6415-4D4A-93B7-900D25166828}"/>
    <cellStyle name="Normal 2 4 5 2 3 3 2 2 3" xfId="26295" xr:uid="{5BF7060D-FED2-48F4-8163-4E994269BF36}"/>
    <cellStyle name="Normal 2 4 5 2 3 3 2 3" xfId="12779" xr:uid="{8E30C26F-E936-4CF2-B5DC-6A61F3585E6F}"/>
    <cellStyle name="Normal 2 4 5 2 3 3 2 3 2" xfId="31375" xr:uid="{BE1EB826-5DD6-4BB1-A825-2B36A2BF1E8E}"/>
    <cellStyle name="Normal 2 4 5 2 3 3 2 4" xfId="22078" xr:uid="{3EFAB36B-77F0-494D-8AD6-DAB2E6FA0C03}"/>
    <cellStyle name="Normal 2 4 5 2 3 3 3" xfId="5525" xr:uid="{00000000-0005-0000-0000-000067100000}"/>
    <cellStyle name="Normal 2 4 5 2 3 3 3 2" xfId="14851" xr:uid="{BF6B7D68-40F1-40B7-9246-7494EF24480E}"/>
    <cellStyle name="Normal 2 4 5 2 3 3 3 2 2" xfId="33447" xr:uid="{3B7E797C-60BA-49D1-B90E-00F82DFF7E37}"/>
    <cellStyle name="Normal 2 4 5 2 3 3 3 3" xfId="24150" xr:uid="{2D5CE96A-1502-4AF9-A126-68DA887C0026}"/>
    <cellStyle name="Normal 2 4 5 2 3 3 4" xfId="10634" xr:uid="{646BE166-F2B0-4C9A-9E89-9F4088126659}"/>
    <cellStyle name="Normal 2 4 5 2 3 3 4 2" xfId="29230" xr:uid="{B38AF142-2037-4EA8-A791-0DF4FAD73892}"/>
    <cellStyle name="Normal 2 4 5 2 3 3 5" xfId="19933" xr:uid="{59B88AE3-B640-4318-829B-24A8F18B87DB}"/>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29DE10D2-885B-4A88-9E15-4740C0F027DA}"/>
    <cellStyle name="Normal 2 4 5 2 3 4 2 2 2 2" xfId="36005" xr:uid="{875220CD-E8A7-4D44-991C-759EFC960676}"/>
    <cellStyle name="Normal 2 4 5 2 3 4 2 2 3" xfId="26708" xr:uid="{C0E6BB95-D275-4751-84C4-10AEFCC28261}"/>
    <cellStyle name="Normal 2 4 5 2 3 4 2 3" xfId="13192" xr:uid="{17614DF3-FE3E-4BAE-B785-17FD72B43AEA}"/>
    <cellStyle name="Normal 2 4 5 2 3 4 2 3 2" xfId="31788" xr:uid="{5D61BD79-B015-40DA-A8EB-A74C02117EC3}"/>
    <cellStyle name="Normal 2 4 5 2 3 4 2 4" xfId="22491" xr:uid="{46879892-25CD-42E2-98D2-3608F2AB6A18}"/>
    <cellStyle name="Normal 2 4 5 2 3 4 3" xfId="5938" xr:uid="{00000000-0005-0000-0000-00006B100000}"/>
    <cellStyle name="Normal 2 4 5 2 3 4 3 2" xfId="15264" xr:uid="{64EDBD06-A5D6-4BCA-83CA-B3C258B568FC}"/>
    <cellStyle name="Normal 2 4 5 2 3 4 3 2 2" xfId="33860" xr:uid="{6E80E21D-0DC0-49F3-80BC-D16E7DDBDF6C}"/>
    <cellStyle name="Normal 2 4 5 2 3 4 3 3" xfId="24563" xr:uid="{CFE5BCDB-F695-44FA-A320-8E9CCA0DA23E}"/>
    <cellStyle name="Normal 2 4 5 2 3 4 4" xfId="11047" xr:uid="{4922521E-2E6D-4733-8873-0F741236DEF3}"/>
    <cellStyle name="Normal 2 4 5 2 3 4 4 2" xfId="29643" xr:uid="{250569AD-03B8-435B-BCF1-506467A99102}"/>
    <cellStyle name="Normal 2 4 5 2 3 4 5" xfId="20346" xr:uid="{560EB90B-4185-44C6-ADE4-F32A1AED7845}"/>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15BFE312-9D6B-4F23-948B-ADAB828C707D}"/>
    <cellStyle name="Normal 2 4 5 2 3 5 2 2 2 2" xfId="36418" xr:uid="{C65D5380-D2A6-4B47-AA9C-E0546A794187}"/>
    <cellStyle name="Normal 2 4 5 2 3 5 2 2 3" xfId="27121" xr:uid="{D489D480-0475-4E02-9EC0-83CBE0880B67}"/>
    <cellStyle name="Normal 2 4 5 2 3 5 2 3" xfId="13605" xr:uid="{31AD6DB5-D8E7-4D49-A2EB-F064B141FA4A}"/>
    <cellStyle name="Normal 2 4 5 2 3 5 2 3 2" xfId="32201" xr:uid="{E0BA54EB-00C2-4355-AB5A-08C0226364D0}"/>
    <cellStyle name="Normal 2 4 5 2 3 5 2 4" xfId="22904" xr:uid="{FB0805C9-22F0-4E31-BED9-461B23C78ED4}"/>
    <cellStyle name="Normal 2 4 5 2 3 5 3" xfId="6351" xr:uid="{00000000-0005-0000-0000-00006F100000}"/>
    <cellStyle name="Normal 2 4 5 2 3 5 3 2" xfId="15677" xr:uid="{84ADE05A-3983-4DF7-AE01-87B7AF0A9208}"/>
    <cellStyle name="Normal 2 4 5 2 3 5 3 2 2" xfId="34273" xr:uid="{05E3C401-07E3-44E6-B526-3DE769BE5F11}"/>
    <cellStyle name="Normal 2 4 5 2 3 5 3 3" xfId="24976" xr:uid="{0D01E794-A57B-4F22-94E5-3294AC6BF5A3}"/>
    <cellStyle name="Normal 2 4 5 2 3 5 4" xfId="11460" xr:uid="{98DDFE2F-92A7-45A0-B2B8-5CCDDACFFA54}"/>
    <cellStyle name="Normal 2 4 5 2 3 5 4 2" xfId="30056" xr:uid="{1F2D25E1-9DB3-4792-88EF-9C0CE28066F8}"/>
    <cellStyle name="Normal 2 4 5 2 3 5 5" xfId="20759" xr:uid="{EF911E6F-B764-4A0E-935C-964C8B3069A1}"/>
    <cellStyle name="Normal 2 4 5 2 3 6" xfId="2481" xr:uid="{00000000-0005-0000-0000-000070100000}"/>
    <cellStyle name="Normal 2 4 5 2 3 6 2" xfId="6764" xr:uid="{00000000-0005-0000-0000-000071100000}"/>
    <cellStyle name="Normal 2 4 5 2 3 6 2 2" xfId="16090" xr:uid="{555CB873-BB65-4A75-A9F3-EA67C6831F18}"/>
    <cellStyle name="Normal 2 4 5 2 3 6 2 2 2" xfId="34686" xr:uid="{C022649C-10E3-4FA1-B1DA-5D552E27F631}"/>
    <cellStyle name="Normal 2 4 5 2 3 6 2 3" xfId="25389" xr:uid="{D2BCC81D-B1CB-46A4-9439-D62A1CF59A0E}"/>
    <cellStyle name="Normal 2 4 5 2 3 6 3" xfId="11873" xr:uid="{6A0162A4-3DAA-4B9E-B396-A3AAC20A3041}"/>
    <cellStyle name="Normal 2 4 5 2 3 6 3 2" xfId="30469" xr:uid="{F0641E2C-B2B2-4982-BDFB-671D7C696C69}"/>
    <cellStyle name="Normal 2 4 5 2 3 6 4" xfId="21172" xr:uid="{6B78ACE4-9C66-4251-80D5-2ABF0BA5EA62}"/>
    <cellStyle name="Normal 2 4 5 2 3 7" xfId="4698" xr:uid="{00000000-0005-0000-0000-000072100000}"/>
    <cellStyle name="Normal 2 4 5 2 3 7 2" xfId="14024" xr:uid="{DD7D91CE-7D5F-4CD3-AAB0-A3E08BE159A9}"/>
    <cellStyle name="Normal 2 4 5 2 3 7 2 2" xfId="32620" xr:uid="{FC760D3B-75AB-4D3D-9C16-B975654F0F7E}"/>
    <cellStyle name="Normal 2 4 5 2 3 7 3" xfId="23323" xr:uid="{D43EAC07-DB70-464C-8A55-D4D32E0183D1}"/>
    <cellStyle name="Normal 2 4 5 2 3 8" xfId="9022" xr:uid="{B979F5DF-A88B-437D-B1B4-B92D08856DC7}"/>
    <cellStyle name="Normal 2 4 5 2 3 8 2" xfId="18346" xr:uid="{389C2C1C-DE17-42F9-ADAC-EFC9C3B01CED}"/>
    <cellStyle name="Normal 2 4 5 2 3 8 2 2" xfId="36941" xr:uid="{F8206DC6-7346-479B-A899-1A7712EBB5F9}"/>
    <cellStyle name="Normal 2 4 5 2 3 8 3" xfId="27644" xr:uid="{E65F9DA4-ABAC-4BC7-B711-3BD7966A24F8}"/>
    <cellStyle name="Normal 2 4 5 2 3 9" xfId="9807" xr:uid="{B78C2BAF-25A6-494E-B747-108CDA7F9B1A}"/>
    <cellStyle name="Normal 2 4 5 2 3 9 2" xfId="28403" xr:uid="{B5D4C39F-4FAB-4973-9E45-6A4805AA8AA8}"/>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C3422E25-D8F9-4517-AA39-E3A5CEADB406}"/>
    <cellStyle name="Normal 2 4 5 2 4 2 2 2 2" xfId="35176" xr:uid="{7CF8C9BA-CC3C-442B-9171-58999D20CE6C}"/>
    <cellStyle name="Normal 2 4 5 2 4 2 2 3" xfId="25879" xr:uid="{56D18332-55F6-428C-9A5C-39975B323675}"/>
    <cellStyle name="Normal 2 4 5 2 4 2 3" xfId="12363" xr:uid="{75F3CEF3-9E78-4435-A04A-2E02236D3B79}"/>
    <cellStyle name="Normal 2 4 5 2 4 2 3 2" xfId="30959" xr:uid="{97E629FF-334C-4B6F-9914-C2A4014D4449}"/>
    <cellStyle name="Normal 2 4 5 2 4 2 4" xfId="21662" xr:uid="{D9281720-7D9F-40A5-B2CC-649C46ACEA00}"/>
    <cellStyle name="Normal 2 4 5 2 4 3" xfId="5109" xr:uid="{00000000-0005-0000-0000-000076100000}"/>
    <cellStyle name="Normal 2 4 5 2 4 3 2" xfId="14435" xr:uid="{E0DF6949-D6BA-4D61-9AF2-3DD456B8A596}"/>
    <cellStyle name="Normal 2 4 5 2 4 3 2 2" xfId="33031" xr:uid="{FCCE6A00-89B4-438F-B1A6-4927076915EF}"/>
    <cellStyle name="Normal 2 4 5 2 4 3 3" xfId="23734" xr:uid="{EED08DDB-44DE-4A54-90B7-B300E4CF3DB7}"/>
    <cellStyle name="Normal 2 4 5 2 4 4" xfId="9240" xr:uid="{16FBE981-4867-4157-8C0D-9C1339DB5B3F}"/>
    <cellStyle name="Normal 2 4 5 2 4 4 2" xfId="18555" xr:uid="{585AC30C-D0A1-4E47-BC5C-DE4AABACF559}"/>
    <cellStyle name="Normal 2 4 5 2 4 4 2 2" xfId="37149" xr:uid="{719C30C4-ABFA-466E-8676-8F4447E7E9D0}"/>
    <cellStyle name="Normal 2 4 5 2 4 4 3" xfId="27852" xr:uid="{9BB24041-6088-4A05-8274-563343A07D76}"/>
    <cellStyle name="Normal 2 4 5 2 4 5" xfId="10218" xr:uid="{AC8A2ECE-6E89-4BB7-98FF-CA4FF8CC39B4}"/>
    <cellStyle name="Normal 2 4 5 2 4 5 2" xfId="28814" xr:uid="{8A78A03B-DF13-457C-8997-BF40E6CAA580}"/>
    <cellStyle name="Normal 2 4 5 2 4 6" xfId="19517" xr:uid="{ED37E33E-1D8E-42A3-A25F-9DC6F942C4DD}"/>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2932813A-82CB-4AB3-BDFE-24CBB6579AFC}"/>
    <cellStyle name="Normal 2 4 5 2 5 2 2 2 2" xfId="35589" xr:uid="{CB9A3AE1-60C4-4084-971D-E469BB49F0A6}"/>
    <cellStyle name="Normal 2 4 5 2 5 2 2 3" xfId="26292" xr:uid="{FAFCC505-B6D5-4CE5-98BD-D89CEE27376A}"/>
    <cellStyle name="Normal 2 4 5 2 5 2 3" xfId="12776" xr:uid="{6C6D50FC-D74F-4F90-860B-1E7765074665}"/>
    <cellStyle name="Normal 2 4 5 2 5 2 3 2" xfId="31372" xr:uid="{E908FA90-FB0F-4F82-A672-3D16DA84BAA7}"/>
    <cellStyle name="Normal 2 4 5 2 5 2 4" xfId="22075" xr:uid="{7CB35301-9D0C-4817-A2C5-4AE4B2BBEA7B}"/>
    <cellStyle name="Normal 2 4 5 2 5 3" xfId="5522" xr:uid="{00000000-0005-0000-0000-00007A100000}"/>
    <cellStyle name="Normal 2 4 5 2 5 3 2" xfId="14848" xr:uid="{3162997F-5673-4542-9D71-EE04DC4816FE}"/>
    <cellStyle name="Normal 2 4 5 2 5 3 2 2" xfId="33444" xr:uid="{425BB892-D836-47FD-9C26-2F733EBC1EFA}"/>
    <cellStyle name="Normal 2 4 5 2 5 3 3" xfId="24147" xr:uid="{C61E5CD1-C4FB-4AD6-9AB5-5EB284093E88}"/>
    <cellStyle name="Normal 2 4 5 2 5 4" xfId="10631" xr:uid="{03FC613F-4F58-443D-A5E6-B9D29A615A21}"/>
    <cellStyle name="Normal 2 4 5 2 5 4 2" xfId="29227" xr:uid="{E8C1BA09-3B36-4574-8A02-8FCE38E4AF77}"/>
    <cellStyle name="Normal 2 4 5 2 5 5" xfId="19930" xr:uid="{101B14EC-7864-46CA-BD42-96187FF4BED1}"/>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FEDA69F6-1527-4A6E-BA4C-B48C5C851372}"/>
    <cellStyle name="Normal 2 4 5 2 6 2 2 2 2" xfId="36002" xr:uid="{84AE0E74-E168-4A2F-A2FE-4F2AEC5FCD4F}"/>
    <cellStyle name="Normal 2 4 5 2 6 2 2 3" xfId="26705" xr:uid="{3E987FA3-E97C-411E-851A-2B7FE31D95E1}"/>
    <cellStyle name="Normal 2 4 5 2 6 2 3" xfId="13189" xr:uid="{11E457A9-8B12-4600-BFD4-2C6310F0F53E}"/>
    <cellStyle name="Normal 2 4 5 2 6 2 3 2" xfId="31785" xr:uid="{81CAFCB5-15EB-4D84-ADFA-7AD6244D75D2}"/>
    <cellStyle name="Normal 2 4 5 2 6 2 4" xfId="22488" xr:uid="{61B040A5-51F1-497B-9207-E4EA23DC44D5}"/>
    <cellStyle name="Normal 2 4 5 2 6 3" xfId="5935" xr:uid="{00000000-0005-0000-0000-00007E100000}"/>
    <cellStyle name="Normal 2 4 5 2 6 3 2" xfId="15261" xr:uid="{3AB86C53-BA1F-45F6-BC74-A026269A31CA}"/>
    <cellStyle name="Normal 2 4 5 2 6 3 2 2" xfId="33857" xr:uid="{D47FCBAC-A4D5-4038-B603-5958EA86AE20}"/>
    <cellStyle name="Normal 2 4 5 2 6 3 3" xfId="24560" xr:uid="{53E3F069-28C3-4E4F-A061-8BDBDBC9307E}"/>
    <cellStyle name="Normal 2 4 5 2 6 4" xfId="11044" xr:uid="{696945FF-DE13-46F8-8214-8377B416132A}"/>
    <cellStyle name="Normal 2 4 5 2 6 4 2" xfId="29640" xr:uid="{1E0473FE-2FB5-4F2D-BF79-8A0AECB2615B}"/>
    <cellStyle name="Normal 2 4 5 2 6 5" xfId="20343" xr:uid="{D3BA80AC-F46E-47F2-A06A-6262E5C23BD0}"/>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EF978167-1D5D-492C-BE52-8C2350EA5706}"/>
    <cellStyle name="Normal 2 4 5 2 7 2 2 2 2" xfId="36415" xr:uid="{AF502819-BF4E-446F-9EDA-A736D3BCD5CD}"/>
    <cellStyle name="Normal 2 4 5 2 7 2 2 3" xfId="27118" xr:uid="{D2F925DC-A466-4443-ADBF-AA98771B2B1B}"/>
    <cellStyle name="Normal 2 4 5 2 7 2 3" xfId="13602" xr:uid="{B6D679A3-4BEA-4950-840B-BE3587D1F790}"/>
    <cellStyle name="Normal 2 4 5 2 7 2 3 2" xfId="32198" xr:uid="{FEFDBD8E-90FB-4DBD-9160-08D4338C8613}"/>
    <cellStyle name="Normal 2 4 5 2 7 2 4" xfId="22901" xr:uid="{B4B5C725-4AE9-4CEE-80EA-27A81F8B3206}"/>
    <cellStyle name="Normal 2 4 5 2 7 3" xfId="6348" xr:uid="{00000000-0005-0000-0000-000082100000}"/>
    <cellStyle name="Normal 2 4 5 2 7 3 2" xfId="15674" xr:uid="{77CD8FDB-66DC-4E57-8365-8E2F1DA1E270}"/>
    <cellStyle name="Normal 2 4 5 2 7 3 2 2" xfId="34270" xr:uid="{15B8FD97-E1D2-4CEB-BF97-17B2C1794835}"/>
    <cellStyle name="Normal 2 4 5 2 7 3 3" xfId="24973" xr:uid="{4F15B104-4312-47BA-B30B-CA72AF87D3AA}"/>
    <cellStyle name="Normal 2 4 5 2 7 4" xfId="11457" xr:uid="{C04D9266-76E0-4C1E-8903-67BBF62A4DB8}"/>
    <cellStyle name="Normal 2 4 5 2 7 4 2" xfId="30053" xr:uid="{89F86D44-A167-4B6C-A426-29E38CF8A6A4}"/>
    <cellStyle name="Normal 2 4 5 2 7 5" xfId="20756" xr:uid="{2A517AE7-BBFA-4950-83C3-72714CAD5CFE}"/>
    <cellStyle name="Normal 2 4 5 2 8" xfId="2478" xr:uid="{00000000-0005-0000-0000-000083100000}"/>
    <cellStyle name="Normal 2 4 5 2 8 2" xfId="6761" xr:uid="{00000000-0005-0000-0000-000084100000}"/>
    <cellStyle name="Normal 2 4 5 2 8 2 2" xfId="16087" xr:uid="{2718BE4E-F94D-40FF-A4DF-154199834813}"/>
    <cellStyle name="Normal 2 4 5 2 8 2 2 2" xfId="34683" xr:uid="{646EE427-0F20-4D70-974A-36D49341DCBD}"/>
    <cellStyle name="Normal 2 4 5 2 8 2 3" xfId="25386" xr:uid="{74D68CEB-FA6F-4B00-B5A8-B814EEF5368C}"/>
    <cellStyle name="Normal 2 4 5 2 8 3" xfId="11870" xr:uid="{9561F565-B271-490E-B311-12EEDF314C82}"/>
    <cellStyle name="Normal 2 4 5 2 8 3 2" xfId="30466" xr:uid="{E22D6CF7-AE39-4C89-B9E2-7142DFEB4007}"/>
    <cellStyle name="Normal 2 4 5 2 8 4" xfId="21169" xr:uid="{D06797CD-DBA8-414D-B96F-B26E5D620DA8}"/>
    <cellStyle name="Normal 2 4 5 2 9" xfId="4695" xr:uid="{00000000-0005-0000-0000-000085100000}"/>
    <cellStyle name="Normal 2 4 5 2 9 2" xfId="14021" xr:uid="{14697C32-5969-4997-AF0F-1F9C14CC50B6}"/>
    <cellStyle name="Normal 2 4 5 2 9 2 2" xfId="32617" xr:uid="{FF97F80E-BF90-4F8C-9A4C-C98DC3E87DB4}"/>
    <cellStyle name="Normal 2 4 5 2 9 3" xfId="23320" xr:uid="{8B239697-6787-488F-A383-522850F34F96}"/>
    <cellStyle name="Normal 2 4 5 3" xfId="308" xr:uid="{00000000-0005-0000-0000-000086100000}"/>
    <cellStyle name="Normal 2 4 5 3 10" xfId="9808" xr:uid="{C63E5205-FCF3-42DE-9367-9224C0352BA6}"/>
    <cellStyle name="Normal 2 4 5 3 10 2" xfId="28404" xr:uid="{B7B875AB-E802-417C-A9E2-08EB876AD977}"/>
    <cellStyle name="Normal 2 4 5 3 11" xfId="19107" xr:uid="{15238565-2A35-4A0A-BB25-5023CFC0F252}"/>
    <cellStyle name="Normal 2 4 5 3 2" xfId="309" xr:uid="{00000000-0005-0000-0000-000087100000}"/>
    <cellStyle name="Normal 2 4 5 3 2 10" xfId="19108" xr:uid="{8E36343F-05A0-4BF5-BF90-D7BA09A41878}"/>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DAB23A61-7AE4-49CA-8A71-7281A9435E7E}"/>
    <cellStyle name="Normal 2 4 5 3 2 2 2 2 2 2" xfId="35181" xr:uid="{1F8CD9A3-2411-4765-B549-955EE92FB659}"/>
    <cellStyle name="Normal 2 4 5 3 2 2 2 2 3" xfId="25884" xr:uid="{82340DD1-2855-41A3-A076-C58D383B7828}"/>
    <cellStyle name="Normal 2 4 5 3 2 2 2 3" xfId="12368" xr:uid="{EE805C19-6317-4E1B-8398-9BBE6D6FC300}"/>
    <cellStyle name="Normal 2 4 5 3 2 2 2 3 2" xfId="30964" xr:uid="{1B8D55BF-610B-4F19-84BA-BA78D025A4EE}"/>
    <cellStyle name="Normal 2 4 5 3 2 2 2 4" xfId="21667" xr:uid="{88FCBB45-4579-43FC-BD9A-116DE0D3FA16}"/>
    <cellStyle name="Normal 2 4 5 3 2 2 3" xfId="5114" xr:uid="{00000000-0005-0000-0000-00008B100000}"/>
    <cellStyle name="Normal 2 4 5 3 2 2 3 2" xfId="14440" xr:uid="{DF38CF19-FE7C-4306-9422-6D4D1ACB3824}"/>
    <cellStyle name="Normal 2 4 5 3 2 2 3 2 2" xfId="33036" xr:uid="{5A652513-62E6-4B3C-8761-43E184AB694D}"/>
    <cellStyle name="Normal 2 4 5 3 2 2 3 3" xfId="23739" xr:uid="{F217AD88-9F6D-491F-A611-5827CB8725A4}"/>
    <cellStyle name="Normal 2 4 5 3 2 2 4" xfId="9515" xr:uid="{A1D6949C-773D-44DB-B26F-4DD01D24FF00}"/>
    <cellStyle name="Normal 2 4 5 3 2 2 4 2" xfId="18830" xr:uid="{7EC87D64-E600-4D31-809A-E281A1F443E4}"/>
    <cellStyle name="Normal 2 4 5 3 2 2 4 2 2" xfId="37424" xr:uid="{EB9A1193-BCA8-4C73-879D-49F69F3D9AA0}"/>
    <cellStyle name="Normal 2 4 5 3 2 2 4 3" xfId="28127" xr:uid="{89CB285F-EDB1-4122-A2A9-F1D239092DA8}"/>
    <cellStyle name="Normal 2 4 5 3 2 2 5" xfId="10223" xr:uid="{0F95F134-02EF-4653-8592-F2594B232FF2}"/>
    <cellStyle name="Normal 2 4 5 3 2 2 5 2" xfId="28819" xr:uid="{DEBBDD8F-7C31-4B4F-941C-4C4E9A3E2E6F}"/>
    <cellStyle name="Normal 2 4 5 3 2 2 6" xfId="19522" xr:uid="{01F9E57D-435F-42FE-8AC3-7A13A67B605C}"/>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49A35EA5-CECC-46B1-8BA4-00A4D378E17D}"/>
    <cellStyle name="Normal 2 4 5 3 2 3 2 2 2 2" xfId="35594" xr:uid="{7687B0C7-93EF-4333-BC60-2F23681A0068}"/>
    <cellStyle name="Normal 2 4 5 3 2 3 2 2 3" xfId="26297" xr:uid="{CA9276BF-65C7-43BC-ACE8-E4475E751A66}"/>
    <cellStyle name="Normal 2 4 5 3 2 3 2 3" xfId="12781" xr:uid="{BA90E41E-157A-40DE-B805-0B6F4130F38E}"/>
    <cellStyle name="Normal 2 4 5 3 2 3 2 3 2" xfId="31377" xr:uid="{DBF64541-8DB6-446B-BCEC-2EB10B0FB179}"/>
    <cellStyle name="Normal 2 4 5 3 2 3 2 4" xfId="22080" xr:uid="{F8B9EF31-28F6-4555-B676-1C7856B7E31E}"/>
    <cellStyle name="Normal 2 4 5 3 2 3 3" xfId="5527" xr:uid="{00000000-0005-0000-0000-00008F100000}"/>
    <cellStyle name="Normal 2 4 5 3 2 3 3 2" xfId="14853" xr:uid="{5DEA97E5-3F78-426F-9172-68006FA34694}"/>
    <cellStyle name="Normal 2 4 5 3 2 3 3 2 2" xfId="33449" xr:uid="{CAC6AE72-2C21-4109-A74F-26C7FE9C048E}"/>
    <cellStyle name="Normal 2 4 5 3 2 3 3 3" xfId="24152" xr:uid="{CE749A9D-72CF-46E2-BDA9-B36B0092FDF7}"/>
    <cellStyle name="Normal 2 4 5 3 2 3 4" xfId="10636" xr:uid="{822F9136-1DDA-42D3-A9D4-ACF62250E9F8}"/>
    <cellStyle name="Normal 2 4 5 3 2 3 4 2" xfId="29232" xr:uid="{B1CE02AE-781F-4D52-AC7C-959B92B5F9D2}"/>
    <cellStyle name="Normal 2 4 5 3 2 3 5" xfId="19935" xr:uid="{9907EC78-B547-41B4-B30D-405B097A493D}"/>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3C834732-B17C-4612-8F34-CC3A5E1F543C}"/>
    <cellStyle name="Normal 2 4 5 3 2 4 2 2 2 2" xfId="36007" xr:uid="{1B113BF5-5B81-4812-9631-39D27B35075F}"/>
    <cellStyle name="Normal 2 4 5 3 2 4 2 2 3" xfId="26710" xr:uid="{88AA9CEB-9380-4648-AE77-C917149F80CB}"/>
    <cellStyle name="Normal 2 4 5 3 2 4 2 3" xfId="13194" xr:uid="{DC3DCC7D-3362-4AF3-9685-4050520CC6AE}"/>
    <cellStyle name="Normal 2 4 5 3 2 4 2 3 2" xfId="31790" xr:uid="{5F24FD64-70E8-4CB7-AFB9-6E567EB67A19}"/>
    <cellStyle name="Normal 2 4 5 3 2 4 2 4" xfId="22493" xr:uid="{722C87B0-55F9-4C0A-A716-15DE4D3BB7A7}"/>
    <cellStyle name="Normal 2 4 5 3 2 4 3" xfId="5940" xr:uid="{00000000-0005-0000-0000-000093100000}"/>
    <cellStyle name="Normal 2 4 5 3 2 4 3 2" xfId="15266" xr:uid="{7E96DCC1-85D7-48F3-9CE5-0656FF0B64AB}"/>
    <cellStyle name="Normal 2 4 5 3 2 4 3 2 2" xfId="33862" xr:uid="{5A923448-BE9E-49DC-A7D1-0CA9F600A2A3}"/>
    <cellStyle name="Normal 2 4 5 3 2 4 3 3" xfId="24565" xr:uid="{FD662EC8-D179-4C30-B64C-9227EC44AF7F}"/>
    <cellStyle name="Normal 2 4 5 3 2 4 4" xfId="11049" xr:uid="{6DB1D3F9-703E-4466-A837-756E8B31DBFC}"/>
    <cellStyle name="Normal 2 4 5 3 2 4 4 2" xfId="29645" xr:uid="{2AB6E7C6-6082-4D59-9161-DDFBDE15BE73}"/>
    <cellStyle name="Normal 2 4 5 3 2 4 5" xfId="20348" xr:uid="{C77DE4D7-D495-4B77-B580-99A0DC96183F}"/>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1CEAB4E1-F6D8-4A70-BADA-D80F7AD28EF1}"/>
    <cellStyle name="Normal 2 4 5 3 2 5 2 2 2 2" xfId="36420" xr:uid="{1BEDC09C-1712-4668-8905-314EF7953802}"/>
    <cellStyle name="Normal 2 4 5 3 2 5 2 2 3" xfId="27123" xr:uid="{1ED065F5-BCAB-42E2-A073-5B9A1B2FBBBE}"/>
    <cellStyle name="Normal 2 4 5 3 2 5 2 3" xfId="13607" xr:uid="{CA8407EB-7F0A-4BEC-BB3F-D15A3BC115DD}"/>
    <cellStyle name="Normal 2 4 5 3 2 5 2 3 2" xfId="32203" xr:uid="{064F9F8E-4A77-4BA8-848A-A5DB438E2CDE}"/>
    <cellStyle name="Normal 2 4 5 3 2 5 2 4" xfId="22906" xr:uid="{0D1F99FE-4C01-47AA-AC2F-6B672401DCD0}"/>
    <cellStyle name="Normal 2 4 5 3 2 5 3" xfId="6353" xr:uid="{00000000-0005-0000-0000-000097100000}"/>
    <cellStyle name="Normal 2 4 5 3 2 5 3 2" xfId="15679" xr:uid="{10F77B01-04C5-4811-973A-18CB9002AE14}"/>
    <cellStyle name="Normal 2 4 5 3 2 5 3 2 2" xfId="34275" xr:uid="{4E71E308-990B-446D-9E69-CCFD73A75C61}"/>
    <cellStyle name="Normal 2 4 5 3 2 5 3 3" xfId="24978" xr:uid="{0A820BBE-4886-4F6D-A16F-CFA130B089CC}"/>
    <cellStyle name="Normal 2 4 5 3 2 5 4" xfId="11462" xr:uid="{01F679D1-B937-403F-9B7D-12299291AB11}"/>
    <cellStyle name="Normal 2 4 5 3 2 5 4 2" xfId="30058" xr:uid="{9206B352-C246-4E56-9A9D-3DF24F1070C5}"/>
    <cellStyle name="Normal 2 4 5 3 2 5 5" xfId="20761" xr:uid="{9FD95D44-138C-4636-A2B3-A8AFDE351546}"/>
    <cellStyle name="Normal 2 4 5 3 2 6" xfId="2483" xr:uid="{00000000-0005-0000-0000-000098100000}"/>
    <cellStyle name="Normal 2 4 5 3 2 6 2" xfId="6766" xr:uid="{00000000-0005-0000-0000-000099100000}"/>
    <cellStyle name="Normal 2 4 5 3 2 6 2 2" xfId="16092" xr:uid="{96B3AD2C-BB72-4867-85B2-0C2AA2CEBB58}"/>
    <cellStyle name="Normal 2 4 5 3 2 6 2 2 2" xfId="34688" xr:uid="{737BDCDE-1F2E-4D05-9E3E-CB73161E7380}"/>
    <cellStyle name="Normal 2 4 5 3 2 6 2 3" xfId="25391" xr:uid="{1551CE3B-8A70-4CD6-A871-59A97DA18CA4}"/>
    <cellStyle name="Normal 2 4 5 3 2 6 3" xfId="11875" xr:uid="{41974FF6-A3B9-473C-961C-60C67455B2AF}"/>
    <cellStyle name="Normal 2 4 5 3 2 6 3 2" xfId="30471" xr:uid="{54E2CEAD-DCA5-4CC4-AEB0-EDC975B6FE4A}"/>
    <cellStyle name="Normal 2 4 5 3 2 6 4" xfId="21174" xr:uid="{121EB944-0E49-47BD-9D4A-62705035CE29}"/>
    <cellStyle name="Normal 2 4 5 3 2 7" xfId="4700" xr:uid="{00000000-0005-0000-0000-00009A100000}"/>
    <cellStyle name="Normal 2 4 5 3 2 7 2" xfId="14026" xr:uid="{1E1706D9-06EC-47D2-9853-500C76B19430}"/>
    <cellStyle name="Normal 2 4 5 3 2 7 2 2" xfId="32622" xr:uid="{844D9D0F-2B1E-49D0-BD10-712310EA3243}"/>
    <cellStyle name="Normal 2 4 5 3 2 7 3" xfId="23325" xr:uid="{58BD53DA-CA82-4930-B3F5-33B445A24DD6}"/>
    <cellStyle name="Normal 2 4 5 3 2 8" xfId="9090" xr:uid="{4B64C5F8-5AC3-43D3-B94A-46850BBF79A5}"/>
    <cellStyle name="Normal 2 4 5 3 2 8 2" xfId="18414" xr:uid="{CC82DD6D-2E2D-48B0-8CBE-B1E3DF3407E7}"/>
    <cellStyle name="Normal 2 4 5 3 2 8 2 2" xfId="37009" xr:uid="{4FD7A834-B142-4CB4-BD6B-071F443AB77F}"/>
    <cellStyle name="Normal 2 4 5 3 2 8 3" xfId="27712" xr:uid="{EC96CA45-3BE9-4726-9E21-9BDE20268BD5}"/>
    <cellStyle name="Normal 2 4 5 3 2 9" xfId="9809" xr:uid="{1D20444D-13E7-47A2-8AA3-1375B08E40F9}"/>
    <cellStyle name="Normal 2 4 5 3 2 9 2" xfId="28405" xr:uid="{A6F0F930-3E04-40E6-BABD-558812309A70}"/>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575CE058-767E-4E67-825E-2115712F3556}"/>
    <cellStyle name="Normal 2 4 5 3 3 2 2 2 2" xfId="35180" xr:uid="{6DB0A3DD-64DF-4F2A-91B6-C982B18CA7C9}"/>
    <cellStyle name="Normal 2 4 5 3 3 2 2 3" xfId="25883" xr:uid="{FDB42784-6C69-4356-B7D5-A6593037059A}"/>
    <cellStyle name="Normal 2 4 5 3 3 2 3" xfId="12367" xr:uid="{1F1FABE3-24E6-4F87-B783-A19567CAA865}"/>
    <cellStyle name="Normal 2 4 5 3 3 2 3 2" xfId="30963" xr:uid="{3D52AC7C-4961-4AF1-82E4-C2DB52389BE0}"/>
    <cellStyle name="Normal 2 4 5 3 3 2 4" xfId="21666" xr:uid="{EFDEA71C-E6FD-45C1-A058-638B9ACCF2E5}"/>
    <cellStyle name="Normal 2 4 5 3 3 3" xfId="5113" xr:uid="{00000000-0005-0000-0000-00009E100000}"/>
    <cellStyle name="Normal 2 4 5 3 3 3 2" xfId="14439" xr:uid="{8D8ECEDA-0C18-4D7F-8C9E-BE7BF7E1C5E6}"/>
    <cellStyle name="Normal 2 4 5 3 3 3 2 2" xfId="33035" xr:uid="{3360D1AA-4E46-46A8-8FA8-5934590F12D4}"/>
    <cellStyle name="Normal 2 4 5 3 3 3 3" xfId="23738" xr:uid="{6695FE9E-D715-4542-98FF-F26C074C6EE1}"/>
    <cellStyle name="Normal 2 4 5 3 3 4" xfId="9308" xr:uid="{40198FFA-4C90-42BE-90C8-42459F1A2A1C}"/>
    <cellStyle name="Normal 2 4 5 3 3 4 2" xfId="18623" xr:uid="{D1201234-9BBF-44DD-B6A7-8E27EAF32CF4}"/>
    <cellStyle name="Normal 2 4 5 3 3 4 2 2" xfId="37217" xr:uid="{91910C17-E2F4-4B15-890A-60E6A008D669}"/>
    <cellStyle name="Normal 2 4 5 3 3 4 3" xfId="27920" xr:uid="{0F9DBDAE-AD5D-4131-BBD7-646D76B385A4}"/>
    <cellStyle name="Normal 2 4 5 3 3 5" xfId="10222" xr:uid="{00AAF03A-8D30-4B32-97FD-B54FBD5C285E}"/>
    <cellStyle name="Normal 2 4 5 3 3 5 2" xfId="28818" xr:uid="{3617515F-9D18-45F8-B277-FE4EC0292CEC}"/>
    <cellStyle name="Normal 2 4 5 3 3 6" xfId="19521" xr:uid="{B55B6DDE-072F-4E8F-B6C3-E13D743E73E4}"/>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F852C59B-0648-43F9-836D-51FAD7BDA495}"/>
    <cellStyle name="Normal 2 4 5 3 4 2 2 2 2" xfId="35593" xr:uid="{ED25492F-6D51-48D6-BD3B-EBE8788A62CF}"/>
    <cellStyle name="Normal 2 4 5 3 4 2 2 3" xfId="26296" xr:uid="{260E996F-2983-437B-B318-05CA8D2B7C5D}"/>
    <cellStyle name="Normal 2 4 5 3 4 2 3" xfId="12780" xr:uid="{D89DBE11-47EE-4B4C-A89D-4F50D97CB11F}"/>
    <cellStyle name="Normal 2 4 5 3 4 2 3 2" xfId="31376" xr:uid="{E696E946-4B68-40E4-9AC9-30C61011408E}"/>
    <cellStyle name="Normal 2 4 5 3 4 2 4" xfId="22079" xr:uid="{40E8F5D1-B3A1-42BF-B649-90074DC392F4}"/>
    <cellStyle name="Normal 2 4 5 3 4 3" xfId="5526" xr:uid="{00000000-0005-0000-0000-0000A2100000}"/>
    <cellStyle name="Normal 2 4 5 3 4 3 2" xfId="14852" xr:uid="{59DC2730-9385-4E50-AA31-96A00DEE054D}"/>
    <cellStyle name="Normal 2 4 5 3 4 3 2 2" xfId="33448" xr:uid="{2FF9D4FB-FA1E-4CD8-866F-B3B99F3629FC}"/>
    <cellStyle name="Normal 2 4 5 3 4 3 3" xfId="24151" xr:uid="{3BD05C0D-77C7-4E65-A01D-48972449A54C}"/>
    <cellStyle name="Normal 2 4 5 3 4 4" xfId="10635" xr:uid="{4AABF9C8-D768-49F0-860D-3D1562E51BD9}"/>
    <cellStyle name="Normal 2 4 5 3 4 4 2" xfId="29231" xr:uid="{E4432D75-1AE1-47B0-836F-1F575B3EE2DD}"/>
    <cellStyle name="Normal 2 4 5 3 4 5" xfId="19934" xr:uid="{6935B700-1B8B-4192-A151-678FFEAFE2DC}"/>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23B1205C-6749-412C-8598-CAAA08AA2A47}"/>
    <cellStyle name="Normal 2 4 5 3 5 2 2 2 2" xfId="36006" xr:uid="{40012984-555A-4D32-9D7A-131019CD229F}"/>
    <cellStyle name="Normal 2 4 5 3 5 2 2 3" xfId="26709" xr:uid="{E7EC43A1-B9DE-45AF-848B-372B3A448C84}"/>
    <cellStyle name="Normal 2 4 5 3 5 2 3" xfId="13193" xr:uid="{F2AEFF47-39C7-4D02-A552-F18C313A5A98}"/>
    <cellStyle name="Normal 2 4 5 3 5 2 3 2" xfId="31789" xr:uid="{3D62CC42-8B61-437D-BDD8-3A8B9E6FC57F}"/>
    <cellStyle name="Normal 2 4 5 3 5 2 4" xfId="22492" xr:uid="{D03FA747-1D50-4AA0-886F-360472CF55A3}"/>
    <cellStyle name="Normal 2 4 5 3 5 3" xfId="5939" xr:uid="{00000000-0005-0000-0000-0000A6100000}"/>
    <cellStyle name="Normal 2 4 5 3 5 3 2" xfId="15265" xr:uid="{FC668E2E-9915-4B99-9802-6728869F7971}"/>
    <cellStyle name="Normal 2 4 5 3 5 3 2 2" xfId="33861" xr:uid="{30E37DCB-6677-449E-95A7-B7AC115CA32B}"/>
    <cellStyle name="Normal 2 4 5 3 5 3 3" xfId="24564" xr:uid="{56FCE0D9-96C4-4974-8150-F04AF56F2FBA}"/>
    <cellStyle name="Normal 2 4 5 3 5 4" xfId="11048" xr:uid="{A4ECD532-751C-4840-81BE-4B1C8AE1E5D1}"/>
    <cellStyle name="Normal 2 4 5 3 5 4 2" xfId="29644" xr:uid="{312D88CC-9E4E-451E-9615-4FDE8CE6E0AD}"/>
    <cellStyle name="Normal 2 4 5 3 5 5" xfId="20347" xr:uid="{C07D35C7-DA8F-4F27-8715-14EEDB3521DE}"/>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54EA37D2-DC5B-47F3-935C-FA3F1533F499}"/>
    <cellStyle name="Normal 2 4 5 3 6 2 2 2 2" xfId="36419" xr:uid="{77219AD8-58C9-49AB-BA1F-3EFF3F145C19}"/>
    <cellStyle name="Normal 2 4 5 3 6 2 2 3" xfId="27122" xr:uid="{5B73A427-F3E8-4810-AD16-9A776E77FF58}"/>
    <cellStyle name="Normal 2 4 5 3 6 2 3" xfId="13606" xr:uid="{FBDDDBF1-5097-4911-8E70-A94900750A37}"/>
    <cellStyle name="Normal 2 4 5 3 6 2 3 2" xfId="32202" xr:uid="{227A0706-E53F-4490-A3B9-458E415754F1}"/>
    <cellStyle name="Normal 2 4 5 3 6 2 4" xfId="22905" xr:uid="{3250826E-427A-469D-B915-9363A9381A8D}"/>
    <cellStyle name="Normal 2 4 5 3 6 3" xfId="6352" xr:uid="{00000000-0005-0000-0000-0000AA100000}"/>
    <cellStyle name="Normal 2 4 5 3 6 3 2" xfId="15678" xr:uid="{33565CCA-F9A3-4FB7-9200-0B387CFB3E82}"/>
    <cellStyle name="Normal 2 4 5 3 6 3 2 2" xfId="34274" xr:uid="{9E79907A-384F-4200-B627-85529AD7A29E}"/>
    <cellStyle name="Normal 2 4 5 3 6 3 3" xfId="24977" xr:uid="{9E2784F2-51AF-4C00-BE93-A1A95A9EF71D}"/>
    <cellStyle name="Normal 2 4 5 3 6 4" xfId="11461" xr:uid="{B47E7E21-FA60-4F35-B7DE-D757552FFEF4}"/>
    <cellStyle name="Normal 2 4 5 3 6 4 2" xfId="30057" xr:uid="{91B6E0CF-2F22-4DE6-B335-B0FE3C64530E}"/>
    <cellStyle name="Normal 2 4 5 3 6 5" xfId="20760" xr:uid="{DE15DB6F-6676-4C8D-83DD-DD6831DC29FE}"/>
    <cellStyle name="Normal 2 4 5 3 7" xfId="2482" xr:uid="{00000000-0005-0000-0000-0000AB100000}"/>
    <cellStyle name="Normal 2 4 5 3 7 2" xfId="6765" xr:uid="{00000000-0005-0000-0000-0000AC100000}"/>
    <cellStyle name="Normal 2 4 5 3 7 2 2" xfId="16091" xr:uid="{80EDEAD0-2D2E-4C34-8997-7DB16C0D8CA6}"/>
    <cellStyle name="Normal 2 4 5 3 7 2 2 2" xfId="34687" xr:uid="{8FD4EB7D-BED6-40B1-8AEA-E2F2B3D4DA21}"/>
    <cellStyle name="Normal 2 4 5 3 7 2 3" xfId="25390" xr:uid="{C6FDAC2F-F2D7-428B-AEB7-7BFD8AC57F21}"/>
    <cellStyle name="Normal 2 4 5 3 7 3" xfId="11874" xr:uid="{DDEFA4F7-77DC-4BB8-86F7-E870F133531D}"/>
    <cellStyle name="Normal 2 4 5 3 7 3 2" xfId="30470" xr:uid="{D842E109-A8B3-414D-929C-49E5F500136E}"/>
    <cellStyle name="Normal 2 4 5 3 7 4" xfId="21173" xr:uid="{16AC8D2B-4225-432D-B365-65A7B6D94D53}"/>
    <cellStyle name="Normal 2 4 5 3 8" xfId="4699" xr:uid="{00000000-0005-0000-0000-0000AD100000}"/>
    <cellStyle name="Normal 2 4 5 3 8 2" xfId="14025" xr:uid="{C74FC9E1-0E6E-47C6-A084-515A6C825BC8}"/>
    <cellStyle name="Normal 2 4 5 3 8 2 2" xfId="32621" xr:uid="{8306A86E-B176-43A3-8046-1AFC21301D29}"/>
    <cellStyle name="Normal 2 4 5 3 8 3" xfId="23324" xr:uid="{0A0DFFBE-E944-44A4-9200-E631421C5720}"/>
    <cellStyle name="Normal 2 4 5 3 9" xfId="8883" xr:uid="{0A470B75-873E-4D74-A257-113E3E343E18}"/>
    <cellStyle name="Normal 2 4 5 3 9 2" xfId="18207" xr:uid="{9BB13A97-3DFD-4971-B115-A69EA9462F31}"/>
    <cellStyle name="Normal 2 4 5 3 9 2 2" xfId="36802" xr:uid="{0AA2C029-4DF7-4443-971C-A2765869FE55}"/>
    <cellStyle name="Normal 2 4 5 3 9 3" xfId="27505" xr:uid="{8E864425-8349-4022-A5A7-FA3C83B5F1C6}"/>
    <cellStyle name="Normal 2 4 5 4" xfId="310" xr:uid="{00000000-0005-0000-0000-0000AE100000}"/>
    <cellStyle name="Normal 2 4 5 4 10" xfId="19109" xr:uid="{F76C7223-F7C1-4623-A652-64FFBA3D507A}"/>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A609A689-3852-4540-82D8-4F2540FC0E84}"/>
    <cellStyle name="Normal 2 4 5 4 2 2 2 2 2" xfId="35182" xr:uid="{C41CADE3-D3E2-4C53-B63A-0BA7C9411976}"/>
    <cellStyle name="Normal 2 4 5 4 2 2 2 3" xfId="25885" xr:uid="{3B28F423-71A5-45D8-9B87-1F5E0CB46609}"/>
    <cellStyle name="Normal 2 4 5 4 2 2 3" xfId="12369" xr:uid="{E986F4BA-2EFF-4E32-9839-95F7608936F2}"/>
    <cellStyle name="Normal 2 4 5 4 2 2 3 2" xfId="30965" xr:uid="{FA0CCEC7-AE96-4178-B4C9-2A9F44FCC387}"/>
    <cellStyle name="Normal 2 4 5 4 2 2 4" xfId="21668" xr:uid="{555E520B-0401-4AA0-AB75-E9C6B38898D0}"/>
    <cellStyle name="Normal 2 4 5 4 2 3" xfId="5115" xr:uid="{00000000-0005-0000-0000-0000B2100000}"/>
    <cellStyle name="Normal 2 4 5 4 2 3 2" xfId="14441" xr:uid="{02ECE731-36B5-46C7-BF1F-C2BAEC64AEE1}"/>
    <cellStyle name="Normal 2 4 5 4 2 3 2 2" xfId="33037" xr:uid="{4826EEC4-45CE-47DB-8EC0-1F88072DE270}"/>
    <cellStyle name="Normal 2 4 5 4 2 3 3" xfId="23740" xr:uid="{ABCBB055-C894-4CC9-9958-C819D64E7096}"/>
    <cellStyle name="Normal 2 4 5 4 2 4" xfId="9412" xr:uid="{0ECAC303-3EA0-4623-AA0F-854157CA32E5}"/>
    <cellStyle name="Normal 2 4 5 4 2 4 2" xfId="18727" xr:uid="{28FA6753-E0B1-43FC-8DE8-72928C545294}"/>
    <cellStyle name="Normal 2 4 5 4 2 4 2 2" xfId="37321" xr:uid="{389B495D-746C-473D-88E5-B5AA73094741}"/>
    <cellStyle name="Normal 2 4 5 4 2 4 3" xfId="28024" xr:uid="{D56C8006-8474-444F-BAF3-F314AFFFC78F}"/>
    <cellStyle name="Normal 2 4 5 4 2 5" xfId="10224" xr:uid="{8DA8D353-C5F5-4898-9199-311FBD591AE2}"/>
    <cellStyle name="Normal 2 4 5 4 2 5 2" xfId="28820" xr:uid="{967F6D7A-6285-4A8F-8F19-B18DE50981CB}"/>
    <cellStyle name="Normal 2 4 5 4 2 6" xfId="19523" xr:uid="{F95BB973-E5AD-4B29-AB0D-123CA7787622}"/>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F91B186E-E337-4AA0-BD0B-B3258AABB1D4}"/>
    <cellStyle name="Normal 2 4 5 4 3 2 2 2 2" xfId="35595" xr:uid="{94A5C1B7-B3A0-4AE9-8D80-041BFC40953E}"/>
    <cellStyle name="Normal 2 4 5 4 3 2 2 3" xfId="26298" xr:uid="{F90A6448-7A49-431A-9F34-0BD03782C220}"/>
    <cellStyle name="Normal 2 4 5 4 3 2 3" xfId="12782" xr:uid="{C00980E3-BD9F-491D-8167-42AF12ECD763}"/>
    <cellStyle name="Normal 2 4 5 4 3 2 3 2" xfId="31378" xr:uid="{80CFD433-B6C3-425B-8203-2BEA2C26EEC7}"/>
    <cellStyle name="Normal 2 4 5 4 3 2 4" xfId="22081" xr:uid="{C8A21448-9405-4A1F-AC9B-208159A605E0}"/>
    <cellStyle name="Normal 2 4 5 4 3 3" xfId="5528" xr:uid="{00000000-0005-0000-0000-0000B6100000}"/>
    <cellStyle name="Normal 2 4 5 4 3 3 2" xfId="14854" xr:uid="{E84D3D2E-64D6-4429-8303-EFB1B11CC7B8}"/>
    <cellStyle name="Normal 2 4 5 4 3 3 2 2" xfId="33450" xr:uid="{2D606144-CBB6-4C3C-8439-115EADFCDAA0}"/>
    <cellStyle name="Normal 2 4 5 4 3 3 3" xfId="24153" xr:uid="{3E1B6397-644F-4FE6-B379-52367343BDA0}"/>
    <cellStyle name="Normal 2 4 5 4 3 4" xfId="10637" xr:uid="{7BA4247D-2D3B-42CD-8270-E59A6B157F03}"/>
    <cellStyle name="Normal 2 4 5 4 3 4 2" xfId="29233" xr:uid="{95436394-AD8B-474F-8935-B702513B81F7}"/>
    <cellStyle name="Normal 2 4 5 4 3 5" xfId="19936" xr:uid="{9925B34C-898D-4ADC-88A3-C56B2A10C5A6}"/>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BD15ACB7-8098-4FC3-9AEE-74B405A1E349}"/>
    <cellStyle name="Normal 2 4 5 4 4 2 2 2 2" xfId="36008" xr:uid="{4B00097D-1E65-4071-B78A-30CBB6765344}"/>
    <cellStyle name="Normal 2 4 5 4 4 2 2 3" xfId="26711" xr:uid="{7CB65E53-12BC-4A79-9A71-C66978C02D8A}"/>
    <cellStyle name="Normal 2 4 5 4 4 2 3" xfId="13195" xr:uid="{1CB6960E-BA3A-49CB-92ED-2122C31F3D00}"/>
    <cellStyle name="Normal 2 4 5 4 4 2 3 2" xfId="31791" xr:uid="{E30A50CD-5FCA-4533-BD46-9C72E64538C3}"/>
    <cellStyle name="Normal 2 4 5 4 4 2 4" xfId="22494" xr:uid="{8418500A-E332-44BF-AB37-D2C12483F4BC}"/>
    <cellStyle name="Normal 2 4 5 4 4 3" xfId="5941" xr:uid="{00000000-0005-0000-0000-0000BA100000}"/>
    <cellStyle name="Normal 2 4 5 4 4 3 2" xfId="15267" xr:uid="{9DF41F55-4560-4850-AD93-3D6EBC61D69F}"/>
    <cellStyle name="Normal 2 4 5 4 4 3 2 2" xfId="33863" xr:uid="{ADF40F5E-6755-483C-BD96-2C42271D26B7}"/>
    <cellStyle name="Normal 2 4 5 4 4 3 3" xfId="24566" xr:uid="{927C1AD1-3851-4CB2-BDF0-B4C3DA0CF40B}"/>
    <cellStyle name="Normal 2 4 5 4 4 4" xfId="11050" xr:uid="{57E019D3-E802-46EE-9FB2-A952425A32ED}"/>
    <cellStyle name="Normal 2 4 5 4 4 4 2" xfId="29646" xr:uid="{0240BE06-21F1-4B02-B129-E8F6FADBF771}"/>
    <cellStyle name="Normal 2 4 5 4 4 5" xfId="20349" xr:uid="{D6116420-9477-4008-9C65-E7B01BA9C0FB}"/>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B9DB0A00-9107-48A8-AFD3-5A72B184F39B}"/>
    <cellStyle name="Normal 2 4 5 4 5 2 2 2 2" xfId="36421" xr:uid="{E26A511A-403E-4C51-9BC9-6E674727F839}"/>
    <cellStyle name="Normal 2 4 5 4 5 2 2 3" xfId="27124" xr:uid="{9BFFBE7F-F20F-4EFB-8A2C-6184A23165EC}"/>
    <cellStyle name="Normal 2 4 5 4 5 2 3" xfId="13608" xr:uid="{2EB0308D-4A21-4544-8D56-91EC62516116}"/>
    <cellStyle name="Normal 2 4 5 4 5 2 3 2" xfId="32204" xr:uid="{E8AE2D03-004B-4370-8B6C-2AFB07189EC9}"/>
    <cellStyle name="Normal 2 4 5 4 5 2 4" xfId="22907" xr:uid="{B7EFA8F0-1FD3-438F-A5D1-D2E1B9459813}"/>
    <cellStyle name="Normal 2 4 5 4 5 3" xfId="6354" xr:uid="{00000000-0005-0000-0000-0000BE100000}"/>
    <cellStyle name="Normal 2 4 5 4 5 3 2" xfId="15680" xr:uid="{EDBC4D4C-4FA7-4945-9D8A-40225385F0DB}"/>
    <cellStyle name="Normal 2 4 5 4 5 3 2 2" xfId="34276" xr:uid="{E1E0AA2C-2082-42FA-A880-D16D0CC36B42}"/>
    <cellStyle name="Normal 2 4 5 4 5 3 3" xfId="24979" xr:uid="{E72B1670-142B-4B8F-AE72-22E3360504A7}"/>
    <cellStyle name="Normal 2 4 5 4 5 4" xfId="11463" xr:uid="{54FE3FE8-ADF9-4B30-9BB3-F9909B970869}"/>
    <cellStyle name="Normal 2 4 5 4 5 4 2" xfId="30059" xr:uid="{152F12E6-89B7-4538-8547-6FF25B752363}"/>
    <cellStyle name="Normal 2 4 5 4 5 5" xfId="20762" xr:uid="{AD74121F-B426-4C4C-A4C6-79FFBE448061}"/>
    <cellStyle name="Normal 2 4 5 4 6" xfId="2484" xr:uid="{00000000-0005-0000-0000-0000BF100000}"/>
    <cellStyle name="Normal 2 4 5 4 6 2" xfId="6767" xr:uid="{00000000-0005-0000-0000-0000C0100000}"/>
    <cellStyle name="Normal 2 4 5 4 6 2 2" xfId="16093" xr:uid="{E680C6CF-4BB0-4028-B9F5-4215BA271F34}"/>
    <cellStyle name="Normal 2 4 5 4 6 2 2 2" xfId="34689" xr:uid="{A1995402-B67D-4CC7-9E86-7AF4C35B1319}"/>
    <cellStyle name="Normal 2 4 5 4 6 2 3" xfId="25392" xr:uid="{E45C7579-BEA3-4501-BF98-57A4990CFB3F}"/>
    <cellStyle name="Normal 2 4 5 4 6 3" xfId="11876" xr:uid="{DA69A892-6800-4B94-A142-726A4473BC92}"/>
    <cellStyle name="Normal 2 4 5 4 6 3 2" xfId="30472" xr:uid="{0D977243-5041-4E5A-BE11-589DF3F6580D}"/>
    <cellStyle name="Normal 2 4 5 4 6 4" xfId="21175" xr:uid="{77172F60-98E7-4CAE-A883-F6CD04ECE149}"/>
    <cellStyle name="Normal 2 4 5 4 7" xfId="4701" xr:uid="{00000000-0005-0000-0000-0000C1100000}"/>
    <cellStyle name="Normal 2 4 5 4 7 2" xfId="14027" xr:uid="{2C728C96-7296-4825-92F4-DA23CF46D99F}"/>
    <cellStyle name="Normal 2 4 5 4 7 2 2" xfId="32623" xr:uid="{203270F8-29DE-4E6D-8973-B58CCDDA1284}"/>
    <cellStyle name="Normal 2 4 5 4 7 3" xfId="23326" xr:uid="{D74AB5EE-6FA7-4A3E-906B-7B5EE01BE4C9}"/>
    <cellStyle name="Normal 2 4 5 4 8" xfId="8987" xr:uid="{8DC2C01A-3078-41AD-BCFB-AA1CA8EE9C0A}"/>
    <cellStyle name="Normal 2 4 5 4 8 2" xfId="18311" xr:uid="{1D7425F2-19AC-4420-AF83-85C1B51E6BF2}"/>
    <cellStyle name="Normal 2 4 5 4 8 2 2" xfId="36906" xr:uid="{184C1757-620E-4C2F-A115-86539B116030}"/>
    <cellStyle name="Normal 2 4 5 4 8 3" xfId="27609" xr:uid="{1C2B0352-D38D-448E-99A7-170F0337A922}"/>
    <cellStyle name="Normal 2 4 5 4 9" xfId="9810" xr:uid="{5834D67F-3C22-4908-AFAF-A8B75C90CB72}"/>
    <cellStyle name="Normal 2 4 5 4 9 2" xfId="28406" xr:uid="{C9F31106-C069-4846-84E8-008ED28B5F58}"/>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EFE39CE9-166F-4430-B101-BEF41FBFF743}"/>
    <cellStyle name="Normal 2 4 5 5 2 2 2 2" xfId="35175" xr:uid="{CB1A6121-EEBF-4DF6-9142-2FCD9B02E918}"/>
    <cellStyle name="Normal 2 4 5 5 2 2 3" xfId="25878" xr:uid="{C95B0BBB-650E-4251-87F0-6458C1DB77B4}"/>
    <cellStyle name="Normal 2 4 5 5 2 3" xfId="12362" xr:uid="{4BC50812-0F9A-476A-A6C9-3F1663E5B541}"/>
    <cellStyle name="Normal 2 4 5 5 2 3 2" xfId="30958" xr:uid="{452EC521-AA1E-435E-9A03-51A3C81CD2BA}"/>
    <cellStyle name="Normal 2 4 5 5 2 4" xfId="21661" xr:uid="{3CFA98AC-DC17-44D1-8F37-787D08A79FC1}"/>
    <cellStyle name="Normal 2 4 5 5 3" xfId="5108" xr:uid="{00000000-0005-0000-0000-0000C5100000}"/>
    <cellStyle name="Normal 2 4 5 5 3 2" xfId="14434" xr:uid="{17E9C9D7-1456-4D3A-B71D-65EFE6CC8DBF}"/>
    <cellStyle name="Normal 2 4 5 5 3 2 2" xfId="33030" xr:uid="{117795C4-D9D0-4A2B-94F4-F88A1B36712A}"/>
    <cellStyle name="Normal 2 4 5 5 3 3" xfId="23733" xr:uid="{78CDE6C1-364E-4025-A68A-36E82293FBD5}"/>
    <cellStyle name="Normal 2 4 5 5 4" xfId="9204" xr:uid="{BE34B337-03EE-47D8-9E35-2EE6FAB30236}"/>
    <cellStyle name="Normal 2 4 5 5 4 2" xfId="18520" xr:uid="{FD65F285-BAD0-4299-827F-6EA6DA07FAF8}"/>
    <cellStyle name="Normal 2 4 5 5 4 2 2" xfId="37114" xr:uid="{6B23E383-3A69-49D4-B3E5-2C32D0B84E5E}"/>
    <cellStyle name="Normal 2 4 5 5 4 3" xfId="27817" xr:uid="{019395E9-5758-48B8-B5D9-0C4DB662385F}"/>
    <cellStyle name="Normal 2 4 5 5 5" xfId="10217" xr:uid="{9429BAFA-AC48-4C18-9F83-285C0BD11CBD}"/>
    <cellStyle name="Normal 2 4 5 5 5 2" xfId="28813" xr:uid="{EB515058-3D6F-4A78-89DC-3592BDC9F9DA}"/>
    <cellStyle name="Normal 2 4 5 5 6" xfId="19516" xr:uid="{B7831612-2F7C-4438-9174-8D380836A30F}"/>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D116FA0A-2CE6-465E-8CC1-8D0901F401C1}"/>
    <cellStyle name="Normal 2 4 5 6 2 2 2 2" xfId="35588" xr:uid="{110C0322-75FE-4886-BD54-9B774E732003}"/>
    <cellStyle name="Normal 2 4 5 6 2 2 3" xfId="26291" xr:uid="{7877AD4F-4854-4B1F-A4C5-22FC16EC6627}"/>
    <cellStyle name="Normal 2 4 5 6 2 3" xfId="12775" xr:uid="{2FCD9A2E-E31B-4240-8B4C-84A0A284A38A}"/>
    <cellStyle name="Normal 2 4 5 6 2 3 2" xfId="31371" xr:uid="{088C70E8-77A8-4FAF-B751-F1189C995263}"/>
    <cellStyle name="Normal 2 4 5 6 2 4" xfId="22074" xr:uid="{3EFCED50-807E-44B3-8BCF-8B9630BC5E1E}"/>
    <cellStyle name="Normal 2 4 5 6 3" xfId="5521" xr:uid="{00000000-0005-0000-0000-0000C9100000}"/>
    <cellStyle name="Normal 2 4 5 6 3 2" xfId="14847" xr:uid="{76259982-E783-49FF-9E9E-231BFFEC825E}"/>
    <cellStyle name="Normal 2 4 5 6 3 2 2" xfId="33443" xr:uid="{9E9B6D2B-B5DE-4493-91E2-8E51978C000A}"/>
    <cellStyle name="Normal 2 4 5 6 3 3" xfId="24146" xr:uid="{7E1A27E3-217C-4131-8DAE-00A878D34ED3}"/>
    <cellStyle name="Normal 2 4 5 6 4" xfId="10630" xr:uid="{F5C31EA3-92D8-49BD-A8B1-7C654CAF74EE}"/>
    <cellStyle name="Normal 2 4 5 6 4 2" xfId="29226" xr:uid="{13712EFF-0D44-4DF2-9C72-63FDD38877C7}"/>
    <cellStyle name="Normal 2 4 5 6 5" xfId="19929" xr:uid="{CB863388-6433-4F3A-80D7-769252A0FCCC}"/>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70E74A11-4099-4336-9BF5-8139E05C6AEC}"/>
    <cellStyle name="Normal 2 4 5 7 2 2 2 2" xfId="36001" xr:uid="{7CA60D88-58B9-4FFA-BBC5-F7570225B6BC}"/>
    <cellStyle name="Normal 2 4 5 7 2 2 3" xfId="26704" xr:uid="{6A5E13B1-9EE7-4A60-96AC-80478A4B61AD}"/>
    <cellStyle name="Normal 2 4 5 7 2 3" xfId="13188" xr:uid="{1D53C796-361D-457C-81BF-B149073BEB4B}"/>
    <cellStyle name="Normal 2 4 5 7 2 3 2" xfId="31784" xr:uid="{DF993BC4-053A-4641-BC92-0793E187D6EB}"/>
    <cellStyle name="Normal 2 4 5 7 2 4" xfId="22487" xr:uid="{65916DED-8F87-4E03-BB6B-FD1F677FF212}"/>
    <cellStyle name="Normal 2 4 5 7 3" xfId="5934" xr:uid="{00000000-0005-0000-0000-0000CD100000}"/>
    <cellStyle name="Normal 2 4 5 7 3 2" xfId="15260" xr:uid="{0355C486-1EF4-4D77-938C-C080EFDA6F88}"/>
    <cellStyle name="Normal 2 4 5 7 3 2 2" xfId="33856" xr:uid="{A4B68824-EE60-44ED-BBB0-EAD32C2E7746}"/>
    <cellStyle name="Normal 2 4 5 7 3 3" xfId="24559" xr:uid="{2AE273C6-1991-4C3D-B132-93C42F296B0F}"/>
    <cellStyle name="Normal 2 4 5 7 4" xfId="11043" xr:uid="{197F9F54-7326-4FAC-B335-E1D3B8A5D91D}"/>
    <cellStyle name="Normal 2 4 5 7 4 2" xfId="29639" xr:uid="{483D1A25-567C-4DB2-8923-98191B3715EC}"/>
    <cellStyle name="Normal 2 4 5 7 5" xfId="20342" xr:uid="{581D60AD-A4B8-4AD9-B080-B38D1D13BE6A}"/>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37112836-9908-4E0E-BE1C-03635F593F62}"/>
    <cellStyle name="Normal 2 4 5 8 2 2 2 2" xfId="36414" xr:uid="{6D003E07-93F3-4C92-BBD0-43FEC6DE2696}"/>
    <cellStyle name="Normal 2 4 5 8 2 2 3" xfId="27117" xr:uid="{678176D3-9D33-415C-9CA3-A96AC7A178C5}"/>
    <cellStyle name="Normal 2 4 5 8 2 3" xfId="13601" xr:uid="{8177717B-A491-432D-813A-08D16D575BD8}"/>
    <cellStyle name="Normal 2 4 5 8 2 3 2" xfId="32197" xr:uid="{E9F47251-6DBE-465C-A17C-FF30019972E3}"/>
    <cellStyle name="Normal 2 4 5 8 2 4" xfId="22900" xr:uid="{DE8A261F-A470-4F25-AB05-86D17D136739}"/>
    <cellStyle name="Normal 2 4 5 8 3" xfId="6347" xr:uid="{00000000-0005-0000-0000-0000D1100000}"/>
    <cellStyle name="Normal 2 4 5 8 3 2" xfId="15673" xr:uid="{D6C31B30-6A99-4BDA-90D4-B38C32E499CA}"/>
    <cellStyle name="Normal 2 4 5 8 3 2 2" xfId="34269" xr:uid="{DCC2B080-AA43-47C9-BE66-D8E47095B78C}"/>
    <cellStyle name="Normal 2 4 5 8 3 3" xfId="24972" xr:uid="{E0DE151B-E6CF-4FEB-ACF4-B23EB6710135}"/>
    <cellStyle name="Normal 2 4 5 8 4" xfId="11456" xr:uid="{87616FBC-8D42-4254-8785-BDFC0181366C}"/>
    <cellStyle name="Normal 2 4 5 8 4 2" xfId="30052" xr:uid="{B9F46F45-89FE-4C51-9CC6-E714049D5996}"/>
    <cellStyle name="Normal 2 4 5 8 5" xfId="20755" xr:uid="{2F18E3AF-1F05-4B6B-A517-D9F042CDCE32}"/>
    <cellStyle name="Normal 2 4 5 9" xfId="2477" xr:uid="{00000000-0005-0000-0000-0000D2100000}"/>
    <cellStyle name="Normal 2 4 5 9 2" xfId="6760" xr:uid="{00000000-0005-0000-0000-0000D3100000}"/>
    <cellStyle name="Normal 2 4 5 9 2 2" xfId="16086" xr:uid="{8B83F23A-4CEF-4E3B-B7FB-E6195C728D2A}"/>
    <cellStyle name="Normal 2 4 5 9 2 2 2" xfId="34682" xr:uid="{545AC778-2538-4FED-9D98-F9FFD0E015B9}"/>
    <cellStyle name="Normal 2 4 5 9 2 3" xfId="25385" xr:uid="{A02AD2C3-E101-49A8-9A99-25FE5EA99C29}"/>
    <cellStyle name="Normal 2 4 5 9 3" xfId="11869" xr:uid="{CC5D2EA4-D38F-4849-8177-226E30E9F29D}"/>
    <cellStyle name="Normal 2 4 5 9 3 2" xfId="30465" xr:uid="{E53C211C-21B1-4AFC-823A-508DBDA2E51B}"/>
    <cellStyle name="Normal 2 4 5 9 4" xfId="21168" xr:uid="{48AE2939-5CDF-46B0-B81F-40EFBD2D4739}"/>
    <cellStyle name="Normal 2 4 6" xfId="311" xr:uid="{00000000-0005-0000-0000-0000D4100000}"/>
    <cellStyle name="Normal 2 4 7" xfId="312" xr:uid="{00000000-0005-0000-0000-0000D5100000}"/>
    <cellStyle name="Normal 2 4 7 10" xfId="9811" xr:uid="{88B271F5-77A2-463A-A153-B84EEA321BA7}"/>
    <cellStyle name="Normal 2 4 7 10 2" xfId="28407" xr:uid="{6D6522EA-4F5F-4928-9DE1-8E421A1B21F0}"/>
    <cellStyle name="Normal 2 4 7 11" xfId="19110" xr:uid="{DBCC091C-CADF-410C-A535-879916E807BE}"/>
    <cellStyle name="Normal 2 4 7 2" xfId="313" xr:uid="{00000000-0005-0000-0000-0000D6100000}"/>
    <cellStyle name="Normal 2 4 7 2 10" xfId="19111" xr:uid="{5A7F0112-09A6-468E-B812-9B55329BCACD}"/>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C332EE27-6376-44FD-9AFD-EFC747648C99}"/>
    <cellStyle name="Normal 2 4 7 2 2 2 2 2 2" xfId="35184" xr:uid="{AE44AE35-CCA4-4D21-AABB-3AFB2B846F55}"/>
    <cellStyle name="Normal 2 4 7 2 2 2 2 3" xfId="25887" xr:uid="{D1C5EE30-D821-4F08-A12B-6CA4775D4165}"/>
    <cellStyle name="Normal 2 4 7 2 2 2 3" xfId="12371" xr:uid="{6546E851-4BD9-4908-95B2-A36A8F2C3E22}"/>
    <cellStyle name="Normal 2 4 7 2 2 2 3 2" xfId="30967" xr:uid="{3E25B00B-0AE3-4CEB-A8AE-17E0550C7DB0}"/>
    <cellStyle name="Normal 2 4 7 2 2 2 4" xfId="21670" xr:uid="{65761225-DCBD-4782-AD66-0D530E4835D7}"/>
    <cellStyle name="Normal 2 4 7 2 2 3" xfId="5117" xr:uid="{00000000-0005-0000-0000-0000DA100000}"/>
    <cellStyle name="Normal 2 4 7 2 2 3 2" xfId="14443" xr:uid="{4AACA2DE-37FA-4AC8-8EFF-2AF62EFB375B}"/>
    <cellStyle name="Normal 2 4 7 2 2 3 2 2" xfId="33039" xr:uid="{1B2D36E5-20CD-440E-A9C9-D0B56E0F1ED7}"/>
    <cellStyle name="Normal 2 4 7 2 2 3 3" xfId="23742" xr:uid="{FC2EE1B8-6457-43F8-AED7-0AA953D4EE34}"/>
    <cellStyle name="Normal 2 4 7 2 2 4" xfId="9483" xr:uid="{3D7EFF6F-050D-4214-91CB-DF2673F23584}"/>
    <cellStyle name="Normal 2 4 7 2 2 4 2" xfId="18798" xr:uid="{CB387A91-494F-446C-B9A9-FA7858CC910C}"/>
    <cellStyle name="Normal 2 4 7 2 2 4 2 2" xfId="37392" xr:uid="{D9A9C748-5682-4A27-8194-0476ED93EE29}"/>
    <cellStyle name="Normal 2 4 7 2 2 4 3" xfId="28095" xr:uid="{808B2C5F-B53B-40A8-9B3D-181B312495F2}"/>
    <cellStyle name="Normal 2 4 7 2 2 5" xfId="10226" xr:uid="{A1CE8A42-6C4B-4BDE-A3D2-CFEA04F4DF56}"/>
    <cellStyle name="Normal 2 4 7 2 2 5 2" xfId="28822" xr:uid="{B5FDFE5D-7678-4115-A1D7-DFFBC0D4057D}"/>
    <cellStyle name="Normal 2 4 7 2 2 6" xfId="19525" xr:uid="{6258FB44-CFF1-421D-89B2-D1D866BE0976}"/>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D9B72A44-AF02-4790-949A-F72EE1EC5374}"/>
    <cellStyle name="Normal 2 4 7 2 3 2 2 2 2" xfId="35597" xr:uid="{731A33F6-AEBB-457C-BF95-6D7DF9F3CC9D}"/>
    <cellStyle name="Normal 2 4 7 2 3 2 2 3" xfId="26300" xr:uid="{06325161-6BD0-4ECB-8633-E3322ACA0B84}"/>
    <cellStyle name="Normal 2 4 7 2 3 2 3" xfId="12784" xr:uid="{677331F0-7620-4AE1-8435-24442C992A4A}"/>
    <cellStyle name="Normal 2 4 7 2 3 2 3 2" xfId="31380" xr:uid="{4529E4D8-7469-4992-AA10-A1E90287CD42}"/>
    <cellStyle name="Normal 2 4 7 2 3 2 4" xfId="22083" xr:uid="{5490D997-26A0-4DA0-8983-98D2AC0B18DC}"/>
    <cellStyle name="Normal 2 4 7 2 3 3" xfId="5530" xr:uid="{00000000-0005-0000-0000-0000DE100000}"/>
    <cellStyle name="Normal 2 4 7 2 3 3 2" xfId="14856" xr:uid="{4DB8103D-079E-48D7-A8E3-306F6AC3D833}"/>
    <cellStyle name="Normal 2 4 7 2 3 3 2 2" xfId="33452" xr:uid="{47738084-5929-4DD6-8EE6-DB82A4B44CA3}"/>
    <cellStyle name="Normal 2 4 7 2 3 3 3" xfId="24155" xr:uid="{15A9C7B1-0213-4259-84EA-477725DE1181}"/>
    <cellStyle name="Normal 2 4 7 2 3 4" xfId="10639" xr:uid="{29F07F0D-801F-4F7B-BC5B-11344AD14015}"/>
    <cellStyle name="Normal 2 4 7 2 3 4 2" xfId="29235" xr:uid="{6BC2B90A-9D55-48D8-87B6-6E990D8E9E71}"/>
    <cellStyle name="Normal 2 4 7 2 3 5" xfId="19938" xr:uid="{02D1F9A8-666D-4EB6-851C-4445016DE9B7}"/>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58BB8A8F-C246-42B5-A845-1AAB9476270C}"/>
    <cellStyle name="Normal 2 4 7 2 4 2 2 2 2" xfId="36010" xr:uid="{A7EC59A7-1E6A-49D4-9961-D8BF98D42AF6}"/>
    <cellStyle name="Normal 2 4 7 2 4 2 2 3" xfId="26713" xr:uid="{36F45BC4-1629-4DB3-8F7D-63324C292342}"/>
    <cellStyle name="Normal 2 4 7 2 4 2 3" xfId="13197" xr:uid="{4EC43211-83EC-4F70-ADB0-CBD5D9711AB5}"/>
    <cellStyle name="Normal 2 4 7 2 4 2 3 2" xfId="31793" xr:uid="{851554A7-FBA1-49D9-9D84-39423DF0E90F}"/>
    <cellStyle name="Normal 2 4 7 2 4 2 4" xfId="22496" xr:uid="{D41CC3CB-3750-46B5-B733-93000978DB9C}"/>
    <cellStyle name="Normal 2 4 7 2 4 3" xfId="5943" xr:uid="{00000000-0005-0000-0000-0000E2100000}"/>
    <cellStyle name="Normal 2 4 7 2 4 3 2" xfId="15269" xr:uid="{61FD199F-311F-40A4-8693-0314225F14BF}"/>
    <cellStyle name="Normal 2 4 7 2 4 3 2 2" xfId="33865" xr:uid="{EA8C9C9C-0826-4495-A561-5D11C3F2FB2A}"/>
    <cellStyle name="Normal 2 4 7 2 4 3 3" xfId="24568" xr:uid="{C9DF2C01-BB71-44AD-83F0-0F3494B181EA}"/>
    <cellStyle name="Normal 2 4 7 2 4 4" xfId="11052" xr:uid="{57FC1C25-C7F0-4B7D-A853-5B213E02E0BA}"/>
    <cellStyle name="Normal 2 4 7 2 4 4 2" xfId="29648" xr:uid="{3DFF74A0-0009-4CE6-9E85-DFE7E8A6CDAB}"/>
    <cellStyle name="Normal 2 4 7 2 4 5" xfId="20351" xr:uid="{5A30C4A6-AC19-4E11-8D65-53E6CC607BC3}"/>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BF54D1B4-41D6-4912-BF83-41257D80446F}"/>
    <cellStyle name="Normal 2 4 7 2 5 2 2 2 2" xfId="36423" xr:uid="{8258118B-8D53-4B07-B690-775082F317DA}"/>
    <cellStyle name="Normal 2 4 7 2 5 2 2 3" xfId="27126" xr:uid="{78F548D2-216C-4842-A6E5-CD0F05DA241D}"/>
    <cellStyle name="Normal 2 4 7 2 5 2 3" xfId="13610" xr:uid="{E6C889DC-42BB-4FD9-876D-356A5877692C}"/>
    <cellStyle name="Normal 2 4 7 2 5 2 3 2" xfId="32206" xr:uid="{FBEFCFC7-A196-4417-BEFE-2B9BF0B1B51A}"/>
    <cellStyle name="Normal 2 4 7 2 5 2 4" xfId="22909" xr:uid="{D80D6562-40F3-450A-A68D-2FA87AA1C121}"/>
    <cellStyle name="Normal 2 4 7 2 5 3" xfId="6356" xr:uid="{00000000-0005-0000-0000-0000E6100000}"/>
    <cellStyle name="Normal 2 4 7 2 5 3 2" xfId="15682" xr:uid="{859E17AC-3495-4A32-90A7-B86A34EB4F62}"/>
    <cellStyle name="Normal 2 4 7 2 5 3 2 2" xfId="34278" xr:uid="{DB374E7F-F414-472A-BB93-8162F2EE19EE}"/>
    <cellStyle name="Normal 2 4 7 2 5 3 3" xfId="24981" xr:uid="{317A2B73-30B5-402D-A1F1-0ED8454D267B}"/>
    <cellStyle name="Normal 2 4 7 2 5 4" xfId="11465" xr:uid="{8961670B-E8BB-456C-BC52-66370E34C26E}"/>
    <cellStyle name="Normal 2 4 7 2 5 4 2" xfId="30061" xr:uid="{1BDBDF13-0A6C-4B44-BD5B-85E898221992}"/>
    <cellStyle name="Normal 2 4 7 2 5 5" xfId="20764" xr:uid="{216CDC61-717B-487A-BFAE-AB06411E115B}"/>
    <cellStyle name="Normal 2 4 7 2 6" xfId="2486" xr:uid="{00000000-0005-0000-0000-0000E7100000}"/>
    <cellStyle name="Normal 2 4 7 2 6 2" xfId="6769" xr:uid="{00000000-0005-0000-0000-0000E8100000}"/>
    <cellStyle name="Normal 2 4 7 2 6 2 2" xfId="16095" xr:uid="{56AC5463-ED5C-4D1D-A92D-71D970838ACD}"/>
    <cellStyle name="Normal 2 4 7 2 6 2 2 2" xfId="34691" xr:uid="{16827EEA-0451-4195-B617-EE1FBF446FC8}"/>
    <cellStyle name="Normal 2 4 7 2 6 2 3" xfId="25394" xr:uid="{1EA9C384-1DD2-42A9-B0ED-D5240BEF4E14}"/>
    <cellStyle name="Normal 2 4 7 2 6 3" xfId="11878" xr:uid="{1D90E208-E9C0-4B81-9DD0-B9AF75E28178}"/>
    <cellStyle name="Normal 2 4 7 2 6 3 2" xfId="30474" xr:uid="{8E53EACD-BF8F-430B-BB0E-8C94A07B5854}"/>
    <cellStyle name="Normal 2 4 7 2 6 4" xfId="21177" xr:uid="{E84EB57E-8295-45E0-A9F0-A693632B6902}"/>
    <cellStyle name="Normal 2 4 7 2 7" xfId="4703" xr:uid="{00000000-0005-0000-0000-0000E9100000}"/>
    <cellStyle name="Normal 2 4 7 2 7 2" xfId="14029" xr:uid="{E82D4873-F33C-45C2-8BE6-81853F54F7BD}"/>
    <cellStyle name="Normal 2 4 7 2 7 2 2" xfId="32625" xr:uid="{F2CEC37D-83E0-4C6A-BA69-B2A201673623}"/>
    <cellStyle name="Normal 2 4 7 2 7 3" xfId="23328" xr:uid="{7641DFDB-320D-4163-BF63-BFE2570CB298}"/>
    <cellStyle name="Normal 2 4 7 2 8" xfId="9058" xr:uid="{FCEC438E-EF6A-4A00-BFE3-0DA309169A82}"/>
    <cellStyle name="Normal 2 4 7 2 8 2" xfId="18382" xr:uid="{38F93181-8E6D-4891-8C00-E6EF3F1A7B4E}"/>
    <cellStyle name="Normal 2 4 7 2 8 2 2" xfId="36977" xr:uid="{1B3CBB64-6D34-404F-953C-9E0B836241BB}"/>
    <cellStyle name="Normal 2 4 7 2 8 3" xfId="27680" xr:uid="{82AC3300-05F4-49F4-AA70-9D9AD289D57F}"/>
    <cellStyle name="Normal 2 4 7 2 9" xfId="9812" xr:uid="{87BFF88F-2C29-43CA-A35E-78CD2F02CADE}"/>
    <cellStyle name="Normal 2 4 7 2 9 2" xfId="28408" xr:uid="{3646E323-6D2B-46EB-9D43-9AE8C0143060}"/>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2A661CB2-FB64-4294-B326-775A5498B2BB}"/>
    <cellStyle name="Normal 2 4 7 3 2 2 2 2" xfId="35183" xr:uid="{59A6B2B4-BB74-4CDA-AF66-B87FA134C02B}"/>
    <cellStyle name="Normal 2 4 7 3 2 2 3" xfId="25886" xr:uid="{C229B103-8B8F-4D66-8D47-D3107D118BAB}"/>
    <cellStyle name="Normal 2 4 7 3 2 3" xfId="12370" xr:uid="{DA07E629-0BB6-4348-A5AA-7466A95FBD42}"/>
    <cellStyle name="Normal 2 4 7 3 2 3 2" xfId="30966" xr:uid="{9AE80B29-DB57-43CA-8636-B17F1FC3D1ED}"/>
    <cellStyle name="Normal 2 4 7 3 2 4" xfId="21669" xr:uid="{6DEDB9AC-022A-4478-A93A-14C40CEDEB06}"/>
    <cellStyle name="Normal 2 4 7 3 3" xfId="5116" xr:uid="{00000000-0005-0000-0000-0000ED100000}"/>
    <cellStyle name="Normal 2 4 7 3 3 2" xfId="14442" xr:uid="{DCCDAB9F-5305-4DF3-B1C3-D4B584060DEC}"/>
    <cellStyle name="Normal 2 4 7 3 3 2 2" xfId="33038" xr:uid="{69E854F1-2C24-42D9-A643-53C58C0A1922}"/>
    <cellStyle name="Normal 2 4 7 3 3 3" xfId="23741" xr:uid="{9F7FAAF9-FB9A-4BEC-A98C-6636509C2FF2}"/>
    <cellStyle name="Normal 2 4 7 3 4" xfId="9276" xr:uid="{90A81E61-1719-41E4-8673-7681E805C2E0}"/>
    <cellStyle name="Normal 2 4 7 3 4 2" xfId="18591" xr:uid="{5A32F841-375E-4EF0-9A8D-82EA0B6BF299}"/>
    <cellStyle name="Normal 2 4 7 3 4 2 2" xfId="37185" xr:uid="{B06F2EAE-7A03-4B28-8FE8-BC166AA187DA}"/>
    <cellStyle name="Normal 2 4 7 3 4 3" xfId="27888" xr:uid="{074C8E75-BB4B-4148-A143-928E0DBF18CB}"/>
    <cellStyle name="Normal 2 4 7 3 5" xfId="10225" xr:uid="{E274CFE4-92DE-4EA4-8900-DE200B13CF1D}"/>
    <cellStyle name="Normal 2 4 7 3 5 2" xfId="28821" xr:uid="{05FCE839-153C-4520-8FB8-E4F3354DDFB3}"/>
    <cellStyle name="Normal 2 4 7 3 6" xfId="19524" xr:uid="{BB815D11-C59C-43B7-827F-2BABEC4211EC}"/>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46630068-F2D8-4F22-94DF-B2C51147B1D1}"/>
    <cellStyle name="Normal 2 4 7 4 2 2 2 2" xfId="35596" xr:uid="{9739097C-F9E4-4493-8A30-411FDCAFBF24}"/>
    <cellStyle name="Normal 2 4 7 4 2 2 3" xfId="26299" xr:uid="{8FD0D784-4B47-44A5-8039-A1F3F6E861DC}"/>
    <cellStyle name="Normal 2 4 7 4 2 3" xfId="12783" xr:uid="{69D7A1CC-6E4A-465C-9625-9107922F4803}"/>
    <cellStyle name="Normal 2 4 7 4 2 3 2" xfId="31379" xr:uid="{A88B51D2-E077-4EF7-AD42-BA1C7F7556DD}"/>
    <cellStyle name="Normal 2 4 7 4 2 4" xfId="22082" xr:uid="{7A17EEAA-EA42-4A05-B4C1-E257F6D77F1C}"/>
    <cellStyle name="Normal 2 4 7 4 3" xfId="5529" xr:uid="{00000000-0005-0000-0000-0000F1100000}"/>
    <cellStyle name="Normal 2 4 7 4 3 2" xfId="14855" xr:uid="{BDFBF43E-3618-4C9D-B12E-F79D421A70BE}"/>
    <cellStyle name="Normal 2 4 7 4 3 2 2" xfId="33451" xr:uid="{3CF56D39-CE3A-4376-A159-E22335F92B55}"/>
    <cellStyle name="Normal 2 4 7 4 3 3" xfId="24154" xr:uid="{A2760C2D-422D-43C0-87E9-BAA21B0019E6}"/>
    <cellStyle name="Normal 2 4 7 4 4" xfId="10638" xr:uid="{23D99C6F-D9F3-47D6-9236-D2041C218C65}"/>
    <cellStyle name="Normal 2 4 7 4 4 2" xfId="29234" xr:uid="{AAF222BF-5794-4D4D-A37F-C4D80BBC42D1}"/>
    <cellStyle name="Normal 2 4 7 4 5" xfId="19937" xr:uid="{C1F597E2-E7BC-4865-B8A8-286E6DFD8488}"/>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B71E2AE5-8B07-4DCA-B8AC-206057CC859D}"/>
    <cellStyle name="Normal 2 4 7 5 2 2 2 2" xfId="36009" xr:uid="{595F3F9B-F4A7-4438-9ED1-B036810A00C7}"/>
    <cellStyle name="Normal 2 4 7 5 2 2 3" xfId="26712" xr:uid="{4D44737E-D1FE-42A1-ABB7-B5650E62EFA4}"/>
    <cellStyle name="Normal 2 4 7 5 2 3" xfId="13196" xr:uid="{40DDF048-FBF5-4CF5-A265-2ED6CA9D8B55}"/>
    <cellStyle name="Normal 2 4 7 5 2 3 2" xfId="31792" xr:uid="{6081D110-C5F1-4742-97A2-FEB66B0DB45A}"/>
    <cellStyle name="Normal 2 4 7 5 2 4" xfId="22495" xr:uid="{7BD0BF34-D99F-4C9A-B618-2DB9DD9B383D}"/>
    <cellStyle name="Normal 2 4 7 5 3" xfId="5942" xr:uid="{00000000-0005-0000-0000-0000F5100000}"/>
    <cellStyle name="Normal 2 4 7 5 3 2" xfId="15268" xr:uid="{3E4F6327-5E65-4676-B498-E0572731974C}"/>
    <cellStyle name="Normal 2 4 7 5 3 2 2" xfId="33864" xr:uid="{AD7FEE7E-9AEF-46C7-BD44-A1727FFEFA97}"/>
    <cellStyle name="Normal 2 4 7 5 3 3" xfId="24567" xr:uid="{16C85485-07F9-4E16-82DE-66E2D61A5E44}"/>
    <cellStyle name="Normal 2 4 7 5 4" xfId="11051" xr:uid="{A909B477-59E2-4491-853C-A220E37B6C96}"/>
    <cellStyle name="Normal 2 4 7 5 4 2" xfId="29647" xr:uid="{970B1772-DF71-421D-A4D9-1FE502032B2A}"/>
    <cellStyle name="Normal 2 4 7 5 5" xfId="20350" xr:uid="{44137966-CBEB-48C3-9107-E7DE08AC2632}"/>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FC95E066-0FD9-49D0-BC6F-D36129B4912A}"/>
    <cellStyle name="Normal 2 4 7 6 2 2 2 2" xfId="36422" xr:uid="{F7E46470-AF1E-4186-85E9-C5A2C1BE14E9}"/>
    <cellStyle name="Normal 2 4 7 6 2 2 3" xfId="27125" xr:uid="{391EB0B9-F10F-4F2E-AC1B-8F6BD1FF2426}"/>
    <cellStyle name="Normal 2 4 7 6 2 3" xfId="13609" xr:uid="{E5A57AD6-30AA-41AD-B16D-93C057B3BC2A}"/>
    <cellStyle name="Normal 2 4 7 6 2 3 2" xfId="32205" xr:uid="{DFAE00C3-E412-4330-950C-5E2626EDB8C4}"/>
    <cellStyle name="Normal 2 4 7 6 2 4" xfId="22908" xr:uid="{03E19E3A-D77C-46BA-8650-B778CFF7FAE5}"/>
    <cellStyle name="Normal 2 4 7 6 3" xfId="6355" xr:uid="{00000000-0005-0000-0000-0000F9100000}"/>
    <cellStyle name="Normal 2 4 7 6 3 2" xfId="15681" xr:uid="{6F0CE05D-7DB2-4B56-BC2B-EF3F8F211893}"/>
    <cellStyle name="Normal 2 4 7 6 3 2 2" xfId="34277" xr:uid="{5E0046AD-A7A8-428F-972E-7A92FC73F44C}"/>
    <cellStyle name="Normal 2 4 7 6 3 3" xfId="24980" xr:uid="{A6DA2E45-6B42-4653-A65D-08F5D465F638}"/>
    <cellStyle name="Normal 2 4 7 6 4" xfId="11464" xr:uid="{79E7322D-25A6-4B7B-934B-B9891B0FEC82}"/>
    <cellStyle name="Normal 2 4 7 6 4 2" xfId="30060" xr:uid="{785E2EB8-4D2C-4FD2-AB47-9A881911D462}"/>
    <cellStyle name="Normal 2 4 7 6 5" xfId="20763" xr:uid="{F8524722-A207-4773-9062-7C6D03417468}"/>
    <cellStyle name="Normal 2 4 7 7" xfId="2485" xr:uid="{00000000-0005-0000-0000-0000FA100000}"/>
    <cellStyle name="Normal 2 4 7 7 2" xfId="6768" xr:uid="{00000000-0005-0000-0000-0000FB100000}"/>
    <cellStyle name="Normal 2 4 7 7 2 2" xfId="16094" xr:uid="{25A9CCE1-6967-4272-9FE1-196222DC4BF1}"/>
    <cellStyle name="Normal 2 4 7 7 2 2 2" xfId="34690" xr:uid="{A7A36C84-CC50-45DD-A6C4-C6C691740DB6}"/>
    <cellStyle name="Normal 2 4 7 7 2 3" xfId="25393" xr:uid="{70707988-AEFF-4246-BDD3-00393C7855FC}"/>
    <cellStyle name="Normal 2 4 7 7 3" xfId="11877" xr:uid="{E076233A-0918-4E58-8393-C9234246E011}"/>
    <cellStyle name="Normal 2 4 7 7 3 2" xfId="30473" xr:uid="{25AB6C70-DDD0-4D5A-ACD7-74E5C4960EB0}"/>
    <cellStyle name="Normal 2 4 7 7 4" xfId="21176" xr:uid="{CA4847E2-C5C5-47A7-93B3-6ED41814DB8D}"/>
    <cellStyle name="Normal 2 4 7 8" xfId="4702" xr:uid="{00000000-0005-0000-0000-0000FC100000}"/>
    <cellStyle name="Normal 2 4 7 8 2" xfId="14028" xr:uid="{7264EF59-200B-43C1-AAFB-5E1AE56D1C87}"/>
    <cellStyle name="Normal 2 4 7 8 2 2" xfId="32624" xr:uid="{E4C04D4E-A7E4-4010-BF05-3138DFBDDCB4}"/>
    <cellStyle name="Normal 2 4 7 8 3" xfId="23327" xr:uid="{D5F7FB9C-5C3D-4B9A-9BD3-5DC69C5C1DA6}"/>
    <cellStyle name="Normal 2 4 7 9" xfId="8851" xr:uid="{6946A6C1-9296-4D8F-B36F-8F7964FD7AC6}"/>
    <cellStyle name="Normal 2 4 7 9 2" xfId="18175" xr:uid="{825D5C62-159B-492E-AA7B-566E07AF740D}"/>
    <cellStyle name="Normal 2 4 7 9 2 2" xfId="36770" xr:uid="{7820CE57-F513-4DD7-93EB-11BB65720EE5}"/>
    <cellStyle name="Normal 2 4 7 9 3" xfId="27473" xr:uid="{ACFB85E1-75E7-4B18-B35B-A27478DB00D7}"/>
    <cellStyle name="Normal 2 4 8" xfId="314" xr:uid="{00000000-0005-0000-0000-0000FD100000}"/>
    <cellStyle name="Normal 2 4 8 10" xfId="19112" xr:uid="{81FC9A40-45D0-4167-BBED-1FC4BD7ADEA0}"/>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10C447AB-8B07-418D-A4E0-297B89D713BB}"/>
    <cellStyle name="Normal 2 4 8 2 2 2 2 2" xfId="35185" xr:uid="{2A85B5EA-3B52-4ABB-988B-BEF1E02662A8}"/>
    <cellStyle name="Normal 2 4 8 2 2 2 3" xfId="25888" xr:uid="{53AA3D93-92BF-4675-AA9E-2788B20BB31F}"/>
    <cellStyle name="Normal 2 4 8 2 2 3" xfId="12372" xr:uid="{84DFAD70-EAFB-4920-973D-951136485153}"/>
    <cellStyle name="Normal 2 4 8 2 2 3 2" xfId="30968" xr:uid="{7902A63E-22E5-4205-853C-73B2AED9E8E1}"/>
    <cellStyle name="Normal 2 4 8 2 2 4" xfId="21671" xr:uid="{873E793E-B21D-4137-B927-8946C7A9AE14}"/>
    <cellStyle name="Normal 2 4 8 2 3" xfId="5118" xr:uid="{00000000-0005-0000-0000-000001110000}"/>
    <cellStyle name="Normal 2 4 8 2 3 2" xfId="14444" xr:uid="{344F440B-F704-485F-9075-171D3BB20399}"/>
    <cellStyle name="Normal 2 4 8 2 3 2 2" xfId="33040" xr:uid="{C3B09E64-F381-47C1-BBC7-5AC12753245A}"/>
    <cellStyle name="Normal 2 4 8 2 3 3" xfId="23743" xr:uid="{81DD47A2-08FE-4945-A0D1-637D7E2E57D9}"/>
    <cellStyle name="Normal 2 4 8 2 4" xfId="9392" xr:uid="{812B973E-E5C9-43CD-85B0-C8CA30BD9BF3}"/>
    <cellStyle name="Normal 2 4 8 2 4 2" xfId="18707" xr:uid="{3287D50E-81ED-4E29-9F93-83AE008DBF9B}"/>
    <cellStyle name="Normal 2 4 8 2 4 2 2" xfId="37301" xr:uid="{7A9A96C7-2B29-48D3-806A-65BD74FAD919}"/>
    <cellStyle name="Normal 2 4 8 2 4 3" xfId="28004" xr:uid="{67305EB3-9BA2-40E8-9969-C64EE59CEBAE}"/>
    <cellStyle name="Normal 2 4 8 2 5" xfId="10227" xr:uid="{C9D9BC36-B1C0-4330-A41B-770C4331CB05}"/>
    <cellStyle name="Normal 2 4 8 2 5 2" xfId="28823" xr:uid="{D7D2F702-0279-4975-90C3-354A7480BB3D}"/>
    <cellStyle name="Normal 2 4 8 2 6" xfId="19526" xr:uid="{3E2CD7FE-045A-4CB4-AC3F-2081D7984170}"/>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F1F4EB37-98BB-4D70-AF85-05F585275882}"/>
    <cellStyle name="Normal 2 4 8 3 2 2 2 2" xfId="35598" xr:uid="{408DDAA5-3081-4889-B74D-74D251B60791}"/>
    <cellStyle name="Normal 2 4 8 3 2 2 3" xfId="26301" xr:uid="{32D615C3-FD14-4031-96DD-15CA3E376A1F}"/>
    <cellStyle name="Normal 2 4 8 3 2 3" xfId="12785" xr:uid="{62A26C6D-102B-42CB-9DC8-EB5D0C8BEDFD}"/>
    <cellStyle name="Normal 2 4 8 3 2 3 2" xfId="31381" xr:uid="{85010166-215C-421E-A0E9-2F8D51458809}"/>
    <cellStyle name="Normal 2 4 8 3 2 4" xfId="22084" xr:uid="{53000930-A27E-4101-99E8-2DE6B51A0CE9}"/>
    <cellStyle name="Normal 2 4 8 3 3" xfId="5531" xr:uid="{00000000-0005-0000-0000-000005110000}"/>
    <cellStyle name="Normal 2 4 8 3 3 2" xfId="14857" xr:uid="{7CFC5036-1535-42FE-9AFD-A22DFC041D3B}"/>
    <cellStyle name="Normal 2 4 8 3 3 2 2" xfId="33453" xr:uid="{02BFEC79-A8A8-4CD4-B68A-BE3A82C6CECA}"/>
    <cellStyle name="Normal 2 4 8 3 3 3" xfId="24156" xr:uid="{7D42BA29-6BA0-4EAC-BA1D-4177CB6EA6C1}"/>
    <cellStyle name="Normal 2 4 8 3 4" xfId="10640" xr:uid="{4A808A10-AEEC-4944-B98C-DEC269C6654D}"/>
    <cellStyle name="Normal 2 4 8 3 4 2" xfId="29236" xr:uid="{6A6C6EAC-D16E-4924-BE3C-9695FCFA7DAE}"/>
    <cellStyle name="Normal 2 4 8 3 5" xfId="19939" xr:uid="{9B7BFDDA-FE8C-498A-B644-63BBF40420E8}"/>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173C6885-23C2-4553-AC3A-5B99DF381736}"/>
    <cellStyle name="Normal 2 4 8 4 2 2 2 2" xfId="36011" xr:uid="{1749BD4A-CDEC-4508-BCFA-9B6389BE1613}"/>
    <cellStyle name="Normal 2 4 8 4 2 2 3" xfId="26714" xr:uid="{36CDA1FF-4B07-421D-8F95-300F1E54AFF4}"/>
    <cellStyle name="Normal 2 4 8 4 2 3" xfId="13198" xr:uid="{94A0703A-7ADB-4003-A7AC-C1326A035392}"/>
    <cellStyle name="Normal 2 4 8 4 2 3 2" xfId="31794" xr:uid="{84D4329F-61A9-468A-ACA6-FADDA2124A10}"/>
    <cellStyle name="Normal 2 4 8 4 2 4" xfId="22497" xr:uid="{DD035913-5761-46DB-8823-413C8A698297}"/>
    <cellStyle name="Normal 2 4 8 4 3" xfId="5944" xr:uid="{00000000-0005-0000-0000-000009110000}"/>
    <cellStyle name="Normal 2 4 8 4 3 2" xfId="15270" xr:uid="{DB15DC3A-27ED-46D7-8AD3-4F686FA0AAD0}"/>
    <cellStyle name="Normal 2 4 8 4 3 2 2" xfId="33866" xr:uid="{D2BD304F-EBA1-42CC-A7E0-A67011647455}"/>
    <cellStyle name="Normal 2 4 8 4 3 3" xfId="24569" xr:uid="{05851EAF-9E65-431A-879B-83FEE48D7AD6}"/>
    <cellStyle name="Normal 2 4 8 4 4" xfId="11053" xr:uid="{3266F39C-62F1-4C93-91E4-8D0385D40F37}"/>
    <cellStyle name="Normal 2 4 8 4 4 2" xfId="29649" xr:uid="{90905B53-6B2F-4813-862D-A3E1AB1DD6BA}"/>
    <cellStyle name="Normal 2 4 8 4 5" xfId="20352" xr:uid="{8C94E0A9-53C8-4FD7-AE11-1524F42320CD}"/>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F0835924-E8DD-4506-BDB5-2CD7EF1C0C17}"/>
    <cellStyle name="Normal 2 4 8 5 2 2 2 2" xfId="36424" xr:uid="{A60506EC-817B-4A34-A528-C814B2E01270}"/>
    <cellStyle name="Normal 2 4 8 5 2 2 3" xfId="27127" xr:uid="{0928491C-2ADC-4459-A8A0-77746637C892}"/>
    <cellStyle name="Normal 2 4 8 5 2 3" xfId="13611" xr:uid="{EE717C4C-59ED-4706-9BC3-7FC16F701F0F}"/>
    <cellStyle name="Normal 2 4 8 5 2 3 2" xfId="32207" xr:uid="{42596C0C-4C7F-475D-ADA3-54B335F46544}"/>
    <cellStyle name="Normal 2 4 8 5 2 4" xfId="22910" xr:uid="{759FD9B2-CD5F-4508-A57E-A302A239BA2B}"/>
    <cellStyle name="Normal 2 4 8 5 3" xfId="6357" xr:uid="{00000000-0005-0000-0000-00000D110000}"/>
    <cellStyle name="Normal 2 4 8 5 3 2" xfId="15683" xr:uid="{2FA8EC5D-B9F4-435E-9002-254C23119457}"/>
    <cellStyle name="Normal 2 4 8 5 3 2 2" xfId="34279" xr:uid="{BCF74EDA-45A5-4DE7-A5B7-75CDFCAA5F31}"/>
    <cellStyle name="Normal 2 4 8 5 3 3" xfId="24982" xr:uid="{63CFC514-F281-4CF6-AC00-AF2C3A8849F9}"/>
    <cellStyle name="Normal 2 4 8 5 4" xfId="11466" xr:uid="{02C6B7EE-C5D2-4555-8354-2CD3C99E568D}"/>
    <cellStyle name="Normal 2 4 8 5 4 2" xfId="30062" xr:uid="{EDBEA509-7662-4C9A-B156-3CA26BBA52ED}"/>
    <cellStyle name="Normal 2 4 8 5 5" xfId="20765" xr:uid="{2DCB815D-3CF5-41EE-A935-04B46B8F64E5}"/>
    <cellStyle name="Normal 2 4 8 6" xfId="2487" xr:uid="{00000000-0005-0000-0000-00000E110000}"/>
    <cellStyle name="Normal 2 4 8 6 2" xfId="6770" xr:uid="{00000000-0005-0000-0000-00000F110000}"/>
    <cellStyle name="Normal 2 4 8 6 2 2" xfId="16096" xr:uid="{166C389F-D7E4-41AB-8743-CF6B210BB9B8}"/>
    <cellStyle name="Normal 2 4 8 6 2 2 2" xfId="34692" xr:uid="{67BD44FE-7A2F-4728-AED5-6F7AD0283CF0}"/>
    <cellStyle name="Normal 2 4 8 6 2 3" xfId="25395" xr:uid="{C8BCE452-2E14-4A66-A8CD-E09DB190C53B}"/>
    <cellStyle name="Normal 2 4 8 6 3" xfId="11879" xr:uid="{A3879651-16A8-4C08-B4F9-06F619B8FD35}"/>
    <cellStyle name="Normal 2 4 8 6 3 2" xfId="30475" xr:uid="{E628E2C8-2559-4381-9B9A-99C4CBBB8975}"/>
    <cellStyle name="Normal 2 4 8 6 4" xfId="21178" xr:uid="{620E6D86-87F5-4C43-9543-3E29630AC541}"/>
    <cellStyle name="Normal 2 4 8 7" xfId="4704" xr:uid="{00000000-0005-0000-0000-000010110000}"/>
    <cellStyle name="Normal 2 4 8 7 2" xfId="14030" xr:uid="{22A73A3A-0FD0-4AE9-A85F-0CF0D7BF0E24}"/>
    <cellStyle name="Normal 2 4 8 7 2 2" xfId="32626" xr:uid="{637B549D-7F5A-4D20-BA47-BEE67B1D5A75}"/>
    <cellStyle name="Normal 2 4 8 7 3" xfId="23329" xr:uid="{20388463-DFB9-4C94-8EA2-79C5C5CDA9B6}"/>
    <cellStyle name="Normal 2 4 8 8" xfId="8967" xr:uid="{32AC97CD-D3FD-4AE1-A8B2-07BEA9D5DE52}"/>
    <cellStyle name="Normal 2 4 8 8 2" xfId="18291" xr:uid="{8C1A59ED-0BD8-464A-B14F-3D009A3156D2}"/>
    <cellStyle name="Normal 2 4 8 8 2 2" xfId="36886" xr:uid="{43B6361A-477A-487B-95AB-C3E28221C734}"/>
    <cellStyle name="Normal 2 4 8 8 3" xfId="27589" xr:uid="{ED2782F8-8412-4322-BE12-B4ED9748392C}"/>
    <cellStyle name="Normal 2 4 8 9" xfId="9813" xr:uid="{E9F70EA6-8C24-4D67-AB76-548FF68460B0}"/>
    <cellStyle name="Normal 2 4 8 9 2" xfId="28409" xr:uid="{E9E321D6-FBF7-4B83-942D-0341ADA439DD}"/>
    <cellStyle name="Normal 2 4 9" xfId="9170" xr:uid="{5569C060-E090-4551-A44D-517EC3FD1834}"/>
    <cellStyle name="Normal 2 4 9 2" xfId="18488" xr:uid="{8E39496A-C47A-4D7D-AC69-BDDE2532D045}"/>
    <cellStyle name="Normal 2 4 9 2 2" xfId="37082" xr:uid="{4EB9DD44-32CC-4117-8AC5-9BCB41816FDF}"/>
    <cellStyle name="Normal 2 4 9 3" xfId="27785" xr:uid="{65B38A84-CC18-46D4-897D-1E7E5231C9A0}"/>
    <cellStyle name="Normal 2 5" xfId="315" xr:uid="{00000000-0005-0000-0000-000011110000}"/>
    <cellStyle name="Normal 2 5 10" xfId="4705" xr:uid="{00000000-0005-0000-0000-000012110000}"/>
    <cellStyle name="Normal 2 5 10 2" xfId="14031" xr:uid="{11950758-78BC-4ABA-9FBD-7270700AD602}"/>
    <cellStyle name="Normal 2 5 10 2 2" xfId="32627" xr:uid="{0BF849F4-2C4F-4A28-BA8C-FD4D950B730B}"/>
    <cellStyle name="Normal 2 5 10 3" xfId="23330" xr:uid="{A714461A-515D-408C-A3CF-D349D59EDBD0}"/>
    <cellStyle name="Normal 2 5 11" xfId="9814" xr:uid="{26107613-263E-4D8D-A4F6-943B1CB3CC53}"/>
    <cellStyle name="Normal 2 5 11 2" xfId="28410" xr:uid="{A0B24C35-08E0-4946-BA7B-1133392B55FD}"/>
    <cellStyle name="Normal 2 5 12" xfId="19113" xr:uid="{283318C7-044B-46C4-8EE9-B15A2E200B5D}"/>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0 2" xfId="18140" xr:uid="{BE915632-9C5A-4C8A-9560-3A6358EB1FE8}"/>
    <cellStyle name="Normal 2 5 4 10 2 2" xfId="36735" xr:uid="{3350114D-47A9-4DE7-9A5C-F93E40ED7848}"/>
    <cellStyle name="Normal 2 5 4 10 3" xfId="27438" xr:uid="{3DDA8F3B-7E41-4FAE-BE31-440EA0025994}"/>
    <cellStyle name="Normal 2 5 4 11" xfId="9815" xr:uid="{1A84F35A-BFF4-45C9-A1DE-96E5480041D0}"/>
    <cellStyle name="Normal 2 5 4 11 2" xfId="28411" xr:uid="{A5113A37-617F-428D-9487-25688EFB9D03}"/>
    <cellStyle name="Normal 2 5 4 12" xfId="19114" xr:uid="{E1827934-5067-4DE3-A639-8A00A74B46C0}"/>
    <cellStyle name="Normal 2 5 4 2" xfId="319" xr:uid="{00000000-0005-0000-0000-000016110000}"/>
    <cellStyle name="Normal 2 5 4 2 10" xfId="9816" xr:uid="{F14D1754-8A55-4AE0-8382-F6960E517A0B}"/>
    <cellStyle name="Normal 2 5 4 2 10 2" xfId="28412" xr:uid="{F22989D5-46E7-4F90-9196-BE4769857BA8}"/>
    <cellStyle name="Normal 2 5 4 2 11" xfId="19115" xr:uid="{03E7921D-D73B-4226-9335-865533FC923C}"/>
    <cellStyle name="Normal 2 5 4 2 2" xfId="320" xr:uid="{00000000-0005-0000-0000-000017110000}"/>
    <cellStyle name="Normal 2 5 4 2 2 10" xfId="19116" xr:uid="{BE8F3E5C-6CF1-4D78-8897-8CAF5D4DC756}"/>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5DD753C5-94BE-4C03-8720-D6707787C857}"/>
    <cellStyle name="Normal 2 5 4 2 2 2 2 2 2 2" xfId="35189" xr:uid="{B2D772DD-3248-48C3-8648-6F50FF076FFD}"/>
    <cellStyle name="Normal 2 5 4 2 2 2 2 2 3" xfId="25892" xr:uid="{AA4C32FC-7F44-4FC7-AD91-8A8E97E55FE3}"/>
    <cellStyle name="Normal 2 5 4 2 2 2 2 3" xfId="12376" xr:uid="{3A15314E-A93E-471C-B69A-66F4AE6F7BB8}"/>
    <cellStyle name="Normal 2 5 4 2 2 2 2 3 2" xfId="30972" xr:uid="{E631FC43-F1E9-4090-8643-01E41B7CB2B3}"/>
    <cellStyle name="Normal 2 5 4 2 2 2 2 4" xfId="21675" xr:uid="{41D8FB5F-773C-4B4D-ABEA-10B774D6499A}"/>
    <cellStyle name="Normal 2 5 4 2 2 2 3" xfId="5122" xr:uid="{00000000-0005-0000-0000-00001B110000}"/>
    <cellStyle name="Normal 2 5 4 2 2 2 3 2" xfId="14448" xr:uid="{0BF65F5B-CDB9-4FA5-9554-EDD446D55D38}"/>
    <cellStyle name="Normal 2 5 4 2 2 2 3 2 2" xfId="33044" xr:uid="{63C4531C-9B80-4431-B4AA-8BF2A69C77C0}"/>
    <cellStyle name="Normal 2 5 4 2 2 2 3 3" xfId="23747" xr:uid="{64F2FBC7-724B-4A40-804D-51EACA49D84E}"/>
    <cellStyle name="Normal 2 5 4 2 2 2 4" xfId="9551" xr:uid="{392D7741-6781-4EA5-9C28-040053C1B05B}"/>
    <cellStyle name="Normal 2 5 4 2 2 2 4 2" xfId="18866" xr:uid="{20472711-4D39-45AA-8C90-22E0CB424C22}"/>
    <cellStyle name="Normal 2 5 4 2 2 2 4 2 2" xfId="37460" xr:uid="{77E5E63E-B7D6-40BC-BD6E-80F9A485EF5E}"/>
    <cellStyle name="Normal 2 5 4 2 2 2 4 3" xfId="28163" xr:uid="{84D17AE7-8A4A-4798-B476-33AC6D968E1D}"/>
    <cellStyle name="Normal 2 5 4 2 2 2 5" xfId="10231" xr:uid="{417CFAF9-4D4C-404A-9F73-A4935088264C}"/>
    <cellStyle name="Normal 2 5 4 2 2 2 5 2" xfId="28827" xr:uid="{CC6598A8-3271-47F4-B3D2-B7B0162A3602}"/>
    <cellStyle name="Normal 2 5 4 2 2 2 6" xfId="19530" xr:uid="{EB2838FE-B840-4C66-8581-CDF65ABB22F5}"/>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4DA97DC3-D6E4-42CE-BE15-E7B2F6B5FF2F}"/>
    <cellStyle name="Normal 2 5 4 2 2 3 2 2 2 2" xfId="35602" xr:uid="{A3D6F728-FF9E-4DF5-9627-7ABA895C3105}"/>
    <cellStyle name="Normal 2 5 4 2 2 3 2 2 3" xfId="26305" xr:uid="{ADB99088-E283-418D-BE05-5C5FF01C8BD1}"/>
    <cellStyle name="Normal 2 5 4 2 2 3 2 3" xfId="12789" xr:uid="{FB59A485-6BB5-4690-8925-521581A4E4FB}"/>
    <cellStyle name="Normal 2 5 4 2 2 3 2 3 2" xfId="31385" xr:uid="{AAA5F304-9DDA-4BA7-90DC-F9EF26E06D11}"/>
    <cellStyle name="Normal 2 5 4 2 2 3 2 4" xfId="22088" xr:uid="{489D06D8-C63A-488A-A3BB-CDE42D046EFE}"/>
    <cellStyle name="Normal 2 5 4 2 2 3 3" xfId="5535" xr:uid="{00000000-0005-0000-0000-00001F110000}"/>
    <cellStyle name="Normal 2 5 4 2 2 3 3 2" xfId="14861" xr:uid="{F8F228B6-8160-4E56-B5E0-2CB6F78AAB1B}"/>
    <cellStyle name="Normal 2 5 4 2 2 3 3 2 2" xfId="33457" xr:uid="{AA84271F-E34D-4C78-AF8F-C2CD6C884155}"/>
    <cellStyle name="Normal 2 5 4 2 2 3 3 3" xfId="24160" xr:uid="{C11228D4-BB8C-430A-83EC-B7D28F608A58}"/>
    <cellStyle name="Normal 2 5 4 2 2 3 4" xfId="10644" xr:uid="{A826EAB1-DC1C-4E0C-BA53-C04120560C83}"/>
    <cellStyle name="Normal 2 5 4 2 2 3 4 2" xfId="29240" xr:uid="{1C5EC948-AEE5-4BD4-97E4-D5DFF8810B6D}"/>
    <cellStyle name="Normal 2 5 4 2 2 3 5" xfId="19943" xr:uid="{CC4E7D90-1F15-439D-BF1A-6DA79BDE6CE8}"/>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5238C84C-3476-4EB2-906A-9D3A1BB1B82E}"/>
    <cellStyle name="Normal 2 5 4 2 2 4 2 2 2 2" xfId="36015" xr:uid="{8E96B045-2F70-4B3B-A1F4-9CC4F7FDD91C}"/>
    <cellStyle name="Normal 2 5 4 2 2 4 2 2 3" xfId="26718" xr:uid="{E9F968EB-E6D3-4A4C-9E00-1A036AD1C9BD}"/>
    <cellStyle name="Normal 2 5 4 2 2 4 2 3" xfId="13202" xr:uid="{0E3D1E0C-D723-4108-A37A-0F1C241CBD4A}"/>
    <cellStyle name="Normal 2 5 4 2 2 4 2 3 2" xfId="31798" xr:uid="{3A4E70C4-F79E-4FFC-8FFB-4F66300A5943}"/>
    <cellStyle name="Normal 2 5 4 2 2 4 2 4" xfId="22501" xr:uid="{CD0DC51C-A564-4753-A683-1DED914F361A}"/>
    <cellStyle name="Normal 2 5 4 2 2 4 3" xfId="5948" xr:uid="{00000000-0005-0000-0000-000023110000}"/>
    <cellStyle name="Normal 2 5 4 2 2 4 3 2" xfId="15274" xr:uid="{0786B4CA-2030-4FA3-8FEC-1501D1F5ACC8}"/>
    <cellStyle name="Normal 2 5 4 2 2 4 3 2 2" xfId="33870" xr:uid="{7B975D91-6811-446A-9351-CBFA7C59FD70}"/>
    <cellStyle name="Normal 2 5 4 2 2 4 3 3" xfId="24573" xr:uid="{2678D40A-6226-4BBF-A19D-D4238B9B94B2}"/>
    <cellStyle name="Normal 2 5 4 2 2 4 4" xfId="11057" xr:uid="{D4519818-35A3-49A8-90E0-7BD1C0B9F963}"/>
    <cellStyle name="Normal 2 5 4 2 2 4 4 2" xfId="29653" xr:uid="{5BC96D84-B388-419E-A387-3CFE79A86892}"/>
    <cellStyle name="Normal 2 5 4 2 2 4 5" xfId="20356" xr:uid="{C5CC2C40-3001-4D46-AF79-A9F32743C849}"/>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695BC5C6-7F7B-4E7A-9916-689D87DEF516}"/>
    <cellStyle name="Normal 2 5 4 2 2 5 2 2 2 2" xfId="36428" xr:uid="{B20107C4-912A-470F-8487-119190CB233A}"/>
    <cellStyle name="Normal 2 5 4 2 2 5 2 2 3" xfId="27131" xr:uid="{10D66975-41B6-4473-90E5-C226B684A036}"/>
    <cellStyle name="Normal 2 5 4 2 2 5 2 3" xfId="13615" xr:uid="{3C0AF370-D717-4132-82E6-7BC18A9B6AEA}"/>
    <cellStyle name="Normal 2 5 4 2 2 5 2 3 2" xfId="32211" xr:uid="{2A046F55-9D06-416A-A001-AA061BE848FA}"/>
    <cellStyle name="Normal 2 5 4 2 2 5 2 4" xfId="22914" xr:uid="{C7B65AFC-9589-4C5A-A93D-CEF095D19E0F}"/>
    <cellStyle name="Normal 2 5 4 2 2 5 3" xfId="6361" xr:uid="{00000000-0005-0000-0000-000027110000}"/>
    <cellStyle name="Normal 2 5 4 2 2 5 3 2" xfId="15687" xr:uid="{ECCE6AEC-BC6E-4977-AEC8-3FE22B5274E3}"/>
    <cellStyle name="Normal 2 5 4 2 2 5 3 2 2" xfId="34283" xr:uid="{EC7E0B9C-B75F-4425-A5A8-7E5E4511F335}"/>
    <cellStyle name="Normal 2 5 4 2 2 5 3 3" xfId="24986" xr:uid="{6FBDB975-64CE-497C-8316-857498660473}"/>
    <cellStyle name="Normal 2 5 4 2 2 5 4" xfId="11470" xr:uid="{0FBBB20B-5308-4D84-B22B-D1FF61290C14}"/>
    <cellStyle name="Normal 2 5 4 2 2 5 4 2" xfId="30066" xr:uid="{CE01B27E-110D-473F-B6DF-7788C6B6D3E3}"/>
    <cellStyle name="Normal 2 5 4 2 2 5 5" xfId="20769" xr:uid="{97E58472-E99F-4DD3-B1E2-38C929D0C39B}"/>
    <cellStyle name="Normal 2 5 4 2 2 6" xfId="2491" xr:uid="{00000000-0005-0000-0000-000028110000}"/>
    <cellStyle name="Normal 2 5 4 2 2 6 2" xfId="6774" xr:uid="{00000000-0005-0000-0000-000029110000}"/>
    <cellStyle name="Normal 2 5 4 2 2 6 2 2" xfId="16100" xr:uid="{D3AA7326-C576-4BFB-9BA5-97A2CAFBBDA4}"/>
    <cellStyle name="Normal 2 5 4 2 2 6 2 2 2" xfId="34696" xr:uid="{1D2285C9-1085-4458-84B1-CFC4BA4813FD}"/>
    <cellStyle name="Normal 2 5 4 2 2 6 2 3" xfId="25399" xr:uid="{5E214A11-834D-4822-A379-9F6B296E1F0E}"/>
    <cellStyle name="Normal 2 5 4 2 2 6 3" xfId="11883" xr:uid="{9AC28D9E-1829-4122-8CBC-AF6EF43E4B66}"/>
    <cellStyle name="Normal 2 5 4 2 2 6 3 2" xfId="30479" xr:uid="{35FF7161-E978-4465-A2EB-B38D4114DCF3}"/>
    <cellStyle name="Normal 2 5 4 2 2 6 4" xfId="21182" xr:uid="{3B9A6342-CC43-4334-9BFC-1B471A185C0C}"/>
    <cellStyle name="Normal 2 5 4 2 2 7" xfId="4708" xr:uid="{00000000-0005-0000-0000-00002A110000}"/>
    <cellStyle name="Normal 2 5 4 2 2 7 2" xfId="14034" xr:uid="{49EF6610-D034-4DDB-B392-6852434C2404}"/>
    <cellStyle name="Normal 2 5 4 2 2 7 2 2" xfId="32630" xr:uid="{753BB476-D292-44E8-AF53-A49D63EF5FCE}"/>
    <cellStyle name="Normal 2 5 4 2 2 7 3" xfId="23333" xr:uid="{CB20F333-2F56-45DB-876B-7C9ACE53CADA}"/>
    <cellStyle name="Normal 2 5 4 2 2 8" xfId="9126" xr:uid="{C2CF4AFD-4082-4555-941B-6E9759C32D63}"/>
    <cellStyle name="Normal 2 5 4 2 2 8 2" xfId="18450" xr:uid="{87525A1C-7897-4CA3-8CC6-F94F72D3907E}"/>
    <cellStyle name="Normal 2 5 4 2 2 8 2 2" xfId="37045" xr:uid="{86ADC72B-AD1A-40DA-BDBF-D70DF0FB2B66}"/>
    <cellStyle name="Normal 2 5 4 2 2 8 3" xfId="27748" xr:uid="{29B0D383-DAF9-4390-BA5E-E4C4F924E49F}"/>
    <cellStyle name="Normal 2 5 4 2 2 9" xfId="9817" xr:uid="{BE86B075-AFFE-4CA9-9DD8-20B41B62D499}"/>
    <cellStyle name="Normal 2 5 4 2 2 9 2" xfId="28413" xr:uid="{DE7D4CF2-BDD9-40BD-9FB3-DA89EBDE8DA1}"/>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81B3C733-CFFC-4C89-A560-F1BF18F7F989}"/>
    <cellStyle name="Normal 2 5 4 2 3 2 2 2 2" xfId="35188" xr:uid="{3589EA40-B52F-4440-AEDE-156F44F291B5}"/>
    <cellStyle name="Normal 2 5 4 2 3 2 2 3" xfId="25891" xr:uid="{487B946C-7E8C-4DDD-BFAD-21958DF42F7C}"/>
    <cellStyle name="Normal 2 5 4 2 3 2 3" xfId="12375" xr:uid="{E1F71FCB-80ED-4822-9B21-497CF12A5D47}"/>
    <cellStyle name="Normal 2 5 4 2 3 2 3 2" xfId="30971" xr:uid="{AB7DCC40-6007-4753-8943-63F258DE5DB7}"/>
    <cellStyle name="Normal 2 5 4 2 3 2 4" xfId="21674" xr:uid="{CCF0EE19-567C-463B-9125-CA55B550DE55}"/>
    <cellStyle name="Normal 2 5 4 2 3 3" xfId="5121" xr:uid="{00000000-0005-0000-0000-00002E110000}"/>
    <cellStyle name="Normal 2 5 4 2 3 3 2" xfId="14447" xr:uid="{104E614A-1313-45B8-BAEE-2330DD1C499E}"/>
    <cellStyle name="Normal 2 5 4 2 3 3 2 2" xfId="33043" xr:uid="{4323F373-F5EF-47C7-BDA2-BA382E68A308}"/>
    <cellStyle name="Normal 2 5 4 2 3 3 3" xfId="23746" xr:uid="{A4ECB863-2CCC-449A-8DB0-B41E0DB10188}"/>
    <cellStyle name="Normal 2 5 4 2 3 4" xfId="9344" xr:uid="{207B8A34-09D9-4349-A9C7-5A5A998C6B6F}"/>
    <cellStyle name="Normal 2 5 4 2 3 4 2" xfId="18659" xr:uid="{8C3A3D7D-B47B-444E-A376-963C110BAC66}"/>
    <cellStyle name="Normal 2 5 4 2 3 4 2 2" xfId="37253" xr:uid="{EF638135-45DE-4367-B56C-1A4902DB504D}"/>
    <cellStyle name="Normal 2 5 4 2 3 4 3" xfId="27956" xr:uid="{7D8ADB08-DB2C-4001-AC7A-BCA658EF8D4D}"/>
    <cellStyle name="Normal 2 5 4 2 3 5" xfId="10230" xr:uid="{918CFA7E-08BF-4BA4-A85F-5F4E447C199E}"/>
    <cellStyle name="Normal 2 5 4 2 3 5 2" xfId="28826" xr:uid="{6A5B02AB-338E-4EBF-8BD3-B01E24A7D6FA}"/>
    <cellStyle name="Normal 2 5 4 2 3 6" xfId="19529" xr:uid="{D1C5AD7C-DC05-4C5D-8A34-20CF1A0B319E}"/>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EBCBD770-1BB5-4065-B356-C19BB962F49F}"/>
    <cellStyle name="Normal 2 5 4 2 4 2 2 2 2" xfId="35601" xr:uid="{DC84410B-5A42-4B59-8BBA-68B6F73D016B}"/>
    <cellStyle name="Normal 2 5 4 2 4 2 2 3" xfId="26304" xr:uid="{78359D55-4231-401E-9BB3-DB4965BBB4C4}"/>
    <cellStyle name="Normal 2 5 4 2 4 2 3" xfId="12788" xr:uid="{5B45AAA2-669A-435F-9B93-FB7AD0D3B2B9}"/>
    <cellStyle name="Normal 2 5 4 2 4 2 3 2" xfId="31384" xr:uid="{940EF6A6-0BB2-41F8-9A7C-1CC454A8D35C}"/>
    <cellStyle name="Normal 2 5 4 2 4 2 4" xfId="22087" xr:uid="{C6680493-E05C-418B-82DE-B7732C8A7790}"/>
    <cellStyle name="Normal 2 5 4 2 4 3" xfId="5534" xr:uid="{00000000-0005-0000-0000-000032110000}"/>
    <cellStyle name="Normal 2 5 4 2 4 3 2" xfId="14860" xr:uid="{71EADC56-33FC-430F-AB33-06BC25DC5AA9}"/>
    <cellStyle name="Normal 2 5 4 2 4 3 2 2" xfId="33456" xr:uid="{A0C9CD11-E42D-4E04-9935-7895CEE2048B}"/>
    <cellStyle name="Normal 2 5 4 2 4 3 3" xfId="24159" xr:uid="{C83E8428-EBA8-41A7-A5BC-71A997454C38}"/>
    <cellStyle name="Normal 2 5 4 2 4 4" xfId="10643" xr:uid="{C7B33467-2ACB-4338-9BB0-CD121FB03153}"/>
    <cellStyle name="Normal 2 5 4 2 4 4 2" xfId="29239" xr:uid="{2F5F43DA-0750-4F3F-8D4E-2B8D42570479}"/>
    <cellStyle name="Normal 2 5 4 2 4 5" xfId="19942" xr:uid="{8309C409-8E9B-4573-8161-87CB36550EBB}"/>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2F60B8A9-3A95-41AE-968D-AD5297941BC8}"/>
    <cellStyle name="Normal 2 5 4 2 5 2 2 2 2" xfId="36014" xr:uid="{A24075AC-23FD-499C-A714-3EA8E6049C70}"/>
    <cellStyle name="Normal 2 5 4 2 5 2 2 3" xfId="26717" xr:uid="{EE129752-557C-4719-9BC5-CB126CAA3379}"/>
    <cellStyle name="Normal 2 5 4 2 5 2 3" xfId="13201" xr:uid="{28096FDC-B8B5-46D0-BB44-1EC984379712}"/>
    <cellStyle name="Normal 2 5 4 2 5 2 3 2" xfId="31797" xr:uid="{85E36E8E-D646-4645-BDDB-B85BAFA2C4BA}"/>
    <cellStyle name="Normal 2 5 4 2 5 2 4" xfId="22500" xr:uid="{1B6093E3-22F6-4CCD-84D2-53AAA56B1969}"/>
    <cellStyle name="Normal 2 5 4 2 5 3" xfId="5947" xr:uid="{00000000-0005-0000-0000-000036110000}"/>
    <cellStyle name="Normal 2 5 4 2 5 3 2" xfId="15273" xr:uid="{F066DBC4-DAE0-4ABC-8FBE-16D83A42A6CD}"/>
    <cellStyle name="Normal 2 5 4 2 5 3 2 2" xfId="33869" xr:uid="{6E3B1F0E-956C-4809-871E-BEAB8A794C62}"/>
    <cellStyle name="Normal 2 5 4 2 5 3 3" xfId="24572" xr:uid="{CB39582C-5104-4CEF-8D14-F32988F38419}"/>
    <cellStyle name="Normal 2 5 4 2 5 4" xfId="11056" xr:uid="{069EA132-41E0-41F4-975C-1FE30EA1C403}"/>
    <cellStyle name="Normal 2 5 4 2 5 4 2" xfId="29652" xr:uid="{9DA7123E-E23E-4852-B504-46FAC55EBA31}"/>
    <cellStyle name="Normal 2 5 4 2 5 5" xfId="20355" xr:uid="{4753EAAB-DB1D-4C5C-B167-33EA650AD224}"/>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95AF10F4-C31F-4C98-AB0A-49478878088C}"/>
    <cellStyle name="Normal 2 5 4 2 6 2 2 2 2" xfId="36427" xr:uid="{C6B0051D-0CA7-4394-A4EC-9CCC09DBAEB7}"/>
    <cellStyle name="Normal 2 5 4 2 6 2 2 3" xfId="27130" xr:uid="{191BB4A4-1E10-4EBA-BD76-D1A01A094E54}"/>
    <cellStyle name="Normal 2 5 4 2 6 2 3" xfId="13614" xr:uid="{40458663-83F1-44FB-9546-6FD3C8C00C61}"/>
    <cellStyle name="Normal 2 5 4 2 6 2 3 2" xfId="32210" xr:uid="{22AA5C6B-AA3C-47A4-8944-60F86B055575}"/>
    <cellStyle name="Normal 2 5 4 2 6 2 4" xfId="22913" xr:uid="{A8940C2C-B860-4A2F-B5A6-194057D03E9B}"/>
    <cellStyle name="Normal 2 5 4 2 6 3" xfId="6360" xr:uid="{00000000-0005-0000-0000-00003A110000}"/>
    <cellStyle name="Normal 2 5 4 2 6 3 2" xfId="15686" xr:uid="{52C1D2D5-66B9-448C-9CB8-1F09E66F7FCE}"/>
    <cellStyle name="Normal 2 5 4 2 6 3 2 2" xfId="34282" xr:uid="{F5C9C918-CBD8-4F41-AE26-EACE8D671268}"/>
    <cellStyle name="Normal 2 5 4 2 6 3 3" xfId="24985" xr:uid="{9319BEE5-8BC3-4C28-88A1-CFD9AF35A4D8}"/>
    <cellStyle name="Normal 2 5 4 2 6 4" xfId="11469" xr:uid="{9FE98E38-8DA0-4C86-B29C-3DF1731F0686}"/>
    <cellStyle name="Normal 2 5 4 2 6 4 2" xfId="30065" xr:uid="{3A493312-A5A8-4085-94E2-7217A3761476}"/>
    <cellStyle name="Normal 2 5 4 2 6 5" xfId="20768" xr:uid="{DCD3554E-DD67-403D-8008-2F35AF7D2321}"/>
    <cellStyle name="Normal 2 5 4 2 7" xfId="2490" xr:uid="{00000000-0005-0000-0000-00003B110000}"/>
    <cellStyle name="Normal 2 5 4 2 7 2" xfId="6773" xr:uid="{00000000-0005-0000-0000-00003C110000}"/>
    <cellStyle name="Normal 2 5 4 2 7 2 2" xfId="16099" xr:uid="{1C8B5E57-1AD3-4D70-A233-F011FA83C644}"/>
    <cellStyle name="Normal 2 5 4 2 7 2 2 2" xfId="34695" xr:uid="{BFED4631-1C6F-49BD-854D-CE826A583B5D}"/>
    <cellStyle name="Normal 2 5 4 2 7 2 3" xfId="25398" xr:uid="{82D10909-BCB1-4962-803E-480B0758F6B9}"/>
    <cellStyle name="Normal 2 5 4 2 7 3" xfId="11882" xr:uid="{A2F2D529-B2DA-4703-9BEC-43397BD79780}"/>
    <cellStyle name="Normal 2 5 4 2 7 3 2" xfId="30478" xr:uid="{11F4014C-E881-46FE-9C33-E3425190D3F2}"/>
    <cellStyle name="Normal 2 5 4 2 7 4" xfId="21181" xr:uid="{6D2C79CF-CDE2-4101-B0A7-4ABCD12D7E4E}"/>
    <cellStyle name="Normal 2 5 4 2 8" xfId="4707" xr:uid="{00000000-0005-0000-0000-00003D110000}"/>
    <cellStyle name="Normal 2 5 4 2 8 2" xfId="14033" xr:uid="{89471997-26CF-4ACE-B46F-A1A63B4DE6A5}"/>
    <cellStyle name="Normal 2 5 4 2 8 2 2" xfId="32629" xr:uid="{4A2BEAA7-F6F7-4517-BBC7-8862D32E933A}"/>
    <cellStyle name="Normal 2 5 4 2 8 3" xfId="23332" xr:uid="{3A8675E9-5CC7-446C-8100-AE2CAF7AE471}"/>
    <cellStyle name="Normal 2 5 4 2 9" xfId="8919" xr:uid="{2A8C96F6-0F22-4271-BCA3-7E5B2E35A54F}"/>
    <cellStyle name="Normal 2 5 4 2 9 2" xfId="18243" xr:uid="{623A881A-6937-441F-82E3-285CE61D4FF4}"/>
    <cellStyle name="Normal 2 5 4 2 9 2 2" xfId="36838" xr:uid="{F84452D4-F682-465E-A281-6F727F5D410F}"/>
    <cellStyle name="Normal 2 5 4 2 9 3" xfId="27541" xr:uid="{DD7DC30C-E9AD-42F4-A77E-E1B3CE5A9C72}"/>
    <cellStyle name="Normal 2 5 4 3" xfId="321" xr:uid="{00000000-0005-0000-0000-00003E110000}"/>
    <cellStyle name="Normal 2 5 4 3 10" xfId="19117" xr:uid="{AF905DCD-AF96-4129-893A-2E796436DE89}"/>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7416C724-7134-4C67-93C7-F945A7076981}"/>
    <cellStyle name="Normal 2 5 4 3 2 2 2 2 2" xfId="35190" xr:uid="{4A98BD59-B75E-40A7-9F27-A81A49C6E7C7}"/>
    <cellStyle name="Normal 2 5 4 3 2 2 2 3" xfId="25893" xr:uid="{6E0253D6-230C-4773-B84E-425FCEF1F9EE}"/>
    <cellStyle name="Normal 2 5 4 3 2 2 3" xfId="12377" xr:uid="{23B1D33F-7F4C-4450-AE51-57937C51D783}"/>
    <cellStyle name="Normal 2 5 4 3 2 2 3 2" xfId="30973" xr:uid="{8A3A96DC-5652-49B7-9512-12580CE49A5D}"/>
    <cellStyle name="Normal 2 5 4 3 2 2 4" xfId="21676" xr:uid="{6322E897-CBDA-488A-A771-72491DFDA20D}"/>
    <cellStyle name="Normal 2 5 4 3 2 3" xfId="5123" xr:uid="{00000000-0005-0000-0000-000042110000}"/>
    <cellStyle name="Normal 2 5 4 3 2 3 2" xfId="14449" xr:uid="{2294FE16-5AF8-46CD-A6B7-8B33C20EBC84}"/>
    <cellStyle name="Normal 2 5 4 3 2 3 2 2" xfId="33045" xr:uid="{EC7C8B4D-BAD2-41ED-9016-4C4CF56F1028}"/>
    <cellStyle name="Normal 2 5 4 3 2 3 3" xfId="23748" xr:uid="{8C90146F-5083-4AE7-8E3B-12E38D85D3DC}"/>
    <cellStyle name="Normal 2 5 4 3 2 4" xfId="9448" xr:uid="{0C1738F2-697E-4430-8A3F-E67747B3EDB0}"/>
    <cellStyle name="Normal 2 5 4 3 2 4 2" xfId="18763" xr:uid="{1E8E7930-9DFF-42CC-941A-79732A4E829C}"/>
    <cellStyle name="Normal 2 5 4 3 2 4 2 2" xfId="37357" xr:uid="{985F96C5-A15B-4C3D-95DF-B3A6AEA50A87}"/>
    <cellStyle name="Normal 2 5 4 3 2 4 3" xfId="28060" xr:uid="{DA6CE26A-12CC-4F2D-9DF6-171C3BDF9209}"/>
    <cellStyle name="Normal 2 5 4 3 2 5" xfId="10232" xr:uid="{7C017020-69E5-40A1-A2CB-2402C2AF14E6}"/>
    <cellStyle name="Normal 2 5 4 3 2 5 2" xfId="28828" xr:uid="{E9A9ED8D-E866-4E5C-9768-47A74F280DE6}"/>
    <cellStyle name="Normal 2 5 4 3 2 6" xfId="19531" xr:uid="{1C574062-CCF4-4AF5-9899-8DD950D33FCA}"/>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C83ED538-20DB-4808-86BD-20F18DCBEE4C}"/>
    <cellStyle name="Normal 2 5 4 3 3 2 2 2 2" xfId="35603" xr:uid="{F4F8F120-5958-428D-8038-4C3D62D0D04A}"/>
    <cellStyle name="Normal 2 5 4 3 3 2 2 3" xfId="26306" xr:uid="{483CA0E6-A03D-4CD3-9525-D7EE37E149B9}"/>
    <cellStyle name="Normal 2 5 4 3 3 2 3" xfId="12790" xr:uid="{17C74161-3B75-46E7-9A4C-CA1DDB64F0A5}"/>
    <cellStyle name="Normal 2 5 4 3 3 2 3 2" xfId="31386" xr:uid="{5A36AC8B-7C00-453F-84FE-76BABDEEE3C6}"/>
    <cellStyle name="Normal 2 5 4 3 3 2 4" xfId="22089" xr:uid="{5EE398FB-8FFA-4BED-B063-B9A27904059C}"/>
    <cellStyle name="Normal 2 5 4 3 3 3" xfId="5536" xr:uid="{00000000-0005-0000-0000-000046110000}"/>
    <cellStyle name="Normal 2 5 4 3 3 3 2" xfId="14862" xr:uid="{218F7A68-B8D5-416C-BE20-80B0F940CA0E}"/>
    <cellStyle name="Normal 2 5 4 3 3 3 2 2" xfId="33458" xr:uid="{E04F2DBF-0B24-46E1-A677-796D88B63A41}"/>
    <cellStyle name="Normal 2 5 4 3 3 3 3" xfId="24161" xr:uid="{18B96206-BAE3-4F36-84C7-B75BF9A550E5}"/>
    <cellStyle name="Normal 2 5 4 3 3 4" xfId="10645" xr:uid="{C53A9103-8417-48F0-9D14-9536D3418AFF}"/>
    <cellStyle name="Normal 2 5 4 3 3 4 2" xfId="29241" xr:uid="{CF76160E-EFE5-4160-994F-0B8D2B9D4A28}"/>
    <cellStyle name="Normal 2 5 4 3 3 5" xfId="19944" xr:uid="{F70B7BD6-529C-49FB-9E66-EF8CDF70EB6E}"/>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F73BA0F8-B506-495F-989D-F9023F1704BD}"/>
    <cellStyle name="Normal 2 5 4 3 4 2 2 2 2" xfId="36016" xr:uid="{12B0DD55-3C81-4DAB-8E01-862C4D39DA8D}"/>
    <cellStyle name="Normal 2 5 4 3 4 2 2 3" xfId="26719" xr:uid="{0A7CF104-C60A-4CF4-B4C3-00CE7419F79E}"/>
    <cellStyle name="Normal 2 5 4 3 4 2 3" xfId="13203" xr:uid="{63E8D370-AC8D-4403-A089-098D2FE68497}"/>
    <cellStyle name="Normal 2 5 4 3 4 2 3 2" xfId="31799" xr:uid="{C690CB26-9E9E-48A1-848D-CA549BE0BB66}"/>
    <cellStyle name="Normal 2 5 4 3 4 2 4" xfId="22502" xr:uid="{9F1F4B02-B637-431D-B1AE-950FD05EA0B9}"/>
    <cellStyle name="Normal 2 5 4 3 4 3" xfId="5949" xr:uid="{00000000-0005-0000-0000-00004A110000}"/>
    <cellStyle name="Normal 2 5 4 3 4 3 2" xfId="15275" xr:uid="{6304FD7B-C2B5-414A-A174-6142CCBF3AB0}"/>
    <cellStyle name="Normal 2 5 4 3 4 3 2 2" xfId="33871" xr:uid="{F0AB7227-DD2E-42C2-8749-03053424C82D}"/>
    <cellStyle name="Normal 2 5 4 3 4 3 3" xfId="24574" xr:uid="{2E9F0F91-451E-4CDB-8DB7-84336EB9481B}"/>
    <cellStyle name="Normal 2 5 4 3 4 4" xfId="11058" xr:uid="{36DB102F-EFB5-484E-8A8B-03F721C0DBB9}"/>
    <cellStyle name="Normal 2 5 4 3 4 4 2" xfId="29654" xr:uid="{5B2038F6-8274-4342-8A78-C039B4F0782E}"/>
    <cellStyle name="Normal 2 5 4 3 4 5" xfId="20357" xr:uid="{F75C3BBF-B167-4704-B6C7-43702AA80AAB}"/>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3C730E17-3B5E-490C-A31E-FB0F56B04BF0}"/>
    <cellStyle name="Normal 2 5 4 3 5 2 2 2 2" xfId="36429" xr:uid="{3948309F-7D12-4A63-BA32-35DF8B398443}"/>
    <cellStyle name="Normal 2 5 4 3 5 2 2 3" xfId="27132" xr:uid="{94AE4D90-0DC9-4AF8-8E96-4D4B22FB593A}"/>
    <cellStyle name="Normal 2 5 4 3 5 2 3" xfId="13616" xr:uid="{28B907D1-BE8C-43E7-9734-99BB8B749295}"/>
    <cellStyle name="Normal 2 5 4 3 5 2 3 2" xfId="32212" xr:uid="{28BE49F8-7942-498B-9808-BC3B662287F7}"/>
    <cellStyle name="Normal 2 5 4 3 5 2 4" xfId="22915" xr:uid="{ED48DFFB-FABD-4F8F-A031-F9577DC9BC60}"/>
    <cellStyle name="Normal 2 5 4 3 5 3" xfId="6362" xr:uid="{00000000-0005-0000-0000-00004E110000}"/>
    <cellStyle name="Normal 2 5 4 3 5 3 2" xfId="15688" xr:uid="{F0177B0F-58A5-41F8-A9E6-98F2E4EFBBAB}"/>
    <cellStyle name="Normal 2 5 4 3 5 3 2 2" xfId="34284" xr:uid="{03EEE00A-C991-4D33-88FB-03180DADA0A3}"/>
    <cellStyle name="Normal 2 5 4 3 5 3 3" xfId="24987" xr:uid="{21F83E4B-CBA4-4819-95FC-5FBB1482E737}"/>
    <cellStyle name="Normal 2 5 4 3 5 4" xfId="11471" xr:uid="{4CED0493-0D7E-4401-B585-7D6030965A95}"/>
    <cellStyle name="Normal 2 5 4 3 5 4 2" xfId="30067" xr:uid="{02F8FF72-4B16-4975-A4AB-FEE1C9C2C6B9}"/>
    <cellStyle name="Normal 2 5 4 3 5 5" xfId="20770" xr:uid="{D1FFD33B-897C-4CBB-A83E-9BBAFC60860C}"/>
    <cellStyle name="Normal 2 5 4 3 6" xfId="2492" xr:uid="{00000000-0005-0000-0000-00004F110000}"/>
    <cellStyle name="Normal 2 5 4 3 6 2" xfId="6775" xr:uid="{00000000-0005-0000-0000-000050110000}"/>
    <cellStyle name="Normal 2 5 4 3 6 2 2" xfId="16101" xr:uid="{87B224EB-F032-4196-A7A2-847D90579925}"/>
    <cellStyle name="Normal 2 5 4 3 6 2 2 2" xfId="34697" xr:uid="{1B09A2D0-958F-41BF-9B40-2E9F2D02B380}"/>
    <cellStyle name="Normal 2 5 4 3 6 2 3" xfId="25400" xr:uid="{7FCF02A7-2977-4FC6-8FF5-21E97115D9E2}"/>
    <cellStyle name="Normal 2 5 4 3 6 3" xfId="11884" xr:uid="{5F098116-6B12-41FF-90A5-13BF0AFA13C5}"/>
    <cellStyle name="Normal 2 5 4 3 6 3 2" xfId="30480" xr:uid="{EF5EDE00-06D8-417B-8C22-700FF887D9EE}"/>
    <cellStyle name="Normal 2 5 4 3 6 4" xfId="21183" xr:uid="{93B9E350-2346-4258-A6D1-723BDCBE361C}"/>
    <cellStyle name="Normal 2 5 4 3 7" xfId="4709" xr:uid="{00000000-0005-0000-0000-000051110000}"/>
    <cellStyle name="Normal 2 5 4 3 7 2" xfId="14035" xr:uid="{5C717B2C-E8AC-41B4-A290-16E1EC406D18}"/>
    <cellStyle name="Normal 2 5 4 3 7 2 2" xfId="32631" xr:uid="{63374131-9C05-4DFA-ADFC-EA975700C0C0}"/>
    <cellStyle name="Normal 2 5 4 3 7 3" xfId="23334" xr:uid="{FC3C7C08-B2F8-4D38-81CA-23590D3591A4}"/>
    <cellStyle name="Normal 2 5 4 3 8" xfId="9023" xr:uid="{9B869639-3DD4-4511-AD70-D5125D34938F}"/>
    <cellStyle name="Normal 2 5 4 3 8 2" xfId="18347" xr:uid="{2B7501F1-D557-4A11-96D6-903E0467B4EC}"/>
    <cellStyle name="Normal 2 5 4 3 8 2 2" xfId="36942" xr:uid="{1FCAE944-7D6F-4FA4-BC0B-E8FCAE1500A6}"/>
    <cellStyle name="Normal 2 5 4 3 8 3" xfId="27645" xr:uid="{32CAE114-960A-436A-B29A-4C892FDFEFDE}"/>
    <cellStyle name="Normal 2 5 4 3 9" xfId="9818" xr:uid="{1EC0B5A5-60B3-46B4-B5BD-C14FFEE5861F}"/>
    <cellStyle name="Normal 2 5 4 3 9 2" xfId="28414" xr:uid="{F92554ED-ADC0-4735-8B60-8D9326088F93}"/>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CACE21B6-5E58-4FAB-8E9C-B06BBB0A8EBC}"/>
    <cellStyle name="Normal 2 5 4 4 2 2 2 2" xfId="35187" xr:uid="{FA5C7F04-A39D-40C5-8011-1E47D8D6C2CB}"/>
    <cellStyle name="Normal 2 5 4 4 2 2 3" xfId="25890" xr:uid="{2A18ADC2-EBCF-4914-8AE2-075E46BD7295}"/>
    <cellStyle name="Normal 2 5 4 4 2 3" xfId="12374" xr:uid="{FD6CE38C-3047-4AFE-A9AC-4127EC855EEC}"/>
    <cellStyle name="Normal 2 5 4 4 2 3 2" xfId="30970" xr:uid="{D0E4EAB0-CBAB-45AD-B01B-6B974FBC4E52}"/>
    <cellStyle name="Normal 2 5 4 4 2 4" xfId="21673" xr:uid="{36FE8EF7-EB91-4C94-BC1B-519F45C9ECEE}"/>
    <cellStyle name="Normal 2 5 4 4 3" xfId="5120" xr:uid="{00000000-0005-0000-0000-000055110000}"/>
    <cellStyle name="Normal 2 5 4 4 3 2" xfId="14446" xr:uid="{3E20D6EA-CCFE-4183-ABF1-FF124BB7812C}"/>
    <cellStyle name="Normal 2 5 4 4 3 2 2" xfId="33042" xr:uid="{513FCD65-C071-4C5F-8359-A626985A8535}"/>
    <cellStyle name="Normal 2 5 4 4 3 3" xfId="23745" xr:uid="{233C89B0-53F5-4DC5-8F55-713DB6F1C853}"/>
    <cellStyle name="Normal 2 5 4 4 4" xfId="9241" xr:uid="{2BD2F05F-E4C9-46B4-B3C9-F0D081C1F38F}"/>
    <cellStyle name="Normal 2 5 4 4 4 2" xfId="18556" xr:uid="{E65250E0-B45A-4AB1-AF6A-FCB712D80487}"/>
    <cellStyle name="Normal 2 5 4 4 4 2 2" xfId="37150" xr:uid="{C7FDD453-DA9A-42AA-B6F9-745DA08DC0EE}"/>
    <cellStyle name="Normal 2 5 4 4 4 3" xfId="27853" xr:uid="{EB694BF4-D52F-48BE-9283-7015A70AF50F}"/>
    <cellStyle name="Normal 2 5 4 4 5" xfId="10229" xr:uid="{808B1023-ACF0-44B4-A21F-5E5E8827E2C3}"/>
    <cellStyle name="Normal 2 5 4 4 5 2" xfId="28825" xr:uid="{3986372F-9654-41BC-AD96-5F7AF1EB2E4A}"/>
    <cellStyle name="Normal 2 5 4 4 6" xfId="19528" xr:uid="{5CF13B0A-C551-43F6-9E9B-8DCBC1C3882F}"/>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BB68C2C4-E644-43E0-A97E-A9E5649B7D05}"/>
    <cellStyle name="Normal 2 5 4 5 2 2 2 2" xfId="35600" xr:uid="{A1089B6E-00E0-47C7-97A2-A4A9A1A097D1}"/>
    <cellStyle name="Normal 2 5 4 5 2 2 3" xfId="26303" xr:uid="{6347A340-0CB8-4E3D-AE0E-EE4125DDDAE8}"/>
    <cellStyle name="Normal 2 5 4 5 2 3" xfId="12787" xr:uid="{34DC2AEA-C5A4-4908-ABFA-E20C8B941723}"/>
    <cellStyle name="Normal 2 5 4 5 2 3 2" xfId="31383" xr:uid="{232F61E3-BFDF-43F5-B367-A2E31B741557}"/>
    <cellStyle name="Normal 2 5 4 5 2 4" xfId="22086" xr:uid="{1BC4158E-D283-4E99-AF90-A29CC4BA215F}"/>
    <cellStyle name="Normal 2 5 4 5 3" xfId="5533" xr:uid="{00000000-0005-0000-0000-000059110000}"/>
    <cellStyle name="Normal 2 5 4 5 3 2" xfId="14859" xr:uid="{A19F9BA8-A2BC-4137-96F9-B819626449CE}"/>
    <cellStyle name="Normal 2 5 4 5 3 2 2" xfId="33455" xr:uid="{A5CBBFCA-0EE5-47B1-9BFF-05E38BC6865C}"/>
    <cellStyle name="Normal 2 5 4 5 3 3" xfId="24158" xr:uid="{E7F0A596-7BF8-43C2-9EDA-1B10BA5A06C1}"/>
    <cellStyle name="Normal 2 5 4 5 4" xfId="10642" xr:uid="{8EE74BC2-CFF5-4583-9F3C-5FE8984A6A2A}"/>
    <cellStyle name="Normal 2 5 4 5 4 2" xfId="29238" xr:uid="{64FCDA29-B88E-42E6-A224-FD1D5C8E241E}"/>
    <cellStyle name="Normal 2 5 4 5 5" xfId="19941" xr:uid="{BFEA40A7-3CB2-49C7-AC6A-FA5686081848}"/>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C7CC1FEA-523E-4C32-9E71-D824FCDCD0EF}"/>
    <cellStyle name="Normal 2 5 4 6 2 2 2 2" xfId="36013" xr:uid="{F4F0CF8F-FBB8-4143-8FDD-5B811F1EA0AE}"/>
    <cellStyle name="Normal 2 5 4 6 2 2 3" xfId="26716" xr:uid="{81260284-76E8-4DEE-A9D2-5D3E48EFA6DC}"/>
    <cellStyle name="Normal 2 5 4 6 2 3" xfId="13200" xr:uid="{A174EB23-EEEE-482A-9143-4A0F5896338F}"/>
    <cellStyle name="Normal 2 5 4 6 2 3 2" xfId="31796" xr:uid="{24EDA892-A224-47FB-8D1E-29C10A185903}"/>
    <cellStyle name="Normal 2 5 4 6 2 4" xfId="22499" xr:uid="{A2D1E3DA-0563-40AC-A275-6AFF7229E03D}"/>
    <cellStyle name="Normal 2 5 4 6 3" xfId="5946" xr:uid="{00000000-0005-0000-0000-00005D110000}"/>
    <cellStyle name="Normal 2 5 4 6 3 2" xfId="15272" xr:uid="{EB6EDCEF-C9C8-49E9-9106-A89519594DBA}"/>
    <cellStyle name="Normal 2 5 4 6 3 2 2" xfId="33868" xr:uid="{26EC1260-3CC0-408E-9F9F-F20227893975}"/>
    <cellStyle name="Normal 2 5 4 6 3 3" xfId="24571" xr:uid="{8E168466-E7F9-4EB2-ADB1-412003521EAE}"/>
    <cellStyle name="Normal 2 5 4 6 4" xfId="11055" xr:uid="{7F8B698E-4BD8-4EE0-9D3A-714A8C4D69ED}"/>
    <cellStyle name="Normal 2 5 4 6 4 2" xfId="29651" xr:uid="{88A1E877-EEBC-4509-A0D3-FFFDD4E0DF5A}"/>
    <cellStyle name="Normal 2 5 4 6 5" xfId="20354" xr:uid="{8C90C468-9979-4FF1-BD51-05BC6A5DB7C2}"/>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9A0680E5-7D4B-43FC-9230-EE203586F8F4}"/>
    <cellStyle name="Normal 2 5 4 7 2 2 2 2" xfId="36426" xr:uid="{DC4FF019-8E2B-4AFC-8EF0-A363FBE39591}"/>
    <cellStyle name="Normal 2 5 4 7 2 2 3" xfId="27129" xr:uid="{D9BB5945-EBC6-4548-91F1-5F47BAAD1721}"/>
    <cellStyle name="Normal 2 5 4 7 2 3" xfId="13613" xr:uid="{47C13AD7-9B59-4836-AE52-A40123F393DD}"/>
    <cellStyle name="Normal 2 5 4 7 2 3 2" xfId="32209" xr:uid="{B9A38747-E759-4152-B713-18E161839BBC}"/>
    <cellStyle name="Normal 2 5 4 7 2 4" xfId="22912" xr:uid="{8FA5E2CF-07FA-4537-816D-CC24A4F83346}"/>
    <cellStyle name="Normal 2 5 4 7 3" xfId="6359" xr:uid="{00000000-0005-0000-0000-000061110000}"/>
    <cellStyle name="Normal 2 5 4 7 3 2" xfId="15685" xr:uid="{2CE68470-5FA2-444A-8D5A-86DF003AC715}"/>
    <cellStyle name="Normal 2 5 4 7 3 2 2" xfId="34281" xr:uid="{E9CA6A61-BA7D-4A75-9710-2DC4999AE417}"/>
    <cellStyle name="Normal 2 5 4 7 3 3" xfId="24984" xr:uid="{ABC1FAD4-E0A0-4094-842A-5FE12077B88E}"/>
    <cellStyle name="Normal 2 5 4 7 4" xfId="11468" xr:uid="{87EA3B61-99B1-47CE-88E0-A844C68340C7}"/>
    <cellStyle name="Normal 2 5 4 7 4 2" xfId="30064" xr:uid="{72C3BC6F-4E96-4381-9E3A-2252ACD41531}"/>
    <cellStyle name="Normal 2 5 4 7 5" xfId="20767" xr:uid="{36882CE7-1CC0-4A6D-9724-C2F957C96A94}"/>
    <cellStyle name="Normal 2 5 4 8" xfId="2489" xr:uid="{00000000-0005-0000-0000-000062110000}"/>
    <cellStyle name="Normal 2 5 4 8 2" xfId="6772" xr:uid="{00000000-0005-0000-0000-000063110000}"/>
    <cellStyle name="Normal 2 5 4 8 2 2" xfId="16098" xr:uid="{A5F80D63-B158-46FD-8C3E-61769502BDBC}"/>
    <cellStyle name="Normal 2 5 4 8 2 2 2" xfId="34694" xr:uid="{36E2D027-4964-429E-B766-8D8AF2F0BE3E}"/>
    <cellStyle name="Normal 2 5 4 8 2 3" xfId="25397" xr:uid="{2404DF4C-EE40-4182-8F39-B2F5DF25CF32}"/>
    <cellStyle name="Normal 2 5 4 8 3" xfId="11881" xr:uid="{18B8554F-10DF-4AAA-AE7C-1276A2BF01EE}"/>
    <cellStyle name="Normal 2 5 4 8 3 2" xfId="30477" xr:uid="{92D21844-5A88-4DCB-98FF-B094DD491EC6}"/>
    <cellStyle name="Normal 2 5 4 8 4" xfId="21180" xr:uid="{DD46462C-E299-4C48-A24D-89BA8102945E}"/>
    <cellStyle name="Normal 2 5 4 9" xfId="4706" xr:uid="{00000000-0005-0000-0000-000064110000}"/>
    <cellStyle name="Normal 2 5 4 9 2" xfId="14032" xr:uid="{E18854CC-78B0-45D2-8520-47AFE6328B95}"/>
    <cellStyle name="Normal 2 5 4 9 2 2" xfId="32628" xr:uid="{2192EA9B-FDFC-4032-96BC-581319EFD194}"/>
    <cellStyle name="Normal 2 5 4 9 3" xfId="23331" xr:uid="{6DE464AE-2B8A-405F-89FD-909D624818BF}"/>
    <cellStyle name="Normal 2 5 5" xfId="803" xr:uid="{00000000-0005-0000-0000-000065110000}"/>
    <cellStyle name="Normal 2 5 5 2" xfId="3042" xr:uid="{00000000-0005-0000-0000-000066110000}"/>
    <cellStyle name="Normal 2 5 5 2 2" xfId="7264" xr:uid="{00000000-0005-0000-0000-000067110000}"/>
    <cellStyle name="Normal 2 5 5 2 2 2" xfId="16590" xr:uid="{061C49E5-8D83-49DF-83DB-CE6FC5AF237F}"/>
    <cellStyle name="Normal 2 5 5 2 2 2 2" xfId="35186" xr:uid="{9B97021C-63FE-4275-B649-EB28C1EFCC96}"/>
    <cellStyle name="Normal 2 5 5 2 2 3" xfId="25889" xr:uid="{DEAD1EE5-743C-48E9-9537-BE245EC0D7A1}"/>
    <cellStyle name="Normal 2 5 5 2 3" xfId="12373" xr:uid="{8CE784AF-AD94-42F2-B5A4-F2AC05721256}"/>
    <cellStyle name="Normal 2 5 5 2 3 2" xfId="30969" xr:uid="{85FDE72A-ED7D-4E1C-A914-5D0DDBCC8C0F}"/>
    <cellStyle name="Normal 2 5 5 2 4" xfId="21672" xr:uid="{9F6EDD9D-114D-4737-8C81-543C503C3FC4}"/>
    <cellStyle name="Normal 2 5 5 3" xfId="5119" xr:uid="{00000000-0005-0000-0000-000068110000}"/>
    <cellStyle name="Normal 2 5 5 3 2" xfId="14445" xr:uid="{63AD3AD5-C82E-4135-AFEA-3A0C01A807AC}"/>
    <cellStyle name="Normal 2 5 5 3 2 2" xfId="33041" xr:uid="{B5BA4ACA-EB5C-4395-949D-8DD6F0DF649E}"/>
    <cellStyle name="Normal 2 5 5 3 3" xfId="23744" xr:uid="{6AD6D7EC-A97A-495E-B71D-4AD44DFC6C6C}"/>
    <cellStyle name="Normal 2 5 5 4" xfId="9606" xr:uid="{3AE4D77A-44EE-40C2-9F71-05FBDE2746B2}"/>
    <cellStyle name="Normal 2 5 5 4 2" xfId="18907" xr:uid="{747CFC24-2214-41E6-B9DB-42E51A921227}"/>
    <cellStyle name="Normal 2 5 5 4 2 2" xfId="37501" xr:uid="{BEFB4708-34EB-497D-837C-37116D4A0C8D}"/>
    <cellStyle name="Normal 2 5 5 4 3" xfId="28204" xr:uid="{8838F507-0A1D-4BFD-81A4-B651EE374C31}"/>
    <cellStyle name="Normal 2 5 5 5" xfId="10228" xr:uid="{C8BBD17C-D509-4BBA-85EB-006ECBC2FB70}"/>
    <cellStyle name="Normal 2 5 5 5 2" xfId="28824" xr:uid="{04252151-55B4-463C-9198-481F2F297AA9}"/>
    <cellStyle name="Normal 2 5 5 6" xfId="19527" xr:uid="{2C7272F0-97BF-4DEB-873C-B7B6B1ADB29E}"/>
    <cellStyle name="Normal 2 5 6" xfId="1225" xr:uid="{00000000-0005-0000-0000-000069110000}"/>
    <cellStyle name="Normal 2 5 6 2" xfId="3455" xr:uid="{00000000-0005-0000-0000-00006A110000}"/>
    <cellStyle name="Normal 2 5 6 2 2" xfId="7677" xr:uid="{00000000-0005-0000-0000-00006B110000}"/>
    <cellStyle name="Normal 2 5 6 2 2 2" xfId="17003" xr:uid="{BC9A19AA-8073-43AA-B24D-5DCE98A08EFB}"/>
    <cellStyle name="Normal 2 5 6 2 2 2 2" xfId="35599" xr:uid="{94416109-E4C3-4AC6-AD0A-9D456447D6CC}"/>
    <cellStyle name="Normal 2 5 6 2 2 3" xfId="26302" xr:uid="{988007E7-C096-424B-A43C-4B48F243DD79}"/>
    <cellStyle name="Normal 2 5 6 2 3" xfId="12786" xr:uid="{1935EFD4-19CD-4C27-AC04-83163677ADAF}"/>
    <cellStyle name="Normal 2 5 6 2 3 2" xfId="31382" xr:uid="{B7AF74D2-9D74-465A-9FFD-379BFE6D8BFE}"/>
    <cellStyle name="Normal 2 5 6 2 4" xfId="22085" xr:uid="{694124CB-1742-4F0A-99D2-F90CF0A2ED4A}"/>
    <cellStyle name="Normal 2 5 6 3" xfId="5532" xr:uid="{00000000-0005-0000-0000-00006C110000}"/>
    <cellStyle name="Normal 2 5 6 3 2" xfId="14858" xr:uid="{90D8BE70-7E14-4566-A2D7-6DDF86B86889}"/>
    <cellStyle name="Normal 2 5 6 3 2 2" xfId="33454" xr:uid="{3D0C3EFE-5F84-478C-A278-7BC216C0BFEE}"/>
    <cellStyle name="Normal 2 5 6 3 3" xfId="24157" xr:uid="{FA07A3F2-BD66-4B88-97CC-1E588A297AA7}"/>
    <cellStyle name="Normal 2 5 6 4" xfId="10641" xr:uid="{C08900DD-AEEF-4E3C-AE0C-77433528B731}"/>
    <cellStyle name="Normal 2 5 6 4 2" xfId="29237" xr:uid="{A90BE869-BA34-41D8-9D8C-1C82ACAEF54C}"/>
    <cellStyle name="Normal 2 5 6 5" xfId="19940" xr:uid="{D63F3213-9425-4C9B-8B91-09CA3E686AA3}"/>
    <cellStyle name="Normal 2 5 7" xfId="1638" xr:uid="{00000000-0005-0000-0000-00006D110000}"/>
    <cellStyle name="Normal 2 5 7 2" xfId="3868" xr:uid="{00000000-0005-0000-0000-00006E110000}"/>
    <cellStyle name="Normal 2 5 7 2 2" xfId="8090" xr:uid="{00000000-0005-0000-0000-00006F110000}"/>
    <cellStyle name="Normal 2 5 7 2 2 2" xfId="17416" xr:uid="{EB362A3F-B932-4283-9A05-CB65DC6FFDDF}"/>
    <cellStyle name="Normal 2 5 7 2 2 2 2" xfId="36012" xr:uid="{EDDC9282-A51A-478C-AC56-9A0DC00B8F69}"/>
    <cellStyle name="Normal 2 5 7 2 2 3" xfId="26715" xr:uid="{8A5AC5E2-9ECC-4260-AFC6-F0A33F0CD91C}"/>
    <cellStyle name="Normal 2 5 7 2 3" xfId="13199" xr:uid="{DC03278E-40F6-4349-A19C-5137D6DCC2DD}"/>
    <cellStyle name="Normal 2 5 7 2 3 2" xfId="31795" xr:uid="{1F7ED757-200A-4BB7-96A2-609C6DD5F0E5}"/>
    <cellStyle name="Normal 2 5 7 2 4" xfId="22498" xr:uid="{0202E66E-88A5-449C-B8A8-9234D280E42E}"/>
    <cellStyle name="Normal 2 5 7 3" xfId="5945" xr:uid="{00000000-0005-0000-0000-000070110000}"/>
    <cellStyle name="Normal 2 5 7 3 2" xfId="15271" xr:uid="{32B6B140-257D-4F97-BC33-3A6B985D1A89}"/>
    <cellStyle name="Normal 2 5 7 3 2 2" xfId="33867" xr:uid="{3B555F9A-1E88-405E-B89D-A38ED357A73A}"/>
    <cellStyle name="Normal 2 5 7 3 3" xfId="24570" xr:uid="{B211816D-D176-43A8-95D9-4BF6FC73E419}"/>
    <cellStyle name="Normal 2 5 7 4" xfId="11054" xr:uid="{B2B46DC3-EECD-4389-8885-31BBDAE7F7DD}"/>
    <cellStyle name="Normal 2 5 7 4 2" xfId="29650" xr:uid="{4F9EE732-2E0E-44B8-A035-237D1AAF3BEA}"/>
    <cellStyle name="Normal 2 5 7 5" xfId="20353" xr:uid="{DD714271-3AF3-4520-AFE2-CF82204149B8}"/>
    <cellStyle name="Normal 2 5 8" xfId="2052" xr:uid="{00000000-0005-0000-0000-000071110000}"/>
    <cellStyle name="Normal 2 5 8 2" xfId="4281" xr:uid="{00000000-0005-0000-0000-000072110000}"/>
    <cellStyle name="Normal 2 5 8 2 2" xfId="8503" xr:uid="{00000000-0005-0000-0000-000073110000}"/>
    <cellStyle name="Normal 2 5 8 2 2 2" xfId="17829" xr:uid="{2C77658A-0EFB-4620-9235-C4725971C95F}"/>
    <cellStyle name="Normal 2 5 8 2 2 2 2" xfId="36425" xr:uid="{A4B3A2CA-B4EE-4106-82D7-B4FE474DA257}"/>
    <cellStyle name="Normal 2 5 8 2 2 3" xfId="27128" xr:uid="{3BCEBFF9-7F71-4EA1-AE73-A3890E8ECDF5}"/>
    <cellStyle name="Normal 2 5 8 2 3" xfId="13612" xr:uid="{B1CA48A3-7DD7-471D-8177-818E39B2AB89}"/>
    <cellStyle name="Normal 2 5 8 2 3 2" xfId="32208" xr:uid="{3CAEFECF-62AA-4B63-9039-256352494E77}"/>
    <cellStyle name="Normal 2 5 8 2 4" xfId="22911" xr:uid="{1165E242-ACA5-4C24-8DD7-899EBD763B65}"/>
    <cellStyle name="Normal 2 5 8 3" xfId="6358" xr:uid="{00000000-0005-0000-0000-000074110000}"/>
    <cellStyle name="Normal 2 5 8 3 2" xfId="15684" xr:uid="{D5F28EEC-4DE2-4DE7-9A6C-18C8583B7735}"/>
    <cellStyle name="Normal 2 5 8 3 2 2" xfId="34280" xr:uid="{7B4F8C47-D6E0-488D-BF9E-4E33CE014930}"/>
    <cellStyle name="Normal 2 5 8 3 3" xfId="24983" xr:uid="{BDAA011F-A8AE-4E3F-B325-F5AF3AC4E4DF}"/>
    <cellStyle name="Normal 2 5 8 4" xfId="11467" xr:uid="{0A7FA141-FC59-4FC6-B5BB-EA7A13B557DE}"/>
    <cellStyle name="Normal 2 5 8 4 2" xfId="30063" xr:uid="{683B4031-9935-4C68-8256-03F0724D4471}"/>
    <cellStyle name="Normal 2 5 8 5" xfId="20766" xr:uid="{A1F2BEC0-7822-43B0-8B47-550352BDAF73}"/>
    <cellStyle name="Normal 2 5 9" xfId="2488" xr:uid="{00000000-0005-0000-0000-000075110000}"/>
    <cellStyle name="Normal 2 5 9 2" xfId="6771" xr:uid="{00000000-0005-0000-0000-000076110000}"/>
    <cellStyle name="Normal 2 5 9 2 2" xfId="16097" xr:uid="{68A54F66-8B28-44F3-A111-C43F9FE7C3A6}"/>
    <cellStyle name="Normal 2 5 9 2 2 2" xfId="34693" xr:uid="{EF46C864-AF6F-4F71-98AF-A9C49693FF4C}"/>
    <cellStyle name="Normal 2 5 9 2 3" xfId="25396" xr:uid="{D05DF177-DD5C-401B-B918-9D76E859979F}"/>
    <cellStyle name="Normal 2 5 9 3" xfId="11880" xr:uid="{DD82BBB6-E4C3-4DD7-B4CF-98CE88A68841}"/>
    <cellStyle name="Normal 2 5 9 3 2" xfId="30476" xr:uid="{14EB9EE6-981B-4DBC-96E2-D428BE878F9C}"/>
    <cellStyle name="Normal 2 5 9 4" xfId="21179" xr:uid="{7A432B63-260D-46F8-ADA6-A27024DFEA5F}"/>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7 3 2" xfId="18479" xr:uid="{C0D5AE45-B311-4F8E-9B0B-064FC259A697}"/>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2C6E0E8A-9532-4AF3-9B32-21BCCE2E8C27}"/>
    <cellStyle name="Normal 3 2 10 2" xfId="28415" xr:uid="{74742ADD-C12A-4B12-A140-769164946A85}"/>
    <cellStyle name="Normal 3 2 11" xfId="19118" xr:uid="{568D3AD7-3694-43D7-8941-751E46526136}"/>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0 2" xfId="18141" xr:uid="{05B76F32-1E85-42E8-A40D-ABE2C00FDD36}"/>
    <cellStyle name="Normal 3 2 3 10 2 2" xfId="36736" xr:uid="{0B6D1B61-706B-47C2-B450-F105CE464CF2}"/>
    <cellStyle name="Normal 3 2 3 10 3" xfId="27439" xr:uid="{92FBEF52-6F66-4312-B0CE-4874EFAF5A73}"/>
    <cellStyle name="Normal 3 2 3 11" xfId="9820" xr:uid="{1BDBD5D8-6C5D-4BDB-A34D-0D56239D6B33}"/>
    <cellStyle name="Normal 3 2 3 11 2" xfId="28416" xr:uid="{1BE7B598-E81E-4F0F-8BAB-E842E07E441B}"/>
    <cellStyle name="Normal 3 2 3 12" xfId="19119" xr:uid="{C231A917-F661-44B6-AF54-99FDF1E1F357}"/>
    <cellStyle name="Normal 3 2 3 2" xfId="327" xr:uid="{00000000-0005-0000-0000-00007F110000}"/>
    <cellStyle name="Normal 3 2 3 2 10" xfId="9821" xr:uid="{C89E9BDA-BAD3-4728-96F8-7848784B15BA}"/>
    <cellStyle name="Normal 3 2 3 2 10 2" xfId="28417" xr:uid="{C4754057-D8CF-4486-846D-F34C2A33E478}"/>
    <cellStyle name="Normal 3 2 3 2 11" xfId="19120" xr:uid="{6CE3FE6C-69EC-4267-8948-7A493495E902}"/>
    <cellStyle name="Normal 3 2 3 2 2" xfId="328" xr:uid="{00000000-0005-0000-0000-000080110000}"/>
    <cellStyle name="Normal 3 2 3 2 2 10" xfId="19121" xr:uid="{83258E19-61C3-4795-9381-F5C022E5A7DE}"/>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F086FD61-0511-4BB0-91B4-798E54FA31F8}"/>
    <cellStyle name="Normal 3 2 3 2 2 2 2 2 2 2" xfId="35194" xr:uid="{9A601952-B026-4F9A-80BC-40AD430DBED6}"/>
    <cellStyle name="Normal 3 2 3 2 2 2 2 2 3" xfId="25897" xr:uid="{B29797BB-78F5-45A4-B877-E09E480C0AC1}"/>
    <cellStyle name="Normal 3 2 3 2 2 2 2 3" xfId="12381" xr:uid="{82C3CA01-0B21-4B04-8483-15903523DC64}"/>
    <cellStyle name="Normal 3 2 3 2 2 2 2 3 2" xfId="30977" xr:uid="{29E84F30-F9A5-4B5E-B468-52F97C1A214D}"/>
    <cellStyle name="Normal 3 2 3 2 2 2 2 4" xfId="21680" xr:uid="{48CEF2B9-F57F-43BF-909E-776133FEF1F4}"/>
    <cellStyle name="Normal 3 2 3 2 2 2 3" xfId="5127" xr:uid="{00000000-0005-0000-0000-000084110000}"/>
    <cellStyle name="Normal 3 2 3 2 2 2 3 2" xfId="14453" xr:uid="{DEAB0236-EBB5-466A-A1B6-6A6C9E283DBC}"/>
    <cellStyle name="Normal 3 2 3 2 2 2 3 2 2" xfId="33049" xr:uid="{6227FD0D-5C62-4875-8107-C96D4D7230CA}"/>
    <cellStyle name="Normal 3 2 3 2 2 2 3 3" xfId="23752" xr:uid="{538BE7AA-3023-4444-B717-00545EC9A649}"/>
    <cellStyle name="Normal 3 2 3 2 2 2 4" xfId="9552" xr:uid="{54198C1B-8B77-4C07-BFED-28C4D4E00A0C}"/>
    <cellStyle name="Normal 3 2 3 2 2 2 4 2" xfId="18867" xr:uid="{CD7B0C5C-6211-4D6B-85FD-6BB5CA82035A}"/>
    <cellStyle name="Normal 3 2 3 2 2 2 4 2 2" xfId="37461" xr:uid="{1E17ADC3-B723-4B2E-9A61-DFA17113878A}"/>
    <cellStyle name="Normal 3 2 3 2 2 2 4 3" xfId="28164" xr:uid="{C3F3DA6D-41D0-499A-BCFB-9063981EEACC}"/>
    <cellStyle name="Normal 3 2 3 2 2 2 5" xfId="10236" xr:uid="{EC00D9DF-F9E1-444F-B591-CB30DDAEC98B}"/>
    <cellStyle name="Normal 3 2 3 2 2 2 5 2" xfId="28832" xr:uid="{3ADAC1C5-3FC9-4088-AA7C-501FD42FAC03}"/>
    <cellStyle name="Normal 3 2 3 2 2 2 6" xfId="19535" xr:uid="{47465B25-D80B-45B4-A8B8-DB953C91DCB8}"/>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002331A7-99F3-4F09-AAB8-C2FE82B92D7A}"/>
    <cellStyle name="Normal 3 2 3 2 2 3 2 2 2 2" xfId="35607" xr:uid="{51B18483-69F1-49A9-93A5-C70F97E2DF41}"/>
    <cellStyle name="Normal 3 2 3 2 2 3 2 2 3" xfId="26310" xr:uid="{FBD3D4A1-6C51-43E4-862F-37186508926C}"/>
    <cellStyle name="Normal 3 2 3 2 2 3 2 3" xfId="12794" xr:uid="{8ED8B5D1-B32F-4917-8F22-4CB7D987D793}"/>
    <cellStyle name="Normal 3 2 3 2 2 3 2 3 2" xfId="31390" xr:uid="{8E03BE71-77FF-4F82-BAD0-1EB212D307C5}"/>
    <cellStyle name="Normal 3 2 3 2 2 3 2 4" xfId="22093" xr:uid="{C4829D16-5F8D-415A-B1EB-6C9DF31ED8AA}"/>
    <cellStyle name="Normal 3 2 3 2 2 3 3" xfId="5540" xr:uid="{00000000-0005-0000-0000-000088110000}"/>
    <cellStyle name="Normal 3 2 3 2 2 3 3 2" xfId="14866" xr:uid="{A8EF3806-69BB-4595-9F81-F25B19E28844}"/>
    <cellStyle name="Normal 3 2 3 2 2 3 3 2 2" xfId="33462" xr:uid="{C8CFC957-BDF7-4165-8316-49C3CA659255}"/>
    <cellStyle name="Normal 3 2 3 2 2 3 3 3" xfId="24165" xr:uid="{78BFD3FD-31A9-469B-B990-2C7D9674DE9A}"/>
    <cellStyle name="Normal 3 2 3 2 2 3 4" xfId="10649" xr:uid="{D03AC469-B60B-4A86-98C4-D9C62F87F17C}"/>
    <cellStyle name="Normal 3 2 3 2 2 3 4 2" xfId="29245" xr:uid="{25048B0C-FE81-4AFB-BBEE-201710114717}"/>
    <cellStyle name="Normal 3 2 3 2 2 3 5" xfId="19948" xr:uid="{DE5B6A66-741F-4C32-A53A-39BCB8B39DFF}"/>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469A8DD4-25C7-46AC-B273-7CF71E6305D6}"/>
    <cellStyle name="Normal 3 2 3 2 2 4 2 2 2 2" xfId="36020" xr:uid="{00D8D726-73AF-40A0-B265-2F9BA30B9130}"/>
    <cellStyle name="Normal 3 2 3 2 2 4 2 2 3" xfId="26723" xr:uid="{1569A2B0-814A-45F5-B313-B2920EAF5EE1}"/>
    <cellStyle name="Normal 3 2 3 2 2 4 2 3" xfId="13207" xr:uid="{26059B12-6769-454B-B37A-3ED3A8151EC8}"/>
    <cellStyle name="Normal 3 2 3 2 2 4 2 3 2" xfId="31803" xr:uid="{E8A42C82-8501-448E-893E-BD3D2E1ED09E}"/>
    <cellStyle name="Normal 3 2 3 2 2 4 2 4" xfId="22506" xr:uid="{ED7CA8AF-57D4-4313-A99A-04CCD2E17192}"/>
    <cellStyle name="Normal 3 2 3 2 2 4 3" xfId="5953" xr:uid="{00000000-0005-0000-0000-00008C110000}"/>
    <cellStyle name="Normal 3 2 3 2 2 4 3 2" xfId="15279" xr:uid="{D3DB8D16-C30D-45AB-8DA1-D7CEA15BD9AB}"/>
    <cellStyle name="Normal 3 2 3 2 2 4 3 2 2" xfId="33875" xr:uid="{C7C75916-83A3-42C1-AC77-F191F5351BB0}"/>
    <cellStyle name="Normal 3 2 3 2 2 4 3 3" xfId="24578" xr:uid="{A877F2DE-4206-478A-8FB5-C1DFF89DC027}"/>
    <cellStyle name="Normal 3 2 3 2 2 4 4" xfId="11062" xr:uid="{8393813C-8998-4830-99DE-73244788FF34}"/>
    <cellStyle name="Normal 3 2 3 2 2 4 4 2" xfId="29658" xr:uid="{A700F26A-CCA1-4F3F-ADAA-8BAD470CCDAF}"/>
    <cellStyle name="Normal 3 2 3 2 2 4 5" xfId="20361" xr:uid="{8D9C132C-4D76-4454-8135-3D8702CF62C2}"/>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F2857F08-1743-43A7-94A5-95433B61A869}"/>
    <cellStyle name="Normal 3 2 3 2 2 5 2 2 2 2" xfId="36433" xr:uid="{824DF95F-DC49-454B-9B64-4B4D6D87AA40}"/>
    <cellStyle name="Normal 3 2 3 2 2 5 2 2 3" xfId="27136" xr:uid="{9C5BC048-4316-4E5A-B231-12CEFCB28A73}"/>
    <cellStyle name="Normal 3 2 3 2 2 5 2 3" xfId="13620" xr:uid="{3B4609AB-0778-49A4-A865-5C92FF027201}"/>
    <cellStyle name="Normal 3 2 3 2 2 5 2 3 2" xfId="32216" xr:uid="{C4132FA6-D968-458C-9E3C-007E8D51828E}"/>
    <cellStyle name="Normal 3 2 3 2 2 5 2 4" xfId="22919" xr:uid="{D4DE21B7-FAB9-4722-9FEA-473B01373791}"/>
    <cellStyle name="Normal 3 2 3 2 2 5 3" xfId="6366" xr:uid="{00000000-0005-0000-0000-000090110000}"/>
    <cellStyle name="Normal 3 2 3 2 2 5 3 2" xfId="15692" xr:uid="{E4C6EE70-A370-4FA3-B3A3-BE9B9A8F7291}"/>
    <cellStyle name="Normal 3 2 3 2 2 5 3 2 2" xfId="34288" xr:uid="{E4FADCAB-C598-4CFB-BF91-1E1E58912462}"/>
    <cellStyle name="Normal 3 2 3 2 2 5 3 3" xfId="24991" xr:uid="{D357482D-1E49-4D93-8EB3-79725CEA0FC5}"/>
    <cellStyle name="Normal 3 2 3 2 2 5 4" xfId="11475" xr:uid="{5CC97C45-A42E-47D5-840B-9F74D3017633}"/>
    <cellStyle name="Normal 3 2 3 2 2 5 4 2" xfId="30071" xr:uid="{1F500AB4-B462-45D6-91D3-F5DF7CE3F948}"/>
    <cellStyle name="Normal 3 2 3 2 2 5 5" xfId="20774" xr:uid="{0D4D83E9-FDC4-40C5-98D2-4C3D3C23FEFA}"/>
    <cellStyle name="Normal 3 2 3 2 2 6" xfId="2496" xr:uid="{00000000-0005-0000-0000-000091110000}"/>
    <cellStyle name="Normal 3 2 3 2 2 6 2" xfId="6779" xr:uid="{00000000-0005-0000-0000-000092110000}"/>
    <cellStyle name="Normal 3 2 3 2 2 6 2 2" xfId="16105" xr:uid="{29705915-5468-4477-A828-D8C8BEAF64EE}"/>
    <cellStyle name="Normal 3 2 3 2 2 6 2 2 2" xfId="34701" xr:uid="{E309CCFF-7D26-4ADE-AEE4-2831D23138CF}"/>
    <cellStyle name="Normal 3 2 3 2 2 6 2 3" xfId="25404" xr:uid="{49C0366E-ACE0-4A5A-AE69-2B61451CC3B4}"/>
    <cellStyle name="Normal 3 2 3 2 2 6 3" xfId="11888" xr:uid="{ACA01E13-AAAA-4A78-8809-7776F111B9B6}"/>
    <cellStyle name="Normal 3 2 3 2 2 6 3 2" xfId="30484" xr:uid="{C7DD672F-E7E9-4DA6-A644-455822B2FEC1}"/>
    <cellStyle name="Normal 3 2 3 2 2 6 4" xfId="21187" xr:uid="{12757649-3A92-402F-8F81-4F2EC47F915E}"/>
    <cellStyle name="Normal 3 2 3 2 2 7" xfId="4713" xr:uid="{00000000-0005-0000-0000-000093110000}"/>
    <cellStyle name="Normal 3 2 3 2 2 7 2" xfId="14039" xr:uid="{68696D78-8C25-4363-8E2B-33A5FA1E58DA}"/>
    <cellStyle name="Normal 3 2 3 2 2 7 2 2" xfId="32635" xr:uid="{9F879653-FD6C-463C-B321-D88C190C863B}"/>
    <cellStyle name="Normal 3 2 3 2 2 7 3" xfId="23338" xr:uid="{AA5E01C4-47B4-41B5-BF8C-C7269AABD8FB}"/>
    <cellStyle name="Normal 3 2 3 2 2 8" xfId="9127" xr:uid="{0583B12A-AAD6-4358-9C0C-42D6EBC3DFD8}"/>
    <cellStyle name="Normal 3 2 3 2 2 8 2" xfId="18451" xr:uid="{8FB33AED-A200-45E0-9781-2D008F322513}"/>
    <cellStyle name="Normal 3 2 3 2 2 8 2 2" xfId="37046" xr:uid="{594DA53C-AE16-474E-A7C8-CBBE3EBF4AE2}"/>
    <cellStyle name="Normal 3 2 3 2 2 8 3" xfId="27749" xr:uid="{A706451B-936F-4C35-A262-3D1319960479}"/>
    <cellStyle name="Normal 3 2 3 2 2 9" xfId="9822" xr:uid="{06AA075B-27D3-43C6-9889-62C287DA854F}"/>
    <cellStyle name="Normal 3 2 3 2 2 9 2" xfId="28418" xr:uid="{356FF0FD-2B51-4E72-9C35-7654729CFC6E}"/>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3B3ADD1C-BC87-4FBE-8982-4CA505CDB20E}"/>
    <cellStyle name="Normal 3 2 3 2 3 2 2 2 2" xfId="35193" xr:uid="{7AEB257D-BDB1-4EE8-AD93-F05AACA68B52}"/>
    <cellStyle name="Normal 3 2 3 2 3 2 2 3" xfId="25896" xr:uid="{75A31E99-DB24-4ADA-A694-571A18DEBB6E}"/>
    <cellStyle name="Normal 3 2 3 2 3 2 3" xfId="12380" xr:uid="{DD117BE0-CBDC-4A4E-BC17-1A4A2F4CACB3}"/>
    <cellStyle name="Normal 3 2 3 2 3 2 3 2" xfId="30976" xr:uid="{6ED28AF4-8487-47BC-A48B-40B52B84C079}"/>
    <cellStyle name="Normal 3 2 3 2 3 2 4" xfId="21679" xr:uid="{B40CA448-9274-412E-9990-9308DF002724}"/>
    <cellStyle name="Normal 3 2 3 2 3 3" xfId="5126" xr:uid="{00000000-0005-0000-0000-000097110000}"/>
    <cellStyle name="Normal 3 2 3 2 3 3 2" xfId="14452" xr:uid="{9B22DEC8-BB87-41CE-8B5D-BFDC96F8AB34}"/>
    <cellStyle name="Normal 3 2 3 2 3 3 2 2" xfId="33048" xr:uid="{23CD3404-EED4-4565-876E-E2FC412CE783}"/>
    <cellStyle name="Normal 3 2 3 2 3 3 3" xfId="23751" xr:uid="{459168F4-12C6-4654-A7E0-BEDD44F4C196}"/>
    <cellStyle name="Normal 3 2 3 2 3 4" xfId="9345" xr:uid="{C34A3811-3C7F-4E99-A17A-CCF74A426C86}"/>
    <cellStyle name="Normal 3 2 3 2 3 4 2" xfId="18660" xr:uid="{DD93D429-7B45-41B9-B858-757FDFA099E8}"/>
    <cellStyle name="Normal 3 2 3 2 3 4 2 2" xfId="37254" xr:uid="{C24A9975-7314-41AD-B56E-DB5DE9D97E9B}"/>
    <cellStyle name="Normal 3 2 3 2 3 4 3" xfId="27957" xr:uid="{62777D29-35D5-4E95-BB89-B85978BA4697}"/>
    <cellStyle name="Normal 3 2 3 2 3 5" xfId="10235" xr:uid="{021B8948-E2AC-4B8B-A588-5D5D4F27FFBC}"/>
    <cellStyle name="Normal 3 2 3 2 3 5 2" xfId="28831" xr:uid="{4A0E18CE-6F37-428F-B91B-E1D03AF70F11}"/>
    <cellStyle name="Normal 3 2 3 2 3 6" xfId="19534" xr:uid="{8ED8654C-D8C6-4B8B-B4B8-0DFB87D9ED6A}"/>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8468D2AD-F47C-4C90-ABA7-78253EF9D571}"/>
    <cellStyle name="Normal 3 2 3 2 4 2 2 2 2" xfId="35606" xr:uid="{A714FFB8-F5DE-4F87-A31A-C6F49AF46EF4}"/>
    <cellStyle name="Normal 3 2 3 2 4 2 2 3" xfId="26309" xr:uid="{43A5CAEC-B6FF-4E03-A07F-33AF86C2A7CC}"/>
    <cellStyle name="Normal 3 2 3 2 4 2 3" xfId="12793" xr:uid="{2FB3D32F-8F7C-4B83-836B-0DD461348A6B}"/>
    <cellStyle name="Normal 3 2 3 2 4 2 3 2" xfId="31389" xr:uid="{8E4B3945-51C5-4874-A08A-CD1BCF190DB1}"/>
    <cellStyle name="Normal 3 2 3 2 4 2 4" xfId="22092" xr:uid="{123E4B74-5A05-4B05-9065-131147697B91}"/>
    <cellStyle name="Normal 3 2 3 2 4 3" xfId="5539" xr:uid="{00000000-0005-0000-0000-00009B110000}"/>
    <cellStyle name="Normal 3 2 3 2 4 3 2" xfId="14865" xr:uid="{D836F254-4FE5-4F69-9375-CC6BF1AE78F9}"/>
    <cellStyle name="Normal 3 2 3 2 4 3 2 2" xfId="33461" xr:uid="{33B30BE7-DDEF-4C08-AEC4-16CF2EB1B2CE}"/>
    <cellStyle name="Normal 3 2 3 2 4 3 3" xfId="24164" xr:uid="{37F0D13C-F055-4B07-93C6-CCDDE36E8C58}"/>
    <cellStyle name="Normal 3 2 3 2 4 4" xfId="10648" xr:uid="{41FBADCF-AB96-47F6-92FE-CF5668CAF1B1}"/>
    <cellStyle name="Normal 3 2 3 2 4 4 2" xfId="29244" xr:uid="{3311475E-C2FF-4D8E-BAA2-CFDFC79E095C}"/>
    <cellStyle name="Normal 3 2 3 2 4 5" xfId="19947" xr:uid="{04E3237E-BA41-4C3C-91EF-B46E123FE07B}"/>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0B7B4219-A700-439D-98CB-AA0172D8989F}"/>
    <cellStyle name="Normal 3 2 3 2 5 2 2 2 2" xfId="36019" xr:uid="{2B91E8A0-05C7-4302-99A9-5BE7E9B4E400}"/>
    <cellStyle name="Normal 3 2 3 2 5 2 2 3" xfId="26722" xr:uid="{A824C5F1-DB00-4C13-8013-13C9B555E994}"/>
    <cellStyle name="Normal 3 2 3 2 5 2 3" xfId="13206" xr:uid="{866BB6DC-63BC-40A7-B471-56F45046FD45}"/>
    <cellStyle name="Normal 3 2 3 2 5 2 3 2" xfId="31802" xr:uid="{8C3BE178-D1CD-4AB1-BD01-2B794F1AF173}"/>
    <cellStyle name="Normal 3 2 3 2 5 2 4" xfId="22505" xr:uid="{265B76C4-3EC8-40B3-B1FB-070B02C93989}"/>
    <cellStyle name="Normal 3 2 3 2 5 3" xfId="5952" xr:uid="{00000000-0005-0000-0000-00009F110000}"/>
    <cellStyle name="Normal 3 2 3 2 5 3 2" xfId="15278" xr:uid="{63D00BCE-FDF2-4F92-89D7-996F3D68D6DD}"/>
    <cellStyle name="Normal 3 2 3 2 5 3 2 2" xfId="33874" xr:uid="{F303B102-CABE-44A8-82A8-FEEA46519071}"/>
    <cellStyle name="Normal 3 2 3 2 5 3 3" xfId="24577" xr:uid="{E73DA06F-3CEB-48D7-A9C8-D657F7B3A492}"/>
    <cellStyle name="Normal 3 2 3 2 5 4" xfId="11061" xr:uid="{338B581C-FA01-4D81-9007-30880D1F0370}"/>
    <cellStyle name="Normal 3 2 3 2 5 4 2" xfId="29657" xr:uid="{B46C0657-E5E9-4498-A0B5-2643A8B1324F}"/>
    <cellStyle name="Normal 3 2 3 2 5 5" xfId="20360" xr:uid="{477A2AF2-3031-4F1D-BBF1-58200E893CB9}"/>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F25A10B3-70DA-46F1-83CA-0AF5AB19F92D}"/>
    <cellStyle name="Normal 3 2 3 2 6 2 2 2 2" xfId="36432" xr:uid="{B285B452-2D78-43AE-80D6-45A4FD02E966}"/>
    <cellStyle name="Normal 3 2 3 2 6 2 2 3" xfId="27135" xr:uid="{79A91C5C-6CF3-4E14-B6E2-72EBA7E941AA}"/>
    <cellStyle name="Normal 3 2 3 2 6 2 3" xfId="13619" xr:uid="{2F1AAD41-C535-41CA-A32A-5F0CE8393205}"/>
    <cellStyle name="Normal 3 2 3 2 6 2 3 2" xfId="32215" xr:uid="{F60E3760-5423-4AF6-9F2C-F34575827F03}"/>
    <cellStyle name="Normal 3 2 3 2 6 2 4" xfId="22918" xr:uid="{7F993350-11AC-4293-A32D-5756C97AB8EA}"/>
    <cellStyle name="Normal 3 2 3 2 6 3" xfId="6365" xr:uid="{00000000-0005-0000-0000-0000A3110000}"/>
    <cellStyle name="Normal 3 2 3 2 6 3 2" xfId="15691" xr:uid="{BD901041-2FE6-4A89-B319-1336FA873184}"/>
    <cellStyle name="Normal 3 2 3 2 6 3 2 2" xfId="34287" xr:uid="{EB01E075-F1FC-43D4-83BD-396956106BC6}"/>
    <cellStyle name="Normal 3 2 3 2 6 3 3" xfId="24990" xr:uid="{D808F2E4-5D07-4406-A4C8-B3C03F666CB4}"/>
    <cellStyle name="Normal 3 2 3 2 6 4" xfId="11474" xr:uid="{BDA4E9B9-DF89-44E7-AA98-A6C6FE2C2CC6}"/>
    <cellStyle name="Normal 3 2 3 2 6 4 2" xfId="30070" xr:uid="{56DDBA18-85E4-4936-9285-708B82E87E63}"/>
    <cellStyle name="Normal 3 2 3 2 6 5" xfId="20773" xr:uid="{69ED22B6-C417-41AF-A944-68736065A227}"/>
    <cellStyle name="Normal 3 2 3 2 7" xfId="2495" xr:uid="{00000000-0005-0000-0000-0000A4110000}"/>
    <cellStyle name="Normal 3 2 3 2 7 2" xfId="6778" xr:uid="{00000000-0005-0000-0000-0000A5110000}"/>
    <cellStyle name="Normal 3 2 3 2 7 2 2" xfId="16104" xr:uid="{593C6BBD-FE34-493B-9DD3-764436F7FD92}"/>
    <cellStyle name="Normal 3 2 3 2 7 2 2 2" xfId="34700" xr:uid="{EF00D690-9538-4497-93CA-3682602B9241}"/>
    <cellStyle name="Normal 3 2 3 2 7 2 3" xfId="25403" xr:uid="{91E54970-963F-427D-B06A-3057E139058C}"/>
    <cellStyle name="Normal 3 2 3 2 7 3" xfId="11887" xr:uid="{1D3183A9-4CD4-4553-853E-D59C4099D00F}"/>
    <cellStyle name="Normal 3 2 3 2 7 3 2" xfId="30483" xr:uid="{36A2012C-C8E5-4E5E-9056-05FF5D5EE5BB}"/>
    <cellStyle name="Normal 3 2 3 2 7 4" xfId="21186" xr:uid="{0BAB39F9-5A62-46D0-8FB3-02F4D6954F5D}"/>
    <cellStyle name="Normal 3 2 3 2 8" xfId="4712" xr:uid="{00000000-0005-0000-0000-0000A6110000}"/>
    <cellStyle name="Normal 3 2 3 2 8 2" xfId="14038" xr:uid="{1ED756CE-53EB-469B-9A60-6DA0B4550806}"/>
    <cellStyle name="Normal 3 2 3 2 8 2 2" xfId="32634" xr:uid="{C860FF64-C3CE-4B45-A9A0-309D1B9D785F}"/>
    <cellStyle name="Normal 3 2 3 2 8 3" xfId="23337" xr:uid="{6771AF42-38A3-4079-BA29-7C54060DF4BC}"/>
    <cellStyle name="Normal 3 2 3 2 9" xfId="8920" xr:uid="{D9E0825A-068A-435C-BDBE-2C0571A11FAF}"/>
    <cellStyle name="Normal 3 2 3 2 9 2" xfId="18244" xr:uid="{C42D56DA-2E0B-4218-84FB-422395336A60}"/>
    <cellStyle name="Normal 3 2 3 2 9 2 2" xfId="36839" xr:uid="{9E9D4E40-F28C-47D0-8064-10E14D8CC908}"/>
    <cellStyle name="Normal 3 2 3 2 9 3" xfId="27542" xr:uid="{90F6E341-5614-4F18-9D2C-6802999B127A}"/>
    <cellStyle name="Normal 3 2 3 3" xfId="329" xr:uid="{00000000-0005-0000-0000-0000A7110000}"/>
    <cellStyle name="Normal 3 2 3 3 10" xfId="19122" xr:uid="{47F44E8F-542F-4FC0-9235-10BCE1970845}"/>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0B9E2768-84C7-4A0A-BB7B-8B35213FA5B3}"/>
    <cellStyle name="Normal 3 2 3 3 2 2 2 2 2" xfId="35195" xr:uid="{CAA8DBF5-BEA4-4098-B6C0-24A1829A4FAB}"/>
    <cellStyle name="Normal 3 2 3 3 2 2 2 3" xfId="25898" xr:uid="{1637AACF-3113-4ECD-9872-C6A47C6BC8EB}"/>
    <cellStyle name="Normal 3 2 3 3 2 2 3" xfId="12382" xr:uid="{8BC8583D-8374-44E7-BE16-A81FBB9F5FAF}"/>
    <cellStyle name="Normal 3 2 3 3 2 2 3 2" xfId="30978" xr:uid="{6C347707-E7BD-47D0-A71C-6C1D35745544}"/>
    <cellStyle name="Normal 3 2 3 3 2 2 4" xfId="21681" xr:uid="{4A17B0A6-2564-45F9-9DDF-C5067BAA8587}"/>
    <cellStyle name="Normal 3 2 3 3 2 3" xfId="5128" xr:uid="{00000000-0005-0000-0000-0000AB110000}"/>
    <cellStyle name="Normal 3 2 3 3 2 3 2" xfId="14454" xr:uid="{C48DB02D-68DE-44B3-B6F3-E88F147483A8}"/>
    <cellStyle name="Normal 3 2 3 3 2 3 2 2" xfId="33050" xr:uid="{EAEA5E01-98A4-4B65-B55F-CA703BD6AFE4}"/>
    <cellStyle name="Normal 3 2 3 3 2 3 3" xfId="23753" xr:uid="{4D22F20A-368D-45D0-91F8-9488CC60E34B}"/>
    <cellStyle name="Normal 3 2 3 3 2 4" xfId="9449" xr:uid="{7F58A2DC-DF16-44D1-8D09-04DD41EF4468}"/>
    <cellStyle name="Normal 3 2 3 3 2 4 2" xfId="18764" xr:uid="{168FDEC8-98D5-429D-A319-B91C7B8653FF}"/>
    <cellStyle name="Normal 3 2 3 3 2 4 2 2" xfId="37358" xr:uid="{22563B9C-2456-403E-BDA0-F99FFDCFEFE5}"/>
    <cellStyle name="Normal 3 2 3 3 2 4 3" xfId="28061" xr:uid="{50E2062E-1B93-4997-9F36-DE3D1501C5B7}"/>
    <cellStyle name="Normal 3 2 3 3 2 5" xfId="10237" xr:uid="{2164E454-6AAC-4BD2-82A5-94DCA84269E8}"/>
    <cellStyle name="Normal 3 2 3 3 2 5 2" xfId="28833" xr:uid="{7915009F-979B-4836-9FDE-9237A67BC8D7}"/>
    <cellStyle name="Normal 3 2 3 3 2 6" xfId="19536" xr:uid="{99EB696A-A4D8-4A62-A5DE-0987CA9DB0D0}"/>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3509AF59-0D36-4A3C-B25C-CF9168EC13AE}"/>
    <cellStyle name="Normal 3 2 3 3 3 2 2 2 2" xfId="35608" xr:uid="{CD8908AE-3F64-4E06-A85C-0985A181E859}"/>
    <cellStyle name="Normal 3 2 3 3 3 2 2 3" xfId="26311" xr:uid="{05FFD130-9F55-4651-A287-5AF2EA357B52}"/>
    <cellStyle name="Normal 3 2 3 3 3 2 3" xfId="12795" xr:uid="{0C18B258-57F8-47BD-8E5A-2C71A90EADC4}"/>
    <cellStyle name="Normal 3 2 3 3 3 2 3 2" xfId="31391" xr:uid="{330F49F7-C155-4427-9830-2F07EBF96342}"/>
    <cellStyle name="Normal 3 2 3 3 3 2 4" xfId="22094" xr:uid="{B1CD4BFA-C2B0-43EE-AAC7-6FE48E8912F4}"/>
    <cellStyle name="Normal 3 2 3 3 3 3" xfId="5541" xr:uid="{00000000-0005-0000-0000-0000AF110000}"/>
    <cellStyle name="Normal 3 2 3 3 3 3 2" xfId="14867" xr:uid="{7B9210A5-6FD8-416D-8D2E-393AAB55192F}"/>
    <cellStyle name="Normal 3 2 3 3 3 3 2 2" xfId="33463" xr:uid="{5889E822-8143-4668-A2CC-CBBA0269775C}"/>
    <cellStyle name="Normal 3 2 3 3 3 3 3" xfId="24166" xr:uid="{212E8187-8C45-4259-A57E-0F6FE405F149}"/>
    <cellStyle name="Normal 3 2 3 3 3 4" xfId="10650" xr:uid="{717372F7-B309-4F48-A608-2D24BCE94764}"/>
    <cellStyle name="Normal 3 2 3 3 3 4 2" xfId="29246" xr:uid="{C735032D-2A2B-4FF6-8CF4-B3BD21236F8A}"/>
    <cellStyle name="Normal 3 2 3 3 3 5" xfId="19949" xr:uid="{E9BEC864-ABCC-4545-BBC7-D619D849E009}"/>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E824F3DB-0B5A-4487-8865-D0EDE98E8F4C}"/>
    <cellStyle name="Normal 3 2 3 3 4 2 2 2 2" xfId="36021" xr:uid="{2D1E58DE-EA7F-44EA-B1A0-318C6D1D9A04}"/>
    <cellStyle name="Normal 3 2 3 3 4 2 2 3" xfId="26724" xr:uid="{EB22E244-FC36-4E24-BE58-9B89592EB387}"/>
    <cellStyle name="Normal 3 2 3 3 4 2 3" xfId="13208" xr:uid="{9E18A909-DF5F-4CA9-B2AA-9CF870E4B26A}"/>
    <cellStyle name="Normal 3 2 3 3 4 2 3 2" xfId="31804" xr:uid="{D6CA0793-3154-444A-BAE4-5A7A703662C7}"/>
    <cellStyle name="Normal 3 2 3 3 4 2 4" xfId="22507" xr:uid="{EAC91B74-9E1F-4EF4-9BC6-464AA44AC86C}"/>
    <cellStyle name="Normal 3 2 3 3 4 3" xfId="5954" xr:uid="{00000000-0005-0000-0000-0000B3110000}"/>
    <cellStyle name="Normal 3 2 3 3 4 3 2" xfId="15280" xr:uid="{3E2FD889-A165-45D5-891E-D4C330345BE0}"/>
    <cellStyle name="Normal 3 2 3 3 4 3 2 2" xfId="33876" xr:uid="{34A95976-BE58-4600-A62D-F00A5A35E80F}"/>
    <cellStyle name="Normal 3 2 3 3 4 3 3" xfId="24579" xr:uid="{FC9F10D4-9249-4AF0-B701-AF3015B8B996}"/>
    <cellStyle name="Normal 3 2 3 3 4 4" xfId="11063" xr:uid="{77CB25C3-1570-4E69-AD25-70AD7D4DA725}"/>
    <cellStyle name="Normal 3 2 3 3 4 4 2" xfId="29659" xr:uid="{9764173A-A464-4C68-948B-814965A3C1A9}"/>
    <cellStyle name="Normal 3 2 3 3 4 5" xfId="20362" xr:uid="{1A63D63F-1EA3-4EC6-92D7-E35834A0C8AA}"/>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95F566ED-532E-4D0D-BE65-96131A3ADAE1}"/>
    <cellStyle name="Normal 3 2 3 3 5 2 2 2 2" xfId="36434" xr:uid="{951BE46B-16CA-4CB6-AC9E-178E8E3E2082}"/>
    <cellStyle name="Normal 3 2 3 3 5 2 2 3" xfId="27137" xr:uid="{71F52A9D-048C-49EC-B8F4-BC1C9CC94CAC}"/>
    <cellStyle name="Normal 3 2 3 3 5 2 3" xfId="13621" xr:uid="{AF5A8B4C-829D-413C-A36C-F859F2547C43}"/>
    <cellStyle name="Normal 3 2 3 3 5 2 3 2" xfId="32217" xr:uid="{D5DABB59-1955-4687-90EA-067D728E656C}"/>
    <cellStyle name="Normal 3 2 3 3 5 2 4" xfId="22920" xr:uid="{44A906D1-E62D-4023-9938-C76B16EE6993}"/>
    <cellStyle name="Normal 3 2 3 3 5 3" xfId="6367" xr:uid="{00000000-0005-0000-0000-0000B7110000}"/>
    <cellStyle name="Normal 3 2 3 3 5 3 2" xfId="15693" xr:uid="{02B45A9F-4EC6-4934-A6F3-1C2C309A145B}"/>
    <cellStyle name="Normal 3 2 3 3 5 3 2 2" xfId="34289" xr:uid="{94D75D73-02D0-460A-B0EE-331CDF0DEF58}"/>
    <cellStyle name="Normal 3 2 3 3 5 3 3" xfId="24992" xr:uid="{8AFF0BBB-A824-4A37-9938-2539A81BA53C}"/>
    <cellStyle name="Normal 3 2 3 3 5 4" xfId="11476" xr:uid="{95110FC1-3D5B-49BB-A0D4-778A8EC65A06}"/>
    <cellStyle name="Normal 3 2 3 3 5 4 2" xfId="30072" xr:uid="{26C2145B-7724-4C4A-B048-4C3D89C9676E}"/>
    <cellStyle name="Normal 3 2 3 3 5 5" xfId="20775" xr:uid="{9736DFBB-5366-4C4E-BB80-D4705D283CC7}"/>
    <cellStyle name="Normal 3 2 3 3 6" xfId="2497" xr:uid="{00000000-0005-0000-0000-0000B8110000}"/>
    <cellStyle name="Normal 3 2 3 3 6 2" xfId="6780" xr:uid="{00000000-0005-0000-0000-0000B9110000}"/>
    <cellStyle name="Normal 3 2 3 3 6 2 2" xfId="16106" xr:uid="{FC5232D7-1B7C-40DC-9BE6-96C68FC38446}"/>
    <cellStyle name="Normal 3 2 3 3 6 2 2 2" xfId="34702" xr:uid="{836DD365-3AF4-4C95-B65B-27810781A069}"/>
    <cellStyle name="Normal 3 2 3 3 6 2 3" xfId="25405" xr:uid="{6C95759A-F4F7-4EB6-AF57-6915F3B238EC}"/>
    <cellStyle name="Normal 3 2 3 3 6 3" xfId="11889" xr:uid="{0F7C8C4F-7FBE-4159-9B89-4E324279EEBB}"/>
    <cellStyle name="Normal 3 2 3 3 6 3 2" xfId="30485" xr:uid="{8158F403-0B87-4DCA-A1E7-69606D8C1D9D}"/>
    <cellStyle name="Normal 3 2 3 3 6 4" xfId="21188" xr:uid="{8B932641-F006-4668-A626-514E5F8FEB02}"/>
    <cellStyle name="Normal 3 2 3 3 7" xfId="4714" xr:uid="{00000000-0005-0000-0000-0000BA110000}"/>
    <cellStyle name="Normal 3 2 3 3 7 2" xfId="14040" xr:uid="{2FD6F019-B3CF-4ACF-AF66-19158751C9A1}"/>
    <cellStyle name="Normal 3 2 3 3 7 2 2" xfId="32636" xr:uid="{9B70D01F-1E6C-4B28-976E-543665ECE585}"/>
    <cellStyle name="Normal 3 2 3 3 7 3" xfId="23339" xr:uid="{7CF4E430-C6CA-4324-BC3B-BB0BC135A870}"/>
    <cellStyle name="Normal 3 2 3 3 8" xfId="9024" xr:uid="{AE2F680F-18A3-47B5-ADCF-6BEAD71D50CE}"/>
    <cellStyle name="Normal 3 2 3 3 8 2" xfId="18348" xr:uid="{9472081E-EDFE-44D6-A13B-149B26067CCF}"/>
    <cellStyle name="Normal 3 2 3 3 8 2 2" xfId="36943" xr:uid="{E2658339-3BD4-44CB-A01B-C6C984E3C8DF}"/>
    <cellStyle name="Normal 3 2 3 3 8 3" xfId="27646" xr:uid="{E998379D-C616-4E8C-8D2F-990FCA31A879}"/>
    <cellStyle name="Normal 3 2 3 3 9" xfId="9823" xr:uid="{298AE95E-C82E-4AD4-B1DD-DDC70901364D}"/>
    <cellStyle name="Normal 3 2 3 3 9 2" xfId="28419" xr:uid="{0D3A369F-7D63-47BF-825B-2292EAE23116}"/>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704E7565-F54E-45E1-92AC-018F4F8C28AA}"/>
    <cellStyle name="Normal 3 2 3 4 2 2 2 2" xfId="35192" xr:uid="{20FCB49C-0B4B-4904-8AA6-9C6A9F00F0DA}"/>
    <cellStyle name="Normal 3 2 3 4 2 2 3" xfId="25895" xr:uid="{EC89B148-C99B-48FA-AC7E-A3F81571A132}"/>
    <cellStyle name="Normal 3 2 3 4 2 3" xfId="12379" xr:uid="{EFCF9815-54CB-4057-B879-8C1E2B6CFD84}"/>
    <cellStyle name="Normal 3 2 3 4 2 3 2" xfId="30975" xr:uid="{3715FB2F-69AF-41DA-9645-5027A2783CFF}"/>
    <cellStyle name="Normal 3 2 3 4 2 4" xfId="21678" xr:uid="{6057D6CC-E4E4-4A39-AC1E-B34DBCF9FB2E}"/>
    <cellStyle name="Normal 3 2 3 4 3" xfId="5125" xr:uid="{00000000-0005-0000-0000-0000BE110000}"/>
    <cellStyle name="Normal 3 2 3 4 3 2" xfId="14451" xr:uid="{F5D0E4A7-8D06-43C6-8CBD-FBCEA3870654}"/>
    <cellStyle name="Normal 3 2 3 4 3 2 2" xfId="33047" xr:uid="{B1E00CBA-23E4-4C21-BDF8-3081BAEC5109}"/>
    <cellStyle name="Normal 3 2 3 4 3 3" xfId="23750" xr:uid="{3E9BFABB-DC5E-4296-BDE8-8330DC6460B3}"/>
    <cellStyle name="Normal 3 2 3 4 4" xfId="9242" xr:uid="{05AEEDFF-7EEB-40DB-B13D-145C971A771B}"/>
    <cellStyle name="Normal 3 2 3 4 4 2" xfId="18557" xr:uid="{15A880C4-7F8D-4B6A-8B19-8802FA7CDEEC}"/>
    <cellStyle name="Normal 3 2 3 4 4 2 2" xfId="37151" xr:uid="{65BAE2BD-2927-4E1B-A092-892A4408190B}"/>
    <cellStyle name="Normal 3 2 3 4 4 3" xfId="27854" xr:uid="{CBB719AD-05DD-4E9E-83F9-A0095D3CE3A9}"/>
    <cellStyle name="Normal 3 2 3 4 5" xfId="10234" xr:uid="{4E2E79C9-1C81-438D-81EE-63D1F368E2A8}"/>
    <cellStyle name="Normal 3 2 3 4 5 2" xfId="28830" xr:uid="{A6C31DA5-6C70-42E9-93E2-479ADA1153E6}"/>
    <cellStyle name="Normal 3 2 3 4 6" xfId="19533" xr:uid="{DFFCEE96-EB28-4875-A00E-A7EA2CA103FC}"/>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1C534954-443A-4D50-BDB0-1DD03EAA1073}"/>
    <cellStyle name="Normal 3 2 3 5 2 2 2 2" xfId="35605" xr:uid="{9009CDE7-89B6-4E70-B57B-735A08507102}"/>
    <cellStyle name="Normal 3 2 3 5 2 2 3" xfId="26308" xr:uid="{C2014D4F-D8ED-48FF-9B92-4DE23109E218}"/>
    <cellStyle name="Normal 3 2 3 5 2 3" xfId="12792" xr:uid="{B53F9688-0A17-4428-BBE4-9E5CD345CE62}"/>
    <cellStyle name="Normal 3 2 3 5 2 3 2" xfId="31388" xr:uid="{DEC55FAE-3B62-45C0-8150-A23659E9644E}"/>
    <cellStyle name="Normal 3 2 3 5 2 4" xfId="22091" xr:uid="{1C2FBC84-3D06-40F5-AAC7-B8ED19A2401F}"/>
    <cellStyle name="Normal 3 2 3 5 3" xfId="5538" xr:uid="{00000000-0005-0000-0000-0000C2110000}"/>
    <cellStyle name="Normal 3 2 3 5 3 2" xfId="14864" xr:uid="{4D762896-0255-4A46-9E4C-0FF0D052063D}"/>
    <cellStyle name="Normal 3 2 3 5 3 2 2" xfId="33460" xr:uid="{83B3B31D-216D-41A2-B5CF-D074B85F8318}"/>
    <cellStyle name="Normal 3 2 3 5 3 3" xfId="24163" xr:uid="{C0A6FB16-D777-4404-9F8B-CF753710C7EC}"/>
    <cellStyle name="Normal 3 2 3 5 4" xfId="10647" xr:uid="{BF61357E-B22B-43CE-8AC2-E6B7BBB0E3D9}"/>
    <cellStyle name="Normal 3 2 3 5 4 2" xfId="29243" xr:uid="{9971EB43-5FAE-4989-A348-1849B193A859}"/>
    <cellStyle name="Normal 3 2 3 5 5" xfId="19946" xr:uid="{4DCE3EC3-59F0-45CF-9F35-F3A0385E826B}"/>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520E1F9C-0448-43B7-9614-469D07FDE81D}"/>
    <cellStyle name="Normal 3 2 3 6 2 2 2 2" xfId="36018" xr:uid="{8D2320C7-D6DF-4910-8284-9709CE44D767}"/>
    <cellStyle name="Normal 3 2 3 6 2 2 3" xfId="26721" xr:uid="{B644865C-416F-4B34-B480-915935FB031B}"/>
    <cellStyle name="Normal 3 2 3 6 2 3" xfId="13205" xr:uid="{79B8E830-9C8A-40AF-87BE-96280126A125}"/>
    <cellStyle name="Normal 3 2 3 6 2 3 2" xfId="31801" xr:uid="{45356140-5C47-465A-8955-4DB398C4E835}"/>
    <cellStyle name="Normal 3 2 3 6 2 4" xfId="22504" xr:uid="{B3D21B72-ACE7-44D1-B3B1-B85A78F5EA84}"/>
    <cellStyle name="Normal 3 2 3 6 3" xfId="5951" xr:uid="{00000000-0005-0000-0000-0000C6110000}"/>
    <cellStyle name="Normal 3 2 3 6 3 2" xfId="15277" xr:uid="{A6C9892A-B47D-475A-A208-1EA43C5090AC}"/>
    <cellStyle name="Normal 3 2 3 6 3 2 2" xfId="33873" xr:uid="{A5514939-8A7B-4C1D-8CDA-10BB5FABE9F3}"/>
    <cellStyle name="Normal 3 2 3 6 3 3" xfId="24576" xr:uid="{50F94A7A-83FB-47AD-B0FF-A7F3D02B1B95}"/>
    <cellStyle name="Normal 3 2 3 6 4" xfId="11060" xr:uid="{8843FA4C-22FE-4B62-8A82-71F17B1E168B}"/>
    <cellStyle name="Normal 3 2 3 6 4 2" xfId="29656" xr:uid="{88A6145B-D524-403A-88E6-FA8060F2AF6F}"/>
    <cellStyle name="Normal 3 2 3 6 5" xfId="20359" xr:uid="{B98B3825-1B0C-4EF3-8AF2-81C9C82136FB}"/>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EAD2CDDD-0286-4F34-82F3-CB838A902D4F}"/>
    <cellStyle name="Normal 3 2 3 7 2 2 2 2" xfId="36431" xr:uid="{DAEFB3A2-D79F-4931-B61C-C44F0A0EC4D7}"/>
    <cellStyle name="Normal 3 2 3 7 2 2 3" xfId="27134" xr:uid="{50919AA8-5C79-4DB1-8773-A781B04390A2}"/>
    <cellStyle name="Normal 3 2 3 7 2 3" xfId="13618" xr:uid="{36F7A356-7B91-49B6-9131-951C818B49A4}"/>
    <cellStyle name="Normal 3 2 3 7 2 3 2" xfId="32214" xr:uid="{5B6B0EF5-51C7-4634-9C95-69CB465A4D61}"/>
    <cellStyle name="Normal 3 2 3 7 2 4" xfId="22917" xr:uid="{39DF4290-FEDB-4317-AFD2-007722C2BDAF}"/>
    <cellStyle name="Normal 3 2 3 7 3" xfId="6364" xr:uid="{00000000-0005-0000-0000-0000CA110000}"/>
    <cellStyle name="Normal 3 2 3 7 3 2" xfId="15690" xr:uid="{C6B5D3A3-2E58-4C21-A9BE-9F643946BCB4}"/>
    <cellStyle name="Normal 3 2 3 7 3 2 2" xfId="34286" xr:uid="{DFAE9405-42C4-4F29-8A24-DC70D6DC9CA4}"/>
    <cellStyle name="Normal 3 2 3 7 3 3" xfId="24989" xr:uid="{FEECAB66-7E5D-49AF-B23D-85CB52425872}"/>
    <cellStyle name="Normal 3 2 3 7 4" xfId="11473" xr:uid="{777F4899-B85D-415A-B253-ED14C9563909}"/>
    <cellStyle name="Normal 3 2 3 7 4 2" xfId="30069" xr:uid="{0ACE4683-B556-4B0E-81C7-E2A284339F69}"/>
    <cellStyle name="Normal 3 2 3 7 5" xfId="20772" xr:uid="{CF162AA7-B2BF-47A2-85BB-E6BC0CC513C8}"/>
    <cellStyle name="Normal 3 2 3 8" xfId="2494" xr:uid="{00000000-0005-0000-0000-0000CB110000}"/>
    <cellStyle name="Normal 3 2 3 8 2" xfId="6777" xr:uid="{00000000-0005-0000-0000-0000CC110000}"/>
    <cellStyle name="Normal 3 2 3 8 2 2" xfId="16103" xr:uid="{9E9A342A-8034-4571-A319-084464BCEB84}"/>
    <cellStyle name="Normal 3 2 3 8 2 2 2" xfId="34699" xr:uid="{948287EB-3A7D-412A-BB44-F03F2C6A63A6}"/>
    <cellStyle name="Normal 3 2 3 8 2 3" xfId="25402" xr:uid="{E48EEDDB-0D7B-4097-8F67-96E40BB1ED12}"/>
    <cellStyle name="Normal 3 2 3 8 3" xfId="11886" xr:uid="{E78C1F49-C5D0-4480-A36F-3B1264E4DA14}"/>
    <cellStyle name="Normal 3 2 3 8 3 2" xfId="30482" xr:uid="{6C8C6246-A6F3-43AA-9471-B993CBB32290}"/>
    <cellStyle name="Normal 3 2 3 8 4" xfId="21185" xr:uid="{D34C667B-43BA-4F9F-B792-8F3F4FC3E82D}"/>
    <cellStyle name="Normal 3 2 3 9" xfId="4711" xr:uid="{00000000-0005-0000-0000-0000CD110000}"/>
    <cellStyle name="Normal 3 2 3 9 2" xfId="14037" xr:uid="{9D824853-DC12-48F3-A080-38F6669A56BB}"/>
    <cellStyle name="Normal 3 2 3 9 2 2" xfId="32633" xr:uid="{DABC1AEE-0ED8-41CF-AB3C-6B5A0369A55C}"/>
    <cellStyle name="Normal 3 2 3 9 3" xfId="23336" xr:uid="{2A657C0D-D514-443A-8AB2-CDF8AA4FD820}"/>
    <cellStyle name="Normal 3 2 4" xfId="809" xr:uid="{00000000-0005-0000-0000-0000CE110000}"/>
    <cellStyle name="Normal 3 2 4 2" xfId="3047" xr:uid="{00000000-0005-0000-0000-0000CF110000}"/>
    <cellStyle name="Normal 3 2 4 2 2" xfId="7269" xr:uid="{00000000-0005-0000-0000-0000D0110000}"/>
    <cellStyle name="Normal 3 2 4 2 2 2" xfId="16595" xr:uid="{C196C016-D7FA-4709-85DC-2A7D8D783FE8}"/>
    <cellStyle name="Normal 3 2 4 2 2 2 2" xfId="35191" xr:uid="{4F6CB926-64DF-403F-B83D-E78EAA780BE7}"/>
    <cellStyle name="Normal 3 2 4 2 2 3" xfId="25894" xr:uid="{733F9F86-B890-4A89-A2A1-A9C93EBAA983}"/>
    <cellStyle name="Normal 3 2 4 2 3" xfId="12378" xr:uid="{AB142AD2-AAC2-4F51-BE4B-4D5FABFE1B96}"/>
    <cellStyle name="Normal 3 2 4 2 3 2" xfId="30974" xr:uid="{502AABC2-0A33-4360-B839-8C231A4CC58F}"/>
    <cellStyle name="Normal 3 2 4 2 4" xfId="21677" xr:uid="{2572AB13-440D-4351-B46D-5369F0FA7F20}"/>
    <cellStyle name="Normal 3 2 4 3" xfId="5124" xr:uid="{00000000-0005-0000-0000-0000D1110000}"/>
    <cellStyle name="Normal 3 2 4 3 2" xfId="14450" xr:uid="{2CBD2AEC-90A1-4A0B-A850-7BCAC5BED79F}"/>
    <cellStyle name="Normal 3 2 4 3 2 2" xfId="33046" xr:uid="{9F70F4B7-5512-4111-91B3-C5B903A1BB6B}"/>
    <cellStyle name="Normal 3 2 4 3 3" xfId="23749" xr:uid="{19F41B9A-4980-49C7-9C2A-31A21F9F05AC}"/>
    <cellStyle name="Normal 3 2 4 4" xfId="9607" xr:uid="{7D769806-7069-4B8D-8CAC-B3B91BBA8D64}"/>
    <cellStyle name="Normal 3 2 4 4 2" xfId="18908" xr:uid="{25E81ECF-D422-442B-BA79-ECD7D07EEA06}"/>
    <cellStyle name="Normal 3 2 4 4 2 2" xfId="37502" xr:uid="{58E5A510-0C15-494D-9924-50BEF4E45625}"/>
    <cellStyle name="Normal 3 2 4 4 3" xfId="28205" xr:uid="{F5B5ABF3-CACD-4BEC-A843-A7B51372E803}"/>
    <cellStyle name="Normal 3 2 4 5" xfId="10233" xr:uid="{8D89D66B-109A-4F1F-B771-3906BC35361A}"/>
    <cellStyle name="Normal 3 2 4 5 2" xfId="28829" xr:uid="{4A805789-8B47-4205-9007-5AD87E154728}"/>
    <cellStyle name="Normal 3 2 4 6" xfId="19532" xr:uid="{ADB5E330-5BEE-4037-A0A8-EDE735927EF9}"/>
    <cellStyle name="Normal 3 2 5" xfId="1230" xr:uid="{00000000-0005-0000-0000-0000D2110000}"/>
    <cellStyle name="Normal 3 2 5 2" xfId="3460" xr:uid="{00000000-0005-0000-0000-0000D3110000}"/>
    <cellStyle name="Normal 3 2 5 2 2" xfId="7682" xr:uid="{00000000-0005-0000-0000-0000D4110000}"/>
    <cellStyle name="Normal 3 2 5 2 2 2" xfId="17008" xr:uid="{8927B7C0-0637-4C09-ADD6-219B0A68E39E}"/>
    <cellStyle name="Normal 3 2 5 2 2 2 2" xfId="35604" xr:uid="{7B0AEAA8-A5BA-4348-930F-83B6B3DA10C9}"/>
    <cellStyle name="Normal 3 2 5 2 2 3" xfId="26307" xr:uid="{AE9F1F93-AD90-4D23-BA74-C6F3A818301A}"/>
    <cellStyle name="Normal 3 2 5 2 3" xfId="12791" xr:uid="{1BCC0AF1-5732-49FE-B31A-272943B4EC44}"/>
    <cellStyle name="Normal 3 2 5 2 3 2" xfId="31387" xr:uid="{D27E9F41-0B73-4B6C-BDF9-F6B00279EDD3}"/>
    <cellStyle name="Normal 3 2 5 2 4" xfId="22090" xr:uid="{40C8AFDB-4E79-40BC-AA72-CA2BC10FE77E}"/>
    <cellStyle name="Normal 3 2 5 3" xfId="5537" xr:uid="{00000000-0005-0000-0000-0000D5110000}"/>
    <cellStyle name="Normal 3 2 5 3 2" xfId="14863" xr:uid="{9287FB85-9FD6-4C72-8936-C23E7268245A}"/>
    <cellStyle name="Normal 3 2 5 3 2 2" xfId="33459" xr:uid="{7D3E5AF4-F2CE-40CA-A04C-329C74AEA6EA}"/>
    <cellStyle name="Normal 3 2 5 3 3" xfId="24162" xr:uid="{A9A2CE61-8A9A-4B9B-B157-F938B1665E05}"/>
    <cellStyle name="Normal 3 2 5 4" xfId="10646" xr:uid="{5422D876-DEF0-4244-9A9B-2D40D2DA10AD}"/>
    <cellStyle name="Normal 3 2 5 4 2" xfId="29242" xr:uid="{95EE58BE-CC98-464C-BB57-C3E02F45F4B0}"/>
    <cellStyle name="Normal 3 2 5 5" xfId="19945" xr:uid="{2A5397C8-6D72-4222-A8EC-32DDE50DEB78}"/>
    <cellStyle name="Normal 3 2 6" xfId="1643" xr:uid="{00000000-0005-0000-0000-0000D6110000}"/>
    <cellStyle name="Normal 3 2 6 2" xfId="3873" xr:uid="{00000000-0005-0000-0000-0000D7110000}"/>
    <cellStyle name="Normal 3 2 6 2 2" xfId="8095" xr:uid="{00000000-0005-0000-0000-0000D8110000}"/>
    <cellStyle name="Normal 3 2 6 2 2 2" xfId="17421" xr:uid="{8C7FBB87-2177-4298-BD60-19879802A1E5}"/>
    <cellStyle name="Normal 3 2 6 2 2 2 2" xfId="36017" xr:uid="{1B63FC88-5E48-4BA7-854C-D1B24F4BCA0E}"/>
    <cellStyle name="Normal 3 2 6 2 2 3" xfId="26720" xr:uid="{75FBFC62-EEFB-48EB-986B-A41A1504D45B}"/>
    <cellStyle name="Normal 3 2 6 2 3" xfId="13204" xr:uid="{B847A777-655D-4529-A919-BFBA0268D07A}"/>
    <cellStyle name="Normal 3 2 6 2 3 2" xfId="31800" xr:uid="{242957E4-EAE6-423C-946B-6AED7937C389}"/>
    <cellStyle name="Normal 3 2 6 2 4" xfId="22503" xr:uid="{552C5437-5068-4AF6-BC85-3F4955895F90}"/>
    <cellStyle name="Normal 3 2 6 3" xfId="5950" xr:uid="{00000000-0005-0000-0000-0000D9110000}"/>
    <cellStyle name="Normal 3 2 6 3 2" xfId="15276" xr:uid="{E7A70703-6A32-4DCF-BCDE-F8140CAA04C8}"/>
    <cellStyle name="Normal 3 2 6 3 2 2" xfId="33872" xr:uid="{2BC0A6B0-0946-423C-8437-866643CBEB88}"/>
    <cellStyle name="Normal 3 2 6 3 3" xfId="24575" xr:uid="{712D8F93-4290-4E43-9583-17755BC18806}"/>
    <cellStyle name="Normal 3 2 6 4" xfId="11059" xr:uid="{FD9EE716-A9B8-4083-9177-1A26179BCBAF}"/>
    <cellStyle name="Normal 3 2 6 4 2" xfId="29655" xr:uid="{E5D7A08B-3CA3-48E4-8750-675307E9F1B2}"/>
    <cellStyle name="Normal 3 2 6 5" xfId="20358" xr:uid="{02F0B6E4-641E-4898-BF92-8CB94BA60EA8}"/>
    <cellStyle name="Normal 3 2 7" xfId="2057" xr:uid="{00000000-0005-0000-0000-0000DA110000}"/>
    <cellStyle name="Normal 3 2 7 2" xfId="4286" xr:uid="{00000000-0005-0000-0000-0000DB110000}"/>
    <cellStyle name="Normal 3 2 7 2 2" xfId="8508" xr:uid="{00000000-0005-0000-0000-0000DC110000}"/>
    <cellStyle name="Normal 3 2 7 2 2 2" xfId="17834" xr:uid="{5E3B5B4F-06CC-49F6-82EA-B1E9DCF5E591}"/>
    <cellStyle name="Normal 3 2 7 2 2 2 2" xfId="36430" xr:uid="{67124B5B-3297-46A5-AC18-BE5C6DECDA65}"/>
    <cellStyle name="Normal 3 2 7 2 2 3" xfId="27133" xr:uid="{F9A43DA0-567A-4752-8493-A8F6758F9BF6}"/>
    <cellStyle name="Normal 3 2 7 2 3" xfId="13617" xr:uid="{137B559F-69F9-4A18-8DF7-BD810AF2A11C}"/>
    <cellStyle name="Normal 3 2 7 2 3 2" xfId="32213" xr:uid="{0D39342A-9A8A-4702-8DE2-05C215D73BA5}"/>
    <cellStyle name="Normal 3 2 7 2 4" xfId="22916" xr:uid="{EB383C24-56F1-4218-BB54-6623665A7647}"/>
    <cellStyle name="Normal 3 2 7 3" xfId="6363" xr:uid="{00000000-0005-0000-0000-0000DD110000}"/>
    <cellStyle name="Normal 3 2 7 3 2" xfId="15689" xr:uid="{33C65B25-C320-45CA-A0C6-EF117CDB184F}"/>
    <cellStyle name="Normal 3 2 7 3 2 2" xfId="34285" xr:uid="{EE58359B-8D15-4E97-B37E-F0A6527CF751}"/>
    <cellStyle name="Normal 3 2 7 3 3" xfId="24988" xr:uid="{2ED5F684-072F-447C-A072-3160C95D73BF}"/>
    <cellStyle name="Normal 3 2 7 4" xfId="11472" xr:uid="{5E4B46DE-1212-4B78-9981-A64AA56CEF04}"/>
    <cellStyle name="Normal 3 2 7 4 2" xfId="30068" xr:uid="{71CC4B66-AE83-42F6-A128-50C9EB31DF2C}"/>
    <cellStyle name="Normal 3 2 7 5" xfId="20771" xr:uid="{0EFF4013-9FA4-4E30-B068-7238FAC324E7}"/>
    <cellStyle name="Normal 3 2 8" xfId="2493" xr:uid="{00000000-0005-0000-0000-0000DE110000}"/>
    <cellStyle name="Normal 3 2 8 2" xfId="6776" xr:uid="{00000000-0005-0000-0000-0000DF110000}"/>
    <cellStyle name="Normal 3 2 8 2 2" xfId="16102" xr:uid="{51D322AA-DA65-44E8-8D02-44923A0A24D1}"/>
    <cellStyle name="Normal 3 2 8 2 2 2" xfId="34698" xr:uid="{794E784D-6706-404C-AD09-0EEC9356453C}"/>
    <cellStyle name="Normal 3 2 8 2 3" xfId="25401" xr:uid="{D000FF36-9FAC-423E-9A24-7848114DA73C}"/>
    <cellStyle name="Normal 3 2 8 3" xfId="11885" xr:uid="{66BC67D6-9829-411D-AFD9-2E19C94B66E3}"/>
    <cellStyle name="Normal 3 2 8 3 2" xfId="30481" xr:uid="{A8DC5988-DF6D-448B-A61D-754B94C3F25E}"/>
    <cellStyle name="Normal 3 2 8 4" xfId="21184" xr:uid="{7942934D-3CF9-4444-99AF-28CB287B9A92}"/>
    <cellStyle name="Normal 3 2 9" xfId="4710" xr:uid="{00000000-0005-0000-0000-0000E0110000}"/>
    <cellStyle name="Normal 3 2 9 2" xfId="14036" xr:uid="{43E50AD5-67CD-4A76-8993-8839F54F2D02}"/>
    <cellStyle name="Normal 3 2 9 2 2" xfId="32632" xr:uid="{64071BAB-587C-4B62-9693-2679DAB8AC16}"/>
    <cellStyle name="Normal 3 2 9 3" xfId="23335" xr:uid="{B34285A9-98DA-4B11-978F-BACBE9CE4652}"/>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0 2" xfId="18064" xr:uid="{F140D394-8BDF-4CF5-9D50-DBF7E180858B}"/>
    <cellStyle name="Normal 4 10 2 2" xfId="36659" xr:uid="{0A761B95-6940-4B28-B13B-1FB34B5A2E86}"/>
    <cellStyle name="Normal 4 10 3" xfId="27362" xr:uid="{1463C61F-99AB-4090-98FA-72B36C34F4A9}"/>
    <cellStyle name="Normal 4 11" xfId="9824" xr:uid="{6EDFC01E-E785-4E49-907C-7D2B218AA751}"/>
    <cellStyle name="Normal 4 11 2" xfId="28420" xr:uid="{1F216E0B-D061-464B-B2F9-EEE84D17C74B}"/>
    <cellStyle name="Normal 4 12" xfId="19123" xr:uid="{EC065737-5EBB-4B11-9D36-F8AEF903B76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997F5442-6F14-4972-BAF1-505FAC2BC49D}"/>
    <cellStyle name="Normal 4 2 2 10 2 2 2 2" xfId="36435" xr:uid="{71D05162-3535-49B3-80E9-60621FA0C6C5}"/>
    <cellStyle name="Normal 4 2 2 10 2 2 3" xfId="27138" xr:uid="{5C454BB5-A388-454D-9C37-3C00C1C9247D}"/>
    <cellStyle name="Normal 4 2 2 10 2 3" xfId="13622" xr:uid="{5AC62F28-9749-46A0-91B9-A7756A914C17}"/>
    <cellStyle name="Normal 4 2 2 10 2 3 2" xfId="32218" xr:uid="{E2780F79-E830-4A8D-B28A-8BEB2C4891FC}"/>
    <cellStyle name="Normal 4 2 2 10 2 4" xfId="22921" xr:uid="{7D3FFC5C-885B-4225-8E34-FDAADAFC42DF}"/>
    <cellStyle name="Normal 4 2 2 10 3" xfId="6368" xr:uid="{00000000-0005-0000-0000-0000ED110000}"/>
    <cellStyle name="Normal 4 2 2 10 3 2" xfId="15694" xr:uid="{CF2574CD-1B04-4E90-A77C-C934190A2ED6}"/>
    <cellStyle name="Normal 4 2 2 10 3 2 2" xfId="34290" xr:uid="{D8F813AC-1486-4C06-A105-227BC8D63BD5}"/>
    <cellStyle name="Normal 4 2 2 10 3 3" xfId="24993" xr:uid="{BFEF76FD-4B70-4B9B-B164-A9CE23435CBD}"/>
    <cellStyle name="Normal 4 2 2 10 4" xfId="11477" xr:uid="{FADB5C32-834F-40EF-9CE4-B74AEA985E87}"/>
    <cellStyle name="Normal 4 2 2 10 4 2" xfId="30073" xr:uid="{E04FE48F-FFEE-49A9-A83F-265010EC59BF}"/>
    <cellStyle name="Normal 4 2 2 10 5" xfId="20776" xr:uid="{CBA1D735-8B13-4B9C-89C9-7B34C6399A4E}"/>
    <cellStyle name="Normal 4 2 2 11" xfId="2498" xr:uid="{00000000-0005-0000-0000-0000EE110000}"/>
    <cellStyle name="Normal 4 2 2 11 2" xfId="6781" xr:uid="{00000000-0005-0000-0000-0000EF110000}"/>
    <cellStyle name="Normal 4 2 2 11 2 2" xfId="16107" xr:uid="{F1E39527-0E55-497F-9C98-B44C737C0677}"/>
    <cellStyle name="Normal 4 2 2 11 2 2 2" xfId="34703" xr:uid="{D4128449-0146-4AC1-841E-DAA94089B0A9}"/>
    <cellStyle name="Normal 4 2 2 11 2 3" xfId="25406" xr:uid="{DABF16C7-AF75-4AB7-A4E9-770047F494C7}"/>
    <cellStyle name="Normal 4 2 2 11 3" xfId="11890" xr:uid="{D7C492C0-1CEB-4748-ADCD-ADFA722E14CF}"/>
    <cellStyle name="Normal 4 2 2 11 3 2" xfId="30486" xr:uid="{B4A21D1B-06C2-4862-8814-1DAD2B07F60E}"/>
    <cellStyle name="Normal 4 2 2 11 4" xfId="21189" xr:uid="{419FB875-4FC6-42D2-89E6-AE0CF0F8CA48}"/>
    <cellStyle name="Normal 4 2 2 12" xfId="4716" xr:uid="{00000000-0005-0000-0000-0000F0110000}"/>
    <cellStyle name="Normal 4 2 2 12 2" xfId="14042" xr:uid="{9386E550-CDE2-49EE-B466-0E66D2EBCA43}"/>
    <cellStyle name="Normal 4 2 2 12 2 2" xfId="32638" xr:uid="{33598ACC-916E-46A4-8DFC-FC7367A59110}"/>
    <cellStyle name="Normal 4 2 2 12 3" xfId="23341" xr:uid="{21950000-2C49-40B2-943B-A0C8A9093C68}"/>
    <cellStyle name="Normal 4 2 2 13" xfId="8752" xr:uid="{7B61EFAC-4165-4615-9A47-7AF5DAE027C9}"/>
    <cellStyle name="Normal 4 2 2 13 2" xfId="18076" xr:uid="{48C1C460-4E16-4782-991C-CED170B96BFD}"/>
    <cellStyle name="Normal 4 2 2 13 2 2" xfId="36671" xr:uid="{4AE30F19-DA19-4E45-B54F-1AF4F6E505C7}"/>
    <cellStyle name="Normal 4 2 2 13 3" xfId="27374" xr:uid="{0AE5EAF1-2F07-40A7-A31C-17B13FFD7E61}"/>
    <cellStyle name="Normal 4 2 2 14" xfId="9825" xr:uid="{87FF3847-4015-47B8-8595-4D306CA44D31}"/>
    <cellStyle name="Normal 4 2 2 14 2" xfId="28421" xr:uid="{51FBA77D-0DFA-4BD2-8AC8-1DBEDAFA0019}"/>
    <cellStyle name="Normal 4 2 2 15" xfId="19124" xr:uid="{B7AD83AA-8013-4C9F-B16F-7353E9520D14}"/>
    <cellStyle name="Normal 4 2 2 2" xfId="338" xr:uid="{00000000-0005-0000-0000-0000F1110000}"/>
    <cellStyle name="Normal 4 2 2 3" xfId="339" xr:uid="{00000000-0005-0000-0000-0000F2110000}"/>
    <cellStyle name="Normal 4 2 2 3 10" xfId="4717" xr:uid="{00000000-0005-0000-0000-0000F3110000}"/>
    <cellStyle name="Normal 4 2 2 3 10 2" xfId="14043" xr:uid="{C5FA6BC6-F783-4938-B024-4AB10760CC98}"/>
    <cellStyle name="Normal 4 2 2 3 10 2 2" xfId="32639" xr:uid="{B6D06B95-B6E1-478E-A446-D753025AF020}"/>
    <cellStyle name="Normal 4 2 2 3 10 3" xfId="23342" xr:uid="{8E5A0D33-B6A3-46F1-9276-F3F724773E0E}"/>
    <cellStyle name="Normal 4 2 2 3 11" xfId="8784" xr:uid="{8AA3A883-811C-4C4A-AFFF-9AAED56BF228}"/>
    <cellStyle name="Normal 4 2 2 3 11 2" xfId="18108" xr:uid="{1D3005D7-6248-4487-96E4-61268DB19D62}"/>
    <cellStyle name="Normal 4 2 2 3 11 2 2" xfId="36703" xr:uid="{F4A36F2D-1271-4602-A889-007D8C0C2BE3}"/>
    <cellStyle name="Normal 4 2 2 3 11 3" xfId="27406" xr:uid="{4EB89F09-9B9C-4989-8B2F-40B32A0A8A48}"/>
    <cellStyle name="Normal 4 2 2 3 12" xfId="9826" xr:uid="{4158786B-B4A0-4132-983A-B44A7EE429AC}"/>
    <cellStyle name="Normal 4 2 2 3 12 2" xfId="28422" xr:uid="{E5B2FCB3-36F7-4D07-A8C0-A0782BAEFE2E}"/>
    <cellStyle name="Normal 4 2 2 3 13" xfId="19125" xr:uid="{720E3A2A-4C52-40DB-BB7C-08C7F0C17C33}"/>
    <cellStyle name="Normal 4 2 2 3 2" xfId="340" xr:uid="{00000000-0005-0000-0000-0000F4110000}"/>
    <cellStyle name="Normal 4 2 2 3 2 10" xfId="8819" xr:uid="{16629302-3759-4242-B07E-BB5D034B10E8}"/>
    <cellStyle name="Normal 4 2 2 3 2 10 2" xfId="18143" xr:uid="{D22A49C2-4CA1-4E19-8F0D-A769064BF99F}"/>
    <cellStyle name="Normal 4 2 2 3 2 10 2 2" xfId="36738" xr:uid="{3C50D784-2847-4A25-A21F-98BBCD4ED5A4}"/>
    <cellStyle name="Normal 4 2 2 3 2 10 3" xfId="27441" xr:uid="{4C9058DB-96E7-4BAD-9A4E-8A3B09A19574}"/>
    <cellStyle name="Normal 4 2 2 3 2 11" xfId="9827" xr:uid="{4C93406E-232F-4E6B-8E1A-E5F113A2A761}"/>
    <cellStyle name="Normal 4 2 2 3 2 11 2" xfId="28423" xr:uid="{F36E805B-A314-476C-8635-07C48C1C6386}"/>
    <cellStyle name="Normal 4 2 2 3 2 12" xfId="19126" xr:uid="{00BD8A02-5361-4673-885A-6C07111DDC1D}"/>
    <cellStyle name="Normal 4 2 2 3 2 2" xfId="341" xr:uid="{00000000-0005-0000-0000-0000F5110000}"/>
    <cellStyle name="Normal 4 2 2 3 2 2 10" xfId="9828" xr:uid="{E9524C61-66F9-4CC6-A092-7A399D0B3212}"/>
    <cellStyle name="Normal 4 2 2 3 2 2 10 2" xfId="28424" xr:uid="{831D7FF4-15EA-4149-838C-A7252D65A732}"/>
    <cellStyle name="Normal 4 2 2 3 2 2 11" xfId="19127" xr:uid="{876B1DCD-AF35-4726-AF23-4AF22CAD8B9D}"/>
    <cellStyle name="Normal 4 2 2 3 2 2 2" xfId="342" xr:uid="{00000000-0005-0000-0000-0000F6110000}"/>
    <cellStyle name="Normal 4 2 2 3 2 2 2 10" xfId="19128" xr:uid="{C22BCDC7-24FC-42B7-B30D-4AE617CE47E8}"/>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52921145-F2D0-44E7-9D59-E353B3325C7B}"/>
    <cellStyle name="Normal 4 2 2 3 2 2 2 2 2 2 2 2" xfId="35200" xr:uid="{8BABB1D9-ADD7-431A-ADB9-21BAB41F6B63}"/>
    <cellStyle name="Normal 4 2 2 3 2 2 2 2 2 2 3" xfId="25903" xr:uid="{CCF564A0-720D-468B-B50B-C5167775E1EA}"/>
    <cellStyle name="Normal 4 2 2 3 2 2 2 2 2 3" xfId="12387" xr:uid="{E4668E84-A452-48C2-A424-D943F910BA22}"/>
    <cellStyle name="Normal 4 2 2 3 2 2 2 2 2 3 2" xfId="30983" xr:uid="{D35C8FA5-546A-4AFA-91D3-E4BA52F18504}"/>
    <cellStyle name="Normal 4 2 2 3 2 2 2 2 2 4" xfId="21686" xr:uid="{E7164531-2F74-4E14-85DB-D45E6E20A43B}"/>
    <cellStyle name="Normal 4 2 2 3 2 2 2 2 3" xfId="5133" xr:uid="{00000000-0005-0000-0000-0000FA110000}"/>
    <cellStyle name="Normal 4 2 2 3 2 2 2 2 3 2" xfId="14459" xr:uid="{CB2217A9-C710-43F2-9950-30054923EAC4}"/>
    <cellStyle name="Normal 4 2 2 3 2 2 2 2 3 2 2" xfId="33055" xr:uid="{D7086649-89F6-4393-9AB6-BFFBE0FAD599}"/>
    <cellStyle name="Normal 4 2 2 3 2 2 2 2 3 3" xfId="23758" xr:uid="{4C7C7CC0-689C-4181-95F7-865385E3CEB7}"/>
    <cellStyle name="Normal 4 2 2 3 2 2 2 2 4" xfId="9554" xr:uid="{BAC669EC-8948-4716-90C3-0688F03300CE}"/>
    <cellStyle name="Normal 4 2 2 3 2 2 2 2 4 2" xfId="18869" xr:uid="{94CDCEC8-5064-4505-959F-80E1F534263B}"/>
    <cellStyle name="Normal 4 2 2 3 2 2 2 2 4 2 2" xfId="37463" xr:uid="{B4992CCE-338C-45FB-9940-952117D23B34}"/>
    <cellStyle name="Normal 4 2 2 3 2 2 2 2 4 3" xfId="28166" xr:uid="{C1288465-03E4-422A-9CE3-F39E0767D390}"/>
    <cellStyle name="Normal 4 2 2 3 2 2 2 2 5" xfId="10242" xr:uid="{2B376F56-DD7E-46EE-8677-2E6A12BBDDAF}"/>
    <cellStyle name="Normal 4 2 2 3 2 2 2 2 5 2" xfId="28838" xr:uid="{09546F33-F301-433A-8515-A8D17F0FA257}"/>
    <cellStyle name="Normal 4 2 2 3 2 2 2 2 6" xfId="19541" xr:uid="{277AC9DB-C56D-4DC4-BA60-62C51BDD499A}"/>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DFE47795-FBA4-4804-B8A4-F1F5DE85E52F}"/>
    <cellStyle name="Normal 4 2 2 3 2 2 2 3 2 2 2 2" xfId="35613" xr:uid="{E35C759D-6894-4141-9907-AF48B881C6EC}"/>
    <cellStyle name="Normal 4 2 2 3 2 2 2 3 2 2 3" xfId="26316" xr:uid="{D3DA8345-9B47-49C3-BE43-DF9BB68220C6}"/>
    <cellStyle name="Normal 4 2 2 3 2 2 2 3 2 3" xfId="12800" xr:uid="{43C94303-A6E6-4EFE-AB8A-318D06F2A9FF}"/>
    <cellStyle name="Normal 4 2 2 3 2 2 2 3 2 3 2" xfId="31396" xr:uid="{45900060-E522-4E05-B26D-1E816ABC481E}"/>
    <cellStyle name="Normal 4 2 2 3 2 2 2 3 2 4" xfId="22099" xr:uid="{9F087646-6661-4C0A-8CCA-890617809F76}"/>
    <cellStyle name="Normal 4 2 2 3 2 2 2 3 3" xfId="5546" xr:uid="{00000000-0005-0000-0000-0000FE110000}"/>
    <cellStyle name="Normal 4 2 2 3 2 2 2 3 3 2" xfId="14872" xr:uid="{ECDC0618-F5F6-4094-93DD-8170FB04BA7B}"/>
    <cellStyle name="Normal 4 2 2 3 2 2 2 3 3 2 2" xfId="33468" xr:uid="{0B24B5E3-A87B-408D-A73A-328CEEF20366}"/>
    <cellStyle name="Normal 4 2 2 3 2 2 2 3 3 3" xfId="24171" xr:uid="{9DF335CD-17B7-4BEC-A1E9-46D78447159D}"/>
    <cellStyle name="Normal 4 2 2 3 2 2 2 3 4" xfId="10655" xr:uid="{256FF30C-0D8C-41E7-87E9-E973B10EDEF3}"/>
    <cellStyle name="Normal 4 2 2 3 2 2 2 3 4 2" xfId="29251" xr:uid="{F9978FD0-87F2-40BD-A314-217F2E85D064}"/>
    <cellStyle name="Normal 4 2 2 3 2 2 2 3 5" xfId="19954" xr:uid="{0AC53D7B-D41B-43AE-A4E6-E574AEDF0186}"/>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269955E2-B297-4BB0-AC7A-92CBBF0C85F7}"/>
    <cellStyle name="Normal 4 2 2 3 2 2 2 4 2 2 2 2" xfId="36026" xr:uid="{65AF5DD1-65D3-4ED7-B1D0-10F1BE3F709E}"/>
    <cellStyle name="Normal 4 2 2 3 2 2 2 4 2 2 3" xfId="26729" xr:uid="{1099D375-E20D-4E8C-ABFF-22CB8C122504}"/>
    <cellStyle name="Normal 4 2 2 3 2 2 2 4 2 3" xfId="13213" xr:uid="{7C7B3049-F350-4630-AAF8-4FAD6C095D56}"/>
    <cellStyle name="Normal 4 2 2 3 2 2 2 4 2 3 2" xfId="31809" xr:uid="{2A3C15A0-0164-4A7D-88BB-0155CA2415DB}"/>
    <cellStyle name="Normal 4 2 2 3 2 2 2 4 2 4" xfId="22512" xr:uid="{1E643ED4-562F-4A69-A5A4-6CCB53BE9608}"/>
    <cellStyle name="Normal 4 2 2 3 2 2 2 4 3" xfId="5959" xr:uid="{00000000-0005-0000-0000-000002120000}"/>
    <cellStyle name="Normal 4 2 2 3 2 2 2 4 3 2" xfId="15285" xr:uid="{2C61FA25-E31A-421C-A835-EFC5595785F1}"/>
    <cellStyle name="Normal 4 2 2 3 2 2 2 4 3 2 2" xfId="33881" xr:uid="{62E86490-686E-4D7A-A949-C8ACC78CFD7C}"/>
    <cellStyle name="Normal 4 2 2 3 2 2 2 4 3 3" xfId="24584" xr:uid="{49DD8F99-55CB-4FED-8173-109C0EDF0F19}"/>
    <cellStyle name="Normal 4 2 2 3 2 2 2 4 4" xfId="11068" xr:uid="{406E0CDF-E6F2-47F9-894E-3D13C6767654}"/>
    <cellStyle name="Normal 4 2 2 3 2 2 2 4 4 2" xfId="29664" xr:uid="{95709757-ADDB-4335-A362-E28FD637462F}"/>
    <cellStyle name="Normal 4 2 2 3 2 2 2 4 5" xfId="20367" xr:uid="{D3D20389-0A7D-4323-8B2B-BE513AFE35E5}"/>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0DDAF55F-E9C0-477D-90FD-8135E8C238F4}"/>
    <cellStyle name="Normal 4 2 2 3 2 2 2 5 2 2 2 2" xfId="36439" xr:uid="{E9EABB7F-FEA9-4B80-8196-73777BF400E9}"/>
    <cellStyle name="Normal 4 2 2 3 2 2 2 5 2 2 3" xfId="27142" xr:uid="{D276ABE0-B895-4C0A-A202-4CDA03690937}"/>
    <cellStyle name="Normal 4 2 2 3 2 2 2 5 2 3" xfId="13626" xr:uid="{6D8C311B-D9A0-4988-8675-532ECDB6DCBA}"/>
    <cellStyle name="Normal 4 2 2 3 2 2 2 5 2 3 2" xfId="32222" xr:uid="{3F98800B-717E-4B35-8AE5-BB6CE3B58F39}"/>
    <cellStyle name="Normal 4 2 2 3 2 2 2 5 2 4" xfId="22925" xr:uid="{975AB1C0-602A-46E2-8178-41FDB7934C87}"/>
    <cellStyle name="Normal 4 2 2 3 2 2 2 5 3" xfId="6372" xr:uid="{00000000-0005-0000-0000-000006120000}"/>
    <cellStyle name="Normal 4 2 2 3 2 2 2 5 3 2" xfId="15698" xr:uid="{088BE4D3-D13E-4563-ADF4-52A0B9E34491}"/>
    <cellStyle name="Normal 4 2 2 3 2 2 2 5 3 2 2" xfId="34294" xr:uid="{1242B7DA-467B-4D11-9786-413FBD929171}"/>
    <cellStyle name="Normal 4 2 2 3 2 2 2 5 3 3" xfId="24997" xr:uid="{5316E23A-19CC-4B6C-AEB4-402603B4F6CC}"/>
    <cellStyle name="Normal 4 2 2 3 2 2 2 5 4" xfId="11481" xr:uid="{E4E5B079-2834-4E2A-923A-6478275C10F4}"/>
    <cellStyle name="Normal 4 2 2 3 2 2 2 5 4 2" xfId="30077" xr:uid="{3F85CB48-15B9-44D4-B62E-7140E51AE684}"/>
    <cellStyle name="Normal 4 2 2 3 2 2 2 5 5" xfId="20780" xr:uid="{7A222978-C020-49B2-8CC3-4008C597CA9B}"/>
    <cellStyle name="Normal 4 2 2 3 2 2 2 6" xfId="2502" xr:uid="{00000000-0005-0000-0000-000007120000}"/>
    <cellStyle name="Normal 4 2 2 3 2 2 2 6 2" xfId="6785" xr:uid="{00000000-0005-0000-0000-000008120000}"/>
    <cellStyle name="Normal 4 2 2 3 2 2 2 6 2 2" xfId="16111" xr:uid="{684C00D6-DB9B-439C-9137-BB49A38163D5}"/>
    <cellStyle name="Normal 4 2 2 3 2 2 2 6 2 2 2" xfId="34707" xr:uid="{A51C3E11-E998-4954-807B-16458F80F26A}"/>
    <cellStyle name="Normal 4 2 2 3 2 2 2 6 2 3" xfId="25410" xr:uid="{10559F2A-EE42-488E-A3D1-0B1A7A0729F5}"/>
    <cellStyle name="Normal 4 2 2 3 2 2 2 6 3" xfId="11894" xr:uid="{6BE19707-21A3-4553-9DB4-5D62FFDF4955}"/>
    <cellStyle name="Normal 4 2 2 3 2 2 2 6 3 2" xfId="30490" xr:uid="{8E39D3AB-E015-4A3E-AFBF-82C1059AD153}"/>
    <cellStyle name="Normal 4 2 2 3 2 2 2 6 4" xfId="21193" xr:uid="{0641B90C-0124-4C4C-9761-B8E5C6B3F001}"/>
    <cellStyle name="Normal 4 2 2 3 2 2 2 7" xfId="4720" xr:uid="{00000000-0005-0000-0000-000009120000}"/>
    <cellStyle name="Normal 4 2 2 3 2 2 2 7 2" xfId="14046" xr:uid="{9EDF03DB-DC2B-41AC-AAD1-0B603B800A45}"/>
    <cellStyle name="Normal 4 2 2 3 2 2 2 7 2 2" xfId="32642" xr:uid="{9AC5FB43-B7F0-41D9-9970-9B9E8F0B5A13}"/>
    <cellStyle name="Normal 4 2 2 3 2 2 2 7 3" xfId="23345" xr:uid="{D1EBF78B-BF16-4854-B53B-B9886B5ED5ED}"/>
    <cellStyle name="Normal 4 2 2 3 2 2 2 8" xfId="9129" xr:uid="{970F8072-C8D6-4D17-95D6-EBF431EAD262}"/>
    <cellStyle name="Normal 4 2 2 3 2 2 2 8 2" xfId="18453" xr:uid="{19388992-21A5-4575-A5C4-752FBDC9838B}"/>
    <cellStyle name="Normal 4 2 2 3 2 2 2 8 2 2" xfId="37048" xr:uid="{2C098CF0-B77D-4F87-8EEE-2E5CC0795F7E}"/>
    <cellStyle name="Normal 4 2 2 3 2 2 2 8 3" xfId="27751" xr:uid="{3A4EBE4A-C9CC-487A-AB19-F7F476C8B973}"/>
    <cellStyle name="Normal 4 2 2 3 2 2 2 9" xfId="9829" xr:uid="{4443D416-44D2-4F92-B08D-C532821D080F}"/>
    <cellStyle name="Normal 4 2 2 3 2 2 2 9 2" xfId="28425" xr:uid="{2808C5E5-F946-4A9D-95CA-5138A0E31CD3}"/>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E5E42F0C-79B1-44E8-99EF-59413C4D6492}"/>
    <cellStyle name="Normal 4 2 2 3 2 2 3 2 2 2 2" xfId="35199" xr:uid="{6A711FB0-55B2-49A1-84C3-DE2B3DECB722}"/>
    <cellStyle name="Normal 4 2 2 3 2 2 3 2 2 3" xfId="25902" xr:uid="{72B69978-0313-4359-8769-0E5DA90DBA65}"/>
    <cellStyle name="Normal 4 2 2 3 2 2 3 2 3" xfId="12386" xr:uid="{0BDD4D5C-EC01-4219-9DE3-1614B1176D4E}"/>
    <cellStyle name="Normal 4 2 2 3 2 2 3 2 3 2" xfId="30982" xr:uid="{E2F8F730-FC69-490F-AADF-6182ED44B521}"/>
    <cellStyle name="Normal 4 2 2 3 2 2 3 2 4" xfId="21685" xr:uid="{3D406F6B-E337-4726-8F51-EFE728FB05E0}"/>
    <cellStyle name="Normal 4 2 2 3 2 2 3 3" xfId="5132" xr:uid="{00000000-0005-0000-0000-00000D120000}"/>
    <cellStyle name="Normal 4 2 2 3 2 2 3 3 2" xfId="14458" xr:uid="{C1EDA769-49E2-4F20-B32D-453DC5AC044F}"/>
    <cellStyle name="Normal 4 2 2 3 2 2 3 3 2 2" xfId="33054" xr:uid="{75BDB197-527C-4A46-8BC6-B918DFCE3C49}"/>
    <cellStyle name="Normal 4 2 2 3 2 2 3 3 3" xfId="23757" xr:uid="{6D4C9568-5CCF-47DD-9838-F5C41246F9D3}"/>
    <cellStyle name="Normal 4 2 2 3 2 2 3 4" xfId="9347" xr:uid="{8C9012CB-19BB-4242-9F43-373358B13B52}"/>
    <cellStyle name="Normal 4 2 2 3 2 2 3 4 2" xfId="18662" xr:uid="{7699F534-FED5-4EC5-BD1E-BC52903A673A}"/>
    <cellStyle name="Normal 4 2 2 3 2 2 3 4 2 2" xfId="37256" xr:uid="{2150E89B-EE27-4ED0-A5CA-16E300BAE3A8}"/>
    <cellStyle name="Normal 4 2 2 3 2 2 3 4 3" xfId="27959" xr:uid="{0215A830-8AB4-4C69-A46E-4E87AF0FA5F4}"/>
    <cellStyle name="Normal 4 2 2 3 2 2 3 5" xfId="10241" xr:uid="{CD3E7972-1EF1-4313-8ADC-B95D6B6F9409}"/>
    <cellStyle name="Normal 4 2 2 3 2 2 3 5 2" xfId="28837" xr:uid="{3CF727C7-CD9B-4AC8-B2BD-FB0528DA4BF2}"/>
    <cellStyle name="Normal 4 2 2 3 2 2 3 6" xfId="19540" xr:uid="{16C01834-1D37-405D-A716-B1181318C246}"/>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A9B3D6F7-C58D-4881-B624-2DAE5684B90F}"/>
    <cellStyle name="Normal 4 2 2 3 2 2 4 2 2 2 2" xfId="35612" xr:uid="{EEF13A94-1AFF-45F8-87E8-6578CA7E70BF}"/>
    <cellStyle name="Normal 4 2 2 3 2 2 4 2 2 3" xfId="26315" xr:uid="{E5CE4859-3546-499F-8164-25F822B25AE6}"/>
    <cellStyle name="Normal 4 2 2 3 2 2 4 2 3" xfId="12799" xr:uid="{EF48B8BC-ED17-49A9-B06F-3769E346E573}"/>
    <cellStyle name="Normal 4 2 2 3 2 2 4 2 3 2" xfId="31395" xr:uid="{EB2660C3-BF49-4EED-8FB1-4E029B305A73}"/>
    <cellStyle name="Normal 4 2 2 3 2 2 4 2 4" xfId="22098" xr:uid="{35BEDB97-8F73-4AE7-8989-548E42C5B642}"/>
    <cellStyle name="Normal 4 2 2 3 2 2 4 3" xfId="5545" xr:uid="{00000000-0005-0000-0000-000011120000}"/>
    <cellStyle name="Normal 4 2 2 3 2 2 4 3 2" xfId="14871" xr:uid="{EBACB53F-37ED-4DBC-AAF3-E68D68B51D02}"/>
    <cellStyle name="Normal 4 2 2 3 2 2 4 3 2 2" xfId="33467" xr:uid="{BE91A98A-26ED-4C6C-8F28-F4627867DA92}"/>
    <cellStyle name="Normal 4 2 2 3 2 2 4 3 3" xfId="24170" xr:uid="{6853F9FF-6C14-4202-B696-357F6D59D123}"/>
    <cellStyle name="Normal 4 2 2 3 2 2 4 4" xfId="10654" xr:uid="{4C50D37D-3DDB-4774-B75E-8E511B9BBA1E}"/>
    <cellStyle name="Normal 4 2 2 3 2 2 4 4 2" xfId="29250" xr:uid="{302FC65B-E461-4241-81F3-373409262919}"/>
    <cellStyle name="Normal 4 2 2 3 2 2 4 5" xfId="19953" xr:uid="{D1E5E47B-EDCC-4911-815B-90BDC5158966}"/>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85B88398-9BBD-414D-A315-869826780477}"/>
    <cellStyle name="Normal 4 2 2 3 2 2 5 2 2 2 2" xfId="36025" xr:uid="{A2FA0175-8D03-484E-9F19-C34D525B48E9}"/>
    <cellStyle name="Normal 4 2 2 3 2 2 5 2 2 3" xfId="26728" xr:uid="{4927EEA7-6205-424E-AB0B-5D03D0F407EE}"/>
    <cellStyle name="Normal 4 2 2 3 2 2 5 2 3" xfId="13212" xr:uid="{02C4D2F6-CB05-4F4A-8B96-79F96A6097C1}"/>
    <cellStyle name="Normal 4 2 2 3 2 2 5 2 3 2" xfId="31808" xr:uid="{1DE1BB00-062E-4775-B4E9-192C1341B61D}"/>
    <cellStyle name="Normal 4 2 2 3 2 2 5 2 4" xfId="22511" xr:uid="{B30780FC-6100-4CDC-9F1B-C23636DB1AE2}"/>
    <cellStyle name="Normal 4 2 2 3 2 2 5 3" xfId="5958" xr:uid="{00000000-0005-0000-0000-000015120000}"/>
    <cellStyle name="Normal 4 2 2 3 2 2 5 3 2" xfId="15284" xr:uid="{13DF2DBB-FB9A-4509-9FF5-F4ABF14BBA75}"/>
    <cellStyle name="Normal 4 2 2 3 2 2 5 3 2 2" xfId="33880" xr:uid="{8771D002-33E3-4489-B367-AD090A3E2876}"/>
    <cellStyle name="Normal 4 2 2 3 2 2 5 3 3" xfId="24583" xr:uid="{D8CA9B49-FD11-4204-87D5-DA06C269ECEA}"/>
    <cellStyle name="Normal 4 2 2 3 2 2 5 4" xfId="11067" xr:uid="{1EC49F6F-3345-449B-AE3B-F08011ED05F4}"/>
    <cellStyle name="Normal 4 2 2 3 2 2 5 4 2" xfId="29663" xr:uid="{B0DD6B14-2DFE-4BFC-B9FC-EC2DEF90344A}"/>
    <cellStyle name="Normal 4 2 2 3 2 2 5 5" xfId="20366" xr:uid="{77ADE995-37D5-4780-B740-D00781F7BEB8}"/>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61AC060F-224B-4284-A90A-C78259C3728A}"/>
    <cellStyle name="Normal 4 2 2 3 2 2 6 2 2 2 2" xfId="36438" xr:uid="{619BFFD3-F0CB-42FD-B9AC-0D5BD54E6EB5}"/>
    <cellStyle name="Normal 4 2 2 3 2 2 6 2 2 3" xfId="27141" xr:uid="{3881724B-818D-41D7-9699-5B163D268DAD}"/>
    <cellStyle name="Normal 4 2 2 3 2 2 6 2 3" xfId="13625" xr:uid="{339B5173-D739-4946-A543-256D610FDF92}"/>
    <cellStyle name="Normal 4 2 2 3 2 2 6 2 3 2" xfId="32221" xr:uid="{79F49352-AC8A-4960-A8CB-4BEC61FD31AE}"/>
    <cellStyle name="Normal 4 2 2 3 2 2 6 2 4" xfId="22924" xr:uid="{31BAF2D6-44BC-44E4-9BB7-9363233DFA95}"/>
    <cellStyle name="Normal 4 2 2 3 2 2 6 3" xfId="6371" xr:uid="{00000000-0005-0000-0000-000019120000}"/>
    <cellStyle name="Normal 4 2 2 3 2 2 6 3 2" xfId="15697" xr:uid="{08093621-A93E-41A6-B0A1-09999C74D49D}"/>
    <cellStyle name="Normal 4 2 2 3 2 2 6 3 2 2" xfId="34293" xr:uid="{0F388D9E-2F9D-44B5-A307-7296C49B483A}"/>
    <cellStyle name="Normal 4 2 2 3 2 2 6 3 3" xfId="24996" xr:uid="{CFD8158F-1B64-46DD-BD40-B25A0B232EB4}"/>
    <cellStyle name="Normal 4 2 2 3 2 2 6 4" xfId="11480" xr:uid="{8381DB59-62D4-498B-8116-BFC47346E160}"/>
    <cellStyle name="Normal 4 2 2 3 2 2 6 4 2" xfId="30076" xr:uid="{8CCB67A9-5E69-4CD9-832B-BADDBBF70969}"/>
    <cellStyle name="Normal 4 2 2 3 2 2 6 5" xfId="20779" xr:uid="{14495530-E7D5-4DF8-92AE-E17B3288788E}"/>
    <cellStyle name="Normal 4 2 2 3 2 2 7" xfId="2501" xr:uid="{00000000-0005-0000-0000-00001A120000}"/>
    <cellStyle name="Normal 4 2 2 3 2 2 7 2" xfId="6784" xr:uid="{00000000-0005-0000-0000-00001B120000}"/>
    <cellStyle name="Normal 4 2 2 3 2 2 7 2 2" xfId="16110" xr:uid="{B7868B65-A3CF-42D2-B27B-FA7EF36128D1}"/>
    <cellStyle name="Normal 4 2 2 3 2 2 7 2 2 2" xfId="34706" xr:uid="{E8882243-8993-4B06-B8EE-6A7D32AA38BB}"/>
    <cellStyle name="Normal 4 2 2 3 2 2 7 2 3" xfId="25409" xr:uid="{C8761738-4A8C-4DBF-9B39-87F5D3564135}"/>
    <cellStyle name="Normal 4 2 2 3 2 2 7 3" xfId="11893" xr:uid="{110D52D7-088D-4B4F-A9AF-BA51FA415C1F}"/>
    <cellStyle name="Normal 4 2 2 3 2 2 7 3 2" xfId="30489" xr:uid="{8A76D59B-DA0F-4ED2-848E-1D52DD418B54}"/>
    <cellStyle name="Normal 4 2 2 3 2 2 7 4" xfId="21192" xr:uid="{2C832F02-AEF9-4B76-AD9C-7C49B1E8B04D}"/>
    <cellStyle name="Normal 4 2 2 3 2 2 8" xfId="4719" xr:uid="{00000000-0005-0000-0000-00001C120000}"/>
    <cellStyle name="Normal 4 2 2 3 2 2 8 2" xfId="14045" xr:uid="{DA0C3CBB-93BD-48AA-988E-F07D4CDF70F3}"/>
    <cellStyle name="Normal 4 2 2 3 2 2 8 2 2" xfId="32641" xr:uid="{FF2F4FFF-5191-4164-A6F5-DD605608CDA6}"/>
    <cellStyle name="Normal 4 2 2 3 2 2 8 3" xfId="23344" xr:uid="{FFDE1E18-39FD-4237-8157-EFC6BD19C7B6}"/>
    <cellStyle name="Normal 4 2 2 3 2 2 9" xfId="8922" xr:uid="{32C9E21B-8C85-4874-B28C-82BF39BA84E2}"/>
    <cellStyle name="Normal 4 2 2 3 2 2 9 2" xfId="18246" xr:uid="{13C907B9-CC06-4AA9-A83B-213253666FEC}"/>
    <cellStyle name="Normal 4 2 2 3 2 2 9 2 2" xfId="36841" xr:uid="{7BB2F587-DAF9-4D69-80CE-5C0DBA0E3F42}"/>
    <cellStyle name="Normal 4 2 2 3 2 2 9 3" xfId="27544" xr:uid="{526446F6-E6DA-4616-B176-A441E52F168A}"/>
    <cellStyle name="Normal 4 2 2 3 2 3" xfId="343" xr:uid="{00000000-0005-0000-0000-00001D120000}"/>
    <cellStyle name="Normal 4 2 2 3 2 3 10" xfId="19129" xr:uid="{D4D2EA21-FBFD-4C94-AD2F-B43B0DBB748A}"/>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0F1B620F-D907-408E-8F37-D534E0F8FEE4}"/>
    <cellStyle name="Normal 4 2 2 3 2 3 2 2 2 2 2" xfId="35201" xr:uid="{425C31E2-A76C-4D4B-A3B2-8BE92DDA34DE}"/>
    <cellStyle name="Normal 4 2 2 3 2 3 2 2 2 3" xfId="25904" xr:uid="{83180348-A5BA-4931-B1F9-12EC57670878}"/>
    <cellStyle name="Normal 4 2 2 3 2 3 2 2 3" xfId="12388" xr:uid="{A5D9D4A1-CD67-4E59-85EF-23E4F6C46745}"/>
    <cellStyle name="Normal 4 2 2 3 2 3 2 2 3 2" xfId="30984" xr:uid="{0534E448-01D8-46F3-B5D7-E8CB63E81F55}"/>
    <cellStyle name="Normal 4 2 2 3 2 3 2 2 4" xfId="21687" xr:uid="{5E42D7CD-305F-48D3-BFDA-EB8098878A2E}"/>
    <cellStyle name="Normal 4 2 2 3 2 3 2 3" xfId="5134" xr:uid="{00000000-0005-0000-0000-000021120000}"/>
    <cellStyle name="Normal 4 2 2 3 2 3 2 3 2" xfId="14460" xr:uid="{0EF7405A-F8C7-4FA9-B770-237A69D013DD}"/>
    <cellStyle name="Normal 4 2 2 3 2 3 2 3 2 2" xfId="33056" xr:uid="{12ED24A4-BFBE-40AF-BD90-4B50E2ED18CA}"/>
    <cellStyle name="Normal 4 2 2 3 2 3 2 3 3" xfId="23759" xr:uid="{FB75E1F9-DEFE-4689-8F2D-E2276D7B6710}"/>
    <cellStyle name="Normal 4 2 2 3 2 3 2 4" xfId="9451" xr:uid="{85AA9164-95F1-48F2-907A-54AD445D074F}"/>
    <cellStyle name="Normal 4 2 2 3 2 3 2 4 2" xfId="18766" xr:uid="{A6BEC4C4-F459-421A-8945-0ACFE4C75DA7}"/>
    <cellStyle name="Normal 4 2 2 3 2 3 2 4 2 2" xfId="37360" xr:uid="{08FBD142-B6EA-4D88-A92A-171F59D71825}"/>
    <cellStyle name="Normal 4 2 2 3 2 3 2 4 3" xfId="28063" xr:uid="{EAFE07B6-2BC7-4B40-82DD-2CF24EF14B11}"/>
    <cellStyle name="Normal 4 2 2 3 2 3 2 5" xfId="10243" xr:uid="{42A86978-0C90-4D58-A61E-69949E39CB95}"/>
    <cellStyle name="Normal 4 2 2 3 2 3 2 5 2" xfId="28839" xr:uid="{71C661CA-3990-4087-BEAD-DEB4DAA80757}"/>
    <cellStyle name="Normal 4 2 2 3 2 3 2 6" xfId="19542" xr:uid="{AE30AC31-7C3E-4CAF-A4B3-39624752AB0E}"/>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62B2722B-3D1C-4905-B236-BF52E1A83B4A}"/>
    <cellStyle name="Normal 4 2 2 3 2 3 3 2 2 2 2" xfId="35614" xr:uid="{8E1B070C-5D5B-4100-ACD8-A98A50CFA7B9}"/>
    <cellStyle name="Normal 4 2 2 3 2 3 3 2 2 3" xfId="26317" xr:uid="{EF3B2E73-C717-464E-B60B-F9054736908E}"/>
    <cellStyle name="Normal 4 2 2 3 2 3 3 2 3" xfId="12801" xr:uid="{05F8B10D-A1B6-447D-BDD4-B751B65CBF8A}"/>
    <cellStyle name="Normal 4 2 2 3 2 3 3 2 3 2" xfId="31397" xr:uid="{9FD798BC-134E-4B0A-92F1-4879EDA6FFF5}"/>
    <cellStyle name="Normal 4 2 2 3 2 3 3 2 4" xfId="22100" xr:uid="{68D3E7EA-5A0E-40D4-90D4-82B1D3582DE4}"/>
    <cellStyle name="Normal 4 2 2 3 2 3 3 3" xfId="5547" xr:uid="{00000000-0005-0000-0000-000025120000}"/>
    <cellStyle name="Normal 4 2 2 3 2 3 3 3 2" xfId="14873" xr:uid="{44EE62B0-0FFF-4FB3-A0DD-896F49DFB2DD}"/>
    <cellStyle name="Normal 4 2 2 3 2 3 3 3 2 2" xfId="33469" xr:uid="{48C7D19E-F1C6-441F-B098-E2A34F8E1ED8}"/>
    <cellStyle name="Normal 4 2 2 3 2 3 3 3 3" xfId="24172" xr:uid="{8DD2F6BF-92AE-4F07-964F-240A3F91B42F}"/>
    <cellStyle name="Normal 4 2 2 3 2 3 3 4" xfId="10656" xr:uid="{D10DD8CA-CA66-4987-8329-1008704C4310}"/>
    <cellStyle name="Normal 4 2 2 3 2 3 3 4 2" xfId="29252" xr:uid="{DAF8B2BF-2FCE-4816-9DBB-292436695444}"/>
    <cellStyle name="Normal 4 2 2 3 2 3 3 5" xfId="19955" xr:uid="{7C934EA1-D267-463B-B8F1-66A5F42C9CFE}"/>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4FD1E882-7B5A-4318-86CD-8108A52F7318}"/>
    <cellStyle name="Normal 4 2 2 3 2 3 4 2 2 2 2" xfId="36027" xr:uid="{0F92128D-5141-42E2-91AB-2BA94399D628}"/>
    <cellStyle name="Normal 4 2 2 3 2 3 4 2 2 3" xfId="26730" xr:uid="{4A6EFE2A-7E01-4CBF-89B0-6C56976A1FC8}"/>
    <cellStyle name="Normal 4 2 2 3 2 3 4 2 3" xfId="13214" xr:uid="{5A501B93-4CE5-49FF-BBA2-D23F303DA325}"/>
    <cellStyle name="Normal 4 2 2 3 2 3 4 2 3 2" xfId="31810" xr:uid="{915F16CF-284F-4801-8076-69062635C9FD}"/>
    <cellStyle name="Normal 4 2 2 3 2 3 4 2 4" xfId="22513" xr:uid="{BB7F9886-A8BB-4B45-B07F-571080C9F1E5}"/>
    <cellStyle name="Normal 4 2 2 3 2 3 4 3" xfId="5960" xr:uid="{00000000-0005-0000-0000-000029120000}"/>
    <cellStyle name="Normal 4 2 2 3 2 3 4 3 2" xfId="15286" xr:uid="{616D3BBD-705B-475D-9ECE-518E185482B9}"/>
    <cellStyle name="Normal 4 2 2 3 2 3 4 3 2 2" xfId="33882" xr:uid="{EF2EBD93-8C4C-40DB-88FB-9B3438EC5E13}"/>
    <cellStyle name="Normal 4 2 2 3 2 3 4 3 3" xfId="24585" xr:uid="{0F2DEF9D-5E51-4686-A7AA-096E353D8335}"/>
    <cellStyle name="Normal 4 2 2 3 2 3 4 4" xfId="11069" xr:uid="{44AE761A-24D3-431E-A7C3-7EA3D8235D5E}"/>
    <cellStyle name="Normal 4 2 2 3 2 3 4 4 2" xfId="29665" xr:uid="{2F92EF21-C3DA-4DBD-A662-829AFF65FA30}"/>
    <cellStyle name="Normal 4 2 2 3 2 3 4 5" xfId="20368" xr:uid="{1EF28AD2-8D4A-4BBC-80F0-8425F6A9C795}"/>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EEDD0679-3CEE-4775-8221-C417DD3B8847}"/>
    <cellStyle name="Normal 4 2 2 3 2 3 5 2 2 2 2" xfId="36440" xr:uid="{65469B48-B409-40E6-A48C-EB08571D68C6}"/>
    <cellStyle name="Normal 4 2 2 3 2 3 5 2 2 3" xfId="27143" xr:uid="{DDFF53D7-468B-4A9A-A861-CB67B7DA736D}"/>
    <cellStyle name="Normal 4 2 2 3 2 3 5 2 3" xfId="13627" xr:uid="{6569DE1F-C359-46D6-BC92-90D4497F7D4A}"/>
    <cellStyle name="Normal 4 2 2 3 2 3 5 2 3 2" xfId="32223" xr:uid="{77C8EC30-E13F-441E-B395-E64ADE88E9B7}"/>
    <cellStyle name="Normal 4 2 2 3 2 3 5 2 4" xfId="22926" xr:uid="{4F581544-A8A6-4DCF-97DA-E785A4A068A4}"/>
    <cellStyle name="Normal 4 2 2 3 2 3 5 3" xfId="6373" xr:uid="{00000000-0005-0000-0000-00002D120000}"/>
    <cellStyle name="Normal 4 2 2 3 2 3 5 3 2" xfId="15699" xr:uid="{65CDD140-CF0B-4556-A132-AC40250E4C68}"/>
    <cellStyle name="Normal 4 2 2 3 2 3 5 3 2 2" xfId="34295" xr:uid="{3EF4FC2D-CF25-4F64-9A7C-FC016D0E9589}"/>
    <cellStyle name="Normal 4 2 2 3 2 3 5 3 3" xfId="24998" xr:uid="{14F9964E-4406-4091-93BA-C07F641005D3}"/>
    <cellStyle name="Normal 4 2 2 3 2 3 5 4" xfId="11482" xr:uid="{4082EAAB-EB88-4C92-AEEA-DB1138C9D2AA}"/>
    <cellStyle name="Normal 4 2 2 3 2 3 5 4 2" xfId="30078" xr:uid="{B4C57D3B-2883-4AEC-8172-1117BCDEF2A4}"/>
    <cellStyle name="Normal 4 2 2 3 2 3 5 5" xfId="20781" xr:uid="{52A0014C-A562-4398-9824-7CDBEF3452D2}"/>
    <cellStyle name="Normal 4 2 2 3 2 3 6" xfId="2503" xr:uid="{00000000-0005-0000-0000-00002E120000}"/>
    <cellStyle name="Normal 4 2 2 3 2 3 6 2" xfId="6786" xr:uid="{00000000-0005-0000-0000-00002F120000}"/>
    <cellStyle name="Normal 4 2 2 3 2 3 6 2 2" xfId="16112" xr:uid="{F8116201-F332-414F-A9A6-ED13BF3FF539}"/>
    <cellStyle name="Normal 4 2 2 3 2 3 6 2 2 2" xfId="34708" xr:uid="{D725763D-791A-43F3-9D9A-D74618AA17D3}"/>
    <cellStyle name="Normal 4 2 2 3 2 3 6 2 3" xfId="25411" xr:uid="{B8112A7B-6DFA-4E13-BBB9-403EA6F221AA}"/>
    <cellStyle name="Normal 4 2 2 3 2 3 6 3" xfId="11895" xr:uid="{D1B0B6BB-CAF3-40C0-B97E-CA1B638C7F80}"/>
    <cellStyle name="Normal 4 2 2 3 2 3 6 3 2" xfId="30491" xr:uid="{E2B380CD-B64E-4DBB-8589-5E3578B79E8E}"/>
    <cellStyle name="Normal 4 2 2 3 2 3 6 4" xfId="21194" xr:uid="{3533503D-79B3-40AB-B9DA-BA865C984C67}"/>
    <cellStyle name="Normal 4 2 2 3 2 3 7" xfId="4721" xr:uid="{00000000-0005-0000-0000-000030120000}"/>
    <cellStyle name="Normal 4 2 2 3 2 3 7 2" xfId="14047" xr:uid="{683A3608-2685-4865-A0D1-46B3CE95438D}"/>
    <cellStyle name="Normal 4 2 2 3 2 3 7 2 2" xfId="32643" xr:uid="{A776A752-DD4B-4A66-BF0F-CE488C568747}"/>
    <cellStyle name="Normal 4 2 2 3 2 3 7 3" xfId="23346" xr:uid="{0B250301-73D9-4375-B52A-7EF3C6CBCFC0}"/>
    <cellStyle name="Normal 4 2 2 3 2 3 8" xfId="9026" xr:uid="{319D63D3-F71C-4F99-9FD1-E3D0665567E8}"/>
    <cellStyle name="Normal 4 2 2 3 2 3 8 2" xfId="18350" xr:uid="{01AD7606-2C59-49D9-A33D-EB4C01CE4030}"/>
    <cellStyle name="Normal 4 2 2 3 2 3 8 2 2" xfId="36945" xr:uid="{34D7AF41-EA10-41CD-AD46-4F3A52AF3BBF}"/>
    <cellStyle name="Normal 4 2 2 3 2 3 8 3" xfId="27648" xr:uid="{708DD872-EDC7-48A5-B5C3-10CE25B29A55}"/>
    <cellStyle name="Normal 4 2 2 3 2 3 9" xfId="9830" xr:uid="{C465D1C9-6826-4916-B332-CA6A10633201}"/>
    <cellStyle name="Normal 4 2 2 3 2 3 9 2" xfId="28426" xr:uid="{4E1F461C-0EC9-423E-AAF5-436493B64F3A}"/>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9C38121B-6FA6-44BC-A37F-34135D434734}"/>
    <cellStyle name="Normal 4 2 2 3 2 4 2 2 2 2" xfId="35198" xr:uid="{1CEFB6B2-26E4-4EA3-A2F1-99029E68AE03}"/>
    <cellStyle name="Normal 4 2 2 3 2 4 2 2 3" xfId="25901" xr:uid="{580DFCDE-7A03-4C99-993B-64843BE7D72E}"/>
    <cellStyle name="Normal 4 2 2 3 2 4 2 3" xfId="12385" xr:uid="{E7871ED4-C6F9-4B75-BD3B-084EA88EF59D}"/>
    <cellStyle name="Normal 4 2 2 3 2 4 2 3 2" xfId="30981" xr:uid="{25FAF536-0B77-4704-8D50-B0D530208CB7}"/>
    <cellStyle name="Normal 4 2 2 3 2 4 2 4" xfId="21684" xr:uid="{B12596D7-CD1B-46B9-B7AF-260DDDBADCE2}"/>
    <cellStyle name="Normal 4 2 2 3 2 4 3" xfId="5131" xr:uid="{00000000-0005-0000-0000-000034120000}"/>
    <cellStyle name="Normal 4 2 2 3 2 4 3 2" xfId="14457" xr:uid="{6BBA51CE-C3C0-487F-A30A-41FAD5FAADAB}"/>
    <cellStyle name="Normal 4 2 2 3 2 4 3 2 2" xfId="33053" xr:uid="{CD522320-7C12-4DA9-81AB-C05C62296FE9}"/>
    <cellStyle name="Normal 4 2 2 3 2 4 3 3" xfId="23756" xr:uid="{D71E6AD4-FD30-4050-9E2F-364B5A2EEBD3}"/>
    <cellStyle name="Normal 4 2 2 3 2 4 4" xfId="9244" xr:uid="{98623F27-324A-40DE-AA2B-56E1FCE087EE}"/>
    <cellStyle name="Normal 4 2 2 3 2 4 4 2" xfId="18559" xr:uid="{0AEEC7C8-F6F5-4008-BC21-EA58EA1FF96B}"/>
    <cellStyle name="Normal 4 2 2 3 2 4 4 2 2" xfId="37153" xr:uid="{75AA87FB-CE1D-488A-82F9-D53DA49D1F69}"/>
    <cellStyle name="Normal 4 2 2 3 2 4 4 3" xfId="27856" xr:uid="{5571893F-3968-4D9A-B87A-16A38F95664C}"/>
    <cellStyle name="Normal 4 2 2 3 2 4 5" xfId="10240" xr:uid="{A3B60AB8-39A8-48CF-BAFE-52F767B92362}"/>
    <cellStyle name="Normal 4 2 2 3 2 4 5 2" xfId="28836" xr:uid="{6907A86F-6831-4A67-BD43-5D6774FCEF4C}"/>
    <cellStyle name="Normal 4 2 2 3 2 4 6" xfId="19539" xr:uid="{B49EAA0C-729D-428C-85C2-FB89FE8280A9}"/>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57F4E613-DEB2-453D-8987-8BA698FD97A2}"/>
    <cellStyle name="Normal 4 2 2 3 2 5 2 2 2 2" xfId="35611" xr:uid="{3FE68EB6-DD7C-4DC6-95B9-362F78436A76}"/>
    <cellStyle name="Normal 4 2 2 3 2 5 2 2 3" xfId="26314" xr:uid="{D46362AE-DB24-4E98-9A4A-CE3E33ED3B63}"/>
    <cellStyle name="Normal 4 2 2 3 2 5 2 3" xfId="12798" xr:uid="{FB4CD4B9-1DB1-479A-8160-A7FBD41AC288}"/>
    <cellStyle name="Normal 4 2 2 3 2 5 2 3 2" xfId="31394" xr:uid="{08CBB5EB-870F-47A6-8043-AAE350554DFA}"/>
    <cellStyle name="Normal 4 2 2 3 2 5 2 4" xfId="22097" xr:uid="{CFF6246C-A235-4C13-9688-7457BBD4C50C}"/>
    <cellStyle name="Normal 4 2 2 3 2 5 3" xfId="5544" xr:uid="{00000000-0005-0000-0000-000038120000}"/>
    <cellStyle name="Normal 4 2 2 3 2 5 3 2" xfId="14870" xr:uid="{235D9A57-68C1-4E53-B30F-ADE1E784A86C}"/>
    <cellStyle name="Normal 4 2 2 3 2 5 3 2 2" xfId="33466" xr:uid="{3598FB1D-B627-4B45-A37F-7DBF765B928F}"/>
    <cellStyle name="Normal 4 2 2 3 2 5 3 3" xfId="24169" xr:uid="{582A3B7E-0ECA-44E3-9EF7-75D30FB6B84E}"/>
    <cellStyle name="Normal 4 2 2 3 2 5 4" xfId="10653" xr:uid="{F50D46A2-37A0-4128-A9FA-8E72DC3BA18B}"/>
    <cellStyle name="Normal 4 2 2 3 2 5 4 2" xfId="29249" xr:uid="{42751BCE-067B-4A38-91C7-607F3653608E}"/>
    <cellStyle name="Normal 4 2 2 3 2 5 5" xfId="19952" xr:uid="{91338213-ACFB-4418-AA12-B0E309DAEAB9}"/>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ECBB1A03-19F1-4089-93B1-C3CB7E9267A5}"/>
    <cellStyle name="Normal 4 2 2 3 2 6 2 2 2 2" xfId="36024" xr:uid="{56859D81-FFA1-4018-AF69-6FFC3E09C813}"/>
    <cellStyle name="Normal 4 2 2 3 2 6 2 2 3" xfId="26727" xr:uid="{684CD260-AB75-4F9D-A16C-E723DC8C182C}"/>
    <cellStyle name="Normal 4 2 2 3 2 6 2 3" xfId="13211" xr:uid="{EF72061E-B730-466C-A622-3E6E781DB0C3}"/>
    <cellStyle name="Normal 4 2 2 3 2 6 2 3 2" xfId="31807" xr:uid="{50C4C54C-9B26-4CE3-AFDD-56E3CC32A47C}"/>
    <cellStyle name="Normal 4 2 2 3 2 6 2 4" xfId="22510" xr:uid="{6C5DD9A6-0A78-4CDD-B595-C95A47F35E12}"/>
    <cellStyle name="Normal 4 2 2 3 2 6 3" xfId="5957" xr:uid="{00000000-0005-0000-0000-00003C120000}"/>
    <cellStyle name="Normal 4 2 2 3 2 6 3 2" xfId="15283" xr:uid="{5AF82101-DE1F-42AF-B1A4-0970020870A5}"/>
    <cellStyle name="Normal 4 2 2 3 2 6 3 2 2" xfId="33879" xr:uid="{81EF6E52-4296-4185-A477-00C8268132AA}"/>
    <cellStyle name="Normal 4 2 2 3 2 6 3 3" xfId="24582" xr:uid="{B3D27465-62AC-4383-9668-34BF052D42C7}"/>
    <cellStyle name="Normal 4 2 2 3 2 6 4" xfId="11066" xr:uid="{DDCA5C53-FAA2-4D7A-ADC1-396DB6699C96}"/>
    <cellStyle name="Normal 4 2 2 3 2 6 4 2" xfId="29662" xr:uid="{8F073BE9-5A96-48F1-A42D-3A69955978D9}"/>
    <cellStyle name="Normal 4 2 2 3 2 6 5" xfId="20365" xr:uid="{6E59906A-8940-404D-AF75-ED604D5C07F6}"/>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74B0BF68-D1CF-48C8-9B6E-41A4026BE97A}"/>
    <cellStyle name="Normal 4 2 2 3 2 7 2 2 2 2" xfId="36437" xr:uid="{4BCE3773-342C-4A52-A275-EA37776C4DA7}"/>
    <cellStyle name="Normal 4 2 2 3 2 7 2 2 3" xfId="27140" xr:uid="{4175F415-22B5-473C-A8D7-D817AC105EF2}"/>
    <cellStyle name="Normal 4 2 2 3 2 7 2 3" xfId="13624" xr:uid="{7868465B-BC41-4CB5-ADEF-11EB07C4D6BE}"/>
    <cellStyle name="Normal 4 2 2 3 2 7 2 3 2" xfId="32220" xr:uid="{60F3631B-8F6B-4270-80B1-99311D912D0B}"/>
    <cellStyle name="Normal 4 2 2 3 2 7 2 4" xfId="22923" xr:uid="{D5B31238-BDDD-49DB-A803-6C5833F05EF3}"/>
    <cellStyle name="Normal 4 2 2 3 2 7 3" xfId="6370" xr:uid="{00000000-0005-0000-0000-000040120000}"/>
    <cellStyle name="Normal 4 2 2 3 2 7 3 2" xfId="15696" xr:uid="{F36ED957-D1D0-44B4-91E6-AE70C1B0398E}"/>
    <cellStyle name="Normal 4 2 2 3 2 7 3 2 2" xfId="34292" xr:uid="{4ED88743-A115-4A84-BC7D-3FA6B2B0E6A5}"/>
    <cellStyle name="Normal 4 2 2 3 2 7 3 3" xfId="24995" xr:uid="{61F8FAFE-20F1-4A19-B24F-BD91DC4D1AA6}"/>
    <cellStyle name="Normal 4 2 2 3 2 7 4" xfId="11479" xr:uid="{A3F79D2D-713D-465B-A2C8-6DFE34030A66}"/>
    <cellStyle name="Normal 4 2 2 3 2 7 4 2" xfId="30075" xr:uid="{51FB1684-3D27-4509-B8A3-4494C15DDA5D}"/>
    <cellStyle name="Normal 4 2 2 3 2 7 5" xfId="20778" xr:uid="{82120F5A-A3B1-43EB-B407-983DA74D513E}"/>
    <cellStyle name="Normal 4 2 2 3 2 8" xfId="2500" xr:uid="{00000000-0005-0000-0000-000041120000}"/>
    <cellStyle name="Normal 4 2 2 3 2 8 2" xfId="6783" xr:uid="{00000000-0005-0000-0000-000042120000}"/>
    <cellStyle name="Normal 4 2 2 3 2 8 2 2" xfId="16109" xr:uid="{5E419B91-9B3E-4909-BD68-D7E76FE61A10}"/>
    <cellStyle name="Normal 4 2 2 3 2 8 2 2 2" xfId="34705" xr:uid="{338280A7-8D6A-4E67-9F1F-274327C5549E}"/>
    <cellStyle name="Normal 4 2 2 3 2 8 2 3" xfId="25408" xr:uid="{8798478A-8777-463D-B37F-4D863AEAC7B9}"/>
    <cellStyle name="Normal 4 2 2 3 2 8 3" xfId="11892" xr:uid="{5D828BA8-C181-4FAC-8508-076E09784C82}"/>
    <cellStyle name="Normal 4 2 2 3 2 8 3 2" xfId="30488" xr:uid="{698B8B9B-86B3-467B-9BC9-179F19D22358}"/>
    <cellStyle name="Normal 4 2 2 3 2 8 4" xfId="21191" xr:uid="{874077B0-11D6-422A-88B2-737161C0BEF3}"/>
    <cellStyle name="Normal 4 2 2 3 2 9" xfId="4718" xr:uid="{00000000-0005-0000-0000-000043120000}"/>
    <cellStyle name="Normal 4 2 2 3 2 9 2" xfId="14044" xr:uid="{FBCD8266-1C2A-4D56-AAAB-EF71B088D0F4}"/>
    <cellStyle name="Normal 4 2 2 3 2 9 2 2" xfId="32640" xr:uid="{61A470EB-964C-4599-8504-7ADC223A875D}"/>
    <cellStyle name="Normal 4 2 2 3 2 9 3" xfId="23343" xr:uid="{44F66665-F748-4E0E-A239-33CAFCC1481B}"/>
    <cellStyle name="Normal 4 2 2 3 3" xfId="344" xr:uid="{00000000-0005-0000-0000-000044120000}"/>
    <cellStyle name="Normal 4 2 2 3 3 10" xfId="9831" xr:uid="{907EF86C-B699-4216-8ECE-D4BAED040DF5}"/>
    <cellStyle name="Normal 4 2 2 3 3 10 2" xfId="28427" xr:uid="{8EEF17E7-F3C6-4358-91A0-6E2ADC36983E}"/>
    <cellStyle name="Normal 4 2 2 3 3 11" xfId="19130" xr:uid="{4EE3A3B1-AFFA-4A2F-AB62-0BE11AB3D49E}"/>
    <cellStyle name="Normal 4 2 2 3 3 2" xfId="345" xr:uid="{00000000-0005-0000-0000-000045120000}"/>
    <cellStyle name="Normal 4 2 2 3 3 2 10" xfId="19131" xr:uid="{DA8485B9-9ACE-48C8-87C9-628E994072FB}"/>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C21E0648-E167-43AF-BC44-373283CA34C2}"/>
    <cellStyle name="Normal 4 2 2 3 3 2 2 2 2 2 2" xfId="35203" xr:uid="{3B76332F-879A-4D1F-906E-24DBA12B68D4}"/>
    <cellStyle name="Normal 4 2 2 3 3 2 2 2 2 3" xfId="25906" xr:uid="{0BF809E5-916B-4F55-BFB9-C2E3D163CE99}"/>
    <cellStyle name="Normal 4 2 2 3 3 2 2 2 3" xfId="12390" xr:uid="{70ACA9B4-9B55-453E-99FD-EA4C6D301BFD}"/>
    <cellStyle name="Normal 4 2 2 3 3 2 2 2 3 2" xfId="30986" xr:uid="{43250E93-7C36-4616-A0EC-B02E84C317DC}"/>
    <cellStyle name="Normal 4 2 2 3 3 2 2 2 4" xfId="21689" xr:uid="{E5FE8983-2421-443A-8E0B-7762AB70DBBA}"/>
    <cellStyle name="Normal 4 2 2 3 3 2 2 3" xfId="5136" xr:uid="{00000000-0005-0000-0000-000049120000}"/>
    <cellStyle name="Normal 4 2 2 3 3 2 2 3 2" xfId="14462" xr:uid="{7C75F67E-B375-4A8D-B304-37EFFB163F3D}"/>
    <cellStyle name="Normal 4 2 2 3 3 2 2 3 2 2" xfId="33058" xr:uid="{DA1ACE7B-138E-4F98-B04F-0115EFC768C1}"/>
    <cellStyle name="Normal 4 2 2 3 3 2 2 3 3" xfId="23761" xr:uid="{CB2D4D68-1E50-4398-9614-0F6FDBED4056}"/>
    <cellStyle name="Normal 4 2 2 3 3 2 2 4" xfId="9519" xr:uid="{FB4BBD6E-D73B-4ABD-8656-6C15D7932E02}"/>
    <cellStyle name="Normal 4 2 2 3 3 2 2 4 2" xfId="18834" xr:uid="{4601AAB9-C46C-4D00-882F-09EB00D1EEB9}"/>
    <cellStyle name="Normal 4 2 2 3 3 2 2 4 2 2" xfId="37428" xr:uid="{31B0E20C-F5C8-4EA4-8305-483C237D174B}"/>
    <cellStyle name="Normal 4 2 2 3 3 2 2 4 3" xfId="28131" xr:uid="{4D0F0676-41F5-4459-85D9-FBE7B18058DB}"/>
    <cellStyle name="Normal 4 2 2 3 3 2 2 5" xfId="10245" xr:uid="{0A02AE4F-9359-4F48-B74E-DAB7DD94A5FA}"/>
    <cellStyle name="Normal 4 2 2 3 3 2 2 5 2" xfId="28841" xr:uid="{068228B4-5CF5-4610-BB70-7DC2EB835B8D}"/>
    <cellStyle name="Normal 4 2 2 3 3 2 2 6" xfId="19544" xr:uid="{7320C883-BE9A-4B3B-A711-4406FDAC5F87}"/>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7893A29B-022E-4AFA-8C38-137D41C62BAF}"/>
    <cellStyle name="Normal 4 2 2 3 3 2 3 2 2 2 2" xfId="35616" xr:uid="{9300187F-98A0-4A6D-9A23-8C3663801711}"/>
    <cellStyle name="Normal 4 2 2 3 3 2 3 2 2 3" xfId="26319" xr:uid="{0E69F719-C89C-4D78-A13D-E2FF38AB1D2A}"/>
    <cellStyle name="Normal 4 2 2 3 3 2 3 2 3" xfId="12803" xr:uid="{29860F51-AE60-47A0-ADE5-7693FAC38E8C}"/>
    <cellStyle name="Normal 4 2 2 3 3 2 3 2 3 2" xfId="31399" xr:uid="{0A4831C5-9886-4581-A8E1-BB164D36AE85}"/>
    <cellStyle name="Normal 4 2 2 3 3 2 3 2 4" xfId="22102" xr:uid="{7EF05EEC-783B-4F94-8E4B-608728A70F4F}"/>
    <cellStyle name="Normal 4 2 2 3 3 2 3 3" xfId="5549" xr:uid="{00000000-0005-0000-0000-00004D120000}"/>
    <cellStyle name="Normal 4 2 2 3 3 2 3 3 2" xfId="14875" xr:uid="{EBBC4040-D4EB-4104-87B7-B3B3245C10B4}"/>
    <cellStyle name="Normal 4 2 2 3 3 2 3 3 2 2" xfId="33471" xr:uid="{E9E02DCA-FD41-4565-BC60-7795485942FC}"/>
    <cellStyle name="Normal 4 2 2 3 3 2 3 3 3" xfId="24174" xr:uid="{6741C1B4-756C-4AA3-BB13-CCEE6E5271B6}"/>
    <cellStyle name="Normal 4 2 2 3 3 2 3 4" xfId="10658" xr:uid="{D75AEEE0-CB2D-4BBC-BD9B-9F3E07E25A2B}"/>
    <cellStyle name="Normal 4 2 2 3 3 2 3 4 2" xfId="29254" xr:uid="{D2C96AEC-9905-4AA2-AAA8-BF6F0F56F1E5}"/>
    <cellStyle name="Normal 4 2 2 3 3 2 3 5" xfId="19957" xr:uid="{F1CA9CCA-4C70-4C38-8404-C64CAEFDD7D6}"/>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0CCBFC71-4D7D-4E89-8494-6C4328BFB708}"/>
    <cellStyle name="Normal 4 2 2 3 3 2 4 2 2 2 2" xfId="36029" xr:uid="{D31BCB27-A319-4941-8E9A-EFA5508E47A6}"/>
    <cellStyle name="Normal 4 2 2 3 3 2 4 2 2 3" xfId="26732" xr:uid="{3D3FE3CD-D4BE-4AA0-BB29-6D9545AEB2EC}"/>
    <cellStyle name="Normal 4 2 2 3 3 2 4 2 3" xfId="13216" xr:uid="{B86E3EBA-5954-417C-A651-4FD54BAC4985}"/>
    <cellStyle name="Normal 4 2 2 3 3 2 4 2 3 2" xfId="31812" xr:uid="{899986E1-EDCB-46E3-A1D6-9404FD180535}"/>
    <cellStyle name="Normal 4 2 2 3 3 2 4 2 4" xfId="22515" xr:uid="{ED851D31-4827-41B4-A95D-C366249F2C14}"/>
    <cellStyle name="Normal 4 2 2 3 3 2 4 3" xfId="5962" xr:uid="{00000000-0005-0000-0000-000051120000}"/>
    <cellStyle name="Normal 4 2 2 3 3 2 4 3 2" xfId="15288" xr:uid="{727D4004-5668-4E57-8CB8-7DEE2EE80EBB}"/>
    <cellStyle name="Normal 4 2 2 3 3 2 4 3 2 2" xfId="33884" xr:uid="{0E7A38F2-66FC-43E5-8FC7-EB87FE076334}"/>
    <cellStyle name="Normal 4 2 2 3 3 2 4 3 3" xfId="24587" xr:uid="{80F5AEE3-1526-4053-AB58-92F7E6FA6C49}"/>
    <cellStyle name="Normal 4 2 2 3 3 2 4 4" xfId="11071" xr:uid="{8FBF6701-6333-4900-871D-16C05FC21462}"/>
    <cellStyle name="Normal 4 2 2 3 3 2 4 4 2" xfId="29667" xr:uid="{B011BA5B-B0A9-44D2-9724-135D52BDDDEF}"/>
    <cellStyle name="Normal 4 2 2 3 3 2 4 5" xfId="20370" xr:uid="{4D6FF337-293F-4260-A954-B6459393E7B1}"/>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B7EF1F23-02B6-4731-9A89-ECA126BA2521}"/>
    <cellStyle name="Normal 4 2 2 3 3 2 5 2 2 2 2" xfId="36442" xr:uid="{64556D65-D250-41A1-9CD4-BF7CF1A26B51}"/>
    <cellStyle name="Normal 4 2 2 3 3 2 5 2 2 3" xfId="27145" xr:uid="{648CC1A4-BD60-4D64-BF41-E411B48F7C00}"/>
    <cellStyle name="Normal 4 2 2 3 3 2 5 2 3" xfId="13629" xr:uid="{688926C1-A007-4851-B36F-AED39683812B}"/>
    <cellStyle name="Normal 4 2 2 3 3 2 5 2 3 2" xfId="32225" xr:uid="{E2DF90C9-9764-4D10-B0A3-FB0CFB95A525}"/>
    <cellStyle name="Normal 4 2 2 3 3 2 5 2 4" xfId="22928" xr:uid="{02EA13F0-D920-46FD-B3B0-6314E2F23283}"/>
    <cellStyle name="Normal 4 2 2 3 3 2 5 3" xfId="6375" xr:uid="{00000000-0005-0000-0000-000055120000}"/>
    <cellStyle name="Normal 4 2 2 3 3 2 5 3 2" xfId="15701" xr:uid="{0BD7336B-6B3A-4444-9BB3-0F34460C1F52}"/>
    <cellStyle name="Normal 4 2 2 3 3 2 5 3 2 2" xfId="34297" xr:uid="{2C59E976-54F0-435B-ADEE-1E8F5BA0104B}"/>
    <cellStyle name="Normal 4 2 2 3 3 2 5 3 3" xfId="25000" xr:uid="{655D075E-7AB4-4E71-91A5-CEB2752C4895}"/>
    <cellStyle name="Normal 4 2 2 3 3 2 5 4" xfId="11484" xr:uid="{9F9ACCEE-8914-4439-A9C7-B912A802EB9A}"/>
    <cellStyle name="Normal 4 2 2 3 3 2 5 4 2" xfId="30080" xr:uid="{2F79E40E-1ECC-4B97-9F54-13EE48DC8B0C}"/>
    <cellStyle name="Normal 4 2 2 3 3 2 5 5" xfId="20783" xr:uid="{AFA4CEA0-F135-4ED4-9B0F-65C4C5EE8A8D}"/>
    <cellStyle name="Normal 4 2 2 3 3 2 6" xfId="2505" xr:uid="{00000000-0005-0000-0000-000056120000}"/>
    <cellStyle name="Normal 4 2 2 3 3 2 6 2" xfId="6788" xr:uid="{00000000-0005-0000-0000-000057120000}"/>
    <cellStyle name="Normal 4 2 2 3 3 2 6 2 2" xfId="16114" xr:uid="{5D8FCD7E-F9A6-4284-A528-65009DCD84AB}"/>
    <cellStyle name="Normal 4 2 2 3 3 2 6 2 2 2" xfId="34710" xr:uid="{356D6D52-8813-4814-8E26-1DF76E21C156}"/>
    <cellStyle name="Normal 4 2 2 3 3 2 6 2 3" xfId="25413" xr:uid="{7C5A5F77-5638-4CF5-A6FA-861EC967D305}"/>
    <cellStyle name="Normal 4 2 2 3 3 2 6 3" xfId="11897" xr:uid="{7B24596E-0B5D-4426-B1F3-F776E38DDA5B}"/>
    <cellStyle name="Normal 4 2 2 3 3 2 6 3 2" xfId="30493" xr:uid="{373564F7-5F17-4A1C-9C5F-F09A20E3513B}"/>
    <cellStyle name="Normal 4 2 2 3 3 2 6 4" xfId="21196" xr:uid="{CCE96357-8705-4B4A-9F91-3D6BD7C27C76}"/>
    <cellStyle name="Normal 4 2 2 3 3 2 7" xfId="4723" xr:uid="{00000000-0005-0000-0000-000058120000}"/>
    <cellStyle name="Normal 4 2 2 3 3 2 7 2" xfId="14049" xr:uid="{52D80C81-4A0B-4318-8B44-82138F6CAED5}"/>
    <cellStyle name="Normal 4 2 2 3 3 2 7 2 2" xfId="32645" xr:uid="{5FBD7EB2-7629-4B6C-9C4D-0E7F156F6902}"/>
    <cellStyle name="Normal 4 2 2 3 3 2 7 3" xfId="23348" xr:uid="{3CBE254C-B06A-44E6-8AD2-F1587D11561E}"/>
    <cellStyle name="Normal 4 2 2 3 3 2 8" xfId="9094" xr:uid="{1333D468-E252-4686-88C1-38A56B910A8E}"/>
    <cellStyle name="Normal 4 2 2 3 3 2 8 2" xfId="18418" xr:uid="{3806BACB-40E5-4864-AD6C-C90AB3079C63}"/>
    <cellStyle name="Normal 4 2 2 3 3 2 8 2 2" xfId="37013" xr:uid="{61828AA2-E955-4169-9DDB-74E667412002}"/>
    <cellStyle name="Normal 4 2 2 3 3 2 8 3" xfId="27716" xr:uid="{02695B6E-84F5-4F69-9182-219CE5EB7AF2}"/>
    <cellStyle name="Normal 4 2 2 3 3 2 9" xfId="9832" xr:uid="{0A317F1E-B149-4420-B73E-D66FAD719279}"/>
    <cellStyle name="Normal 4 2 2 3 3 2 9 2" xfId="28428" xr:uid="{060412C6-14AE-4C33-87E8-D269702E797C}"/>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8F0EDAE2-AF02-42A6-BAE1-1C76507897FA}"/>
    <cellStyle name="Normal 4 2 2 3 3 3 2 2 2 2" xfId="35202" xr:uid="{0312B9C0-95D2-456D-872A-8CD5CB94E570}"/>
    <cellStyle name="Normal 4 2 2 3 3 3 2 2 3" xfId="25905" xr:uid="{3C5D68A0-DDE2-4EEC-BAE3-C49829BEE36F}"/>
    <cellStyle name="Normal 4 2 2 3 3 3 2 3" xfId="12389" xr:uid="{3C03B65F-4FC8-4350-8B9F-C77CEC8F3AA5}"/>
    <cellStyle name="Normal 4 2 2 3 3 3 2 3 2" xfId="30985" xr:uid="{51F32A00-D1D2-48C0-98D5-D446395B8037}"/>
    <cellStyle name="Normal 4 2 2 3 3 3 2 4" xfId="21688" xr:uid="{A4486255-E59F-40ED-907A-4513C582A223}"/>
    <cellStyle name="Normal 4 2 2 3 3 3 3" xfId="5135" xr:uid="{00000000-0005-0000-0000-00005C120000}"/>
    <cellStyle name="Normal 4 2 2 3 3 3 3 2" xfId="14461" xr:uid="{28135FA2-B019-412D-9A91-E9326547C8DB}"/>
    <cellStyle name="Normal 4 2 2 3 3 3 3 2 2" xfId="33057" xr:uid="{55AA50DE-E8D2-46E2-B42C-6369548B3212}"/>
    <cellStyle name="Normal 4 2 2 3 3 3 3 3" xfId="23760" xr:uid="{A4E9938D-2A56-42C1-AEB6-5E5E9E727F92}"/>
    <cellStyle name="Normal 4 2 2 3 3 3 4" xfId="9312" xr:uid="{0065946C-778C-4913-8F8B-68BBB1A30769}"/>
    <cellStyle name="Normal 4 2 2 3 3 3 4 2" xfId="18627" xr:uid="{430BD401-558E-49B0-ADDD-1FCD6CC8A3B2}"/>
    <cellStyle name="Normal 4 2 2 3 3 3 4 2 2" xfId="37221" xr:uid="{8A0A058A-9A20-4ED0-8A9B-ED3C9F161313}"/>
    <cellStyle name="Normal 4 2 2 3 3 3 4 3" xfId="27924" xr:uid="{CBD20141-DCB7-45D8-AB07-D32754FFB520}"/>
    <cellStyle name="Normal 4 2 2 3 3 3 5" xfId="10244" xr:uid="{5A6F3142-E7E1-4650-9C2C-20BE99D314A4}"/>
    <cellStyle name="Normal 4 2 2 3 3 3 5 2" xfId="28840" xr:uid="{F35B292F-AF73-4FC1-BA39-AFCBBA87F20D}"/>
    <cellStyle name="Normal 4 2 2 3 3 3 6" xfId="19543" xr:uid="{C6B78F3A-FD26-439C-A56C-0B5F282F2D6A}"/>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27989B95-A6CD-4306-816C-C8E375F66D67}"/>
    <cellStyle name="Normal 4 2 2 3 3 4 2 2 2 2" xfId="35615" xr:uid="{AC85B6C1-7900-40AF-ACC9-1833BCF00778}"/>
    <cellStyle name="Normal 4 2 2 3 3 4 2 2 3" xfId="26318" xr:uid="{E378AB83-E978-41AE-B97C-596A3306FA81}"/>
    <cellStyle name="Normal 4 2 2 3 3 4 2 3" xfId="12802" xr:uid="{3175A88D-BD28-4CA5-9942-2F288FC9A996}"/>
    <cellStyle name="Normal 4 2 2 3 3 4 2 3 2" xfId="31398" xr:uid="{7EF682E6-7BCB-41C6-BE68-66F825EB6756}"/>
    <cellStyle name="Normal 4 2 2 3 3 4 2 4" xfId="22101" xr:uid="{B92AD427-3F79-4A0E-A2D2-60B2AE92F780}"/>
    <cellStyle name="Normal 4 2 2 3 3 4 3" xfId="5548" xr:uid="{00000000-0005-0000-0000-000060120000}"/>
    <cellStyle name="Normal 4 2 2 3 3 4 3 2" xfId="14874" xr:uid="{F91FB2A0-687F-4ED3-8DF2-FBFBC800C4C0}"/>
    <cellStyle name="Normal 4 2 2 3 3 4 3 2 2" xfId="33470" xr:uid="{4C62E067-1062-4624-9710-702321418B76}"/>
    <cellStyle name="Normal 4 2 2 3 3 4 3 3" xfId="24173" xr:uid="{E7B694F2-83BD-4DF6-8561-1AB4FFE991C5}"/>
    <cellStyle name="Normal 4 2 2 3 3 4 4" xfId="10657" xr:uid="{B81C524E-B85B-449B-AE41-CC22563B2AD3}"/>
    <cellStyle name="Normal 4 2 2 3 3 4 4 2" xfId="29253" xr:uid="{7C806A73-7E0F-45CB-9901-B687D8F3607F}"/>
    <cellStyle name="Normal 4 2 2 3 3 4 5" xfId="19956" xr:uid="{50EA9D85-6E81-4523-B7EE-C325BF8D8367}"/>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32DE2E5F-BF41-48A8-98A7-14BFBD3935B3}"/>
    <cellStyle name="Normal 4 2 2 3 3 5 2 2 2 2" xfId="36028" xr:uid="{64FE0EE9-17DF-4891-8AC0-68F7E9395417}"/>
    <cellStyle name="Normal 4 2 2 3 3 5 2 2 3" xfId="26731" xr:uid="{96D3B763-6FEE-4101-86E6-9306CC056C52}"/>
    <cellStyle name="Normal 4 2 2 3 3 5 2 3" xfId="13215" xr:uid="{97E1146E-601A-461C-A104-0B4FD69E096A}"/>
    <cellStyle name="Normal 4 2 2 3 3 5 2 3 2" xfId="31811" xr:uid="{2B68A36A-329E-408D-BAB5-B0DC103F5EA2}"/>
    <cellStyle name="Normal 4 2 2 3 3 5 2 4" xfId="22514" xr:uid="{48E3A123-8D81-4906-9A50-B775D3FC08B3}"/>
    <cellStyle name="Normal 4 2 2 3 3 5 3" xfId="5961" xr:uid="{00000000-0005-0000-0000-000064120000}"/>
    <cellStyle name="Normal 4 2 2 3 3 5 3 2" xfId="15287" xr:uid="{D242FE94-1F2B-4D47-A7FE-B9C3C6E3A69A}"/>
    <cellStyle name="Normal 4 2 2 3 3 5 3 2 2" xfId="33883" xr:uid="{98AA1904-51CD-47B8-90BD-4970E6B87F65}"/>
    <cellStyle name="Normal 4 2 2 3 3 5 3 3" xfId="24586" xr:uid="{BAC32406-9116-49DA-BF91-E6986C8DC393}"/>
    <cellStyle name="Normal 4 2 2 3 3 5 4" xfId="11070" xr:uid="{2C61B570-5D0C-4DB8-8A53-3C9565797B91}"/>
    <cellStyle name="Normal 4 2 2 3 3 5 4 2" xfId="29666" xr:uid="{E6879EBA-330D-453F-9282-2D7D6556031A}"/>
    <cellStyle name="Normal 4 2 2 3 3 5 5" xfId="20369" xr:uid="{88636E46-0428-4F70-850F-034445C1F36B}"/>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621F595D-B5F6-4AFB-8A07-1E851EBB4238}"/>
    <cellStyle name="Normal 4 2 2 3 3 6 2 2 2 2" xfId="36441" xr:uid="{1D929F32-5A40-4749-8038-DD5DA2F87968}"/>
    <cellStyle name="Normal 4 2 2 3 3 6 2 2 3" xfId="27144" xr:uid="{14CF9EA3-411E-4AA6-81AF-B624E226BBB9}"/>
    <cellStyle name="Normal 4 2 2 3 3 6 2 3" xfId="13628" xr:uid="{CFBFC1AB-759B-4AC7-B383-2707F83E39BE}"/>
    <cellStyle name="Normal 4 2 2 3 3 6 2 3 2" xfId="32224" xr:uid="{A25411BA-0470-432D-BA09-FAD83E57E9D1}"/>
    <cellStyle name="Normal 4 2 2 3 3 6 2 4" xfId="22927" xr:uid="{57CCFE8A-5201-4C74-A33C-34D9AA69AAF0}"/>
    <cellStyle name="Normal 4 2 2 3 3 6 3" xfId="6374" xr:uid="{00000000-0005-0000-0000-000068120000}"/>
    <cellStyle name="Normal 4 2 2 3 3 6 3 2" xfId="15700" xr:uid="{90CF6F12-A099-4E75-82B9-6D454CF7F095}"/>
    <cellStyle name="Normal 4 2 2 3 3 6 3 2 2" xfId="34296" xr:uid="{14622A0B-4B4F-4EC4-971E-BECA306B0C45}"/>
    <cellStyle name="Normal 4 2 2 3 3 6 3 3" xfId="24999" xr:uid="{389FB024-941D-4A8D-B72E-2CB3158ABAAC}"/>
    <cellStyle name="Normal 4 2 2 3 3 6 4" xfId="11483" xr:uid="{AECA9814-6A58-4671-983A-DDC0D79AD77D}"/>
    <cellStyle name="Normal 4 2 2 3 3 6 4 2" xfId="30079" xr:uid="{D9F74CC0-943C-4ED0-991B-CB796591B6D4}"/>
    <cellStyle name="Normal 4 2 2 3 3 6 5" xfId="20782" xr:uid="{FB11D751-F8AB-4BB6-B309-0B4506A87EC5}"/>
    <cellStyle name="Normal 4 2 2 3 3 7" xfId="2504" xr:uid="{00000000-0005-0000-0000-000069120000}"/>
    <cellStyle name="Normal 4 2 2 3 3 7 2" xfId="6787" xr:uid="{00000000-0005-0000-0000-00006A120000}"/>
    <cellStyle name="Normal 4 2 2 3 3 7 2 2" xfId="16113" xr:uid="{B3AEE7BC-24FE-4EF8-980B-CFF1BC564C42}"/>
    <cellStyle name="Normal 4 2 2 3 3 7 2 2 2" xfId="34709" xr:uid="{A97479B8-CFCB-418B-B3DF-A45C252346A8}"/>
    <cellStyle name="Normal 4 2 2 3 3 7 2 3" xfId="25412" xr:uid="{B181124D-E589-4D78-920E-17406394B841}"/>
    <cellStyle name="Normal 4 2 2 3 3 7 3" xfId="11896" xr:uid="{65FA363C-8AB6-4E07-A1A2-FB5ADF7E1D0B}"/>
    <cellStyle name="Normal 4 2 2 3 3 7 3 2" xfId="30492" xr:uid="{1A301B40-51DE-4882-ABCF-A23F533C81EF}"/>
    <cellStyle name="Normal 4 2 2 3 3 7 4" xfId="21195" xr:uid="{851D2B4B-443E-42B2-9D6C-447B6A03B71B}"/>
    <cellStyle name="Normal 4 2 2 3 3 8" xfId="4722" xr:uid="{00000000-0005-0000-0000-00006B120000}"/>
    <cellStyle name="Normal 4 2 2 3 3 8 2" xfId="14048" xr:uid="{F3B509EA-C4C6-4EE3-87EA-A2CC8410E3E7}"/>
    <cellStyle name="Normal 4 2 2 3 3 8 2 2" xfId="32644" xr:uid="{BDFE6651-5DEF-4272-BEBB-2ECAE036E722}"/>
    <cellStyle name="Normal 4 2 2 3 3 8 3" xfId="23347" xr:uid="{A5D7874B-97A4-4C22-B6F6-C26A17A2E4B0}"/>
    <cellStyle name="Normal 4 2 2 3 3 9" xfId="8887" xr:uid="{FD79599D-FD4F-44F4-A7A6-B948A2C15DD2}"/>
    <cellStyle name="Normal 4 2 2 3 3 9 2" xfId="18211" xr:uid="{E55CB5C0-4BE7-4B55-B475-AEF14F52BAB0}"/>
    <cellStyle name="Normal 4 2 2 3 3 9 2 2" xfId="36806" xr:uid="{86F75292-CD39-4834-B70B-007B83A476F1}"/>
    <cellStyle name="Normal 4 2 2 3 3 9 3" xfId="27509" xr:uid="{817C2C43-D804-478A-8CA5-20F7CB50E787}"/>
    <cellStyle name="Normal 4 2 2 3 4" xfId="346" xr:uid="{00000000-0005-0000-0000-00006C120000}"/>
    <cellStyle name="Normal 4 2 2 3 4 10" xfId="19132" xr:uid="{2BBE7DB1-68DB-4489-AC3C-0492BC8AD988}"/>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32128397-6B91-4BAB-BBB9-308FA754D173}"/>
    <cellStyle name="Normal 4 2 2 3 4 2 2 2 2 2" xfId="35204" xr:uid="{CCC847BF-D11D-404D-8949-BB61B3D8CFB1}"/>
    <cellStyle name="Normal 4 2 2 3 4 2 2 2 3" xfId="25907" xr:uid="{D14F5D11-7C96-40B1-A611-BC44EE73BF16}"/>
    <cellStyle name="Normal 4 2 2 3 4 2 2 3" xfId="12391" xr:uid="{6DB235E8-ED1B-425A-82AA-DC9D367A5186}"/>
    <cellStyle name="Normal 4 2 2 3 4 2 2 3 2" xfId="30987" xr:uid="{64A77682-AB29-458F-AF4F-9A6AB44737F1}"/>
    <cellStyle name="Normal 4 2 2 3 4 2 2 4" xfId="21690" xr:uid="{05CA1E7F-DEA4-42AA-BA35-0F6FE198458E}"/>
    <cellStyle name="Normal 4 2 2 3 4 2 3" xfId="5137" xr:uid="{00000000-0005-0000-0000-000070120000}"/>
    <cellStyle name="Normal 4 2 2 3 4 2 3 2" xfId="14463" xr:uid="{0F96DB3C-29C1-44C1-B42B-9CFAF16ED1F6}"/>
    <cellStyle name="Normal 4 2 2 3 4 2 3 2 2" xfId="33059" xr:uid="{A32FDCBD-0977-4ADE-9B46-06CCABBC9A5B}"/>
    <cellStyle name="Normal 4 2 2 3 4 2 3 3" xfId="23762" xr:uid="{E3EC2743-2B56-4B52-828B-1D02AE9FA25C}"/>
    <cellStyle name="Normal 4 2 2 3 4 2 4" xfId="9416" xr:uid="{B0F1A5CD-0EDE-48A7-9669-6902681F696C}"/>
    <cellStyle name="Normal 4 2 2 3 4 2 4 2" xfId="18731" xr:uid="{2489BB87-7266-4059-8AD7-6327AA712A53}"/>
    <cellStyle name="Normal 4 2 2 3 4 2 4 2 2" xfId="37325" xr:uid="{1C7F8DE6-1DE4-4F89-BD66-8BCD85E5B52A}"/>
    <cellStyle name="Normal 4 2 2 3 4 2 4 3" xfId="28028" xr:uid="{BC18741E-B10C-428C-B45A-D1F4667CB863}"/>
    <cellStyle name="Normal 4 2 2 3 4 2 5" xfId="10246" xr:uid="{23A2BE04-2795-4F80-9563-8F1688A1D24E}"/>
    <cellStyle name="Normal 4 2 2 3 4 2 5 2" xfId="28842" xr:uid="{EFA9DEEE-E147-4993-990A-6D8BEAC0B18C}"/>
    <cellStyle name="Normal 4 2 2 3 4 2 6" xfId="19545" xr:uid="{A3C7639A-EDDA-4CCD-B92D-3678988B18B3}"/>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F28933BA-A3DC-4D00-8AD2-F234E6543F5D}"/>
    <cellStyle name="Normal 4 2 2 3 4 3 2 2 2 2" xfId="35617" xr:uid="{7CDCA1A4-DD37-44BE-873C-26BEF373D7FB}"/>
    <cellStyle name="Normal 4 2 2 3 4 3 2 2 3" xfId="26320" xr:uid="{BC9A88BB-925D-4C1E-BF3F-DCC3773D72AA}"/>
    <cellStyle name="Normal 4 2 2 3 4 3 2 3" xfId="12804" xr:uid="{6B8D5CC8-2B80-437E-B912-0EF77FE75918}"/>
    <cellStyle name="Normal 4 2 2 3 4 3 2 3 2" xfId="31400" xr:uid="{A1ED4FBF-4997-4C65-86BB-3B8B05D19A31}"/>
    <cellStyle name="Normal 4 2 2 3 4 3 2 4" xfId="22103" xr:uid="{B338A7E1-4D5C-43B4-9261-F85B509B23D6}"/>
    <cellStyle name="Normal 4 2 2 3 4 3 3" xfId="5550" xr:uid="{00000000-0005-0000-0000-000074120000}"/>
    <cellStyle name="Normal 4 2 2 3 4 3 3 2" xfId="14876" xr:uid="{7E68B39D-3156-4697-87C5-9C0A64F48837}"/>
    <cellStyle name="Normal 4 2 2 3 4 3 3 2 2" xfId="33472" xr:uid="{9706FBDF-1268-4C44-B6D9-5B51FC024EAC}"/>
    <cellStyle name="Normal 4 2 2 3 4 3 3 3" xfId="24175" xr:uid="{D58F8646-D549-4BE1-A2F3-B3F2AA5C9AE3}"/>
    <cellStyle name="Normal 4 2 2 3 4 3 4" xfId="10659" xr:uid="{EEC1BC64-171E-4D60-9BD8-7FFB61B18E8A}"/>
    <cellStyle name="Normal 4 2 2 3 4 3 4 2" xfId="29255" xr:uid="{579AE082-C8FE-4874-AE0B-B8A4DD0C68A5}"/>
    <cellStyle name="Normal 4 2 2 3 4 3 5" xfId="19958" xr:uid="{8A40727A-488F-4B07-A3C4-EDE24D514F4A}"/>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424EA90E-4E03-458B-A658-3E667874D835}"/>
    <cellStyle name="Normal 4 2 2 3 4 4 2 2 2 2" xfId="36030" xr:uid="{8D2DB0F7-1A81-4CAD-BFD6-36D397FA233D}"/>
    <cellStyle name="Normal 4 2 2 3 4 4 2 2 3" xfId="26733" xr:uid="{70FC8E38-CCC4-4934-9988-067E8BF586DC}"/>
    <cellStyle name="Normal 4 2 2 3 4 4 2 3" xfId="13217" xr:uid="{6032C6A7-F928-4974-A3B4-4426EB816E47}"/>
    <cellStyle name="Normal 4 2 2 3 4 4 2 3 2" xfId="31813" xr:uid="{E7F3F828-FAF3-4BB0-B2F6-731CC82D7AEB}"/>
    <cellStyle name="Normal 4 2 2 3 4 4 2 4" xfId="22516" xr:uid="{125F8CD2-04D0-47D2-B18C-03A5865940C9}"/>
    <cellStyle name="Normal 4 2 2 3 4 4 3" xfId="5963" xr:uid="{00000000-0005-0000-0000-000078120000}"/>
    <cellStyle name="Normal 4 2 2 3 4 4 3 2" xfId="15289" xr:uid="{6531E04C-CFEA-48CC-8A93-BEFCD0765F94}"/>
    <cellStyle name="Normal 4 2 2 3 4 4 3 2 2" xfId="33885" xr:uid="{B1458A6A-BB37-47E4-A3B9-C6EF62021D9F}"/>
    <cellStyle name="Normal 4 2 2 3 4 4 3 3" xfId="24588" xr:uid="{4E851C0D-AD50-4FB4-BE47-0806A209D2D9}"/>
    <cellStyle name="Normal 4 2 2 3 4 4 4" xfId="11072" xr:uid="{9EE42862-160E-4513-A21D-0666ED70B0A5}"/>
    <cellStyle name="Normal 4 2 2 3 4 4 4 2" xfId="29668" xr:uid="{60AB2CAE-BC7E-4533-8914-F1FC78A2AB54}"/>
    <cellStyle name="Normal 4 2 2 3 4 4 5" xfId="20371" xr:uid="{4C3E3AE2-F933-40D8-B0E0-2FC26EF300BC}"/>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21270028-33B5-4E1F-AF58-13651C9A59B3}"/>
    <cellStyle name="Normal 4 2 2 3 4 5 2 2 2 2" xfId="36443" xr:uid="{2E1077C9-4EA9-4E2A-93B3-34D17F6DF2A6}"/>
    <cellStyle name="Normal 4 2 2 3 4 5 2 2 3" xfId="27146" xr:uid="{96A626AD-0156-4FD9-8FD4-D9BC73D2C591}"/>
    <cellStyle name="Normal 4 2 2 3 4 5 2 3" xfId="13630" xr:uid="{CF230FD6-E902-43B5-91A6-0FCF9D05855E}"/>
    <cellStyle name="Normal 4 2 2 3 4 5 2 3 2" xfId="32226" xr:uid="{62E51615-E8D1-4066-A9C4-ED2E4DFF56D5}"/>
    <cellStyle name="Normal 4 2 2 3 4 5 2 4" xfId="22929" xr:uid="{6EA91AC3-95AF-444E-86CA-57AA08BED14A}"/>
    <cellStyle name="Normal 4 2 2 3 4 5 3" xfId="6376" xr:uid="{00000000-0005-0000-0000-00007C120000}"/>
    <cellStyle name="Normal 4 2 2 3 4 5 3 2" xfId="15702" xr:uid="{4972E901-DE24-406F-93ED-1C18A31C5952}"/>
    <cellStyle name="Normal 4 2 2 3 4 5 3 2 2" xfId="34298" xr:uid="{9E194033-7CA8-4DD4-B5A7-B3D86A741C70}"/>
    <cellStyle name="Normal 4 2 2 3 4 5 3 3" xfId="25001" xr:uid="{DFF62170-4C55-464D-ADFF-E3F33BDB3A84}"/>
    <cellStyle name="Normal 4 2 2 3 4 5 4" xfId="11485" xr:uid="{C9520D69-FD4D-4A02-81B1-1A3B19DE0862}"/>
    <cellStyle name="Normal 4 2 2 3 4 5 4 2" xfId="30081" xr:uid="{D3CD8A39-89F7-4D95-9F3B-A9F01D426A8E}"/>
    <cellStyle name="Normal 4 2 2 3 4 5 5" xfId="20784" xr:uid="{71220507-6DD7-4AA6-84E1-53F71F9EB315}"/>
    <cellStyle name="Normal 4 2 2 3 4 6" xfId="2506" xr:uid="{00000000-0005-0000-0000-00007D120000}"/>
    <cellStyle name="Normal 4 2 2 3 4 6 2" xfId="6789" xr:uid="{00000000-0005-0000-0000-00007E120000}"/>
    <cellStyle name="Normal 4 2 2 3 4 6 2 2" xfId="16115" xr:uid="{2C62C671-64E1-4B78-BE32-EA742C53916B}"/>
    <cellStyle name="Normal 4 2 2 3 4 6 2 2 2" xfId="34711" xr:uid="{B2C20799-04D3-4F16-B18D-0A97870E98A5}"/>
    <cellStyle name="Normal 4 2 2 3 4 6 2 3" xfId="25414" xr:uid="{60BCD241-3275-41C2-BBA8-668662CD56C0}"/>
    <cellStyle name="Normal 4 2 2 3 4 6 3" xfId="11898" xr:uid="{88B2F3B8-FD2B-49D9-ABD7-A8C76A7D1048}"/>
    <cellStyle name="Normal 4 2 2 3 4 6 3 2" xfId="30494" xr:uid="{2958BAFE-89CB-4CD3-9C1C-7E0436C98535}"/>
    <cellStyle name="Normal 4 2 2 3 4 6 4" xfId="21197" xr:uid="{69890AB6-8525-46BC-8927-5A81140BB3AB}"/>
    <cellStyle name="Normal 4 2 2 3 4 7" xfId="4724" xr:uid="{00000000-0005-0000-0000-00007F120000}"/>
    <cellStyle name="Normal 4 2 2 3 4 7 2" xfId="14050" xr:uid="{737F8FC4-91DE-4280-8261-54B0676675B8}"/>
    <cellStyle name="Normal 4 2 2 3 4 7 2 2" xfId="32646" xr:uid="{DE564830-38B3-4DA6-9F7C-98927B7AA466}"/>
    <cellStyle name="Normal 4 2 2 3 4 7 3" xfId="23349" xr:uid="{45FA7B08-4639-487A-AAF2-313A79458772}"/>
    <cellStyle name="Normal 4 2 2 3 4 8" xfId="8991" xr:uid="{84464EC3-90C2-4B18-8399-135C935528F7}"/>
    <cellStyle name="Normal 4 2 2 3 4 8 2" xfId="18315" xr:uid="{9B13D33A-D102-4596-AA12-CF67246413AD}"/>
    <cellStyle name="Normal 4 2 2 3 4 8 2 2" xfId="36910" xr:uid="{07A1A7DE-43DB-475C-B15B-8E6CD2736368}"/>
    <cellStyle name="Normal 4 2 2 3 4 8 3" xfId="27613" xr:uid="{D2C83103-5323-4A97-93C8-EFB5E1B7A1E2}"/>
    <cellStyle name="Normal 4 2 2 3 4 9" xfId="9833" xr:uid="{3816149D-CB0A-47F7-8D36-F5D3FE19A3DC}"/>
    <cellStyle name="Normal 4 2 2 3 4 9 2" xfId="28429" xr:uid="{35705C2B-1523-41CF-9DA8-CC1F7BF6DB54}"/>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8EC05991-D8B4-4E57-B837-6B9A8DA19F7A}"/>
    <cellStyle name="Normal 4 2 2 3 5 2 2 2 2" xfId="35197" xr:uid="{E2758B92-BE11-491F-8E51-6A07E7753B46}"/>
    <cellStyle name="Normal 4 2 2 3 5 2 2 3" xfId="25900" xr:uid="{AC7E12EB-F044-4CB6-BB38-9B7350C172C8}"/>
    <cellStyle name="Normal 4 2 2 3 5 2 3" xfId="12384" xr:uid="{616C41FA-8934-46BF-B459-BE287CD59ECE}"/>
    <cellStyle name="Normal 4 2 2 3 5 2 3 2" xfId="30980" xr:uid="{67CD18DD-5AA5-4824-8461-6DF7891EDC88}"/>
    <cellStyle name="Normal 4 2 2 3 5 2 4" xfId="21683" xr:uid="{CCBF8B58-625B-49D2-805E-F36B5CE08780}"/>
    <cellStyle name="Normal 4 2 2 3 5 3" xfId="5130" xr:uid="{00000000-0005-0000-0000-000083120000}"/>
    <cellStyle name="Normal 4 2 2 3 5 3 2" xfId="14456" xr:uid="{6CD33984-E0C2-4A03-8804-5A3A9548397D}"/>
    <cellStyle name="Normal 4 2 2 3 5 3 2 2" xfId="33052" xr:uid="{87B32AD0-F446-4147-9B7C-93329A76BA5E}"/>
    <cellStyle name="Normal 4 2 2 3 5 3 3" xfId="23755" xr:uid="{C0B6A192-B9FA-4697-A991-9FE513C2CFAB}"/>
    <cellStyle name="Normal 4 2 2 3 5 4" xfId="9208" xr:uid="{7BF9CD11-B90D-42F2-928D-A8BE344C6F46}"/>
    <cellStyle name="Normal 4 2 2 3 5 4 2" xfId="18524" xr:uid="{04509CDB-0B8D-4ED5-A14F-53F8B0AC9C1C}"/>
    <cellStyle name="Normal 4 2 2 3 5 4 2 2" xfId="37118" xr:uid="{DFDEBA8B-D1C1-44C6-979B-A50CF83C105E}"/>
    <cellStyle name="Normal 4 2 2 3 5 4 3" xfId="27821" xr:uid="{2D6A806F-580C-446C-8860-55217B8E6D1A}"/>
    <cellStyle name="Normal 4 2 2 3 5 5" xfId="10239" xr:uid="{002A5FE7-870A-4801-87D3-5B38FD552E5C}"/>
    <cellStyle name="Normal 4 2 2 3 5 5 2" xfId="28835" xr:uid="{7D697774-AC74-4B98-8518-585A5F8838A6}"/>
    <cellStyle name="Normal 4 2 2 3 5 6" xfId="19538" xr:uid="{B94090A9-5CFA-46BF-9694-CB69BCA85ED8}"/>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8FB4EA23-D902-41C6-9DBB-FE2DAF91C2A1}"/>
    <cellStyle name="Normal 4 2 2 3 6 2 2 2 2" xfId="35610" xr:uid="{51272778-4F7A-4D3C-8672-EEEEC27A2B4A}"/>
    <cellStyle name="Normal 4 2 2 3 6 2 2 3" xfId="26313" xr:uid="{DA423FF2-717C-4531-9BF4-5C22BFF38463}"/>
    <cellStyle name="Normal 4 2 2 3 6 2 3" xfId="12797" xr:uid="{22E167ED-FE5C-41C5-9885-5981417E32EC}"/>
    <cellStyle name="Normal 4 2 2 3 6 2 3 2" xfId="31393" xr:uid="{9042FFA9-CC51-444C-B6BC-EAAC11C3BC34}"/>
    <cellStyle name="Normal 4 2 2 3 6 2 4" xfId="22096" xr:uid="{D3861B40-4FC6-4AB6-8B2B-BE95F41B02F5}"/>
    <cellStyle name="Normal 4 2 2 3 6 3" xfId="5543" xr:uid="{00000000-0005-0000-0000-000087120000}"/>
    <cellStyle name="Normal 4 2 2 3 6 3 2" xfId="14869" xr:uid="{1725C3D3-4628-4B92-8639-D140EB877581}"/>
    <cellStyle name="Normal 4 2 2 3 6 3 2 2" xfId="33465" xr:uid="{3474E1FE-0914-4347-88EF-E9D6E409FAC7}"/>
    <cellStyle name="Normal 4 2 2 3 6 3 3" xfId="24168" xr:uid="{72AB4894-6542-4E68-AB20-ED3B441C3E4C}"/>
    <cellStyle name="Normal 4 2 2 3 6 4" xfId="10652" xr:uid="{B7F0B0A5-ECA9-4B45-8B72-08C1F0A9871D}"/>
    <cellStyle name="Normal 4 2 2 3 6 4 2" xfId="29248" xr:uid="{8D49C8CB-4680-471C-B4D8-1A1E4505D35F}"/>
    <cellStyle name="Normal 4 2 2 3 6 5" xfId="19951" xr:uid="{849FE0F1-F9C9-4DF5-90E8-805E32AB8348}"/>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3FDA5757-73CB-4169-833F-6C293A564A2C}"/>
    <cellStyle name="Normal 4 2 2 3 7 2 2 2 2" xfId="36023" xr:uid="{83ED743F-7D06-4E7C-8272-9017EB7EAD14}"/>
    <cellStyle name="Normal 4 2 2 3 7 2 2 3" xfId="26726" xr:uid="{85A9B88B-3717-44DB-9839-7BB86772045C}"/>
    <cellStyle name="Normal 4 2 2 3 7 2 3" xfId="13210" xr:uid="{E9F7C233-B808-493B-AEA9-663B4086E4BF}"/>
    <cellStyle name="Normal 4 2 2 3 7 2 3 2" xfId="31806" xr:uid="{B35682F5-9745-4982-B6C4-C1AF4828042F}"/>
    <cellStyle name="Normal 4 2 2 3 7 2 4" xfId="22509" xr:uid="{DA5ACE82-E9B1-4795-A5C5-FA352451A331}"/>
    <cellStyle name="Normal 4 2 2 3 7 3" xfId="5956" xr:uid="{00000000-0005-0000-0000-00008B120000}"/>
    <cellStyle name="Normal 4 2 2 3 7 3 2" xfId="15282" xr:uid="{56CCE0F8-AC80-4D1D-8CF6-D5453311CFA8}"/>
    <cellStyle name="Normal 4 2 2 3 7 3 2 2" xfId="33878" xr:uid="{4C93A417-DC89-4A91-876F-D001B92310DC}"/>
    <cellStyle name="Normal 4 2 2 3 7 3 3" xfId="24581" xr:uid="{AA3C5D59-77F5-46AE-8209-DA2F033D3AD6}"/>
    <cellStyle name="Normal 4 2 2 3 7 4" xfId="11065" xr:uid="{EDED9BC8-616C-4ED3-A865-5A3022C0B66B}"/>
    <cellStyle name="Normal 4 2 2 3 7 4 2" xfId="29661" xr:uid="{6E36B3DA-FB9D-4370-A82D-59AEBE54CDAD}"/>
    <cellStyle name="Normal 4 2 2 3 7 5" xfId="20364" xr:uid="{6711F841-46E8-4EAF-AC9E-512C784C482C}"/>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6C97E12D-F889-4788-ABAA-DCA7D824D0AA}"/>
    <cellStyle name="Normal 4 2 2 3 8 2 2 2 2" xfId="36436" xr:uid="{9C35B1E9-FF9C-483E-BE8E-DD4B0A4E5C32}"/>
    <cellStyle name="Normal 4 2 2 3 8 2 2 3" xfId="27139" xr:uid="{99028E34-78D5-4C99-B957-D52AA126551F}"/>
    <cellStyle name="Normal 4 2 2 3 8 2 3" xfId="13623" xr:uid="{4E1860A2-29B5-4D97-93C5-99C83AE838A4}"/>
    <cellStyle name="Normal 4 2 2 3 8 2 3 2" xfId="32219" xr:uid="{72BC144E-AD46-4EED-BE17-DB228D4A2D37}"/>
    <cellStyle name="Normal 4 2 2 3 8 2 4" xfId="22922" xr:uid="{6F3FCE8B-E59F-4E1C-8E82-2EE12B931730}"/>
    <cellStyle name="Normal 4 2 2 3 8 3" xfId="6369" xr:uid="{00000000-0005-0000-0000-00008F120000}"/>
    <cellStyle name="Normal 4 2 2 3 8 3 2" xfId="15695" xr:uid="{9F7058B6-D15F-4EB3-92F3-0A1DAB6CF5D6}"/>
    <cellStyle name="Normal 4 2 2 3 8 3 2 2" xfId="34291" xr:uid="{65483EAC-40AA-428B-9137-DB5B9DE0BBEE}"/>
    <cellStyle name="Normal 4 2 2 3 8 3 3" xfId="24994" xr:uid="{8260C894-7526-42BF-B45D-A1D42126A341}"/>
    <cellStyle name="Normal 4 2 2 3 8 4" xfId="11478" xr:uid="{C8BAC2F3-30BC-405E-BF1C-014F29F80C34}"/>
    <cellStyle name="Normal 4 2 2 3 8 4 2" xfId="30074" xr:uid="{35CFD3B2-A368-4C88-956B-0CCE81457423}"/>
    <cellStyle name="Normal 4 2 2 3 8 5" xfId="20777" xr:uid="{E1BF54E7-2907-4B67-B7B9-124AEB8286FC}"/>
    <cellStyle name="Normal 4 2 2 3 9" xfId="2499" xr:uid="{00000000-0005-0000-0000-000090120000}"/>
    <cellStyle name="Normal 4 2 2 3 9 2" xfId="6782" xr:uid="{00000000-0005-0000-0000-000091120000}"/>
    <cellStyle name="Normal 4 2 2 3 9 2 2" xfId="16108" xr:uid="{5CA3290B-C492-4713-B441-61AE30979D2F}"/>
    <cellStyle name="Normal 4 2 2 3 9 2 2 2" xfId="34704" xr:uid="{6B6C0E7F-DA29-458D-A774-55022F5CF92F}"/>
    <cellStyle name="Normal 4 2 2 3 9 2 3" xfId="25407" xr:uid="{50E2681D-0508-4475-A182-BE6820FD97A8}"/>
    <cellStyle name="Normal 4 2 2 3 9 3" xfId="11891" xr:uid="{96709A1F-34E4-40A7-B984-FDFFF534DCBD}"/>
    <cellStyle name="Normal 4 2 2 3 9 3 2" xfId="30487" xr:uid="{0956DDCF-DC6A-421E-980D-E676AC027BB0}"/>
    <cellStyle name="Normal 4 2 2 3 9 4" xfId="21190" xr:uid="{9271DF98-55C5-4506-9605-1BA53A13F890}"/>
    <cellStyle name="Normal 4 2 2 4" xfId="347" xr:uid="{00000000-0005-0000-0000-000092120000}"/>
    <cellStyle name="Normal 4 2 2 4 10" xfId="8818" xr:uid="{A73977A7-52C6-4368-9F59-166E1B99BBDE}"/>
    <cellStyle name="Normal 4 2 2 4 10 2" xfId="18142" xr:uid="{26C6D302-A4A9-4757-AFA5-2C07729DF448}"/>
    <cellStyle name="Normal 4 2 2 4 10 2 2" xfId="36737" xr:uid="{15009693-01B9-47E0-B9BD-02BD5C3166E3}"/>
    <cellStyle name="Normal 4 2 2 4 10 3" xfId="27440" xr:uid="{54635183-B813-4866-BA07-FCB126289135}"/>
    <cellStyle name="Normal 4 2 2 4 11" xfId="9834" xr:uid="{C7054C1A-446D-4A42-BE32-BBE6DDF2FCF5}"/>
    <cellStyle name="Normal 4 2 2 4 11 2" xfId="28430" xr:uid="{183405B5-9EAB-44AD-A866-8B54BF3F84D4}"/>
    <cellStyle name="Normal 4 2 2 4 12" xfId="19133" xr:uid="{D08A8778-C417-4C79-A940-B423932436C0}"/>
    <cellStyle name="Normal 4 2 2 4 2" xfId="348" xr:uid="{00000000-0005-0000-0000-000093120000}"/>
    <cellStyle name="Normal 4 2 2 4 2 10" xfId="9835" xr:uid="{ADC21E54-9F3B-4BAB-92F5-A06281D38B33}"/>
    <cellStyle name="Normal 4 2 2 4 2 10 2" xfId="28431" xr:uid="{03C12FB7-4EBA-4858-B14C-C599A918ED57}"/>
    <cellStyle name="Normal 4 2 2 4 2 11" xfId="19134" xr:uid="{20D412D9-7819-4F97-AE0A-A18B2987FA1D}"/>
    <cellStyle name="Normal 4 2 2 4 2 2" xfId="349" xr:uid="{00000000-0005-0000-0000-000094120000}"/>
    <cellStyle name="Normal 4 2 2 4 2 2 10" xfId="19135" xr:uid="{959C96BE-AF9E-404E-916A-4B70D53B012E}"/>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0EBECD1F-A149-4058-97CB-F89DECC161C0}"/>
    <cellStyle name="Normal 4 2 2 4 2 2 2 2 2 2 2" xfId="35207" xr:uid="{CA558EFB-56DB-4DF6-B54B-706E84CFCECC}"/>
    <cellStyle name="Normal 4 2 2 4 2 2 2 2 2 3" xfId="25910" xr:uid="{AC4EEE23-4B60-4FA3-A840-877EF1410BBC}"/>
    <cellStyle name="Normal 4 2 2 4 2 2 2 2 3" xfId="12394" xr:uid="{1F442D1E-FCF8-4E6E-B29A-1E751CCDFB2A}"/>
    <cellStyle name="Normal 4 2 2 4 2 2 2 2 3 2" xfId="30990" xr:uid="{E6C27853-345F-4AC3-84DD-D0843A524119}"/>
    <cellStyle name="Normal 4 2 2 4 2 2 2 2 4" xfId="21693" xr:uid="{C027F6FA-174A-4D72-AACC-70BD8DC50DD7}"/>
    <cellStyle name="Normal 4 2 2 4 2 2 2 3" xfId="5140" xr:uid="{00000000-0005-0000-0000-000098120000}"/>
    <cellStyle name="Normal 4 2 2 4 2 2 2 3 2" xfId="14466" xr:uid="{9635F7A0-6CA3-4468-B89A-43C892228541}"/>
    <cellStyle name="Normal 4 2 2 4 2 2 2 3 2 2" xfId="33062" xr:uid="{3EDED434-FF0B-48B4-9009-67BC1AD0C544}"/>
    <cellStyle name="Normal 4 2 2 4 2 2 2 3 3" xfId="23765" xr:uid="{56ED729F-C7AD-4ED4-8A0A-2C350901E367}"/>
    <cellStyle name="Normal 4 2 2 4 2 2 2 4" xfId="9553" xr:uid="{7FCAF883-2374-4470-BA95-AD8EB054639C}"/>
    <cellStyle name="Normal 4 2 2 4 2 2 2 4 2" xfId="18868" xr:uid="{361707D9-86CD-4F98-8E31-A6738BCA22D0}"/>
    <cellStyle name="Normal 4 2 2 4 2 2 2 4 2 2" xfId="37462" xr:uid="{A2182B6A-E4E1-4214-9EE4-386B5A532763}"/>
    <cellStyle name="Normal 4 2 2 4 2 2 2 4 3" xfId="28165" xr:uid="{F7412B0A-78C9-4C74-87FD-7939E1921BA8}"/>
    <cellStyle name="Normal 4 2 2 4 2 2 2 5" xfId="10249" xr:uid="{2173978F-9405-46DE-B455-9145263BCB7E}"/>
    <cellStyle name="Normal 4 2 2 4 2 2 2 5 2" xfId="28845" xr:uid="{D8BB03E3-9EDA-4169-B064-44CF3B3BD42C}"/>
    <cellStyle name="Normal 4 2 2 4 2 2 2 6" xfId="19548" xr:uid="{374FF908-914C-43DA-A4DB-5FEBDB937142}"/>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21C8CBFA-2AEE-488D-B271-E1907CC5EC25}"/>
    <cellStyle name="Normal 4 2 2 4 2 2 3 2 2 2 2" xfId="35620" xr:uid="{D96F8106-74E1-4D93-9BDC-69E39C9D60A7}"/>
    <cellStyle name="Normal 4 2 2 4 2 2 3 2 2 3" xfId="26323" xr:uid="{F94542BF-50EE-41E4-AE48-F89E81994D44}"/>
    <cellStyle name="Normal 4 2 2 4 2 2 3 2 3" xfId="12807" xr:uid="{FFDF3651-DC5E-4A95-94CA-1AC3F20F0E93}"/>
    <cellStyle name="Normal 4 2 2 4 2 2 3 2 3 2" xfId="31403" xr:uid="{D9A4279D-0C56-4814-8B02-83E63409D26B}"/>
    <cellStyle name="Normal 4 2 2 4 2 2 3 2 4" xfId="22106" xr:uid="{6A0E3B35-BF17-4646-BCB1-411EC70FCE9C}"/>
    <cellStyle name="Normal 4 2 2 4 2 2 3 3" xfId="5553" xr:uid="{00000000-0005-0000-0000-00009C120000}"/>
    <cellStyle name="Normal 4 2 2 4 2 2 3 3 2" xfId="14879" xr:uid="{95C3AE73-9F85-4163-9C3F-5E59C8B8CCCD}"/>
    <cellStyle name="Normal 4 2 2 4 2 2 3 3 2 2" xfId="33475" xr:uid="{6581D0F4-2A75-4870-88DC-93C5993C64A9}"/>
    <cellStyle name="Normal 4 2 2 4 2 2 3 3 3" xfId="24178" xr:uid="{0BA4F0E6-6AE0-49EF-A348-673E034EB6C1}"/>
    <cellStyle name="Normal 4 2 2 4 2 2 3 4" xfId="10662" xr:uid="{D14F1CB6-22E4-4301-A84F-630840DF8087}"/>
    <cellStyle name="Normal 4 2 2 4 2 2 3 4 2" xfId="29258" xr:uid="{2599B958-9EF2-4C4F-9D67-EF3AB6FA1002}"/>
    <cellStyle name="Normal 4 2 2 4 2 2 3 5" xfId="19961" xr:uid="{5A349C5E-BD7E-433A-BB81-F17F8B64B291}"/>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11D9DFDC-18C6-4B33-8435-CDFD3BD4A577}"/>
    <cellStyle name="Normal 4 2 2 4 2 2 4 2 2 2 2" xfId="36033" xr:uid="{4190E7A3-9E7B-4411-9D1C-7CA06A47B69B}"/>
    <cellStyle name="Normal 4 2 2 4 2 2 4 2 2 3" xfId="26736" xr:uid="{9BD9C71C-E60D-470E-914A-F3264A2359D5}"/>
    <cellStyle name="Normal 4 2 2 4 2 2 4 2 3" xfId="13220" xr:uid="{BA6EF113-16C8-49A6-988C-F1AC3A5E8D41}"/>
    <cellStyle name="Normal 4 2 2 4 2 2 4 2 3 2" xfId="31816" xr:uid="{96CCDF48-6B61-4B1E-94B3-27AB0A737D42}"/>
    <cellStyle name="Normal 4 2 2 4 2 2 4 2 4" xfId="22519" xr:uid="{28EDB99D-496F-4E3F-839C-D99CE4E5FF70}"/>
    <cellStyle name="Normal 4 2 2 4 2 2 4 3" xfId="5966" xr:uid="{00000000-0005-0000-0000-0000A0120000}"/>
    <cellStyle name="Normal 4 2 2 4 2 2 4 3 2" xfId="15292" xr:uid="{6D0319B0-6B9B-455E-AD81-E937E71B64C4}"/>
    <cellStyle name="Normal 4 2 2 4 2 2 4 3 2 2" xfId="33888" xr:uid="{DFC63ECA-7CAB-498A-81D9-70C9EC3E5613}"/>
    <cellStyle name="Normal 4 2 2 4 2 2 4 3 3" xfId="24591" xr:uid="{0F7F53E6-3E0D-4B7F-A0E2-F45BF0C7B374}"/>
    <cellStyle name="Normal 4 2 2 4 2 2 4 4" xfId="11075" xr:uid="{B76C799E-F88D-4B5F-8400-AC3964E7E19C}"/>
    <cellStyle name="Normal 4 2 2 4 2 2 4 4 2" xfId="29671" xr:uid="{1EB66EB4-5A21-435E-9548-E94B78C3F2AF}"/>
    <cellStyle name="Normal 4 2 2 4 2 2 4 5" xfId="20374" xr:uid="{5403D92F-99EE-4042-8538-9304B372E17D}"/>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8DAF9089-E739-4739-BE3E-CB52DD70F708}"/>
    <cellStyle name="Normal 4 2 2 4 2 2 5 2 2 2 2" xfId="36446" xr:uid="{9F32EB09-5893-4B29-86FC-D10FC1D5E797}"/>
    <cellStyle name="Normal 4 2 2 4 2 2 5 2 2 3" xfId="27149" xr:uid="{64DCAD2B-871F-4CFE-8519-7A337D8D7D45}"/>
    <cellStyle name="Normal 4 2 2 4 2 2 5 2 3" xfId="13633" xr:uid="{83E4F4D3-DB12-4E05-ADFB-C70A9BED4C95}"/>
    <cellStyle name="Normal 4 2 2 4 2 2 5 2 3 2" xfId="32229" xr:uid="{C3D98308-8AB0-4736-942B-41B000B2DE7F}"/>
    <cellStyle name="Normal 4 2 2 4 2 2 5 2 4" xfId="22932" xr:uid="{9C04CF51-C9F4-49AE-95F0-329FD849154A}"/>
    <cellStyle name="Normal 4 2 2 4 2 2 5 3" xfId="6379" xr:uid="{00000000-0005-0000-0000-0000A4120000}"/>
    <cellStyle name="Normal 4 2 2 4 2 2 5 3 2" xfId="15705" xr:uid="{CB497C1D-AE57-4778-B40D-BBC7E03B9B0B}"/>
    <cellStyle name="Normal 4 2 2 4 2 2 5 3 2 2" xfId="34301" xr:uid="{346BCC95-CE31-4631-BC93-D9CBC48F8667}"/>
    <cellStyle name="Normal 4 2 2 4 2 2 5 3 3" xfId="25004" xr:uid="{8DD55F47-4899-4743-B1E2-06B441151583}"/>
    <cellStyle name="Normal 4 2 2 4 2 2 5 4" xfId="11488" xr:uid="{7E6CD3B8-FE1C-4282-9769-A62C66EB061A}"/>
    <cellStyle name="Normal 4 2 2 4 2 2 5 4 2" xfId="30084" xr:uid="{AD1DC5F2-46EC-49BD-9181-A84E3BA14915}"/>
    <cellStyle name="Normal 4 2 2 4 2 2 5 5" xfId="20787" xr:uid="{CB901FB5-BF29-491B-B1DC-88F517022FBD}"/>
    <cellStyle name="Normal 4 2 2 4 2 2 6" xfId="2509" xr:uid="{00000000-0005-0000-0000-0000A5120000}"/>
    <cellStyle name="Normal 4 2 2 4 2 2 6 2" xfId="6792" xr:uid="{00000000-0005-0000-0000-0000A6120000}"/>
    <cellStyle name="Normal 4 2 2 4 2 2 6 2 2" xfId="16118" xr:uid="{E52018D7-3C14-4B2C-BA43-877D33A3232C}"/>
    <cellStyle name="Normal 4 2 2 4 2 2 6 2 2 2" xfId="34714" xr:uid="{44C9C9AA-76E0-4272-BEA1-15AFF41BEF3B}"/>
    <cellStyle name="Normal 4 2 2 4 2 2 6 2 3" xfId="25417" xr:uid="{10B2BBD3-E50E-445B-B913-BB2743845011}"/>
    <cellStyle name="Normal 4 2 2 4 2 2 6 3" xfId="11901" xr:uid="{50DE5C47-29E7-457D-BFD9-2A039052FE3D}"/>
    <cellStyle name="Normal 4 2 2 4 2 2 6 3 2" xfId="30497" xr:uid="{C5577248-D143-4D39-810B-B2978BBA09B2}"/>
    <cellStyle name="Normal 4 2 2 4 2 2 6 4" xfId="21200" xr:uid="{7E596B04-08F9-403F-8580-913D926A224D}"/>
    <cellStyle name="Normal 4 2 2 4 2 2 7" xfId="4727" xr:uid="{00000000-0005-0000-0000-0000A7120000}"/>
    <cellStyle name="Normal 4 2 2 4 2 2 7 2" xfId="14053" xr:uid="{92203645-B5D7-4920-8C65-E8EA213C4DF5}"/>
    <cellStyle name="Normal 4 2 2 4 2 2 7 2 2" xfId="32649" xr:uid="{720BA22C-2C29-4153-9866-F775622A2757}"/>
    <cellStyle name="Normal 4 2 2 4 2 2 7 3" xfId="23352" xr:uid="{82BFF414-E791-43BF-A6F8-F266AADE76F7}"/>
    <cellStyle name="Normal 4 2 2 4 2 2 8" xfId="9128" xr:uid="{3D9AD2A4-E3D1-4BAF-8F43-BFB1FE8E222D}"/>
    <cellStyle name="Normal 4 2 2 4 2 2 8 2" xfId="18452" xr:uid="{B9C84881-68BC-46A8-839F-DB3ACFA7A40D}"/>
    <cellStyle name="Normal 4 2 2 4 2 2 8 2 2" xfId="37047" xr:uid="{D4C51654-70D4-406D-8B11-1EDFD18EEC77}"/>
    <cellStyle name="Normal 4 2 2 4 2 2 8 3" xfId="27750" xr:uid="{A5DC3E7F-1A23-4575-A5D5-7831188998A7}"/>
    <cellStyle name="Normal 4 2 2 4 2 2 9" xfId="9836" xr:uid="{AC42247E-7B5E-455C-8ECA-A0C44F4C5567}"/>
    <cellStyle name="Normal 4 2 2 4 2 2 9 2" xfId="28432" xr:uid="{87C1A8BD-5387-4A14-AD0A-AD3D493A977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0B040736-9508-46D1-A36B-AA6E3B167426}"/>
    <cellStyle name="Normal 4 2 2 4 2 3 2 2 2 2" xfId="35206" xr:uid="{2F92F3E7-E01C-4C50-BEC2-4CA634F88EE5}"/>
    <cellStyle name="Normal 4 2 2 4 2 3 2 2 3" xfId="25909" xr:uid="{ABD54F5E-47DE-43CD-8922-EDD15296E86F}"/>
    <cellStyle name="Normal 4 2 2 4 2 3 2 3" xfId="12393" xr:uid="{81616419-F57D-40C8-8BFD-63E96784A992}"/>
    <cellStyle name="Normal 4 2 2 4 2 3 2 3 2" xfId="30989" xr:uid="{83DA0C80-D391-4978-87E9-C63C9760AA2A}"/>
    <cellStyle name="Normal 4 2 2 4 2 3 2 4" xfId="21692" xr:uid="{B80D30D1-F499-43F7-BAB2-7F4BF0E59C1B}"/>
    <cellStyle name="Normal 4 2 2 4 2 3 3" xfId="5139" xr:uid="{00000000-0005-0000-0000-0000AB120000}"/>
    <cellStyle name="Normal 4 2 2 4 2 3 3 2" xfId="14465" xr:uid="{875C2F5F-08B2-4013-85C0-661DA8BDC418}"/>
    <cellStyle name="Normal 4 2 2 4 2 3 3 2 2" xfId="33061" xr:uid="{8DD675CE-0818-4F43-BB72-BE3B02EC2448}"/>
    <cellStyle name="Normal 4 2 2 4 2 3 3 3" xfId="23764" xr:uid="{C8721AEC-AD58-4232-A3CC-7292394CADA5}"/>
    <cellStyle name="Normal 4 2 2 4 2 3 4" xfId="9346" xr:uid="{11110DEC-01F5-467C-B0F9-3286FF7E57CB}"/>
    <cellStyle name="Normal 4 2 2 4 2 3 4 2" xfId="18661" xr:uid="{3F1EDBBD-05C7-44AB-B53F-A817D8B51A5C}"/>
    <cellStyle name="Normal 4 2 2 4 2 3 4 2 2" xfId="37255" xr:uid="{A17DFEB9-B28B-48C1-BC21-BCDEF90A864E}"/>
    <cellStyle name="Normal 4 2 2 4 2 3 4 3" xfId="27958" xr:uid="{35562967-B572-4942-A38F-383FDBF8F117}"/>
    <cellStyle name="Normal 4 2 2 4 2 3 5" xfId="10248" xr:uid="{E06DFC2F-7E1E-44A7-97EE-3257EFDFC197}"/>
    <cellStyle name="Normal 4 2 2 4 2 3 5 2" xfId="28844" xr:uid="{9C8E5D3C-4C61-4A3E-8A4E-69C620BEBE05}"/>
    <cellStyle name="Normal 4 2 2 4 2 3 6" xfId="19547" xr:uid="{DD3DFCF3-4172-4981-B72D-6C4325A7948C}"/>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25E3B36A-2EB9-408A-8C80-D6D667E6FE81}"/>
    <cellStyle name="Normal 4 2 2 4 2 4 2 2 2 2" xfId="35619" xr:uid="{747E44FD-E04B-492C-85AA-44E84D65FCAA}"/>
    <cellStyle name="Normal 4 2 2 4 2 4 2 2 3" xfId="26322" xr:uid="{7B74072B-5B4F-461D-939F-183F54AEF0A8}"/>
    <cellStyle name="Normal 4 2 2 4 2 4 2 3" xfId="12806" xr:uid="{6BDFAB0D-CEBF-4421-A9CE-F92B6B9E0058}"/>
    <cellStyle name="Normal 4 2 2 4 2 4 2 3 2" xfId="31402" xr:uid="{DA5D333A-B04A-49E4-B3DC-FC781F645AC2}"/>
    <cellStyle name="Normal 4 2 2 4 2 4 2 4" xfId="22105" xr:uid="{99CA2C7F-12BE-439D-A935-561337901203}"/>
    <cellStyle name="Normal 4 2 2 4 2 4 3" xfId="5552" xr:uid="{00000000-0005-0000-0000-0000AF120000}"/>
    <cellStyle name="Normal 4 2 2 4 2 4 3 2" xfId="14878" xr:uid="{C454A7C1-03FC-4B40-895C-88D79973AF27}"/>
    <cellStyle name="Normal 4 2 2 4 2 4 3 2 2" xfId="33474" xr:uid="{C35CEBDD-3987-4966-9535-D2088A9FB4EA}"/>
    <cellStyle name="Normal 4 2 2 4 2 4 3 3" xfId="24177" xr:uid="{56F2E495-A26D-4258-B358-5C52D52C2D39}"/>
    <cellStyle name="Normal 4 2 2 4 2 4 4" xfId="10661" xr:uid="{8450F8B9-A537-4C37-8885-AA706F537223}"/>
    <cellStyle name="Normal 4 2 2 4 2 4 4 2" xfId="29257" xr:uid="{F1D62E2B-3E98-4B2E-9665-B2DABA9F3B02}"/>
    <cellStyle name="Normal 4 2 2 4 2 4 5" xfId="19960" xr:uid="{2453AE12-B235-478B-915B-A2C74F9C2AE3}"/>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7AE4CB3E-51A9-4A76-AFB3-9BD3B46A5521}"/>
    <cellStyle name="Normal 4 2 2 4 2 5 2 2 2 2" xfId="36032" xr:uid="{63B2F0BF-E471-401E-B067-1F33297980BC}"/>
    <cellStyle name="Normal 4 2 2 4 2 5 2 2 3" xfId="26735" xr:uid="{33C437B0-306D-48DC-8709-5AD738E69CF9}"/>
    <cellStyle name="Normal 4 2 2 4 2 5 2 3" xfId="13219" xr:uid="{C52BE8F5-CE2A-45F8-8642-AE92C2894E22}"/>
    <cellStyle name="Normal 4 2 2 4 2 5 2 3 2" xfId="31815" xr:uid="{679E94A9-0EF9-46B0-A6D5-60B2094E1AC7}"/>
    <cellStyle name="Normal 4 2 2 4 2 5 2 4" xfId="22518" xr:uid="{67204787-0862-450A-9FAD-3BC673ADB35E}"/>
    <cellStyle name="Normal 4 2 2 4 2 5 3" xfId="5965" xr:uid="{00000000-0005-0000-0000-0000B3120000}"/>
    <cellStyle name="Normal 4 2 2 4 2 5 3 2" xfId="15291" xr:uid="{3ADC3CF1-0F80-4C64-B49F-625EF2BE53DF}"/>
    <cellStyle name="Normal 4 2 2 4 2 5 3 2 2" xfId="33887" xr:uid="{A1822A55-1312-4EED-A736-CBDF87B09804}"/>
    <cellStyle name="Normal 4 2 2 4 2 5 3 3" xfId="24590" xr:uid="{82B657C5-3725-4F6A-9814-4D750B9F08BE}"/>
    <cellStyle name="Normal 4 2 2 4 2 5 4" xfId="11074" xr:uid="{2D6D432B-9BEB-4CB2-AAB6-69F8A4694CA7}"/>
    <cellStyle name="Normal 4 2 2 4 2 5 4 2" xfId="29670" xr:uid="{584AE6CC-6A7F-4BC1-BF25-99C765D55665}"/>
    <cellStyle name="Normal 4 2 2 4 2 5 5" xfId="20373" xr:uid="{CD671D8F-A68C-4812-953A-2AB578154BBF}"/>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B76F9AB1-9085-49D8-B6C9-71FEA3EFEF14}"/>
    <cellStyle name="Normal 4 2 2 4 2 6 2 2 2 2" xfId="36445" xr:uid="{14A71FB9-9F7C-4D55-9479-907957BB0EB0}"/>
    <cellStyle name="Normal 4 2 2 4 2 6 2 2 3" xfId="27148" xr:uid="{5B295CB2-4B5D-4234-A30E-CC90B747772E}"/>
    <cellStyle name="Normal 4 2 2 4 2 6 2 3" xfId="13632" xr:uid="{BD0552E8-48C5-443A-B9D3-D6AD10245C18}"/>
    <cellStyle name="Normal 4 2 2 4 2 6 2 3 2" xfId="32228" xr:uid="{9D95D4DE-BA90-4FE8-9107-AFB6DBAB70F6}"/>
    <cellStyle name="Normal 4 2 2 4 2 6 2 4" xfId="22931" xr:uid="{132B0FC9-A81B-4EF6-BC81-06CBB638B470}"/>
    <cellStyle name="Normal 4 2 2 4 2 6 3" xfId="6378" xr:uid="{00000000-0005-0000-0000-0000B7120000}"/>
    <cellStyle name="Normal 4 2 2 4 2 6 3 2" xfId="15704" xr:uid="{B83377BA-8C09-49DE-88C2-64679899F454}"/>
    <cellStyle name="Normal 4 2 2 4 2 6 3 2 2" xfId="34300" xr:uid="{4F582707-6F36-48F5-9776-BFB8E014ED7D}"/>
    <cellStyle name="Normal 4 2 2 4 2 6 3 3" xfId="25003" xr:uid="{86D7334B-565D-441A-8A19-C67CD4BD25A3}"/>
    <cellStyle name="Normal 4 2 2 4 2 6 4" xfId="11487" xr:uid="{BBA878D7-64DB-4621-B2FD-F090510E675E}"/>
    <cellStyle name="Normal 4 2 2 4 2 6 4 2" xfId="30083" xr:uid="{8F389FD8-BA74-4647-8E4B-2AC6D4C839BA}"/>
    <cellStyle name="Normal 4 2 2 4 2 6 5" xfId="20786" xr:uid="{E769B036-A328-43F9-A6E9-147FCCAB8E58}"/>
    <cellStyle name="Normal 4 2 2 4 2 7" xfId="2508" xr:uid="{00000000-0005-0000-0000-0000B8120000}"/>
    <cellStyle name="Normal 4 2 2 4 2 7 2" xfId="6791" xr:uid="{00000000-0005-0000-0000-0000B9120000}"/>
    <cellStyle name="Normal 4 2 2 4 2 7 2 2" xfId="16117" xr:uid="{011B8580-1F35-444B-B095-2969D909A203}"/>
    <cellStyle name="Normal 4 2 2 4 2 7 2 2 2" xfId="34713" xr:uid="{D2D322A2-F1B5-4491-B0B2-54B715E0B59A}"/>
    <cellStyle name="Normal 4 2 2 4 2 7 2 3" xfId="25416" xr:uid="{2C864DFC-1D10-4B7D-A306-80BF433C2681}"/>
    <cellStyle name="Normal 4 2 2 4 2 7 3" xfId="11900" xr:uid="{05AC1AD7-A483-43C7-B185-8F1E00CFC83B}"/>
    <cellStyle name="Normal 4 2 2 4 2 7 3 2" xfId="30496" xr:uid="{6CFC3B6C-B2F4-42B0-A59F-B8A7A70302A4}"/>
    <cellStyle name="Normal 4 2 2 4 2 7 4" xfId="21199" xr:uid="{7EE0CE49-B402-4298-85E1-FACF41CDC936}"/>
    <cellStyle name="Normal 4 2 2 4 2 8" xfId="4726" xr:uid="{00000000-0005-0000-0000-0000BA120000}"/>
    <cellStyle name="Normal 4 2 2 4 2 8 2" xfId="14052" xr:uid="{F3542280-9796-4FDB-8473-0934AA1CEEDC}"/>
    <cellStyle name="Normal 4 2 2 4 2 8 2 2" xfId="32648" xr:uid="{F251A5E2-85C2-438F-A23E-44060A9ECCD2}"/>
    <cellStyle name="Normal 4 2 2 4 2 8 3" xfId="23351" xr:uid="{07C2F723-F696-4126-904B-444788C8A0E3}"/>
    <cellStyle name="Normal 4 2 2 4 2 9" xfId="8921" xr:uid="{43AA3CA1-A6D2-47CC-8276-CBFAB7238AA6}"/>
    <cellStyle name="Normal 4 2 2 4 2 9 2" xfId="18245" xr:uid="{3F9FA0AB-3B9D-41C4-B7EA-69078D1C4928}"/>
    <cellStyle name="Normal 4 2 2 4 2 9 2 2" xfId="36840" xr:uid="{23156A54-B854-47E5-A4F7-40F713A97505}"/>
    <cellStyle name="Normal 4 2 2 4 2 9 3" xfId="27543" xr:uid="{50210EF9-B388-4493-9B75-8BA2FB53F8CD}"/>
    <cellStyle name="Normal 4 2 2 4 3" xfId="350" xr:uid="{00000000-0005-0000-0000-0000BB120000}"/>
    <cellStyle name="Normal 4 2 2 4 3 10" xfId="19136" xr:uid="{E8738271-ED90-4BDF-9AB5-7836888EBF73}"/>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E53D26E3-EF5A-4C31-943B-593D9600AD44}"/>
    <cellStyle name="Normal 4 2 2 4 3 2 2 2 2 2" xfId="35208" xr:uid="{66661F0C-C6B9-4350-9EFF-5CD79C1D35CE}"/>
    <cellStyle name="Normal 4 2 2 4 3 2 2 2 3" xfId="25911" xr:uid="{EAAFE1AC-FB9B-478B-85E1-4C5D5F7A2D49}"/>
    <cellStyle name="Normal 4 2 2 4 3 2 2 3" xfId="12395" xr:uid="{BE96F049-BC8B-4956-A24D-4B1F386756CB}"/>
    <cellStyle name="Normal 4 2 2 4 3 2 2 3 2" xfId="30991" xr:uid="{03F4E9A6-1950-4B5D-A0D3-4C43810A2074}"/>
    <cellStyle name="Normal 4 2 2 4 3 2 2 4" xfId="21694" xr:uid="{6CCDB17C-0CB8-4746-902B-58F917BF7A5F}"/>
    <cellStyle name="Normal 4 2 2 4 3 2 3" xfId="5141" xr:uid="{00000000-0005-0000-0000-0000BF120000}"/>
    <cellStyle name="Normal 4 2 2 4 3 2 3 2" xfId="14467" xr:uid="{9DCB62BD-2EF7-4974-AF5D-440E168A543B}"/>
    <cellStyle name="Normal 4 2 2 4 3 2 3 2 2" xfId="33063" xr:uid="{238D594C-9292-413B-ADE0-E695CFF874D6}"/>
    <cellStyle name="Normal 4 2 2 4 3 2 3 3" xfId="23766" xr:uid="{14F41C45-3519-4C23-A1EC-4238DA90C033}"/>
    <cellStyle name="Normal 4 2 2 4 3 2 4" xfId="9450" xr:uid="{0F54578A-5DA3-4B6E-9E36-71CC7CD6BFE8}"/>
    <cellStyle name="Normal 4 2 2 4 3 2 4 2" xfId="18765" xr:uid="{AA671F7A-A4A7-42E1-AFDB-FEF9256E6B69}"/>
    <cellStyle name="Normal 4 2 2 4 3 2 4 2 2" xfId="37359" xr:uid="{9C9F3433-C270-4F08-9D6A-79E039E2EC7B}"/>
    <cellStyle name="Normal 4 2 2 4 3 2 4 3" xfId="28062" xr:uid="{E54D211F-93BF-4DB0-BC75-D8321BEC15C9}"/>
    <cellStyle name="Normal 4 2 2 4 3 2 5" xfId="10250" xr:uid="{AA2BDA2C-2738-4FE0-A1A7-9AC0F807F93A}"/>
    <cellStyle name="Normal 4 2 2 4 3 2 5 2" xfId="28846" xr:uid="{9DCEC9F3-FEA9-44D8-9124-E4E888CD4AFE}"/>
    <cellStyle name="Normal 4 2 2 4 3 2 6" xfId="19549" xr:uid="{59C0C7AF-114E-4213-8901-C8E084218AF7}"/>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15203FA1-4F71-4DAD-B1C5-6A056C86933E}"/>
    <cellStyle name="Normal 4 2 2 4 3 3 2 2 2 2" xfId="35621" xr:uid="{D44566D6-13B9-4FFA-9816-1731EBD39B13}"/>
    <cellStyle name="Normal 4 2 2 4 3 3 2 2 3" xfId="26324" xr:uid="{4889BAE0-9309-4827-87EA-794691AA8311}"/>
    <cellStyle name="Normal 4 2 2 4 3 3 2 3" xfId="12808" xr:uid="{ECA8247B-F76B-486B-826F-685493457933}"/>
    <cellStyle name="Normal 4 2 2 4 3 3 2 3 2" xfId="31404" xr:uid="{20A84F60-5941-48EA-8A4A-998BAA69D438}"/>
    <cellStyle name="Normal 4 2 2 4 3 3 2 4" xfId="22107" xr:uid="{1476B828-8AC4-446C-9378-043CF154B485}"/>
    <cellStyle name="Normal 4 2 2 4 3 3 3" xfId="5554" xr:uid="{00000000-0005-0000-0000-0000C3120000}"/>
    <cellStyle name="Normal 4 2 2 4 3 3 3 2" xfId="14880" xr:uid="{CA49C097-4C20-447E-AA5B-D6F0955DE672}"/>
    <cellStyle name="Normal 4 2 2 4 3 3 3 2 2" xfId="33476" xr:uid="{4A780240-E6C3-4690-B678-49984B997AA6}"/>
    <cellStyle name="Normal 4 2 2 4 3 3 3 3" xfId="24179" xr:uid="{80E8FFD4-4B69-436F-8F19-285FF33D0FDD}"/>
    <cellStyle name="Normal 4 2 2 4 3 3 4" xfId="10663" xr:uid="{54EE76DF-EE00-498B-86F4-06F36F452CC7}"/>
    <cellStyle name="Normal 4 2 2 4 3 3 4 2" xfId="29259" xr:uid="{A6FD2922-B3DE-440A-925B-3E66BAD3C7BF}"/>
    <cellStyle name="Normal 4 2 2 4 3 3 5" xfId="19962" xr:uid="{C6D762E5-B61C-48AC-81AB-A100018F4F1E}"/>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D3A1D758-250B-4295-AE1E-303D1789FFB5}"/>
    <cellStyle name="Normal 4 2 2 4 3 4 2 2 2 2" xfId="36034" xr:uid="{F08F1EEE-DDAF-4C47-A708-913BDA3B0C9B}"/>
    <cellStyle name="Normal 4 2 2 4 3 4 2 2 3" xfId="26737" xr:uid="{3233F58D-4486-420E-BDEB-1182221E3EAE}"/>
    <cellStyle name="Normal 4 2 2 4 3 4 2 3" xfId="13221" xr:uid="{2EB6C8CE-E5B0-4B42-9848-7AD0E795BC56}"/>
    <cellStyle name="Normal 4 2 2 4 3 4 2 3 2" xfId="31817" xr:uid="{9F61D950-1475-422C-9198-5F5399ECC544}"/>
    <cellStyle name="Normal 4 2 2 4 3 4 2 4" xfId="22520" xr:uid="{AF4B4C2F-D536-4E6A-A064-1D634500F42B}"/>
    <cellStyle name="Normal 4 2 2 4 3 4 3" xfId="5967" xr:uid="{00000000-0005-0000-0000-0000C7120000}"/>
    <cellStyle name="Normal 4 2 2 4 3 4 3 2" xfId="15293" xr:uid="{56768445-AC40-4908-99D2-0B434ABF330C}"/>
    <cellStyle name="Normal 4 2 2 4 3 4 3 2 2" xfId="33889" xr:uid="{47C1D2F1-B133-45C5-A44A-A62E4CF2F66C}"/>
    <cellStyle name="Normal 4 2 2 4 3 4 3 3" xfId="24592" xr:uid="{71FABACB-9E71-4E32-9A47-FE79A38F4724}"/>
    <cellStyle name="Normal 4 2 2 4 3 4 4" xfId="11076" xr:uid="{396BB805-CF7C-417C-BDF1-4E85A1E39317}"/>
    <cellStyle name="Normal 4 2 2 4 3 4 4 2" xfId="29672" xr:uid="{B776813B-98F4-4083-9B15-30968A7057D0}"/>
    <cellStyle name="Normal 4 2 2 4 3 4 5" xfId="20375" xr:uid="{F70F5967-D603-4B86-8CC9-D42228C17048}"/>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DBB163D0-4BC4-4335-8A42-D4C34C1A8574}"/>
    <cellStyle name="Normal 4 2 2 4 3 5 2 2 2 2" xfId="36447" xr:uid="{80139DE5-0520-4D59-8913-74AC9C15B359}"/>
    <cellStyle name="Normal 4 2 2 4 3 5 2 2 3" xfId="27150" xr:uid="{FC705103-0067-4204-B51E-8EFB3C1A971E}"/>
    <cellStyle name="Normal 4 2 2 4 3 5 2 3" xfId="13634" xr:uid="{1BB47132-C59F-4C3F-85BB-C7B5CF7C9AB0}"/>
    <cellStyle name="Normal 4 2 2 4 3 5 2 3 2" xfId="32230" xr:uid="{56900DA2-6A9A-4280-B655-E2B76BF23943}"/>
    <cellStyle name="Normal 4 2 2 4 3 5 2 4" xfId="22933" xr:uid="{8EAF8BC0-02EF-413C-83C2-335FBBBEE790}"/>
    <cellStyle name="Normal 4 2 2 4 3 5 3" xfId="6380" xr:uid="{00000000-0005-0000-0000-0000CB120000}"/>
    <cellStyle name="Normal 4 2 2 4 3 5 3 2" xfId="15706" xr:uid="{50D229EF-905B-46B4-99F4-B44FCDFE652F}"/>
    <cellStyle name="Normal 4 2 2 4 3 5 3 2 2" xfId="34302" xr:uid="{C3FC7CC1-0D1F-4C4C-9FEF-B57AA1A366DB}"/>
    <cellStyle name="Normal 4 2 2 4 3 5 3 3" xfId="25005" xr:uid="{21FE9C21-0F96-4621-BFE3-3AA06EB06BAF}"/>
    <cellStyle name="Normal 4 2 2 4 3 5 4" xfId="11489" xr:uid="{70EE6B33-1EA3-46A5-B460-FA7B3BBEEAA6}"/>
    <cellStyle name="Normal 4 2 2 4 3 5 4 2" xfId="30085" xr:uid="{832F75CB-E826-4083-8532-12C9C2C3A79B}"/>
    <cellStyle name="Normal 4 2 2 4 3 5 5" xfId="20788" xr:uid="{B96E856D-F128-40A8-BDA0-4BF1F7E6F24D}"/>
    <cellStyle name="Normal 4 2 2 4 3 6" xfId="2510" xr:uid="{00000000-0005-0000-0000-0000CC120000}"/>
    <cellStyle name="Normal 4 2 2 4 3 6 2" xfId="6793" xr:uid="{00000000-0005-0000-0000-0000CD120000}"/>
    <cellStyle name="Normal 4 2 2 4 3 6 2 2" xfId="16119" xr:uid="{C1FC96B0-7ACF-4413-8395-AF75AFA2F5DE}"/>
    <cellStyle name="Normal 4 2 2 4 3 6 2 2 2" xfId="34715" xr:uid="{6878A62E-93DB-4410-A53B-3F6A2C6CD6AD}"/>
    <cellStyle name="Normal 4 2 2 4 3 6 2 3" xfId="25418" xr:uid="{9418177B-5637-4F22-911D-FC7F9D85B4C0}"/>
    <cellStyle name="Normal 4 2 2 4 3 6 3" xfId="11902" xr:uid="{DFBB9D33-CE60-47C3-A764-F6C376417C14}"/>
    <cellStyle name="Normal 4 2 2 4 3 6 3 2" xfId="30498" xr:uid="{F07196C7-F57C-4ABF-805F-7E66F90AD4C2}"/>
    <cellStyle name="Normal 4 2 2 4 3 6 4" xfId="21201" xr:uid="{4872E5C6-F841-4842-AD07-5D7B34F4A182}"/>
    <cellStyle name="Normal 4 2 2 4 3 7" xfId="4728" xr:uid="{00000000-0005-0000-0000-0000CE120000}"/>
    <cellStyle name="Normal 4 2 2 4 3 7 2" xfId="14054" xr:uid="{5CC14C4B-0013-4B1B-89C6-EC44744E0D34}"/>
    <cellStyle name="Normal 4 2 2 4 3 7 2 2" xfId="32650" xr:uid="{104D3085-6AD8-4900-BB1B-116907A18493}"/>
    <cellStyle name="Normal 4 2 2 4 3 7 3" xfId="23353" xr:uid="{B203E5E6-F3CE-440B-9A1A-5C4593FB9B4A}"/>
    <cellStyle name="Normal 4 2 2 4 3 8" xfId="9025" xr:uid="{436CB353-A916-4AB2-B5E2-8C1BDAEA1182}"/>
    <cellStyle name="Normal 4 2 2 4 3 8 2" xfId="18349" xr:uid="{272385C2-1A91-40A8-B853-FF7F5BFEA692}"/>
    <cellStyle name="Normal 4 2 2 4 3 8 2 2" xfId="36944" xr:uid="{309144DF-25EF-4849-BFD6-4AA6BA2263B2}"/>
    <cellStyle name="Normal 4 2 2 4 3 8 3" xfId="27647" xr:uid="{9F6F9B59-06B2-4A90-ABD3-DDE351BEAA48}"/>
    <cellStyle name="Normal 4 2 2 4 3 9" xfId="9837" xr:uid="{2B86329E-8F8B-418A-AEB8-3EA2E5565816}"/>
    <cellStyle name="Normal 4 2 2 4 3 9 2" xfId="28433" xr:uid="{122AD811-392E-4ACC-A31E-A4FB881E47A7}"/>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53E0EC62-325A-4752-86D7-B0B76D04633D}"/>
    <cellStyle name="Normal 4 2 2 4 4 2 2 2 2" xfId="35205" xr:uid="{3F1A4F35-CE62-47B5-A0FB-35245F49C1CC}"/>
    <cellStyle name="Normal 4 2 2 4 4 2 2 3" xfId="25908" xr:uid="{5EFD501C-1C9E-46BE-A56D-240D3E5CB904}"/>
    <cellStyle name="Normal 4 2 2 4 4 2 3" xfId="12392" xr:uid="{411A2325-4C87-4E8D-B082-1E8304EB722B}"/>
    <cellStyle name="Normal 4 2 2 4 4 2 3 2" xfId="30988" xr:uid="{F90FC1BC-D718-4EB5-841E-36FF110390BD}"/>
    <cellStyle name="Normal 4 2 2 4 4 2 4" xfId="21691" xr:uid="{3D58C2B2-21EC-45E9-95C0-641BC3067A93}"/>
    <cellStyle name="Normal 4 2 2 4 4 3" xfId="5138" xr:uid="{00000000-0005-0000-0000-0000D2120000}"/>
    <cellStyle name="Normal 4 2 2 4 4 3 2" xfId="14464" xr:uid="{4B69660D-E434-4402-817B-6CA5BC80DF55}"/>
    <cellStyle name="Normal 4 2 2 4 4 3 2 2" xfId="33060" xr:uid="{F14DF94E-50E2-4424-934E-E3C3BF013388}"/>
    <cellStyle name="Normal 4 2 2 4 4 3 3" xfId="23763" xr:uid="{ECA82016-0255-42A8-A01E-C44D90E79A30}"/>
    <cellStyle name="Normal 4 2 2 4 4 4" xfId="9243" xr:uid="{FD46A281-F5BE-478B-950E-209D1D56FC0E}"/>
    <cellStyle name="Normal 4 2 2 4 4 4 2" xfId="18558" xr:uid="{04CFD420-2E6C-4429-AB8E-E6B06FD2D51B}"/>
    <cellStyle name="Normal 4 2 2 4 4 4 2 2" xfId="37152" xr:uid="{4EFA0E3A-9116-4002-9589-0FF13505D30D}"/>
    <cellStyle name="Normal 4 2 2 4 4 4 3" xfId="27855" xr:uid="{2F2D6BCA-B0DE-4110-9A7D-968B42D1F0CA}"/>
    <cellStyle name="Normal 4 2 2 4 4 5" xfId="10247" xr:uid="{3BC8B484-5A35-4D2F-8D77-85B2E8CE5558}"/>
    <cellStyle name="Normal 4 2 2 4 4 5 2" xfId="28843" xr:uid="{7631BC43-8C2E-44FC-A2F8-EDE1EF82120A}"/>
    <cellStyle name="Normal 4 2 2 4 4 6" xfId="19546" xr:uid="{1E19183F-B080-44A4-A66B-2D24525635C3}"/>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6D2CC014-6A3F-4316-B3FF-25E6696AF706}"/>
    <cellStyle name="Normal 4 2 2 4 5 2 2 2 2" xfId="35618" xr:uid="{18E6F48A-B408-43F6-AC98-6B7D4F43AEF9}"/>
    <cellStyle name="Normal 4 2 2 4 5 2 2 3" xfId="26321" xr:uid="{F48B9F95-984B-4A6C-887D-44A986CAC5AE}"/>
    <cellStyle name="Normal 4 2 2 4 5 2 3" xfId="12805" xr:uid="{01DED701-11C0-4C91-B728-75037C742F3A}"/>
    <cellStyle name="Normal 4 2 2 4 5 2 3 2" xfId="31401" xr:uid="{6AA40D80-BB82-4B21-999E-5A18E2DBD83C}"/>
    <cellStyle name="Normal 4 2 2 4 5 2 4" xfId="22104" xr:uid="{11E26A11-D164-41CD-A1E3-87A4EFE20002}"/>
    <cellStyle name="Normal 4 2 2 4 5 3" xfId="5551" xr:uid="{00000000-0005-0000-0000-0000D6120000}"/>
    <cellStyle name="Normal 4 2 2 4 5 3 2" xfId="14877" xr:uid="{9E3C40D3-667C-4C71-924F-046584264C01}"/>
    <cellStyle name="Normal 4 2 2 4 5 3 2 2" xfId="33473" xr:uid="{02B9EA3D-FF62-47F3-ACE5-4B1FA724CED3}"/>
    <cellStyle name="Normal 4 2 2 4 5 3 3" xfId="24176" xr:uid="{BEEEAB03-0943-4693-AF35-7266B39CE993}"/>
    <cellStyle name="Normal 4 2 2 4 5 4" xfId="10660" xr:uid="{8722776C-C7F8-49B9-B824-EA3675E09F18}"/>
    <cellStyle name="Normal 4 2 2 4 5 4 2" xfId="29256" xr:uid="{8DE68C8C-815C-49A3-B71E-42A3B872C353}"/>
    <cellStyle name="Normal 4 2 2 4 5 5" xfId="19959" xr:uid="{D38DCB61-76E0-405D-B2CB-86E00C29CB49}"/>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FA7B43FC-E98E-4D50-9A6E-A208D8D7AD2C}"/>
    <cellStyle name="Normal 4 2 2 4 6 2 2 2 2" xfId="36031" xr:uid="{5983B822-45E6-46B7-B886-3360BC06EB6F}"/>
    <cellStyle name="Normal 4 2 2 4 6 2 2 3" xfId="26734" xr:uid="{EC3AE52E-6E30-430D-9C36-B765AE3079AC}"/>
    <cellStyle name="Normal 4 2 2 4 6 2 3" xfId="13218" xr:uid="{5FD906C8-EC26-4601-8DF2-C0F5F761C8EF}"/>
    <cellStyle name="Normal 4 2 2 4 6 2 3 2" xfId="31814" xr:uid="{5A4945CD-D37F-4DD1-9AA5-9A894FA0A626}"/>
    <cellStyle name="Normal 4 2 2 4 6 2 4" xfId="22517" xr:uid="{7C1E4754-8740-47BB-B23A-17F17097B545}"/>
    <cellStyle name="Normal 4 2 2 4 6 3" xfId="5964" xr:uid="{00000000-0005-0000-0000-0000DA120000}"/>
    <cellStyle name="Normal 4 2 2 4 6 3 2" xfId="15290" xr:uid="{EA5B794B-0848-4E5E-B4DB-5937007C0693}"/>
    <cellStyle name="Normal 4 2 2 4 6 3 2 2" xfId="33886" xr:uid="{9AA5973B-E501-408A-A51C-4CF17F403F3F}"/>
    <cellStyle name="Normal 4 2 2 4 6 3 3" xfId="24589" xr:uid="{AF93DBED-75D5-44B9-A11A-A3D859C8D270}"/>
    <cellStyle name="Normal 4 2 2 4 6 4" xfId="11073" xr:uid="{4D847328-422F-4A9D-AE19-CF703CEC71B0}"/>
    <cellStyle name="Normal 4 2 2 4 6 4 2" xfId="29669" xr:uid="{C2C6E947-55B5-404F-821D-306B5661E5BE}"/>
    <cellStyle name="Normal 4 2 2 4 6 5" xfId="20372" xr:uid="{96D6B93C-4187-4519-86F2-B07BEF3CAE4B}"/>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160390AC-D00E-4FAA-A089-BF0F4A70ACA5}"/>
    <cellStyle name="Normal 4 2 2 4 7 2 2 2 2" xfId="36444" xr:uid="{46E638A2-0E74-484F-B0F0-BF2D356E3FE2}"/>
    <cellStyle name="Normal 4 2 2 4 7 2 2 3" xfId="27147" xr:uid="{9AD355EA-5F9B-4A81-BCC6-16A388164367}"/>
    <cellStyle name="Normal 4 2 2 4 7 2 3" xfId="13631" xr:uid="{73DED05B-AFD7-45A6-A177-DD7FFA971277}"/>
    <cellStyle name="Normal 4 2 2 4 7 2 3 2" xfId="32227" xr:uid="{323E900F-B405-4D71-A637-E37B4E37DBFD}"/>
    <cellStyle name="Normal 4 2 2 4 7 2 4" xfId="22930" xr:uid="{E77536AC-AEA6-44D4-9D61-24957FCBFDDA}"/>
    <cellStyle name="Normal 4 2 2 4 7 3" xfId="6377" xr:uid="{00000000-0005-0000-0000-0000DE120000}"/>
    <cellStyle name="Normal 4 2 2 4 7 3 2" xfId="15703" xr:uid="{C417613A-A893-4287-99CF-8A2E79AEB344}"/>
    <cellStyle name="Normal 4 2 2 4 7 3 2 2" xfId="34299" xr:uid="{4B95F28A-5539-4F69-9AB2-42CCC489A0ED}"/>
    <cellStyle name="Normal 4 2 2 4 7 3 3" xfId="25002" xr:uid="{EF9CE74C-D883-4AA3-A77F-9253D7E2EECC}"/>
    <cellStyle name="Normal 4 2 2 4 7 4" xfId="11486" xr:uid="{2B97BEDB-6EBB-4599-808D-274DE00BCD74}"/>
    <cellStyle name="Normal 4 2 2 4 7 4 2" xfId="30082" xr:uid="{DD803ABA-0545-4304-BF0B-25BADB8978B9}"/>
    <cellStyle name="Normal 4 2 2 4 7 5" xfId="20785" xr:uid="{1B1D4E52-0088-49C0-9941-0B6FBB98E9BC}"/>
    <cellStyle name="Normal 4 2 2 4 8" xfId="2507" xr:uid="{00000000-0005-0000-0000-0000DF120000}"/>
    <cellStyle name="Normal 4 2 2 4 8 2" xfId="6790" xr:uid="{00000000-0005-0000-0000-0000E0120000}"/>
    <cellStyle name="Normal 4 2 2 4 8 2 2" xfId="16116" xr:uid="{65F95EA8-3590-4BCD-BD2C-582B9160235B}"/>
    <cellStyle name="Normal 4 2 2 4 8 2 2 2" xfId="34712" xr:uid="{072C00C5-2EB3-417A-B891-C0D5F50AFCF0}"/>
    <cellStyle name="Normal 4 2 2 4 8 2 3" xfId="25415" xr:uid="{BD2902C9-F9C5-41D5-8C74-1DC9E11F243A}"/>
    <cellStyle name="Normal 4 2 2 4 8 3" xfId="11899" xr:uid="{6011B653-A49D-447A-B3CE-46CCC28E2E10}"/>
    <cellStyle name="Normal 4 2 2 4 8 3 2" xfId="30495" xr:uid="{847C1124-538E-4EEF-8DD9-208A70AA8BFE}"/>
    <cellStyle name="Normal 4 2 2 4 8 4" xfId="21198" xr:uid="{5097A8BE-A171-4895-BBAA-B524454D6718}"/>
    <cellStyle name="Normal 4 2 2 4 9" xfId="4725" xr:uid="{00000000-0005-0000-0000-0000E1120000}"/>
    <cellStyle name="Normal 4 2 2 4 9 2" xfId="14051" xr:uid="{C093A47E-F178-4EDF-ADE6-1EFE6EAC1741}"/>
    <cellStyle name="Normal 4 2 2 4 9 2 2" xfId="32647" xr:uid="{4933DEDE-3035-4ECA-A172-47171FF9FB8B}"/>
    <cellStyle name="Normal 4 2 2 4 9 3" xfId="23350" xr:uid="{F8EF9392-E3CD-4286-A8CF-DCC5CE5D501B}"/>
    <cellStyle name="Normal 4 2 2 5" xfId="351" xr:uid="{00000000-0005-0000-0000-0000E2120000}"/>
    <cellStyle name="Normal 4 2 2 5 10" xfId="9838" xr:uid="{366F65C4-760B-40D7-A560-9358E7C68DA5}"/>
    <cellStyle name="Normal 4 2 2 5 10 2" xfId="28434" xr:uid="{6A455701-723B-4071-BCD5-01797F2817DE}"/>
    <cellStyle name="Normal 4 2 2 5 11" xfId="19137" xr:uid="{8D9D863E-F2FA-448B-ADC0-853D0758A473}"/>
    <cellStyle name="Normal 4 2 2 5 2" xfId="352" xr:uid="{00000000-0005-0000-0000-0000E3120000}"/>
    <cellStyle name="Normal 4 2 2 5 2 10" xfId="19138" xr:uid="{4FEDE667-6E2B-4D34-AD1F-D8E3B4374163}"/>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0C7290B5-309C-4F41-BF95-4A4C05759783}"/>
    <cellStyle name="Normal 4 2 2 5 2 2 2 2 2 2" xfId="35210" xr:uid="{F541ADCC-AB23-4814-AA38-859FD6AE2B8E}"/>
    <cellStyle name="Normal 4 2 2 5 2 2 2 2 3" xfId="25913" xr:uid="{28217A00-0BA4-461F-B82B-92CAE28177BE}"/>
    <cellStyle name="Normal 4 2 2 5 2 2 2 3" xfId="12397" xr:uid="{E636BCB7-DCD5-49BA-B7D1-05B76ADA08DB}"/>
    <cellStyle name="Normal 4 2 2 5 2 2 2 3 2" xfId="30993" xr:uid="{BB5F3D98-C1D6-40CA-869E-DCD1742572F5}"/>
    <cellStyle name="Normal 4 2 2 5 2 2 2 4" xfId="21696" xr:uid="{08926A22-44E3-4BC1-9ADD-16EDB01FED9F}"/>
    <cellStyle name="Normal 4 2 2 5 2 2 3" xfId="5143" xr:uid="{00000000-0005-0000-0000-0000E7120000}"/>
    <cellStyle name="Normal 4 2 2 5 2 2 3 2" xfId="14469" xr:uid="{51923015-5BB4-476A-9597-371995B5F5CF}"/>
    <cellStyle name="Normal 4 2 2 5 2 2 3 2 2" xfId="33065" xr:uid="{FEC696ED-E0F3-4B53-A4A5-69DD2ADD00EB}"/>
    <cellStyle name="Normal 4 2 2 5 2 2 3 3" xfId="23768" xr:uid="{69000187-FEB9-4A0E-AAE0-7C27B4C2DC4F}"/>
    <cellStyle name="Normal 4 2 2 5 2 2 4" xfId="9487" xr:uid="{83D2756E-B983-4EA9-AB48-FF4D3E821CE4}"/>
    <cellStyle name="Normal 4 2 2 5 2 2 4 2" xfId="18802" xr:uid="{03A4182B-3BC3-470B-8051-7CAB36EFD39C}"/>
    <cellStyle name="Normal 4 2 2 5 2 2 4 2 2" xfId="37396" xr:uid="{C4A7B9C7-37A9-4A54-86C8-5B0D4A846016}"/>
    <cellStyle name="Normal 4 2 2 5 2 2 4 3" xfId="28099" xr:uid="{DFBD56C6-9271-4325-8CA7-B97E9670CF3C}"/>
    <cellStyle name="Normal 4 2 2 5 2 2 5" xfId="10252" xr:uid="{02258FA0-B2CF-48D7-A550-8C3E96D28AB2}"/>
    <cellStyle name="Normal 4 2 2 5 2 2 5 2" xfId="28848" xr:uid="{DE926512-70D2-44DA-8DEE-944BEA35AF62}"/>
    <cellStyle name="Normal 4 2 2 5 2 2 6" xfId="19551" xr:uid="{B736D12D-49D4-4D9C-8EEA-D3C7E02B92A2}"/>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77EF309E-55E8-4AA6-9CDE-325C22EF84A3}"/>
    <cellStyle name="Normal 4 2 2 5 2 3 2 2 2 2" xfId="35623" xr:uid="{750B19BC-B750-4A66-A6EE-99A932EE6B76}"/>
    <cellStyle name="Normal 4 2 2 5 2 3 2 2 3" xfId="26326" xr:uid="{E0D5D597-A831-41F2-ADDB-635A6ED50951}"/>
    <cellStyle name="Normal 4 2 2 5 2 3 2 3" xfId="12810" xr:uid="{90669D52-AC00-4840-98CD-F066897FCD1E}"/>
    <cellStyle name="Normal 4 2 2 5 2 3 2 3 2" xfId="31406" xr:uid="{4005BD5A-80BA-4A72-AAC4-E3DCAFC65762}"/>
    <cellStyle name="Normal 4 2 2 5 2 3 2 4" xfId="22109" xr:uid="{796F4380-AD05-4825-8891-0CF88612AD6A}"/>
    <cellStyle name="Normal 4 2 2 5 2 3 3" xfId="5556" xr:uid="{00000000-0005-0000-0000-0000EB120000}"/>
    <cellStyle name="Normal 4 2 2 5 2 3 3 2" xfId="14882" xr:uid="{290CF282-F32A-434D-8232-4848D144DBDE}"/>
    <cellStyle name="Normal 4 2 2 5 2 3 3 2 2" xfId="33478" xr:uid="{4A49F283-933B-4B80-8187-6FE09FC6FEEA}"/>
    <cellStyle name="Normal 4 2 2 5 2 3 3 3" xfId="24181" xr:uid="{FFDF0F53-1267-4363-9EF0-BB14AF177F7E}"/>
    <cellStyle name="Normal 4 2 2 5 2 3 4" xfId="10665" xr:uid="{F727E32F-9F85-4AD3-8E50-61C7FEB442CA}"/>
    <cellStyle name="Normal 4 2 2 5 2 3 4 2" xfId="29261" xr:uid="{97A5A6A4-07B2-4972-B3FC-3512103CE7E9}"/>
    <cellStyle name="Normal 4 2 2 5 2 3 5" xfId="19964" xr:uid="{F9844C07-7864-4003-87BE-D1DF14BF1584}"/>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6BA196E6-FFD8-4103-81AE-2B7D5F668ABF}"/>
    <cellStyle name="Normal 4 2 2 5 2 4 2 2 2 2" xfId="36036" xr:uid="{7E83E64B-31A8-42F7-8827-D9A5C1F4F489}"/>
    <cellStyle name="Normal 4 2 2 5 2 4 2 2 3" xfId="26739" xr:uid="{035CDFE8-D797-405C-AB61-429246B33208}"/>
    <cellStyle name="Normal 4 2 2 5 2 4 2 3" xfId="13223" xr:uid="{CE9CA0F9-71FD-476C-8533-4F3E81A26B74}"/>
    <cellStyle name="Normal 4 2 2 5 2 4 2 3 2" xfId="31819" xr:uid="{772541AB-29CE-4563-89E5-25F26D0A4EDC}"/>
    <cellStyle name="Normal 4 2 2 5 2 4 2 4" xfId="22522" xr:uid="{9648FA54-3650-447D-B16C-7FBE6C45DCDF}"/>
    <cellStyle name="Normal 4 2 2 5 2 4 3" xfId="5969" xr:uid="{00000000-0005-0000-0000-0000EF120000}"/>
    <cellStyle name="Normal 4 2 2 5 2 4 3 2" xfId="15295" xr:uid="{A5CE9CE7-C329-4D6A-AB32-97FC8BFBFA78}"/>
    <cellStyle name="Normal 4 2 2 5 2 4 3 2 2" xfId="33891" xr:uid="{298342FF-A3ED-45E9-94E3-E7A03E30B23A}"/>
    <cellStyle name="Normal 4 2 2 5 2 4 3 3" xfId="24594" xr:uid="{CDFFD3A5-B2FB-43A5-A58D-CDD040AA9E9B}"/>
    <cellStyle name="Normal 4 2 2 5 2 4 4" xfId="11078" xr:uid="{E6F00345-6383-42EA-B519-0E3E97A2DA6A}"/>
    <cellStyle name="Normal 4 2 2 5 2 4 4 2" xfId="29674" xr:uid="{65DD76C4-C0B2-4170-84A1-CF34C498D118}"/>
    <cellStyle name="Normal 4 2 2 5 2 4 5" xfId="20377" xr:uid="{C5D1C90B-445D-44EB-BD74-EEFE0E96F7AC}"/>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7A69E08D-FB6E-472B-B16B-C828F1D7FEA3}"/>
    <cellStyle name="Normal 4 2 2 5 2 5 2 2 2 2" xfId="36449" xr:uid="{7A8D671A-8B44-41F1-ADAA-D6263E4F7EF0}"/>
    <cellStyle name="Normal 4 2 2 5 2 5 2 2 3" xfId="27152" xr:uid="{C46BFAC0-F398-4F38-AADB-292BC9FFF8C5}"/>
    <cellStyle name="Normal 4 2 2 5 2 5 2 3" xfId="13636" xr:uid="{B618B74B-34AF-40EA-9D0A-3E3942685073}"/>
    <cellStyle name="Normal 4 2 2 5 2 5 2 3 2" xfId="32232" xr:uid="{F1750FA9-0F11-4B6C-B161-8B52815AA133}"/>
    <cellStyle name="Normal 4 2 2 5 2 5 2 4" xfId="22935" xr:uid="{43EEA8AB-1598-49D7-B367-F67B0A781DA8}"/>
    <cellStyle name="Normal 4 2 2 5 2 5 3" xfId="6382" xr:uid="{00000000-0005-0000-0000-0000F3120000}"/>
    <cellStyle name="Normal 4 2 2 5 2 5 3 2" xfId="15708" xr:uid="{64AE886D-87FF-44FA-9E35-EF3FF58E6B35}"/>
    <cellStyle name="Normal 4 2 2 5 2 5 3 2 2" xfId="34304" xr:uid="{957CBF99-D0C3-4D71-87B6-D6E19AF22FE6}"/>
    <cellStyle name="Normal 4 2 2 5 2 5 3 3" xfId="25007" xr:uid="{D233BF91-DF4E-4B6E-825F-D35812D7E837}"/>
    <cellStyle name="Normal 4 2 2 5 2 5 4" xfId="11491" xr:uid="{1F992956-F924-4991-8A7B-DED611DE32D0}"/>
    <cellStyle name="Normal 4 2 2 5 2 5 4 2" xfId="30087" xr:uid="{1D34F3A6-C69E-4F66-9EBA-A8ADDA3BDE8B}"/>
    <cellStyle name="Normal 4 2 2 5 2 5 5" xfId="20790" xr:uid="{4AB2950B-A658-4778-95D1-E9C1DBD56D04}"/>
    <cellStyle name="Normal 4 2 2 5 2 6" xfId="2512" xr:uid="{00000000-0005-0000-0000-0000F4120000}"/>
    <cellStyle name="Normal 4 2 2 5 2 6 2" xfId="6795" xr:uid="{00000000-0005-0000-0000-0000F5120000}"/>
    <cellStyle name="Normal 4 2 2 5 2 6 2 2" xfId="16121" xr:uid="{2C214BF0-35B3-40DF-B47C-0D08277ABCD1}"/>
    <cellStyle name="Normal 4 2 2 5 2 6 2 2 2" xfId="34717" xr:uid="{A9F4FD73-2518-4A8D-99D3-7C7A6393DEE2}"/>
    <cellStyle name="Normal 4 2 2 5 2 6 2 3" xfId="25420" xr:uid="{B9ED679B-D83E-4A92-8E9A-3561C06AB9DC}"/>
    <cellStyle name="Normal 4 2 2 5 2 6 3" xfId="11904" xr:uid="{FCDBED64-4EDD-4817-9EEB-215237F603C7}"/>
    <cellStyle name="Normal 4 2 2 5 2 6 3 2" xfId="30500" xr:uid="{2989332D-3314-435D-A200-EAC2574A4C17}"/>
    <cellStyle name="Normal 4 2 2 5 2 6 4" xfId="21203" xr:uid="{5F139E58-5FC2-4AA3-993A-17A54C042F65}"/>
    <cellStyle name="Normal 4 2 2 5 2 7" xfId="4730" xr:uid="{00000000-0005-0000-0000-0000F6120000}"/>
    <cellStyle name="Normal 4 2 2 5 2 7 2" xfId="14056" xr:uid="{3D52555A-4F8F-4442-B2E3-432DC4D07863}"/>
    <cellStyle name="Normal 4 2 2 5 2 7 2 2" xfId="32652" xr:uid="{FA05BB0B-EFC3-4AB6-A647-F3937A41C454}"/>
    <cellStyle name="Normal 4 2 2 5 2 7 3" xfId="23355" xr:uid="{CB71F134-CCAC-4425-A147-DD9023568F2A}"/>
    <cellStyle name="Normal 4 2 2 5 2 8" xfId="9062" xr:uid="{FED54422-C2E5-44B3-AA7C-C6088F47A385}"/>
    <cellStyle name="Normal 4 2 2 5 2 8 2" xfId="18386" xr:uid="{AFC90B0A-E18F-45B3-96BD-07AA4C51D4D7}"/>
    <cellStyle name="Normal 4 2 2 5 2 8 2 2" xfId="36981" xr:uid="{C70DC986-4D13-435F-BB42-767FCDF0E972}"/>
    <cellStyle name="Normal 4 2 2 5 2 8 3" xfId="27684" xr:uid="{92ACCC8E-AB9A-4D20-8262-B90502E25B2D}"/>
    <cellStyle name="Normal 4 2 2 5 2 9" xfId="9839" xr:uid="{D13AEC5A-6FDF-4A21-9702-463EB30B7339}"/>
    <cellStyle name="Normal 4 2 2 5 2 9 2" xfId="28435" xr:uid="{142A5F3F-8C51-4001-9237-445CACD3D3D3}"/>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B9E62930-9B54-418A-9C38-2EAF68E0559A}"/>
    <cellStyle name="Normal 4 2 2 5 3 2 2 2 2" xfId="35209" xr:uid="{C6425A31-7DE7-42B0-A612-13969BE06A14}"/>
    <cellStyle name="Normal 4 2 2 5 3 2 2 3" xfId="25912" xr:uid="{EB02A348-1314-4D83-81D5-850ACFB7C1DE}"/>
    <cellStyle name="Normal 4 2 2 5 3 2 3" xfId="12396" xr:uid="{7C9784D1-8286-4996-904C-2D0DCE723032}"/>
    <cellStyle name="Normal 4 2 2 5 3 2 3 2" xfId="30992" xr:uid="{1F92F890-5D97-4D06-8B94-8281697450D6}"/>
    <cellStyle name="Normal 4 2 2 5 3 2 4" xfId="21695" xr:uid="{DB80F085-49F0-4001-B1E8-05D38D72CE23}"/>
    <cellStyle name="Normal 4 2 2 5 3 3" xfId="5142" xr:uid="{00000000-0005-0000-0000-0000FA120000}"/>
    <cellStyle name="Normal 4 2 2 5 3 3 2" xfId="14468" xr:uid="{C344BB94-1003-459F-9316-7771D42B3C41}"/>
    <cellStyle name="Normal 4 2 2 5 3 3 2 2" xfId="33064" xr:uid="{A63DFC5C-6DE5-4070-A7D2-78F62ECB1BE2}"/>
    <cellStyle name="Normal 4 2 2 5 3 3 3" xfId="23767" xr:uid="{B1352968-F81D-4562-BED0-9A3B39108F25}"/>
    <cellStyle name="Normal 4 2 2 5 3 4" xfId="9280" xr:uid="{C70B18D8-E279-4D37-82EF-3177E9FA554F}"/>
    <cellStyle name="Normal 4 2 2 5 3 4 2" xfId="18595" xr:uid="{A7AF577E-0CDB-413D-B6D0-5DDB9AB44F5C}"/>
    <cellStyle name="Normal 4 2 2 5 3 4 2 2" xfId="37189" xr:uid="{343B0638-E45A-415C-99E5-4EE986AEC839}"/>
    <cellStyle name="Normal 4 2 2 5 3 4 3" xfId="27892" xr:uid="{F01BB34E-92EA-4102-9F01-106872A8BA5B}"/>
    <cellStyle name="Normal 4 2 2 5 3 5" xfId="10251" xr:uid="{8EC64DB5-1D0C-459A-9500-1293CFA76728}"/>
    <cellStyle name="Normal 4 2 2 5 3 5 2" xfId="28847" xr:uid="{3311F986-15EA-4623-960C-06A556EB3C42}"/>
    <cellStyle name="Normal 4 2 2 5 3 6" xfId="19550" xr:uid="{8D46DABB-0DB0-4A56-91D6-3AE72000E450}"/>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A7BAC086-1AD9-40F1-8F3E-0783AF8E2D15}"/>
    <cellStyle name="Normal 4 2 2 5 4 2 2 2 2" xfId="35622" xr:uid="{3C13B4EC-4AD9-4FC9-86E2-A74BC4CEC0B5}"/>
    <cellStyle name="Normal 4 2 2 5 4 2 2 3" xfId="26325" xr:uid="{EB59FF65-7FFA-424B-856E-BF5B83B24099}"/>
    <cellStyle name="Normal 4 2 2 5 4 2 3" xfId="12809" xr:uid="{EBEFA670-ECBC-427F-8EB4-E2C32DC69A16}"/>
    <cellStyle name="Normal 4 2 2 5 4 2 3 2" xfId="31405" xr:uid="{0136A106-6EFF-4A1E-B332-590EFFF8E411}"/>
    <cellStyle name="Normal 4 2 2 5 4 2 4" xfId="22108" xr:uid="{3B376111-F11D-4C5C-B737-10FBA9081840}"/>
    <cellStyle name="Normal 4 2 2 5 4 3" xfId="5555" xr:uid="{00000000-0005-0000-0000-0000FE120000}"/>
    <cellStyle name="Normal 4 2 2 5 4 3 2" xfId="14881" xr:uid="{C9E035F5-DE79-4E24-A53B-B8706D710E94}"/>
    <cellStyle name="Normal 4 2 2 5 4 3 2 2" xfId="33477" xr:uid="{7AB899F9-5ABF-4363-BEC5-25B9A85D6D92}"/>
    <cellStyle name="Normal 4 2 2 5 4 3 3" xfId="24180" xr:uid="{4723FA16-DAD7-440C-9190-CC2AF3A21F1F}"/>
    <cellStyle name="Normal 4 2 2 5 4 4" xfId="10664" xr:uid="{54FFA21D-3A66-4932-A6DA-1DCC7D7CD4AC}"/>
    <cellStyle name="Normal 4 2 2 5 4 4 2" xfId="29260" xr:uid="{6C223D48-CF1B-415F-8480-BE83C0D2DAD6}"/>
    <cellStyle name="Normal 4 2 2 5 4 5" xfId="19963" xr:uid="{F34A60C3-35F2-499A-AE41-11888C669DF1}"/>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7912449E-F98C-4FB2-B8B7-F14BAF9D1DE6}"/>
    <cellStyle name="Normal 4 2 2 5 5 2 2 2 2" xfId="36035" xr:uid="{59066387-810A-4CFC-AFD6-95833DB4079F}"/>
    <cellStyle name="Normal 4 2 2 5 5 2 2 3" xfId="26738" xr:uid="{8CF2FC70-59EC-4E42-B188-3122CBF89F13}"/>
    <cellStyle name="Normal 4 2 2 5 5 2 3" xfId="13222" xr:uid="{4D76801B-18A0-4365-AAA8-D72FF7EA534D}"/>
    <cellStyle name="Normal 4 2 2 5 5 2 3 2" xfId="31818" xr:uid="{2F18BBBD-11C0-4FDF-BA18-3A12E4125B0D}"/>
    <cellStyle name="Normal 4 2 2 5 5 2 4" xfId="22521" xr:uid="{EED22ACC-6174-41A9-A2E9-7BA2AFA78318}"/>
    <cellStyle name="Normal 4 2 2 5 5 3" xfId="5968" xr:uid="{00000000-0005-0000-0000-000002130000}"/>
    <cellStyle name="Normal 4 2 2 5 5 3 2" xfId="15294" xr:uid="{257EB212-60D7-4D08-AC85-8669511616C6}"/>
    <cellStyle name="Normal 4 2 2 5 5 3 2 2" xfId="33890" xr:uid="{531F2B8E-54B7-445A-BCFC-127DB905C583}"/>
    <cellStyle name="Normal 4 2 2 5 5 3 3" xfId="24593" xr:uid="{BC43E260-FB94-420D-ADBC-9E3361618899}"/>
    <cellStyle name="Normal 4 2 2 5 5 4" xfId="11077" xr:uid="{F6451748-00E5-4C39-B420-02EB8DC16130}"/>
    <cellStyle name="Normal 4 2 2 5 5 4 2" xfId="29673" xr:uid="{E7671F3D-B0B3-4703-B6E1-B4F661220E86}"/>
    <cellStyle name="Normal 4 2 2 5 5 5" xfId="20376" xr:uid="{EAF06AD2-E82E-4B13-9798-AA68796673F1}"/>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9D25E634-E5BF-4F83-919D-AFA0EED2AF8F}"/>
    <cellStyle name="Normal 4 2 2 5 6 2 2 2 2" xfId="36448" xr:uid="{394EDDFC-12F1-4C5E-8199-19E46F20288F}"/>
    <cellStyle name="Normal 4 2 2 5 6 2 2 3" xfId="27151" xr:uid="{16C1F268-C0EB-407C-A8AC-62014A12A70F}"/>
    <cellStyle name="Normal 4 2 2 5 6 2 3" xfId="13635" xr:uid="{1A9DB9CD-4FB3-40AA-BDF6-5B227B21F3E6}"/>
    <cellStyle name="Normal 4 2 2 5 6 2 3 2" xfId="32231" xr:uid="{86279AAB-45C3-457A-A2D3-14AB82612A28}"/>
    <cellStyle name="Normal 4 2 2 5 6 2 4" xfId="22934" xr:uid="{60E43495-7BBD-4E2C-A436-7A1C5A5C34D8}"/>
    <cellStyle name="Normal 4 2 2 5 6 3" xfId="6381" xr:uid="{00000000-0005-0000-0000-000006130000}"/>
    <cellStyle name="Normal 4 2 2 5 6 3 2" xfId="15707" xr:uid="{44443187-4764-4564-A536-0915BE25360B}"/>
    <cellStyle name="Normal 4 2 2 5 6 3 2 2" xfId="34303" xr:uid="{96B3AA3F-48E9-4E3B-9EF7-986AA70E5F4D}"/>
    <cellStyle name="Normal 4 2 2 5 6 3 3" xfId="25006" xr:uid="{6E12BF18-5B80-468D-BE13-E31DBCE894C5}"/>
    <cellStyle name="Normal 4 2 2 5 6 4" xfId="11490" xr:uid="{9CE0E26A-1378-4C39-968B-D4C9F34ED9B8}"/>
    <cellStyle name="Normal 4 2 2 5 6 4 2" xfId="30086" xr:uid="{908EE390-9130-4C6A-86FA-40A5812D62B1}"/>
    <cellStyle name="Normal 4 2 2 5 6 5" xfId="20789" xr:uid="{D67122A5-4227-4558-9E0E-574AD470E7E9}"/>
    <cellStyle name="Normal 4 2 2 5 7" xfId="2511" xr:uid="{00000000-0005-0000-0000-000007130000}"/>
    <cellStyle name="Normal 4 2 2 5 7 2" xfId="6794" xr:uid="{00000000-0005-0000-0000-000008130000}"/>
    <cellStyle name="Normal 4 2 2 5 7 2 2" xfId="16120" xr:uid="{2EE182B1-A43A-40FC-9064-14348F375697}"/>
    <cellStyle name="Normal 4 2 2 5 7 2 2 2" xfId="34716" xr:uid="{A1706D3F-5B7F-459F-BF90-D63F6441BB51}"/>
    <cellStyle name="Normal 4 2 2 5 7 2 3" xfId="25419" xr:uid="{D36FEAF6-5D68-48AE-B835-D40302896B61}"/>
    <cellStyle name="Normal 4 2 2 5 7 3" xfId="11903" xr:uid="{5C913CF8-024F-4E77-B5E1-0AB12BE6002C}"/>
    <cellStyle name="Normal 4 2 2 5 7 3 2" xfId="30499" xr:uid="{7D67729D-B113-47A7-8555-1F546418AA99}"/>
    <cellStyle name="Normal 4 2 2 5 7 4" xfId="21202" xr:uid="{DB522C01-E241-41CE-B2BB-82899C74A44A}"/>
    <cellStyle name="Normal 4 2 2 5 8" xfId="4729" xr:uid="{00000000-0005-0000-0000-000009130000}"/>
    <cellStyle name="Normal 4 2 2 5 8 2" xfId="14055" xr:uid="{B02A4ACF-0A9D-4BC9-9090-2D3A6D07388C}"/>
    <cellStyle name="Normal 4 2 2 5 8 2 2" xfId="32651" xr:uid="{F9F0D4BF-2A51-43CB-A365-44777940DAAD}"/>
    <cellStyle name="Normal 4 2 2 5 8 3" xfId="23354" xr:uid="{004965F7-5113-4E22-B687-8F10DFAFA355}"/>
    <cellStyle name="Normal 4 2 2 5 9" xfId="8855" xr:uid="{894DEE8B-A5CD-4C4E-B41D-DCEB92717109}"/>
    <cellStyle name="Normal 4 2 2 5 9 2" xfId="18179" xr:uid="{B8430B00-5C2A-4F4E-8892-B884D826CC61}"/>
    <cellStyle name="Normal 4 2 2 5 9 2 2" xfId="36774" xr:uid="{D26CCA3A-6E61-48F4-B290-5CA62A5A40C5}"/>
    <cellStyle name="Normal 4 2 2 5 9 3" xfId="27477" xr:uid="{85564BCF-2BB9-4FC2-9923-6CAE8098CEB6}"/>
    <cellStyle name="Normal 4 2 2 6" xfId="353" xr:uid="{00000000-0005-0000-0000-00000A130000}"/>
    <cellStyle name="Normal 4 2 2 6 10" xfId="19139" xr:uid="{5C1C41FA-47FF-4F71-9582-DEFBE68F3D77}"/>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424B1818-240E-4AD2-B362-436F8287D465}"/>
    <cellStyle name="Normal 4 2 2 6 2 2 2 2 2" xfId="35211" xr:uid="{7914046A-5FF0-4B78-B548-64FE0A90282D}"/>
    <cellStyle name="Normal 4 2 2 6 2 2 2 3" xfId="25914" xr:uid="{7895DA0B-FE54-494F-8F0B-A2367FB58393}"/>
    <cellStyle name="Normal 4 2 2 6 2 2 3" xfId="12398" xr:uid="{757B918A-AB26-4709-B7C8-56C33F1D81A2}"/>
    <cellStyle name="Normal 4 2 2 6 2 2 3 2" xfId="30994" xr:uid="{DABEAA2D-B291-436C-A0C5-6AE6786B1342}"/>
    <cellStyle name="Normal 4 2 2 6 2 2 4" xfId="21697" xr:uid="{790F1C7F-C407-4265-AB39-9476C80A5426}"/>
    <cellStyle name="Normal 4 2 2 6 2 3" xfId="5144" xr:uid="{00000000-0005-0000-0000-00000E130000}"/>
    <cellStyle name="Normal 4 2 2 6 2 3 2" xfId="14470" xr:uid="{1B00621C-2116-4452-9958-A818CF40385A}"/>
    <cellStyle name="Normal 4 2 2 6 2 3 2 2" xfId="33066" xr:uid="{E9157317-D712-42E1-B5C4-F33B43D1812E}"/>
    <cellStyle name="Normal 4 2 2 6 2 3 3" xfId="23769" xr:uid="{FA56865E-0FDB-4EA0-8598-DBA3BB0C2DEF}"/>
    <cellStyle name="Normal 4 2 2 6 2 4" xfId="9396" xr:uid="{5B10E6C6-987A-4149-BB81-321A07C7666F}"/>
    <cellStyle name="Normal 4 2 2 6 2 4 2" xfId="18711" xr:uid="{6763F827-5FD0-4A36-B7E8-F59D866A125F}"/>
    <cellStyle name="Normal 4 2 2 6 2 4 2 2" xfId="37305" xr:uid="{09D5AC28-82DA-4EDB-8372-5BA6FB5F15C9}"/>
    <cellStyle name="Normal 4 2 2 6 2 4 3" xfId="28008" xr:uid="{E7AB3A28-37DD-4868-9E9D-865BAFDD726F}"/>
    <cellStyle name="Normal 4 2 2 6 2 5" xfId="10253" xr:uid="{50B4BB56-E66F-416C-AD31-D00309609569}"/>
    <cellStyle name="Normal 4 2 2 6 2 5 2" xfId="28849" xr:uid="{6FC91B53-1C67-4B0E-B09F-3FEF1FBC7F5E}"/>
    <cellStyle name="Normal 4 2 2 6 2 6" xfId="19552" xr:uid="{E543219C-73BF-4EE1-AA3D-BF3E1E73CA76}"/>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7E7B0840-F1E2-4C75-AA23-7D09916C8B8B}"/>
    <cellStyle name="Normal 4 2 2 6 3 2 2 2 2" xfId="35624" xr:uid="{66345DD1-016E-4DC2-AACB-94D89B435BFB}"/>
    <cellStyle name="Normal 4 2 2 6 3 2 2 3" xfId="26327" xr:uid="{F4D08C05-778C-4D65-8E63-AAC0DF952DB5}"/>
    <cellStyle name="Normal 4 2 2 6 3 2 3" xfId="12811" xr:uid="{AB04F9C1-B66F-47BA-9ABC-7970A4DC2116}"/>
    <cellStyle name="Normal 4 2 2 6 3 2 3 2" xfId="31407" xr:uid="{B85B1BE1-894E-446C-A2E5-01C054818E8B}"/>
    <cellStyle name="Normal 4 2 2 6 3 2 4" xfId="22110" xr:uid="{6F5EB4F9-D057-4BF4-9436-7187EB6ECA17}"/>
    <cellStyle name="Normal 4 2 2 6 3 3" xfId="5557" xr:uid="{00000000-0005-0000-0000-000012130000}"/>
    <cellStyle name="Normal 4 2 2 6 3 3 2" xfId="14883" xr:uid="{A58F358C-4CFE-4D08-A5BE-C555599F1E74}"/>
    <cellStyle name="Normal 4 2 2 6 3 3 2 2" xfId="33479" xr:uid="{1F99BA8A-E441-441A-A1FF-F7619D3FCC2A}"/>
    <cellStyle name="Normal 4 2 2 6 3 3 3" xfId="24182" xr:uid="{1C7CA49D-76B1-4D68-AB53-B4398E28C19C}"/>
    <cellStyle name="Normal 4 2 2 6 3 4" xfId="10666" xr:uid="{EA816B0B-EF87-4570-A70E-DFCEC6B3AB49}"/>
    <cellStyle name="Normal 4 2 2 6 3 4 2" xfId="29262" xr:uid="{6B1DB45A-6387-4829-9D87-F36E9B81DEF9}"/>
    <cellStyle name="Normal 4 2 2 6 3 5" xfId="19965" xr:uid="{0466FE0E-4F60-4DC6-A1EE-024F576A61F8}"/>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A03E988A-2E35-42DB-829C-C37E0FCE4F57}"/>
    <cellStyle name="Normal 4 2 2 6 4 2 2 2 2" xfId="36037" xr:uid="{E6B88C57-1883-4219-AF22-250B2D1593E8}"/>
    <cellStyle name="Normal 4 2 2 6 4 2 2 3" xfId="26740" xr:uid="{D92128B6-AE56-4D5B-9A77-9C48FA3E0A2D}"/>
    <cellStyle name="Normal 4 2 2 6 4 2 3" xfId="13224" xr:uid="{60AEBA28-D559-4801-B5FC-3522BC37DC8A}"/>
    <cellStyle name="Normal 4 2 2 6 4 2 3 2" xfId="31820" xr:uid="{8854AD2B-4550-42CF-B26E-D7560E90477E}"/>
    <cellStyle name="Normal 4 2 2 6 4 2 4" xfId="22523" xr:uid="{8E725F28-13D0-4442-96A2-5ABBF185DFBA}"/>
    <cellStyle name="Normal 4 2 2 6 4 3" xfId="5970" xr:uid="{00000000-0005-0000-0000-000016130000}"/>
    <cellStyle name="Normal 4 2 2 6 4 3 2" xfId="15296" xr:uid="{53AB5E57-D05F-4097-9E58-36D1E1A9850F}"/>
    <cellStyle name="Normal 4 2 2 6 4 3 2 2" xfId="33892" xr:uid="{74004718-0234-4FB8-9897-10655C21CAA2}"/>
    <cellStyle name="Normal 4 2 2 6 4 3 3" xfId="24595" xr:uid="{24E71A19-56D7-4F4F-9E13-390093B0CD4A}"/>
    <cellStyle name="Normal 4 2 2 6 4 4" xfId="11079" xr:uid="{99F25CD2-2E5C-4262-8D0B-0316AC18A069}"/>
    <cellStyle name="Normal 4 2 2 6 4 4 2" xfId="29675" xr:uid="{69C47799-DE71-473A-AA58-83C21319AF6F}"/>
    <cellStyle name="Normal 4 2 2 6 4 5" xfId="20378" xr:uid="{0B693447-7497-4B69-9D35-29AA08859788}"/>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125BFBA1-77E9-44B5-A05D-2A641BE4D95E}"/>
    <cellStyle name="Normal 4 2 2 6 5 2 2 2 2" xfId="36450" xr:uid="{95B0CFAE-0017-4161-A008-4852E3A792F2}"/>
    <cellStyle name="Normal 4 2 2 6 5 2 2 3" xfId="27153" xr:uid="{EA23F69A-10C3-4C77-ADAC-1B7FC59C4C98}"/>
    <cellStyle name="Normal 4 2 2 6 5 2 3" xfId="13637" xr:uid="{DBDD6C68-4B9C-4DDC-BE38-1CE419DF1DFB}"/>
    <cellStyle name="Normal 4 2 2 6 5 2 3 2" xfId="32233" xr:uid="{AE0D0E7A-1A4A-408A-AA6B-9567276A62A1}"/>
    <cellStyle name="Normal 4 2 2 6 5 2 4" xfId="22936" xr:uid="{6BC3109D-97A9-4EB8-A384-FFE9AC366DE1}"/>
    <cellStyle name="Normal 4 2 2 6 5 3" xfId="6383" xr:uid="{00000000-0005-0000-0000-00001A130000}"/>
    <cellStyle name="Normal 4 2 2 6 5 3 2" xfId="15709" xr:uid="{A6C9A1BE-B3AA-4A9C-8F95-6D4FFBED50B8}"/>
    <cellStyle name="Normal 4 2 2 6 5 3 2 2" xfId="34305" xr:uid="{0411C6B9-23B0-492E-A3A4-9AB9BDE789D4}"/>
    <cellStyle name="Normal 4 2 2 6 5 3 3" xfId="25008" xr:uid="{E1185D8E-A56F-49CD-AD34-B4D0B2341C8F}"/>
    <cellStyle name="Normal 4 2 2 6 5 4" xfId="11492" xr:uid="{C510C8D4-1AB9-4348-8B77-5977C293D92D}"/>
    <cellStyle name="Normal 4 2 2 6 5 4 2" xfId="30088" xr:uid="{3E98EFB7-B211-4F6C-8E5A-974731C61277}"/>
    <cellStyle name="Normal 4 2 2 6 5 5" xfId="20791" xr:uid="{28531324-4D44-497C-928B-F415DDF5BBB8}"/>
    <cellStyle name="Normal 4 2 2 6 6" xfId="2513" xr:uid="{00000000-0005-0000-0000-00001B130000}"/>
    <cellStyle name="Normal 4 2 2 6 6 2" xfId="6796" xr:uid="{00000000-0005-0000-0000-00001C130000}"/>
    <cellStyle name="Normal 4 2 2 6 6 2 2" xfId="16122" xr:uid="{5361629F-54A7-4E66-A619-1FA6B3F1951B}"/>
    <cellStyle name="Normal 4 2 2 6 6 2 2 2" xfId="34718" xr:uid="{2C4C9C71-9C9A-43D8-9D41-8032B7AC5152}"/>
    <cellStyle name="Normal 4 2 2 6 6 2 3" xfId="25421" xr:uid="{C0659D7E-4907-4C39-88D5-BE9E83FD7CC6}"/>
    <cellStyle name="Normal 4 2 2 6 6 3" xfId="11905" xr:uid="{A7BD81AB-A369-49FD-A2DD-6C4FFBDA9FDC}"/>
    <cellStyle name="Normal 4 2 2 6 6 3 2" xfId="30501" xr:uid="{86006344-7AE1-47CE-BA89-FAE0E4624189}"/>
    <cellStyle name="Normal 4 2 2 6 6 4" xfId="21204" xr:uid="{29A7AC12-887A-4FC5-AFC9-B1D58F2FE4E0}"/>
    <cellStyle name="Normal 4 2 2 6 7" xfId="4731" xr:uid="{00000000-0005-0000-0000-00001D130000}"/>
    <cellStyle name="Normal 4 2 2 6 7 2" xfId="14057" xr:uid="{E71233F4-FB3A-4664-8473-F9FC27C39D4E}"/>
    <cellStyle name="Normal 4 2 2 6 7 2 2" xfId="32653" xr:uid="{C1FE474C-7243-4789-AB65-B84B54CD51F2}"/>
    <cellStyle name="Normal 4 2 2 6 7 3" xfId="23356" xr:uid="{16FF2F20-F4C0-48E3-B90B-EA8EF1D1159A}"/>
    <cellStyle name="Normal 4 2 2 6 8" xfId="8971" xr:uid="{7BBA3CD4-2D32-439A-A2D5-9F7EB5E5A47E}"/>
    <cellStyle name="Normal 4 2 2 6 8 2" xfId="18295" xr:uid="{6BC51509-E525-4B6C-8A1F-0781254D48D0}"/>
    <cellStyle name="Normal 4 2 2 6 8 2 2" xfId="36890" xr:uid="{6445863C-206C-4797-8038-23F3C9DC51EF}"/>
    <cellStyle name="Normal 4 2 2 6 8 3" xfId="27593" xr:uid="{5BE3F91B-3F90-4B48-9376-4BEFFAEFA168}"/>
    <cellStyle name="Normal 4 2 2 6 9" xfId="9840" xr:uid="{29E3BBBA-0ABD-4EE8-9988-21D4224AB37D}"/>
    <cellStyle name="Normal 4 2 2 6 9 2" xfId="28436" xr:uid="{5EBFC315-7685-4C58-9EEB-AEFA7D4BACCC}"/>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AD8BFDB6-8A81-4947-814C-B43B7D7B99AD}"/>
    <cellStyle name="Normal 4 2 2 7 2 2 2 2" xfId="35196" xr:uid="{DC2AC80A-D796-4168-950E-A550C0CBFC9B}"/>
    <cellStyle name="Normal 4 2 2 7 2 2 3" xfId="25899" xr:uid="{8DE179B9-0F46-499B-8CBD-6CDD6FA7E1B2}"/>
    <cellStyle name="Normal 4 2 2 7 2 3" xfId="12383" xr:uid="{2BC9A2AC-5A92-4502-8637-1D45B6BFE1C4}"/>
    <cellStyle name="Normal 4 2 2 7 2 3 2" xfId="30979" xr:uid="{DED3C2EE-87E1-40A6-B071-0C5009EFA612}"/>
    <cellStyle name="Normal 4 2 2 7 2 4" xfId="21682" xr:uid="{CEAFF68C-1C73-4DA0-ACCF-B6E1FA5FC308}"/>
    <cellStyle name="Normal 4 2 2 7 3" xfId="5129" xr:uid="{00000000-0005-0000-0000-000021130000}"/>
    <cellStyle name="Normal 4 2 2 7 3 2" xfId="14455" xr:uid="{A0DF4423-8091-4B58-8059-5C5398FA4C31}"/>
    <cellStyle name="Normal 4 2 2 7 3 2 2" xfId="33051" xr:uid="{209BC6EC-72AE-47FC-A352-BF99A7168424}"/>
    <cellStyle name="Normal 4 2 2 7 3 3" xfId="23754" xr:uid="{400D9BD6-556C-4F0E-93FE-A6EA232C48CE}"/>
    <cellStyle name="Normal 4 2 2 7 4" xfId="9174" xr:uid="{5FB177AF-8B2E-4B7E-A1B7-4F6E323AF880}"/>
    <cellStyle name="Normal 4 2 2 7 4 2" xfId="18492" xr:uid="{44CBB207-E3CE-4C66-87FF-0A97C78411A1}"/>
    <cellStyle name="Normal 4 2 2 7 4 2 2" xfId="37086" xr:uid="{1C5180EF-6530-4E68-B2F1-6949E93B9CE0}"/>
    <cellStyle name="Normal 4 2 2 7 4 3" xfId="27789" xr:uid="{9115990F-51EC-416A-A90A-4C7065A5BC52}"/>
    <cellStyle name="Normal 4 2 2 7 5" xfId="10238" xr:uid="{328DC2C6-AAD5-49A8-9B0A-B8F9E1FC04C9}"/>
    <cellStyle name="Normal 4 2 2 7 5 2" xfId="28834" xr:uid="{EB14CBA1-1334-4BBC-9A7D-39218FA8E4B0}"/>
    <cellStyle name="Normal 4 2 2 7 6" xfId="19537" xr:uid="{C47FB66D-B231-4851-843F-6C3A7DCFD338}"/>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D9B3C35E-AD35-4A58-9BEC-9DC217BDBDD3}"/>
    <cellStyle name="Normal 4 2 2 8 2 2 2 2" xfId="35609" xr:uid="{B40F7548-234E-4D66-97E2-AF151CA3CD73}"/>
    <cellStyle name="Normal 4 2 2 8 2 2 3" xfId="26312" xr:uid="{6C953040-1FC3-4EC6-BB66-354A6B1FAAC3}"/>
    <cellStyle name="Normal 4 2 2 8 2 3" xfId="12796" xr:uid="{3D8B474D-3680-493E-AA3C-57554F2DD065}"/>
    <cellStyle name="Normal 4 2 2 8 2 3 2" xfId="31392" xr:uid="{9C268EA3-AB5C-4379-B39F-E7B3C2CDF0FC}"/>
    <cellStyle name="Normal 4 2 2 8 2 4" xfId="22095" xr:uid="{A4508061-4829-4610-8A7D-92C7E2E139C6}"/>
    <cellStyle name="Normal 4 2 2 8 3" xfId="5542" xr:uid="{00000000-0005-0000-0000-000025130000}"/>
    <cellStyle name="Normal 4 2 2 8 3 2" xfId="14868" xr:uid="{77035613-19F3-42B8-80CA-D09464074BEE}"/>
    <cellStyle name="Normal 4 2 2 8 3 2 2" xfId="33464" xr:uid="{B7C1A95D-0303-4151-A774-BD9A8928400D}"/>
    <cellStyle name="Normal 4 2 2 8 3 3" xfId="24167" xr:uid="{0F4A434B-39AC-4CE0-9606-842FA7CC5FE1}"/>
    <cellStyle name="Normal 4 2 2 8 4" xfId="10651" xr:uid="{1ECE0783-9398-4D21-AE11-E70328657187}"/>
    <cellStyle name="Normal 4 2 2 8 4 2" xfId="29247" xr:uid="{8F22F0A6-6242-44BF-9C48-A19FB8AC588F}"/>
    <cellStyle name="Normal 4 2 2 8 5" xfId="19950" xr:uid="{68E4945C-75E7-4B5A-B08C-613AE7151838}"/>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6995EE7C-050F-4E77-B11E-EA34C888F7C9}"/>
    <cellStyle name="Normal 4 2 2 9 2 2 2 2" xfId="36022" xr:uid="{4A51B5E0-E9EA-4A03-923D-CC08BE2AE1BB}"/>
    <cellStyle name="Normal 4 2 2 9 2 2 3" xfId="26725" xr:uid="{0A27E8D9-1FB9-4351-9FB1-D74610BBF083}"/>
    <cellStyle name="Normal 4 2 2 9 2 3" xfId="13209" xr:uid="{DA98B773-8C26-4D50-8E45-0056B3BDA7A7}"/>
    <cellStyle name="Normal 4 2 2 9 2 3 2" xfId="31805" xr:uid="{1F9ADA3E-A19D-4B2A-8E04-A3F115456D9C}"/>
    <cellStyle name="Normal 4 2 2 9 2 4" xfId="22508" xr:uid="{D85675D0-4AEE-4DFF-8537-82A7CAA22ECC}"/>
    <cellStyle name="Normal 4 2 2 9 3" xfId="5955" xr:uid="{00000000-0005-0000-0000-000029130000}"/>
    <cellStyle name="Normal 4 2 2 9 3 2" xfId="15281" xr:uid="{163D281B-E764-4D12-96D6-0FB91D8FEC1D}"/>
    <cellStyle name="Normal 4 2 2 9 3 2 2" xfId="33877" xr:uid="{69B186EB-F387-4299-BF87-6CE163AD4C27}"/>
    <cellStyle name="Normal 4 2 2 9 3 3" xfId="24580" xr:uid="{0C018AA4-3AB1-43C6-BA24-6C0425121586}"/>
    <cellStyle name="Normal 4 2 2 9 4" xfId="11064" xr:uid="{C9520860-33AF-428C-AE9B-09F9BDD9E588}"/>
    <cellStyle name="Normal 4 2 2 9 4 2" xfId="29660" xr:uid="{3B898179-D739-4BC8-917B-6EE88260D5E2}"/>
    <cellStyle name="Normal 4 2 2 9 5" xfId="20363" xr:uid="{56F1484D-C6E5-425E-9EB2-AC08C739CC01}"/>
    <cellStyle name="Normal 4 2 3" xfId="354" xr:uid="{00000000-0005-0000-0000-00002A130000}"/>
    <cellStyle name="Normal 4 2 4" xfId="355" xr:uid="{00000000-0005-0000-0000-00002B130000}"/>
    <cellStyle name="Normal 4 2 4 10" xfId="4732" xr:uid="{00000000-0005-0000-0000-00002C130000}"/>
    <cellStyle name="Normal 4 2 4 10 2" xfId="14058" xr:uid="{B0EDEFFF-2E3E-476E-828B-21188B6B7CAF}"/>
    <cellStyle name="Normal 4 2 4 10 2 2" xfId="32654" xr:uid="{75A3A812-70AC-4AD8-8596-2CB5D5969162}"/>
    <cellStyle name="Normal 4 2 4 10 3" xfId="23357" xr:uid="{2550C4F6-5C34-4846-B000-C028B1E78939}"/>
    <cellStyle name="Normal 4 2 4 11" xfId="8775" xr:uid="{7AC259AB-9C32-4DC1-A787-2E2187A7C2D6}"/>
    <cellStyle name="Normal 4 2 4 11 2" xfId="18099" xr:uid="{0041776B-92D4-4F04-A5E2-4048C0489839}"/>
    <cellStyle name="Normal 4 2 4 11 2 2" xfId="36694" xr:uid="{A0086528-29B3-443C-AFBF-2CCD1057DAB4}"/>
    <cellStyle name="Normal 4 2 4 11 3" xfId="27397" xr:uid="{950FFE34-1DEB-4F0C-B2CC-F820CC471D5D}"/>
    <cellStyle name="Normal 4 2 4 12" xfId="9841" xr:uid="{638C2F8E-460D-41C1-8A28-504CD11D162B}"/>
    <cellStyle name="Normal 4 2 4 12 2" xfId="28437" xr:uid="{8B00CFB0-1592-4EA4-B798-5988ABD3372C}"/>
    <cellStyle name="Normal 4 2 4 13" xfId="19140" xr:uid="{DDB89EE5-FFF7-472B-B64C-32301173D1E0}"/>
    <cellStyle name="Normal 4 2 4 2" xfId="356" xr:uid="{00000000-0005-0000-0000-00002D130000}"/>
    <cellStyle name="Normal 4 2 4 2 10" xfId="8820" xr:uid="{8B50D4F4-4786-467C-8322-69D665B73C2B}"/>
    <cellStyle name="Normal 4 2 4 2 10 2" xfId="18144" xr:uid="{E98C3B4A-A8B2-486B-AFB9-3655BD8CFCC6}"/>
    <cellStyle name="Normal 4 2 4 2 10 2 2" xfId="36739" xr:uid="{B124704E-0671-4F5B-AF85-BFC29F7B2C99}"/>
    <cellStyle name="Normal 4 2 4 2 10 3" xfId="27442" xr:uid="{5A954CF8-2388-46D2-BEA7-9A078586ED56}"/>
    <cellStyle name="Normal 4 2 4 2 11" xfId="9842" xr:uid="{4F65654E-E13E-4A11-9D39-A11CB8FF75E2}"/>
    <cellStyle name="Normal 4 2 4 2 11 2" xfId="28438" xr:uid="{48A85566-E01F-40D7-B93A-7DEEB8C0C245}"/>
    <cellStyle name="Normal 4 2 4 2 12" xfId="19141" xr:uid="{3DFE3C81-C5A0-4407-A851-6D88B958E5FA}"/>
    <cellStyle name="Normal 4 2 4 2 2" xfId="357" xr:uid="{00000000-0005-0000-0000-00002E130000}"/>
    <cellStyle name="Normal 4 2 4 2 2 10" xfId="9843" xr:uid="{BD335891-9FBB-4930-80BF-A4E93EF4B852}"/>
    <cellStyle name="Normal 4 2 4 2 2 10 2" xfId="28439" xr:uid="{972ED62D-05E1-473C-BE82-842140DF6B9B}"/>
    <cellStyle name="Normal 4 2 4 2 2 11" xfId="19142" xr:uid="{79075424-E35B-4C24-AEBC-B33BD593E9DC}"/>
    <cellStyle name="Normal 4 2 4 2 2 2" xfId="358" xr:uid="{00000000-0005-0000-0000-00002F130000}"/>
    <cellStyle name="Normal 4 2 4 2 2 2 10" xfId="19143" xr:uid="{7F5A8E3B-94BF-4AAC-920B-2351CEAC6A59}"/>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3B396746-4AAF-4FDB-A5A9-B269D4E43F54}"/>
    <cellStyle name="Normal 4 2 4 2 2 2 2 2 2 2 2" xfId="35215" xr:uid="{DA34F437-27AC-4343-8A99-51799BFB273D}"/>
    <cellStyle name="Normal 4 2 4 2 2 2 2 2 2 3" xfId="25918" xr:uid="{CA003AFF-4BA5-447F-95E6-46F4805376D6}"/>
    <cellStyle name="Normal 4 2 4 2 2 2 2 2 3" xfId="12402" xr:uid="{098A6B30-9249-435B-855E-4316DAA95045}"/>
    <cellStyle name="Normal 4 2 4 2 2 2 2 2 3 2" xfId="30998" xr:uid="{D4387C94-AA72-44B6-BD84-95EDE238FD2E}"/>
    <cellStyle name="Normal 4 2 4 2 2 2 2 2 4" xfId="21701" xr:uid="{6F12F339-3C0A-48C0-925C-FA3243F6030A}"/>
    <cellStyle name="Normal 4 2 4 2 2 2 2 3" xfId="5148" xr:uid="{00000000-0005-0000-0000-000033130000}"/>
    <cellStyle name="Normal 4 2 4 2 2 2 2 3 2" xfId="14474" xr:uid="{B351956C-9919-4A25-905D-0B7DCC8EF528}"/>
    <cellStyle name="Normal 4 2 4 2 2 2 2 3 2 2" xfId="33070" xr:uid="{32A34C43-9998-4582-9CDB-2BB3E60EB90E}"/>
    <cellStyle name="Normal 4 2 4 2 2 2 2 3 3" xfId="23773" xr:uid="{0741C497-9A0F-486C-9004-3AF0CA32DC49}"/>
    <cellStyle name="Normal 4 2 4 2 2 2 2 4" xfId="9555" xr:uid="{31AE7BD4-4F26-4658-9939-15FCE733560E}"/>
    <cellStyle name="Normal 4 2 4 2 2 2 2 4 2" xfId="18870" xr:uid="{1D9C056E-2037-45F8-AF88-B66C775ED19B}"/>
    <cellStyle name="Normal 4 2 4 2 2 2 2 4 2 2" xfId="37464" xr:uid="{2A994085-D6DC-4426-9A28-434725566590}"/>
    <cellStyle name="Normal 4 2 4 2 2 2 2 4 3" xfId="28167" xr:uid="{FE5F15AC-A9B3-4152-ACFD-466C9E572424}"/>
    <cellStyle name="Normal 4 2 4 2 2 2 2 5" xfId="10257" xr:uid="{FBD379E7-1DAE-4D3D-A76E-C031EECAA8C2}"/>
    <cellStyle name="Normal 4 2 4 2 2 2 2 5 2" xfId="28853" xr:uid="{9C988136-2536-4514-82E0-B8CA8263D787}"/>
    <cellStyle name="Normal 4 2 4 2 2 2 2 6" xfId="19556" xr:uid="{109C320D-B90F-494D-87D5-1BF6FA528672}"/>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E2B2CCAB-1619-4AD3-9C00-59383172A211}"/>
    <cellStyle name="Normal 4 2 4 2 2 2 3 2 2 2 2" xfId="35628" xr:uid="{506E5662-B9C1-4523-9AB3-CDDE5821FABC}"/>
    <cellStyle name="Normal 4 2 4 2 2 2 3 2 2 3" xfId="26331" xr:uid="{70FBB68B-A56B-4AD3-BBEA-661AB811D0DC}"/>
    <cellStyle name="Normal 4 2 4 2 2 2 3 2 3" xfId="12815" xr:uid="{CC79F5D4-D9CF-486D-B993-2C6E10C34775}"/>
    <cellStyle name="Normal 4 2 4 2 2 2 3 2 3 2" xfId="31411" xr:uid="{5109A5EF-5EE8-4FF7-B3F0-A03603E65AAB}"/>
    <cellStyle name="Normal 4 2 4 2 2 2 3 2 4" xfId="22114" xr:uid="{D3C9A453-2C2D-492D-A908-F429380C9D6D}"/>
    <cellStyle name="Normal 4 2 4 2 2 2 3 3" xfId="5561" xr:uid="{00000000-0005-0000-0000-000037130000}"/>
    <cellStyle name="Normal 4 2 4 2 2 2 3 3 2" xfId="14887" xr:uid="{E7D52792-68FA-4747-B26D-A1F351250E38}"/>
    <cellStyle name="Normal 4 2 4 2 2 2 3 3 2 2" xfId="33483" xr:uid="{DB49C83D-3A82-474A-BC27-4C14587E4F8A}"/>
    <cellStyle name="Normal 4 2 4 2 2 2 3 3 3" xfId="24186" xr:uid="{8AD18DBF-19B7-4899-9706-9EB5363F1A73}"/>
    <cellStyle name="Normal 4 2 4 2 2 2 3 4" xfId="10670" xr:uid="{F4BE0085-3C6F-404E-853B-960327F63054}"/>
    <cellStyle name="Normal 4 2 4 2 2 2 3 4 2" xfId="29266" xr:uid="{F18D4395-8CA8-4233-8B30-5021BCA262D5}"/>
    <cellStyle name="Normal 4 2 4 2 2 2 3 5" xfId="19969" xr:uid="{34E8D66F-64CD-4444-925D-2DC2E959C0AE}"/>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0ABAEE3B-6BDD-4477-A387-92056FFC2FAD}"/>
    <cellStyle name="Normal 4 2 4 2 2 2 4 2 2 2 2" xfId="36041" xr:uid="{CCA36E7D-C2A7-4CFD-A829-EB5017E4CFE2}"/>
    <cellStyle name="Normal 4 2 4 2 2 2 4 2 2 3" xfId="26744" xr:uid="{19AE72C7-9BFD-49E1-8996-D01D38EB3DF3}"/>
    <cellStyle name="Normal 4 2 4 2 2 2 4 2 3" xfId="13228" xr:uid="{BD5DA380-5118-481D-A87F-796FE8836734}"/>
    <cellStyle name="Normal 4 2 4 2 2 2 4 2 3 2" xfId="31824" xr:uid="{74EE923A-E722-41DA-B788-8B6CBC40C88A}"/>
    <cellStyle name="Normal 4 2 4 2 2 2 4 2 4" xfId="22527" xr:uid="{B41AEC1D-40FB-4FF5-8844-8B4AC6DC6A81}"/>
    <cellStyle name="Normal 4 2 4 2 2 2 4 3" xfId="5974" xr:uid="{00000000-0005-0000-0000-00003B130000}"/>
    <cellStyle name="Normal 4 2 4 2 2 2 4 3 2" xfId="15300" xr:uid="{81841DAE-2ECC-4BD9-BEDA-C8F4C213D8A4}"/>
    <cellStyle name="Normal 4 2 4 2 2 2 4 3 2 2" xfId="33896" xr:uid="{A7961D29-AFAA-4C11-8D37-1C9960BA0A54}"/>
    <cellStyle name="Normal 4 2 4 2 2 2 4 3 3" xfId="24599" xr:uid="{BCE0376B-4884-4246-B91F-574096AB86C3}"/>
    <cellStyle name="Normal 4 2 4 2 2 2 4 4" xfId="11083" xr:uid="{C4DD7F78-B96A-47EE-A6B1-4A3EEBAF5F35}"/>
    <cellStyle name="Normal 4 2 4 2 2 2 4 4 2" xfId="29679" xr:uid="{177BA3A5-6C56-4118-A925-EF5DB4A91542}"/>
    <cellStyle name="Normal 4 2 4 2 2 2 4 5" xfId="20382" xr:uid="{3F402BF2-5F6A-4E8A-8F73-38B5FBA99D68}"/>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0452A88F-4B0B-43B3-86BF-F8F4F865A9F1}"/>
    <cellStyle name="Normal 4 2 4 2 2 2 5 2 2 2 2" xfId="36454" xr:uid="{D6EB928D-B88E-40B5-BCB1-F3513629E89D}"/>
    <cellStyle name="Normal 4 2 4 2 2 2 5 2 2 3" xfId="27157" xr:uid="{E4EBE943-4108-419E-B2D8-8AF1AD203E73}"/>
    <cellStyle name="Normal 4 2 4 2 2 2 5 2 3" xfId="13641" xr:uid="{1D539208-DD6C-4727-8B8C-6414762DD218}"/>
    <cellStyle name="Normal 4 2 4 2 2 2 5 2 3 2" xfId="32237" xr:uid="{3EAEEDB0-992B-46E3-B0C2-A35914E29CE6}"/>
    <cellStyle name="Normal 4 2 4 2 2 2 5 2 4" xfId="22940" xr:uid="{EA2E2E6E-39ED-475E-8285-9716E57F4483}"/>
    <cellStyle name="Normal 4 2 4 2 2 2 5 3" xfId="6387" xr:uid="{00000000-0005-0000-0000-00003F130000}"/>
    <cellStyle name="Normal 4 2 4 2 2 2 5 3 2" xfId="15713" xr:uid="{DD63384A-6586-49FA-8F83-B4D8EAED8900}"/>
    <cellStyle name="Normal 4 2 4 2 2 2 5 3 2 2" xfId="34309" xr:uid="{EDA8CDD9-EF37-4701-9B1B-59F263844E8B}"/>
    <cellStyle name="Normal 4 2 4 2 2 2 5 3 3" xfId="25012" xr:uid="{D1361C71-9822-4A0B-9FF6-05A18AF9385C}"/>
    <cellStyle name="Normal 4 2 4 2 2 2 5 4" xfId="11496" xr:uid="{99CE07FD-8DEF-486E-9DEC-E23FF444C8F2}"/>
    <cellStyle name="Normal 4 2 4 2 2 2 5 4 2" xfId="30092" xr:uid="{C3A00C67-E77F-4A2A-874B-E458A34F0F7C}"/>
    <cellStyle name="Normal 4 2 4 2 2 2 5 5" xfId="20795" xr:uid="{B10851B2-5F25-438E-B2DD-C81D02231BEB}"/>
    <cellStyle name="Normal 4 2 4 2 2 2 6" xfId="2517" xr:uid="{00000000-0005-0000-0000-000040130000}"/>
    <cellStyle name="Normal 4 2 4 2 2 2 6 2" xfId="6800" xr:uid="{00000000-0005-0000-0000-000041130000}"/>
    <cellStyle name="Normal 4 2 4 2 2 2 6 2 2" xfId="16126" xr:uid="{C82D4500-628C-40D5-A718-2A1FD98A158B}"/>
    <cellStyle name="Normal 4 2 4 2 2 2 6 2 2 2" xfId="34722" xr:uid="{549CD7CA-FFBC-4255-8109-C3E392C27B04}"/>
    <cellStyle name="Normal 4 2 4 2 2 2 6 2 3" xfId="25425" xr:uid="{C9A0442C-BCC3-4570-BFB0-03772F3F9A63}"/>
    <cellStyle name="Normal 4 2 4 2 2 2 6 3" xfId="11909" xr:uid="{008EA38E-DF0D-4615-8606-CFA1CC49653B}"/>
    <cellStyle name="Normal 4 2 4 2 2 2 6 3 2" xfId="30505" xr:uid="{42977C90-0FF6-4F66-A5B8-4BBB8FF14649}"/>
    <cellStyle name="Normal 4 2 4 2 2 2 6 4" xfId="21208" xr:uid="{E6473692-5B32-4476-AC7F-61C784B66762}"/>
    <cellStyle name="Normal 4 2 4 2 2 2 7" xfId="4735" xr:uid="{00000000-0005-0000-0000-000042130000}"/>
    <cellStyle name="Normal 4 2 4 2 2 2 7 2" xfId="14061" xr:uid="{43BAA403-8F5C-41A4-BECF-B8A5108D9E66}"/>
    <cellStyle name="Normal 4 2 4 2 2 2 7 2 2" xfId="32657" xr:uid="{8CB5E6B7-D27F-48A1-888A-2BB6797D2F21}"/>
    <cellStyle name="Normal 4 2 4 2 2 2 7 3" xfId="23360" xr:uid="{41D6A70E-8D43-4934-B4C7-6CE64B5A0D64}"/>
    <cellStyle name="Normal 4 2 4 2 2 2 8" xfId="9130" xr:uid="{E4AAEB37-D6CE-4BD9-A166-BE52F754DAC4}"/>
    <cellStyle name="Normal 4 2 4 2 2 2 8 2" xfId="18454" xr:uid="{BDD4AB20-14E4-47F9-8265-C0CBCD85B7C3}"/>
    <cellStyle name="Normal 4 2 4 2 2 2 8 2 2" xfId="37049" xr:uid="{95C4C046-051A-41EE-AA4C-C39B52175BCA}"/>
    <cellStyle name="Normal 4 2 4 2 2 2 8 3" xfId="27752" xr:uid="{1A4DA897-C184-4152-A604-A65331C8DA06}"/>
    <cellStyle name="Normal 4 2 4 2 2 2 9" xfId="9844" xr:uid="{76AA66E1-0460-4688-B82E-6B182E743F62}"/>
    <cellStyle name="Normal 4 2 4 2 2 2 9 2" xfId="28440" xr:uid="{335A539F-20D3-4D5D-8FB0-59A4157C93B3}"/>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803D5D8D-9118-40D9-8A54-69F39E356BFF}"/>
    <cellStyle name="Normal 4 2 4 2 2 3 2 2 2 2" xfId="35214" xr:uid="{7C61F8E9-C1D9-42E4-A5BC-60B90C590D4E}"/>
    <cellStyle name="Normal 4 2 4 2 2 3 2 2 3" xfId="25917" xr:uid="{BC9FA07A-AA09-4D14-B8C7-E012835EF7FF}"/>
    <cellStyle name="Normal 4 2 4 2 2 3 2 3" xfId="12401" xr:uid="{06CC472E-C6D4-4A81-977F-409800FF60AF}"/>
    <cellStyle name="Normal 4 2 4 2 2 3 2 3 2" xfId="30997" xr:uid="{CBA37D02-6F33-40A9-8D8F-7E75411976AF}"/>
    <cellStyle name="Normal 4 2 4 2 2 3 2 4" xfId="21700" xr:uid="{063690AA-C526-4D4F-9815-2479B1837192}"/>
    <cellStyle name="Normal 4 2 4 2 2 3 3" xfId="5147" xr:uid="{00000000-0005-0000-0000-000046130000}"/>
    <cellStyle name="Normal 4 2 4 2 2 3 3 2" xfId="14473" xr:uid="{8E7F4D06-9008-428E-8C1A-D230BA85F647}"/>
    <cellStyle name="Normal 4 2 4 2 2 3 3 2 2" xfId="33069" xr:uid="{B4404C51-2B6D-4A06-8FB9-664AFE03B0CC}"/>
    <cellStyle name="Normal 4 2 4 2 2 3 3 3" xfId="23772" xr:uid="{C2B32B91-4A10-46DC-98FB-563CC1A6B823}"/>
    <cellStyle name="Normal 4 2 4 2 2 3 4" xfId="9348" xr:uid="{E9E52CF6-B3CF-482F-B496-A22B0452951D}"/>
    <cellStyle name="Normal 4 2 4 2 2 3 4 2" xfId="18663" xr:uid="{E062E702-81F2-4175-B7BD-D855063A59F7}"/>
    <cellStyle name="Normal 4 2 4 2 2 3 4 2 2" xfId="37257" xr:uid="{01D70C04-539B-46E1-A9AB-F1E5FD1625AC}"/>
    <cellStyle name="Normal 4 2 4 2 2 3 4 3" xfId="27960" xr:uid="{5E182B61-69D1-4AB4-89FA-8361326A72E4}"/>
    <cellStyle name="Normal 4 2 4 2 2 3 5" xfId="10256" xr:uid="{516E570A-276F-4942-966B-155F59D53DC1}"/>
    <cellStyle name="Normal 4 2 4 2 2 3 5 2" xfId="28852" xr:uid="{776275E4-A1CE-449A-89A5-B2FBCE91C616}"/>
    <cellStyle name="Normal 4 2 4 2 2 3 6" xfId="19555" xr:uid="{AA0B1D0B-7AF6-414A-AC3B-10F26F93B536}"/>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6348D70D-F88C-4AAE-95AB-F6E443C96B13}"/>
    <cellStyle name="Normal 4 2 4 2 2 4 2 2 2 2" xfId="35627" xr:uid="{4C6958E2-623E-4CD9-9BB4-6B1E4E5C567F}"/>
    <cellStyle name="Normal 4 2 4 2 2 4 2 2 3" xfId="26330" xr:uid="{608A0D27-17F4-4215-8A57-21365BCBDEB6}"/>
    <cellStyle name="Normal 4 2 4 2 2 4 2 3" xfId="12814" xr:uid="{3CA102F1-B86A-4DBB-BC81-A0CFA77F6D44}"/>
    <cellStyle name="Normal 4 2 4 2 2 4 2 3 2" xfId="31410" xr:uid="{7EF3A2B1-6CF9-41F6-A2F5-A76A655C2788}"/>
    <cellStyle name="Normal 4 2 4 2 2 4 2 4" xfId="22113" xr:uid="{B1A4A48E-2585-4494-B30E-E19FCF7726F8}"/>
    <cellStyle name="Normal 4 2 4 2 2 4 3" xfId="5560" xr:uid="{00000000-0005-0000-0000-00004A130000}"/>
    <cellStyle name="Normal 4 2 4 2 2 4 3 2" xfId="14886" xr:uid="{AAE9BBBE-ED5B-432D-8B94-41CC754AABDE}"/>
    <cellStyle name="Normal 4 2 4 2 2 4 3 2 2" xfId="33482" xr:uid="{95C1AC6A-85DA-4DFB-8772-96814D46EE89}"/>
    <cellStyle name="Normal 4 2 4 2 2 4 3 3" xfId="24185" xr:uid="{5896CB32-FCFB-4FDD-ACE8-4CF306D1AA05}"/>
    <cellStyle name="Normal 4 2 4 2 2 4 4" xfId="10669" xr:uid="{A05497EA-89DF-4832-9E4A-3BB43812E217}"/>
    <cellStyle name="Normal 4 2 4 2 2 4 4 2" xfId="29265" xr:uid="{DF481FE5-B5C9-4E67-9831-EF23E376ADB7}"/>
    <cellStyle name="Normal 4 2 4 2 2 4 5" xfId="19968" xr:uid="{5639EBC5-5943-4D87-8420-0F861DA5E5DA}"/>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F5AAF64F-CF84-4D8A-8056-2A13A1B0BA3B}"/>
    <cellStyle name="Normal 4 2 4 2 2 5 2 2 2 2" xfId="36040" xr:uid="{FE1DA0CF-CE95-40A2-BF70-1D61A1DCC2A2}"/>
    <cellStyle name="Normal 4 2 4 2 2 5 2 2 3" xfId="26743" xr:uid="{951F075D-7CD8-416A-A92C-B4C1DFA60D3D}"/>
    <cellStyle name="Normal 4 2 4 2 2 5 2 3" xfId="13227" xr:uid="{8D1D9938-26AC-44DF-AE3F-0FC63A179965}"/>
    <cellStyle name="Normal 4 2 4 2 2 5 2 3 2" xfId="31823" xr:uid="{3C15CC7F-27CD-46D1-8C20-061749DD9D57}"/>
    <cellStyle name="Normal 4 2 4 2 2 5 2 4" xfId="22526" xr:uid="{3F55CDE2-E467-4EE9-956F-019070C9ED37}"/>
    <cellStyle name="Normal 4 2 4 2 2 5 3" xfId="5973" xr:uid="{00000000-0005-0000-0000-00004E130000}"/>
    <cellStyle name="Normal 4 2 4 2 2 5 3 2" xfId="15299" xr:uid="{63764B7A-5DBF-41B3-8E4F-0141C1A107E6}"/>
    <cellStyle name="Normal 4 2 4 2 2 5 3 2 2" xfId="33895" xr:uid="{87E9E963-423C-43A3-A3B7-15F61EA681B0}"/>
    <cellStyle name="Normal 4 2 4 2 2 5 3 3" xfId="24598" xr:uid="{5F7947C2-A9F6-4C64-BC7A-8CBAA7E33EB4}"/>
    <cellStyle name="Normal 4 2 4 2 2 5 4" xfId="11082" xr:uid="{12A2DE89-EB04-4122-9EB2-6226F76A5882}"/>
    <cellStyle name="Normal 4 2 4 2 2 5 4 2" xfId="29678" xr:uid="{166B9486-EFDA-4C18-940A-1C807A3592A8}"/>
    <cellStyle name="Normal 4 2 4 2 2 5 5" xfId="20381" xr:uid="{292FB302-DEE4-4292-A70B-4967953919DB}"/>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26B9051C-C9EA-4134-B72C-4F0733F7B89C}"/>
    <cellStyle name="Normal 4 2 4 2 2 6 2 2 2 2" xfId="36453" xr:uid="{13073899-83FA-45F7-808C-ADDF30DEBED1}"/>
    <cellStyle name="Normal 4 2 4 2 2 6 2 2 3" xfId="27156" xr:uid="{CD4F9C0C-432F-4B08-8AD2-0A795CFD7473}"/>
    <cellStyle name="Normal 4 2 4 2 2 6 2 3" xfId="13640" xr:uid="{7D8CCFB7-EF5F-464F-8EA0-32914FFC8CE4}"/>
    <cellStyle name="Normal 4 2 4 2 2 6 2 3 2" xfId="32236" xr:uid="{86FCA33E-5812-477B-91DC-D487F52EDD5D}"/>
    <cellStyle name="Normal 4 2 4 2 2 6 2 4" xfId="22939" xr:uid="{F381B6A2-B654-475E-8D29-B3C3444E048F}"/>
    <cellStyle name="Normal 4 2 4 2 2 6 3" xfId="6386" xr:uid="{00000000-0005-0000-0000-000052130000}"/>
    <cellStyle name="Normal 4 2 4 2 2 6 3 2" xfId="15712" xr:uid="{8EBFF301-5D70-478C-91E4-42E48706117E}"/>
    <cellStyle name="Normal 4 2 4 2 2 6 3 2 2" xfId="34308" xr:uid="{1340BDF9-8986-4560-A253-62F2C8837A2D}"/>
    <cellStyle name="Normal 4 2 4 2 2 6 3 3" xfId="25011" xr:uid="{7AF13F55-B637-462F-95DB-AE7437F6B2EC}"/>
    <cellStyle name="Normal 4 2 4 2 2 6 4" xfId="11495" xr:uid="{A6625647-B2CA-4829-8210-FA97D0F60103}"/>
    <cellStyle name="Normal 4 2 4 2 2 6 4 2" xfId="30091" xr:uid="{D52245F9-0377-483F-8281-D50D2215C687}"/>
    <cellStyle name="Normal 4 2 4 2 2 6 5" xfId="20794" xr:uid="{85105776-7873-4D1B-8B2F-5CA3AD109D8C}"/>
    <cellStyle name="Normal 4 2 4 2 2 7" xfId="2516" xr:uid="{00000000-0005-0000-0000-000053130000}"/>
    <cellStyle name="Normal 4 2 4 2 2 7 2" xfId="6799" xr:uid="{00000000-0005-0000-0000-000054130000}"/>
    <cellStyle name="Normal 4 2 4 2 2 7 2 2" xfId="16125" xr:uid="{7951FC48-5241-4E48-A71A-2F017BF642A6}"/>
    <cellStyle name="Normal 4 2 4 2 2 7 2 2 2" xfId="34721" xr:uid="{ECFBFDB3-90D1-4D34-BB04-9CBE62B20DFD}"/>
    <cellStyle name="Normal 4 2 4 2 2 7 2 3" xfId="25424" xr:uid="{82B80614-465B-42A4-A3D3-05E3E5E14D9C}"/>
    <cellStyle name="Normal 4 2 4 2 2 7 3" xfId="11908" xr:uid="{F5492113-813A-4E7C-B601-8FDFAEFFC2B0}"/>
    <cellStyle name="Normal 4 2 4 2 2 7 3 2" xfId="30504" xr:uid="{C200CBAD-743C-4ED7-9294-FE3BF86365A3}"/>
    <cellStyle name="Normal 4 2 4 2 2 7 4" xfId="21207" xr:uid="{7B7DBAB9-C419-4E8B-A5A1-E2FFA8C5B58C}"/>
    <cellStyle name="Normal 4 2 4 2 2 8" xfId="4734" xr:uid="{00000000-0005-0000-0000-000055130000}"/>
    <cellStyle name="Normal 4 2 4 2 2 8 2" xfId="14060" xr:uid="{4047FA04-BBC2-481D-B526-EF680EE9F7C4}"/>
    <cellStyle name="Normal 4 2 4 2 2 8 2 2" xfId="32656" xr:uid="{092DBE6C-6BBC-4041-95C3-31B69E308CED}"/>
    <cellStyle name="Normal 4 2 4 2 2 8 3" xfId="23359" xr:uid="{5C701878-B321-4C84-8731-7CD005DFE568}"/>
    <cellStyle name="Normal 4 2 4 2 2 9" xfId="8923" xr:uid="{2BBE6936-33B8-4624-9F85-2EE83C62ACB2}"/>
    <cellStyle name="Normal 4 2 4 2 2 9 2" xfId="18247" xr:uid="{6F8C0E44-6467-432D-BC71-01101014C700}"/>
    <cellStyle name="Normal 4 2 4 2 2 9 2 2" xfId="36842" xr:uid="{37379D43-CAE2-418E-8880-2181E64CA3D1}"/>
    <cellStyle name="Normal 4 2 4 2 2 9 3" xfId="27545" xr:uid="{4EDD8D1E-82AE-471B-AB10-21D3734BB786}"/>
    <cellStyle name="Normal 4 2 4 2 3" xfId="359" xr:uid="{00000000-0005-0000-0000-000056130000}"/>
    <cellStyle name="Normal 4 2 4 2 3 10" xfId="19144" xr:uid="{29A34D61-0087-4487-9B23-B8626D96546D}"/>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71C14EFB-5A89-4E14-812E-ECE3E20A91B9}"/>
    <cellStyle name="Normal 4 2 4 2 3 2 2 2 2 2" xfId="35216" xr:uid="{87315498-A691-4324-A243-10089AB61E99}"/>
    <cellStyle name="Normal 4 2 4 2 3 2 2 2 3" xfId="25919" xr:uid="{BB0C6478-F447-49B0-8CCE-1C6E68CFCA0A}"/>
    <cellStyle name="Normal 4 2 4 2 3 2 2 3" xfId="12403" xr:uid="{DEB357E8-CF9A-4E25-9E86-9C41930007C4}"/>
    <cellStyle name="Normal 4 2 4 2 3 2 2 3 2" xfId="30999" xr:uid="{C28B5C15-F1F5-42EB-8198-CCE8CF886DE7}"/>
    <cellStyle name="Normal 4 2 4 2 3 2 2 4" xfId="21702" xr:uid="{9FCFA3B3-B7AF-45F0-9F71-BDBA4A69DC64}"/>
    <cellStyle name="Normal 4 2 4 2 3 2 3" xfId="5149" xr:uid="{00000000-0005-0000-0000-00005A130000}"/>
    <cellStyle name="Normal 4 2 4 2 3 2 3 2" xfId="14475" xr:uid="{A3D64AF7-5199-4839-A42B-E7F4BF9B0D4C}"/>
    <cellStyle name="Normal 4 2 4 2 3 2 3 2 2" xfId="33071" xr:uid="{4747C360-8AF9-461D-940D-D698DB65719E}"/>
    <cellStyle name="Normal 4 2 4 2 3 2 3 3" xfId="23774" xr:uid="{A3A98CB3-650C-4E55-8D16-B202528971ED}"/>
    <cellStyle name="Normal 4 2 4 2 3 2 4" xfId="9452" xr:uid="{58F46659-8F00-4705-8554-54AEBE9B8A77}"/>
    <cellStyle name="Normal 4 2 4 2 3 2 4 2" xfId="18767" xr:uid="{8AC249C2-C2D6-45F6-ACFD-2238CD59BE8A}"/>
    <cellStyle name="Normal 4 2 4 2 3 2 4 2 2" xfId="37361" xr:uid="{1E1BC8D6-E659-44BC-994B-34E15D828571}"/>
    <cellStyle name="Normal 4 2 4 2 3 2 4 3" xfId="28064" xr:uid="{07B904A2-5BE8-4562-BAC4-D573478205A5}"/>
    <cellStyle name="Normal 4 2 4 2 3 2 5" xfId="10258" xr:uid="{535B6C67-A935-4D9F-91AA-8DA07C102DF6}"/>
    <cellStyle name="Normal 4 2 4 2 3 2 5 2" xfId="28854" xr:uid="{ADFF467F-348C-4F17-9316-E68CA5A19474}"/>
    <cellStyle name="Normal 4 2 4 2 3 2 6" xfId="19557" xr:uid="{A84D1D37-39C4-41DD-B188-9C47639E16E9}"/>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513BA31D-87B1-4EFF-B504-61DEFAFBB700}"/>
    <cellStyle name="Normal 4 2 4 2 3 3 2 2 2 2" xfId="35629" xr:uid="{D5617B79-28D1-47A3-AF15-67A170090263}"/>
    <cellStyle name="Normal 4 2 4 2 3 3 2 2 3" xfId="26332" xr:uid="{2E8C8206-4F9D-4901-8A13-DF784310E556}"/>
    <cellStyle name="Normal 4 2 4 2 3 3 2 3" xfId="12816" xr:uid="{6ACBAFE1-1124-4538-B660-5A88FA1600D2}"/>
    <cellStyle name="Normal 4 2 4 2 3 3 2 3 2" xfId="31412" xr:uid="{C5219A83-7A35-4746-B277-3848D7798BD2}"/>
    <cellStyle name="Normal 4 2 4 2 3 3 2 4" xfId="22115" xr:uid="{5C993EF4-224C-4F79-9216-69CD4C2CE5EA}"/>
    <cellStyle name="Normal 4 2 4 2 3 3 3" xfId="5562" xr:uid="{00000000-0005-0000-0000-00005E130000}"/>
    <cellStyle name="Normal 4 2 4 2 3 3 3 2" xfId="14888" xr:uid="{1B3D9AB1-9124-4B1B-BB3B-E513D6572A7C}"/>
    <cellStyle name="Normal 4 2 4 2 3 3 3 2 2" xfId="33484" xr:uid="{B93C8DC1-05E9-4693-B0D3-E8ABA26A70DF}"/>
    <cellStyle name="Normal 4 2 4 2 3 3 3 3" xfId="24187" xr:uid="{EBC584EA-38CF-426F-BF70-1343B6445D31}"/>
    <cellStyle name="Normal 4 2 4 2 3 3 4" xfId="10671" xr:uid="{951AD116-71C2-4E59-AEC5-1D2738B9B4AF}"/>
    <cellStyle name="Normal 4 2 4 2 3 3 4 2" xfId="29267" xr:uid="{57FF9084-F583-4FFB-850F-66D299D922A1}"/>
    <cellStyle name="Normal 4 2 4 2 3 3 5" xfId="19970" xr:uid="{986A97E3-8FAA-4042-BEE2-429C228F2539}"/>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BF27AE73-B496-471D-BF36-85FC28637E5A}"/>
    <cellStyle name="Normal 4 2 4 2 3 4 2 2 2 2" xfId="36042" xr:uid="{80AD6E0A-A3D2-4C4A-A7BA-AAE8BA26E5A2}"/>
    <cellStyle name="Normal 4 2 4 2 3 4 2 2 3" xfId="26745" xr:uid="{5265D154-851E-4A5D-A131-4D5045412C44}"/>
    <cellStyle name="Normal 4 2 4 2 3 4 2 3" xfId="13229" xr:uid="{CE7EC52C-6B36-4A8D-BB52-9625CAB6E8A7}"/>
    <cellStyle name="Normal 4 2 4 2 3 4 2 3 2" xfId="31825" xr:uid="{06E961D5-87FA-4F8F-BE55-38C8A2C7BCDD}"/>
    <cellStyle name="Normal 4 2 4 2 3 4 2 4" xfId="22528" xr:uid="{7612B45A-B458-4EA1-957A-E301BF3C3569}"/>
    <cellStyle name="Normal 4 2 4 2 3 4 3" xfId="5975" xr:uid="{00000000-0005-0000-0000-000062130000}"/>
    <cellStyle name="Normal 4 2 4 2 3 4 3 2" xfId="15301" xr:uid="{16B9BA91-F001-4BE5-BE03-A34A7CF0CD66}"/>
    <cellStyle name="Normal 4 2 4 2 3 4 3 2 2" xfId="33897" xr:uid="{1B5F312A-6F50-4D17-95E3-51B6E2471162}"/>
    <cellStyle name="Normal 4 2 4 2 3 4 3 3" xfId="24600" xr:uid="{DA015ACE-3A95-45EF-9AC0-7C28F4E002BF}"/>
    <cellStyle name="Normal 4 2 4 2 3 4 4" xfId="11084" xr:uid="{ED7A19DA-7D43-4E07-A022-306544F3722B}"/>
    <cellStyle name="Normal 4 2 4 2 3 4 4 2" xfId="29680" xr:uid="{A6ECF22A-1CFF-4ECD-BAC9-4DC91FAB1CFE}"/>
    <cellStyle name="Normal 4 2 4 2 3 4 5" xfId="20383" xr:uid="{1FF598F1-B15E-4CF9-B5CB-2696AB6205E1}"/>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D8B5769F-87FA-424D-85FC-A096818730B5}"/>
    <cellStyle name="Normal 4 2 4 2 3 5 2 2 2 2" xfId="36455" xr:uid="{DCEB71FA-C325-4FE4-8047-7D819917666B}"/>
    <cellStyle name="Normal 4 2 4 2 3 5 2 2 3" xfId="27158" xr:uid="{4FA7993B-51CA-426C-981E-93F321EC19B5}"/>
    <cellStyle name="Normal 4 2 4 2 3 5 2 3" xfId="13642" xr:uid="{11507CFB-2404-46B9-8206-A5C935A0F694}"/>
    <cellStyle name="Normal 4 2 4 2 3 5 2 3 2" xfId="32238" xr:uid="{5A54FAD8-3B54-4F1B-9A5A-59AE81029C15}"/>
    <cellStyle name="Normal 4 2 4 2 3 5 2 4" xfId="22941" xr:uid="{F33D38D3-B225-4A3F-901E-B0B3E6C1771B}"/>
    <cellStyle name="Normal 4 2 4 2 3 5 3" xfId="6388" xr:uid="{00000000-0005-0000-0000-000066130000}"/>
    <cellStyle name="Normal 4 2 4 2 3 5 3 2" xfId="15714" xr:uid="{EAF2DA02-961D-4240-959D-FA49D82FAF40}"/>
    <cellStyle name="Normal 4 2 4 2 3 5 3 2 2" xfId="34310" xr:uid="{C6CA26B3-5C41-47E1-9532-33DCA98C23A2}"/>
    <cellStyle name="Normal 4 2 4 2 3 5 3 3" xfId="25013" xr:uid="{9213D232-1820-4E76-97DE-EF5F3629B195}"/>
    <cellStyle name="Normal 4 2 4 2 3 5 4" xfId="11497" xr:uid="{CFD761C5-ED98-46D6-BFB2-626D47455F55}"/>
    <cellStyle name="Normal 4 2 4 2 3 5 4 2" xfId="30093" xr:uid="{22992CFD-5E9C-41B9-989E-6BEC3C7EAA50}"/>
    <cellStyle name="Normal 4 2 4 2 3 5 5" xfId="20796" xr:uid="{550D167C-B471-4DB2-96E0-7C0AC67AF15C}"/>
    <cellStyle name="Normal 4 2 4 2 3 6" xfId="2518" xr:uid="{00000000-0005-0000-0000-000067130000}"/>
    <cellStyle name="Normal 4 2 4 2 3 6 2" xfId="6801" xr:uid="{00000000-0005-0000-0000-000068130000}"/>
    <cellStyle name="Normal 4 2 4 2 3 6 2 2" xfId="16127" xr:uid="{6D00C8EC-EEAB-4699-93AC-FAB0851D427C}"/>
    <cellStyle name="Normal 4 2 4 2 3 6 2 2 2" xfId="34723" xr:uid="{F142D777-E918-482A-8702-E9B12313A5AA}"/>
    <cellStyle name="Normal 4 2 4 2 3 6 2 3" xfId="25426" xr:uid="{1C47F51D-CC25-4B94-94CE-D7FF579D8463}"/>
    <cellStyle name="Normal 4 2 4 2 3 6 3" xfId="11910" xr:uid="{33688F2C-874C-46A9-9D35-5A8CDEB9B9CE}"/>
    <cellStyle name="Normal 4 2 4 2 3 6 3 2" xfId="30506" xr:uid="{7C7D3B43-8971-4FAB-9B8C-14C058E7BF2F}"/>
    <cellStyle name="Normal 4 2 4 2 3 6 4" xfId="21209" xr:uid="{78C79D2A-3283-48EC-B0CB-A42EDCD79988}"/>
    <cellStyle name="Normal 4 2 4 2 3 7" xfId="4736" xr:uid="{00000000-0005-0000-0000-000069130000}"/>
    <cellStyle name="Normal 4 2 4 2 3 7 2" xfId="14062" xr:uid="{C53E29CD-B596-45EB-8C68-BEA8D3709301}"/>
    <cellStyle name="Normal 4 2 4 2 3 7 2 2" xfId="32658" xr:uid="{01D1BACC-8D13-4F76-AFB6-77655043AE10}"/>
    <cellStyle name="Normal 4 2 4 2 3 7 3" xfId="23361" xr:uid="{FD53EC97-89BA-4C1C-8584-C20C5DDE45DB}"/>
    <cellStyle name="Normal 4 2 4 2 3 8" xfId="9027" xr:uid="{DA430019-E492-48BB-ACD5-5BE853C50FBC}"/>
    <cellStyle name="Normal 4 2 4 2 3 8 2" xfId="18351" xr:uid="{731FD5F6-9320-43F1-B819-CB385405614F}"/>
    <cellStyle name="Normal 4 2 4 2 3 8 2 2" xfId="36946" xr:uid="{7084267B-4643-45B5-B78F-3117AB450D04}"/>
    <cellStyle name="Normal 4 2 4 2 3 8 3" xfId="27649" xr:uid="{2212E8EA-5054-422C-822C-345D009F76AD}"/>
    <cellStyle name="Normal 4 2 4 2 3 9" xfId="9845" xr:uid="{A3FE71EF-DB48-480A-82F8-D2195F30C9BB}"/>
    <cellStyle name="Normal 4 2 4 2 3 9 2" xfId="28441" xr:uid="{A7934388-0DB2-400D-8F11-4DA502CD1433}"/>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0C60F829-B665-4405-B3AC-48A62C9379B0}"/>
    <cellStyle name="Normal 4 2 4 2 4 2 2 2 2" xfId="35213" xr:uid="{89D0DA72-83D4-45C9-B026-C7E0AFFA0171}"/>
    <cellStyle name="Normal 4 2 4 2 4 2 2 3" xfId="25916" xr:uid="{96AB038A-47BA-46C3-8311-B9A9E3AF2C8F}"/>
    <cellStyle name="Normal 4 2 4 2 4 2 3" xfId="12400" xr:uid="{4FBC2A4D-B588-42FA-A50A-1338F8C4BDC4}"/>
    <cellStyle name="Normal 4 2 4 2 4 2 3 2" xfId="30996" xr:uid="{835C176B-6FE7-4DFA-B30F-F6534A3065DE}"/>
    <cellStyle name="Normal 4 2 4 2 4 2 4" xfId="21699" xr:uid="{D79154B6-F724-4067-94A2-77C864082ACB}"/>
    <cellStyle name="Normal 4 2 4 2 4 3" xfId="5146" xr:uid="{00000000-0005-0000-0000-00006D130000}"/>
    <cellStyle name="Normal 4 2 4 2 4 3 2" xfId="14472" xr:uid="{44FCC2FF-64BE-46BB-B786-812B065654F8}"/>
    <cellStyle name="Normal 4 2 4 2 4 3 2 2" xfId="33068" xr:uid="{39EB9B7A-3407-4661-BE03-305286A009B8}"/>
    <cellStyle name="Normal 4 2 4 2 4 3 3" xfId="23771" xr:uid="{25446127-22B9-4830-973F-076046F5C32C}"/>
    <cellStyle name="Normal 4 2 4 2 4 4" xfId="9245" xr:uid="{A0383DD8-843E-4601-922A-5CDD979D0589}"/>
    <cellStyle name="Normal 4 2 4 2 4 4 2" xfId="18560" xr:uid="{98D1D340-DFE5-4065-ACA9-765DEC8FF781}"/>
    <cellStyle name="Normal 4 2 4 2 4 4 2 2" xfId="37154" xr:uid="{8B8492FB-504A-4AD0-BDD3-C13E661F6FA0}"/>
    <cellStyle name="Normal 4 2 4 2 4 4 3" xfId="27857" xr:uid="{C023A60A-71F5-4B67-9E7D-9CE4810743CB}"/>
    <cellStyle name="Normal 4 2 4 2 4 5" xfId="10255" xr:uid="{0E55C61F-AC57-4158-91F9-C60DA27F9B06}"/>
    <cellStyle name="Normal 4 2 4 2 4 5 2" xfId="28851" xr:uid="{1D96D134-3582-40B2-BFFF-D23AA77D6B78}"/>
    <cellStyle name="Normal 4 2 4 2 4 6" xfId="19554" xr:uid="{9E694EE6-9F88-459B-ABD8-A24011793D53}"/>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8215B30B-F015-4D55-8041-C87863518B17}"/>
    <cellStyle name="Normal 4 2 4 2 5 2 2 2 2" xfId="35626" xr:uid="{71A7EFA5-1AEC-4544-803E-C5D03F91EFA9}"/>
    <cellStyle name="Normal 4 2 4 2 5 2 2 3" xfId="26329" xr:uid="{B781EDAA-0AAE-4C8D-8A68-E8B41BADF51F}"/>
    <cellStyle name="Normal 4 2 4 2 5 2 3" xfId="12813" xr:uid="{D16EF46F-E527-4F08-945A-F93B4D358C31}"/>
    <cellStyle name="Normal 4 2 4 2 5 2 3 2" xfId="31409" xr:uid="{09F892B7-ADE5-45AC-8CCC-8F169492F1AE}"/>
    <cellStyle name="Normal 4 2 4 2 5 2 4" xfId="22112" xr:uid="{F64ED2A4-17CB-4F54-B8CB-5E9BB8528CC5}"/>
    <cellStyle name="Normal 4 2 4 2 5 3" xfId="5559" xr:uid="{00000000-0005-0000-0000-000071130000}"/>
    <cellStyle name="Normal 4 2 4 2 5 3 2" xfId="14885" xr:uid="{545FB7FC-2123-4CE8-9F2B-DCA7BEF19685}"/>
    <cellStyle name="Normal 4 2 4 2 5 3 2 2" xfId="33481" xr:uid="{D53800B3-C2F3-4882-A41C-729D9D8E3B24}"/>
    <cellStyle name="Normal 4 2 4 2 5 3 3" xfId="24184" xr:uid="{2B2A6AAD-0672-44EE-A77D-1B0A97A0A39A}"/>
    <cellStyle name="Normal 4 2 4 2 5 4" xfId="10668" xr:uid="{347F5534-9841-497F-805E-483B3BF80ED1}"/>
    <cellStyle name="Normal 4 2 4 2 5 4 2" xfId="29264" xr:uid="{FA5F91C3-1330-4EE4-8C2A-3BB42732F39E}"/>
    <cellStyle name="Normal 4 2 4 2 5 5" xfId="19967" xr:uid="{376E92A2-05B1-4D42-A88E-18A47A5A080A}"/>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5A702454-5182-4B66-8FD2-A016040313F1}"/>
    <cellStyle name="Normal 4 2 4 2 6 2 2 2 2" xfId="36039" xr:uid="{CB4346B8-66FA-47F1-8BE8-9BDF248BE531}"/>
    <cellStyle name="Normal 4 2 4 2 6 2 2 3" xfId="26742" xr:uid="{01EA5138-0F2F-44C2-9E5B-ED6FC6D793C9}"/>
    <cellStyle name="Normal 4 2 4 2 6 2 3" xfId="13226" xr:uid="{8D36F9C0-473C-4AC5-88E4-BC66D5162377}"/>
    <cellStyle name="Normal 4 2 4 2 6 2 3 2" xfId="31822" xr:uid="{286150A3-9098-435A-8853-DBA445AA3207}"/>
    <cellStyle name="Normal 4 2 4 2 6 2 4" xfId="22525" xr:uid="{7D2A6BEF-4D34-425B-A177-A9C7E7628E40}"/>
    <cellStyle name="Normal 4 2 4 2 6 3" xfId="5972" xr:uid="{00000000-0005-0000-0000-000075130000}"/>
    <cellStyle name="Normal 4 2 4 2 6 3 2" xfId="15298" xr:uid="{7FB89FE8-140F-47B0-A393-AD1B6741D41A}"/>
    <cellStyle name="Normal 4 2 4 2 6 3 2 2" xfId="33894" xr:uid="{A22F8754-928C-4C3E-9239-B8B6C7E3510C}"/>
    <cellStyle name="Normal 4 2 4 2 6 3 3" xfId="24597" xr:uid="{76B44AAA-8B4E-46BE-861E-B3B07B239AC9}"/>
    <cellStyle name="Normal 4 2 4 2 6 4" xfId="11081" xr:uid="{22B8FA9D-426C-4EE4-B8B5-5738F622AFF9}"/>
    <cellStyle name="Normal 4 2 4 2 6 4 2" xfId="29677" xr:uid="{1EC6C66D-DC4D-4F8D-A926-9BE2AFA91B4D}"/>
    <cellStyle name="Normal 4 2 4 2 6 5" xfId="20380" xr:uid="{D5AA1AC8-4812-4F65-9F3C-65299A598172}"/>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4BCEDD92-1B05-492E-B264-93014AD13F4B}"/>
    <cellStyle name="Normal 4 2 4 2 7 2 2 2 2" xfId="36452" xr:uid="{8F9C6A45-BC87-4803-94C1-F4D62BCB8CD4}"/>
    <cellStyle name="Normal 4 2 4 2 7 2 2 3" xfId="27155" xr:uid="{91564131-E9DC-4848-A98B-06055158196F}"/>
    <cellStyle name="Normal 4 2 4 2 7 2 3" xfId="13639" xr:uid="{2FDF9D55-2590-4249-A9EB-DC2BF84CBF6C}"/>
    <cellStyle name="Normal 4 2 4 2 7 2 3 2" xfId="32235" xr:uid="{334A65BD-F841-4661-A38D-BF55BD629BB3}"/>
    <cellStyle name="Normal 4 2 4 2 7 2 4" xfId="22938" xr:uid="{75824E75-1D7C-416E-A265-C0AA62E4E6DC}"/>
    <cellStyle name="Normal 4 2 4 2 7 3" xfId="6385" xr:uid="{00000000-0005-0000-0000-000079130000}"/>
    <cellStyle name="Normal 4 2 4 2 7 3 2" xfId="15711" xr:uid="{2060B37D-6B9C-4502-98FC-236231215936}"/>
    <cellStyle name="Normal 4 2 4 2 7 3 2 2" xfId="34307" xr:uid="{F82107F2-698D-4A18-B9C3-9ED1C13D8779}"/>
    <cellStyle name="Normal 4 2 4 2 7 3 3" xfId="25010" xr:uid="{69870893-1CC9-4593-8272-97D2C82AA059}"/>
    <cellStyle name="Normal 4 2 4 2 7 4" xfId="11494" xr:uid="{42F0FF02-8377-4BEC-BAA1-37463C0A03E6}"/>
    <cellStyle name="Normal 4 2 4 2 7 4 2" xfId="30090" xr:uid="{7306914B-3CE7-471E-AA2F-9593589284D1}"/>
    <cellStyle name="Normal 4 2 4 2 7 5" xfId="20793" xr:uid="{71CF554C-9398-40EB-8E1E-15FD3813D827}"/>
    <cellStyle name="Normal 4 2 4 2 8" xfId="2515" xr:uid="{00000000-0005-0000-0000-00007A130000}"/>
    <cellStyle name="Normal 4 2 4 2 8 2" xfId="6798" xr:uid="{00000000-0005-0000-0000-00007B130000}"/>
    <cellStyle name="Normal 4 2 4 2 8 2 2" xfId="16124" xr:uid="{EA629A62-27B9-4AD2-A76F-E32BF198C928}"/>
    <cellStyle name="Normal 4 2 4 2 8 2 2 2" xfId="34720" xr:uid="{C64FB859-6AFD-44ED-8B5F-60E6CA3F312D}"/>
    <cellStyle name="Normal 4 2 4 2 8 2 3" xfId="25423" xr:uid="{F5503F5E-67C1-4753-8FC5-9E9AA66A4D76}"/>
    <cellStyle name="Normal 4 2 4 2 8 3" xfId="11907" xr:uid="{1C53B986-CC29-4E01-9BD2-A965869633E0}"/>
    <cellStyle name="Normal 4 2 4 2 8 3 2" xfId="30503" xr:uid="{3B68A997-7E3E-4FD5-9F0F-3A3A1A1BD2A4}"/>
    <cellStyle name="Normal 4 2 4 2 8 4" xfId="21206" xr:uid="{54766AC4-44F3-4999-8E40-9A1FEFF56B9C}"/>
    <cellStyle name="Normal 4 2 4 2 9" xfId="4733" xr:uid="{00000000-0005-0000-0000-00007C130000}"/>
    <cellStyle name="Normal 4 2 4 2 9 2" xfId="14059" xr:uid="{1C419A38-71C2-46C9-8174-FDDA55573FE6}"/>
    <cellStyle name="Normal 4 2 4 2 9 2 2" xfId="32655" xr:uid="{4ACCB262-138B-40C6-950F-FC221A47645A}"/>
    <cellStyle name="Normal 4 2 4 2 9 3" xfId="23358" xr:uid="{5AE8CBC6-7C87-4BE7-B92A-7134D603C152}"/>
    <cellStyle name="Normal 4 2 4 3" xfId="360" xr:uid="{00000000-0005-0000-0000-00007D130000}"/>
    <cellStyle name="Normal 4 2 4 3 10" xfId="9846" xr:uid="{95517742-FCD4-451D-8323-0BA617DBD50F}"/>
    <cellStyle name="Normal 4 2 4 3 10 2" xfId="28442" xr:uid="{36A37F44-72F5-4FEE-B185-166B827F21C2}"/>
    <cellStyle name="Normal 4 2 4 3 11" xfId="19145" xr:uid="{52511D88-60EE-4432-BB3A-A33FD4127EDE}"/>
    <cellStyle name="Normal 4 2 4 3 2" xfId="361" xr:uid="{00000000-0005-0000-0000-00007E130000}"/>
    <cellStyle name="Normal 4 2 4 3 2 10" xfId="19146" xr:uid="{3B070F52-828B-4881-9896-3E7EF318D909}"/>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6C775B33-B412-452D-96EA-B3B76554DC65}"/>
    <cellStyle name="Normal 4 2 4 3 2 2 2 2 2 2" xfId="35218" xr:uid="{7D79D1DB-DB21-47C6-88AD-F088D696253F}"/>
    <cellStyle name="Normal 4 2 4 3 2 2 2 2 3" xfId="25921" xr:uid="{75A6609A-CEAE-4A77-9534-E7D1342FEC48}"/>
    <cellStyle name="Normal 4 2 4 3 2 2 2 3" xfId="12405" xr:uid="{D07C4757-E54D-4224-9AE9-BEBCA830967B}"/>
    <cellStyle name="Normal 4 2 4 3 2 2 2 3 2" xfId="31001" xr:uid="{2CBEA1F5-97EF-4525-B02D-E7C5BFD3CDB5}"/>
    <cellStyle name="Normal 4 2 4 3 2 2 2 4" xfId="21704" xr:uid="{1F6EB26F-D1E0-46BB-A7FA-FBFD7BD8CFCA}"/>
    <cellStyle name="Normal 4 2 4 3 2 2 3" xfId="5151" xr:uid="{00000000-0005-0000-0000-000082130000}"/>
    <cellStyle name="Normal 4 2 4 3 2 2 3 2" xfId="14477" xr:uid="{FE3889EB-743F-4CD3-9E12-B76DA8CE6DB6}"/>
    <cellStyle name="Normal 4 2 4 3 2 2 3 2 2" xfId="33073" xr:uid="{87F0C266-9AF5-4E2D-82AE-C89B1E571D49}"/>
    <cellStyle name="Normal 4 2 4 3 2 2 3 3" xfId="23776" xr:uid="{8C249A7E-1B8B-4878-B37C-3317BE14E528}"/>
    <cellStyle name="Normal 4 2 4 3 2 2 4" xfId="9510" xr:uid="{AA534F18-B7F5-44D9-AE7D-03E6DE45E4F9}"/>
    <cellStyle name="Normal 4 2 4 3 2 2 4 2" xfId="18825" xr:uid="{D5A353FB-0E81-4128-BC56-B0F3AE27D464}"/>
    <cellStyle name="Normal 4 2 4 3 2 2 4 2 2" xfId="37419" xr:uid="{B0100CA7-48D7-4982-B996-FFFE16C32512}"/>
    <cellStyle name="Normal 4 2 4 3 2 2 4 3" xfId="28122" xr:uid="{76356B71-6E59-440E-8D33-EC432B10C8E6}"/>
    <cellStyle name="Normal 4 2 4 3 2 2 5" xfId="10260" xr:uid="{78C962C4-656B-4C21-8260-0A9106B6A68E}"/>
    <cellStyle name="Normal 4 2 4 3 2 2 5 2" xfId="28856" xr:uid="{66C9818A-D82F-4968-BD99-084DED3589CA}"/>
    <cellStyle name="Normal 4 2 4 3 2 2 6" xfId="19559" xr:uid="{CF4A40FD-36B0-49E9-B696-DBBABBEC9B94}"/>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CA646C6A-CA9E-4A23-A824-6075F3BF50EF}"/>
    <cellStyle name="Normal 4 2 4 3 2 3 2 2 2 2" xfId="35631" xr:uid="{4E958193-85F2-4593-A2B6-F424F68B6BCF}"/>
    <cellStyle name="Normal 4 2 4 3 2 3 2 2 3" xfId="26334" xr:uid="{5F0A6A20-D873-49EC-B294-A75A85803F17}"/>
    <cellStyle name="Normal 4 2 4 3 2 3 2 3" xfId="12818" xr:uid="{043AF69E-923F-4665-975E-C6FDCD146FD7}"/>
    <cellStyle name="Normal 4 2 4 3 2 3 2 3 2" xfId="31414" xr:uid="{E415D9B7-0B96-4816-A866-5D7323C51129}"/>
    <cellStyle name="Normal 4 2 4 3 2 3 2 4" xfId="22117" xr:uid="{F8EA325E-E1C7-4FA5-A100-C76D25D42BD6}"/>
    <cellStyle name="Normal 4 2 4 3 2 3 3" xfId="5564" xr:uid="{00000000-0005-0000-0000-000086130000}"/>
    <cellStyle name="Normal 4 2 4 3 2 3 3 2" xfId="14890" xr:uid="{824A9EDB-96A6-4EA3-8DBB-8EA5DEC355C1}"/>
    <cellStyle name="Normal 4 2 4 3 2 3 3 2 2" xfId="33486" xr:uid="{7A3A4DC4-C07B-49C5-A33E-4C85A5C8E9E4}"/>
    <cellStyle name="Normal 4 2 4 3 2 3 3 3" xfId="24189" xr:uid="{644DBB5D-57FF-4942-B53A-5630B7B1D6A4}"/>
    <cellStyle name="Normal 4 2 4 3 2 3 4" xfId="10673" xr:uid="{9ED6156F-9ABF-4AE0-9353-B9EB65B0034E}"/>
    <cellStyle name="Normal 4 2 4 3 2 3 4 2" xfId="29269" xr:uid="{E509A7C0-965C-47D5-81C2-886D0A34A473}"/>
    <cellStyle name="Normal 4 2 4 3 2 3 5" xfId="19972" xr:uid="{E3D8D824-3881-494F-BA61-B6ABE0684FA9}"/>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9BA65119-F556-484C-A6B0-409505D5634F}"/>
    <cellStyle name="Normal 4 2 4 3 2 4 2 2 2 2" xfId="36044" xr:uid="{001F27FF-B39F-4FA2-ADF5-3717B574034B}"/>
    <cellStyle name="Normal 4 2 4 3 2 4 2 2 3" xfId="26747" xr:uid="{05527446-3F4D-43B3-8AE1-915608C70D10}"/>
    <cellStyle name="Normal 4 2 4 3 2 4 2 3" xfId="13231" xr:uid="{2888612A-22CF-4BA7-B0CB-277A942C6172}"/>
    <cellStyle name="Normal 4 2 4 3 2 4 2 3 2" xfId="31827" xr:uid="{FCB1D43E-7A96-43CB-9053-949E1F6313B1}"/>
    <cellStyle name="Normal 4 2 4 3 2 4 2 4" xfId="22530" xr:uid="{F0A11422-745E-4F38-A1F5-64A95A05CC1E}"/>
    <cellStyle name="Normal 4 2 4 3 2 4 3" xfId="5977" xr:uid="{00000000-0005-0000-0000-00008A130000}"/>
    <cellStyle name="Normal 4 2 4 3 2 4 3 2" xfId="15303" xr:uid="{2D723C73-5628-4FE4-9E30-2A8E2680F53D}"/>
    <cellStyle name="Normal 4 2 4 3 2 4 3 2 2" xfId="33899" xr:uid="{B7782A7B-5E4D-497A-82B8-2C77CB54969A}"/>
    <cellStyle name="Normal 4 2 4 3 2 4 3 3" xfId="24602" xr:uid="{FF49DB76-B432-474D-B4BB-0AC4308ABFE5}"/>
    <cellStyle name="Normal 4 2 4 3 2 4 4" xfId="11086" xr:uid="{C9CF5FCE-57EB-4F7F-8A34-40B08F836540}"/>
    <cellStyle name="Normal 4 2 4 3 2 4 4 2" xfId="29682" xr:uid="{ABFE5C90-A621-45CF-817A-688FE861F9C4}"/>
    <cellStyle name="Normal 4 2 4 3 2 4 5" xfId="20385" xr:uid="{E0719944-9ED4-4A88-A60A-7BC1C2EC911D}"/>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9671BC10-67FB-40BB-805B-318C02503370}"/>
    <cellStyle name="Normal 4 2 4 3 2 5 2 2 2 2" xfId="36457" xr:uid="{62D3A5A4-56CC-4B9D-9C97-1481EE625043}"/>
    <cellStyle name="Normal 4 2 4 3 2 5 2 2 3" xfId="27160" xr:uid="{3E7183E5-3E8D-4A4F-B851-DFC553171625}"/>
    <cellStyle name="Normal 4 2 4 3 2 5 2 3" xfId="13644" xr:uid="{D29DC456-6D85-41FD-93A0-100DD9E0DEA9}"/>
    <cellStyle name="Normal 4 2 4 3 2 5 2 3 2" xfId="32240" xr:uid="{7D00B9B5-D65F-45BB-B04B-EFB846B3AD62}"/>
    <cellStyle name="Normal 4 2 4 3 2 5 2 4" xfId="22943" xr:uid="{F76222FC-3171-4C48-8726-D7E294A813AA}"/>
    <cellStyle name="Normal 4 2 4 3 2 5 3" xfId="6390" xr:uid="{00000000-0005-0000-0000-00008E130000}"/>
    <cellStyle name="Normal 4 2 4 3 2 5 3 2" xfId="15716" xr:uid="{9A5FFAF6-BC3F-4FB1-AE30-26DB11CEA5FB}"/>
    <cellStyle name="Normal 4 2 4 3 2 5 3 2 2" xfId="34312" xr:uid="{36E3506D-152A-4088-B979-C3E1B305A8A1}"/>
    <cellStyle name="Normal 4 2 4 3 2 5 3 3" xfId="25015" xr:uid="{88CE4B0C-FA3E-4E2D-BB13-0352610C1C6C}"/>
    <cellStyle name="Normal 4 2 4 3 2 5 4" xfId="11499" xr:uid="{DBFF2F29-A390-4A75-8AC7-A09442D0408D}"/>
    <cellStyle name="Normal 4 2 4 3 2 5 4 2" xfId="30095" xr:uid="{21440378-2B0D-47B2-A1A4-11B78DEE2422}"/>
    <cellStyle name="Normal 4 2 4 3 2 5 5" xfId="20798" xr:uid="{F9A8603D-134D-49FB-9891-144C43A864CB}"/>
    <cellStyle name="Normal 4 2 4 3 2 6" xfId="2520" xr:uid="{00000000-0005-0000-0000-00008F130000}"/>
    <cellStyle name="Normal 4 2 4 3 2 6 2" xfId="6803" xr:uid="{00000000-0005-0000-0000-000090130000}"/>
    <cellStyle name="Normal 4 2 4 3 2 6 2 2" xfId="16129" xr:uid="{12A7DE2F-D3AD-4134-B1E9-F51035270872}"/>
    <cellStyle name="Normal 4 2 4 3 2 6 2 2 2" xfId="34725" xr:uid="{91698963-4341-4BE8-BC26-6512DAFF093E}"/>
    <cellStyle name="Normal 4 2 4 3 2 6 2 3" xfId="25428" xr:uid="{95548442-2A78-4D2C-909A-3FADE5EF2FD1}"/>
    <cellStyle name="Normal 4 2 4 3 2 6 3" xfId="11912" xr:uid="{F7F65030-6460-4E92-B54A-AFE72937DC8A}"/>
    <cellStyle name="Normal 4 2 4 3 2 6 3 2" xfId="30508" xr:uid="{E633594D-EDEB-49F4-AAB4-ECF1B2FA5434}"/>
    <cellStyle name="Normal 4 2 4 3 2 6 4" xfId="21211" xr:uid="{74C340DC-DBF5-4080-90D8-0BC4078F317A}"/>
    <cellStyle name="Normal 4 2 4 3 2 7" xfId="4738" xr:uid="{00000000-0005-0000-0000-000091130000}"/>
    <cellStyle name="Normal 4 2 4 3 2 7 2" xfId="14064" xr:uid="{7C0FF55D-D9BC-48BA-BC82-7AB24AE7E9EC}"/>
    <cellStyle name="Normal 4 2 4 3 2 7 2 2" xfId="32660" xr:uid="{F40BB005-0BF0-47A4-AC78-49B7459A24ED}"/>
    <cellStyle name="Normal 4 2 4 3 2 7 3" xfId="23363" xr:uid="{2AA328F8-E395-48ED-A913-09745C5F5761}"/>
    <cellStyle name="Normal 4 2 4 3 2 8" xfId="9085" xr:uid="{0181E53C-86DC-4588-8447-D559FCF01541}"/>
    <cellStyle name="Normal 4 2 4 3 2 8 2" xfId="18409" xr:uid="{03BBC3CE-6EA8-4BC8-9DC6-4FBDD43115EB}"/>
    <cellStyle name="Normal 4 2 4 3 2 8 2 2" xfId="37004" xr:uid="{565D07C1-F168-4578-B43A-DD33F1B23E9B}"/>
    <cellStyle name="Normal 4 2 4 3 2 8 3" xfId="27707" xr:uid="{EBBF4D6E-DE10-4977-8194-F17F2BE42B07}"/>
    <cellStyle name="Normal 4 2 4 3 2 9" xfId="9847" xr:uid="{C2598C3B-526D-475C-83EC-C8BA07DA4D9C}"/>
    <cellStyle name="Normal 4 2 4 3 2 9 2" xfId="28443" xr:uid="{8E2E87E5-50B8-4854-9A02-58A54F384F0D}"/>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7287D4EE-DCC7-486E-9F1A-92560C189449}"/>
    <cellStyle name="Normal 4 2 4 3 3 2 2 2 2" xfId="35217" xr:uid="{F5DA73A6-7DC0-4E78-826E-AE13CB8794D7}"/>
    <cellStyle name="Normal 4 2 4 3 3 2 2 3" xfId="25920" xr:uid="{911DCB20-B8BB-43A4-A89B-7FD88A118F2C}"/>
    <cellStyle name="Normal 4 2 4 3 3 2 3" xfId="12404" xr:uid="{ACE199E1-9CAB-40B6-929A-C263DB2B9C93}"/>
    <cellStyle name="Normal 4 2 4 3 3 2 3 2" xfId="31000" xr:uid="{7E12D030-F6E5-46A9-A72F-CE5C5BD604CB}"/>
    <cellStyle name="Normal 4 2 4 3 3 2 4" xfId="21703" xr:uid="{150E875A-5977-4BF7-80D1-634CFD84AB0E}"/>
    <cellStyle name="Normal 4 2 4 3 3 3" xfId="5150" xr:uid="{00000000-0005-0000-0000-000095130000}"/>
    <cellStyle name="Normal 4 2 4 3 3 3 2" xfId="14476" xr:uid="{8D7A49F0-906B-4B7C-AD5E-018C5138028E}"/>
    <cellStyle name="Normal 4 2 4 3 3 3 2 2" xfId="33072" xr:uid="{15D11754-D580-4DE7-ABD4-98A6A8B03A28}"/>
    <cellStyle name="Normal 4 2 4 3 3 3 3" xfId="23775" xr:uid="{72777793-00BB-45B0-A8EE-0A1E2B022852}"/>
    <cellStyle name="Normal 4 2 4 3 3 4" xfId="9303" xr:uid="{51CE977A-E9B9-47DD-B6CE-3ECF34A578F1}"/>
    <cellStyle name="Normal 4 2 4 3 3 4 2" xfId="18618" xr:uid="{2323A9FA-C562-4103-9F18-CC5592C01513}"/>
    <cellStyle name="Normal 4 2 4 3 3 4 2 2" xfId="37212" xr:uid="{D2D97086-55C9-4C88-9589-41458F43864D}"/>
    <cellStyle name="Normal 4 2 4 3 3 4 3" xfId="27915" xr:uid="{D8DD8489-E8A2-40C6-B004-CB7346285DA7}"/>
    <cellStyle name="Normal 4 2 4 3 3 5" xfId="10259" xr:uid="{1896FF07-39BD-407E-8F8B-85CB1814A699}"/>
    <cellStyle name="Normal 4 2 4 3 3 5 2" xfId="28855" xr:uid="{6F5EC5EB-6994-415C-9F71-01D735488417}"/>
    <cellStyle name="Normal 4 2 4 3 3 6" xfId="19558" xr:uid="{609B1250-C0AF-4A5B-9521-818CF20301FA}"/>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0F4633C7-B331-4E31-AA9B-9684EDE9B45B}"/>
    <cellStyle name="Normal 4 2 4 3 4 2 2 2 2" xfId="35630" xr:uid="{77878770-C761-44A5-8075-1429A9F1888B}"/>
    <cellStyle name="Normal 4 2 4 3 4 2 2 3" xfId="26333" xr:uid="{D2AC4E29-4382-4317-82F2-BAF5C2743AF7}"/>
    <cellStyle name="Normal 4 2 4 3 4 2 3" xfId="12817" xr:uid="{86E6E944-B719-4B12-A2D5-C7E22F7DE0A8}"/>
    <cellStyle name="Normal 4 2 4 3 4 2 3 2" xfId="31413" xr:uid="{313D82C0-4997-43D4-95E0-C155D3E13EC7}"/>
    <cellStyle name="Normal 4 2 4 3 4 2 4" xfId="22116" xr:uid="{18764AEB-82C8-4E89-8761-286A3C9193F5}"/>
    <cellStyle name="Normal 4 2 4 3 4 3" xfId="5563" xr:uid="{00000000-0005-0000-0000-000099130000}"/>
    <cellStyle name="Normal 4 2 4 3 4 3 2" xfId="14889" xr:uid="{FDA09A88-7DF7-4B62-B546-638C24A7D956}"/>
    <cellStyle name="Normal 4 2 4 3 4 3 2 2" xfId="33485" xr:uid="{AF5F47FF-B238-4D6C-99DC-325B1BBFBC79}"/>
    <cellStyle name="Normal 4 2 4 3 4 3 3" xfId="24188" xr:uid="{9BE4A64D-6273-40DC-B0F3-5744FD0046D0}"/>
    <cellStyle name="Normal 4 2 4 3 4 4" xfId="10672" xr:uid="{FFDCAE22-A1D9-44EB-80DA-29C8EEC5D683}"/>
    <cellStyle name="Normal 4 2 4 3 4 4 2" xfId="29268" xr:uid="{138177A0-D08F-4B3D-A99C-76962E3C76D4}"/>
    <cellStyle name="Normal 4 2 4 3 4 5" xfId="19971" xr:uid="{EB215505-F799-49CB-8D4D-F43495CD5D4C}"/>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62EA7220-C61A-43D5-9233-7C371A4999CC}"/>
    <cellStyle name="Normal 4 2 4 3 5 2 2 2 2" xfId="36043" xr:uid="{314B7A5B-2B7A-4B31-88C7-C1CDE2D7B23A}"/>
    <cellStyle name="Normal 4 2 4 3 5 2 2 3" xfId="26746" xr:uid="{75927FDE-5DCD-4CC1-90F6-2FBD12A22C89}"/>
    <cellStyle name="Normal 4 2 4 3 5 2 3" xfId="13230" xr:uid="{052AEB97-490E-404C-BDD7-6428E9F9ECF6}"/>
    <cellStyle name="Normal 4 2 4 3 5 2 3 2" xfId="31826" xr:uid="{C51CB372-F821-45CC-B626-06F1CECA169E}"/>
    <cellStyle name="Normal 4 2 4 3 5 2 4" xfId="22529" xr:uid="{42D4AC28-C333-4830-A22F-4593151A30E9}"/>
    <cellStyle name="Normal 4 2 4 3 5 3" xfId="5976" xr:uid="{00000000-0005-0000-0000-00009D130000}"/>
    <cellStyle name="Normal 4 2 4 3 5 3 2" xfId="15302" xr:uid="{A83347F3-F935-4216-A2EB-9CE76961A4A3}"/>
    <cellStyle name="Normal 4 2 4 3 5 3 2 2" xfId="33898" xr:uid="{49715FF2-44A3-4A79-B97A-C308AD56A877}"/>
    <cellStyle name="Normal 4 2 4 3 5 3 3" xfId="24601" xr:uid="{45661FBE-8809-4C33-98FA-74D5E094F3A4}"/>
    <cellStyle name="Normal 4 2 4 3 5 4" xfId="11085" xr:uid="{186FFDAF-F3C1-4C3A-8F13-5A85B9291784}"/>
    <cellStyle name="Normal 4 2 4 3 5 4 2" xfId="29681" xr:uid="{01C114DE-BBE8-4405-800F-0A9D8CD4FCFC}"/>
    <cellStyle name="Normal 4 2 4 3 5 5" xfId="20384" xr:uid="{772585F7-0FC8-4920-9345-07F9682CC179}"/>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3A8FB183-1787-4516-A0D8-0E714AE46DDA}"/>
    <cellStyle name="Normal 4 2 4 3 6 2 2 2 2" xfId="36456" xr:uid="{4CC488EA-88ED-401C-B051-D0E559BD8B57}"/>
    <cellStyle name="Normal 4 2 4 3 6 2 2 3" xfId="27159" xr:uid="{B6F5F92A-63AF-41C1-995E-196617494397}"/>
    <cellStyle name="Normal 4 2 4 3 6 2 3" xfId="13643" xr:uid="{5C1C2EA2-E80A-440A-B946-FA921674179D}"/>
    <cellStyle name="Normal 4 2 4 3 6 2 3 2" xfId="32239" xr:uid="{E4224C47-4DCB-40A6-9EB2-A3DF6C043DB0}"/>
    <cellStyle name="Normal 4 2 4 3 6 2 4" xfId="22942" xr:uid="{D12B73B2-38D4-4728-A6EA-057C07FF9B96}"/>
    <cellStyle name="Normal 4 2 4 3 6 3" xfId="6389" xr:uid="{00000000-0005-0000-0000-0000A1130000}"/>
    <cellStyle name="Normal 4 2 4 3 6 3 2" xfId="15715" xr:uid="{CC76F29D-FDC6-451C-8D47-EB6FC0CE584D}"/>
    <cellStyle name="Normal 4 2 4 3 6 3 2 2" xfId="34311" xr:uid="{C861468F-9F00-4A7F-8B10-6E5A3717288B}"/>
    <cellStyle name="Normal 4 2 4 3 6 3 3" xfId="25014" xr:uid="{5DA0305B-98BA-4422-A103-0C35AD3892B4}"/>
    <cellStyle name="Normal 4 2 4 3 6 4" xfId="11498" xr:uid="{83728203-9421-4A5E-B507-7DF23B990862}"/>
    <cellStyle name="Normal 4 2 4 3 6 4 2" xfId="30094" xr:uid="{6F76152D-6ED5-499C-9F8B-189044780E47}"/>
    <cellStyle name="Normal 4 2 4 3 6 5" xfId="20797" xr:uid="{98292892-8514-4947-9F32-29AE121EA7D7}"/>
    <cellStyle name="Normal 4 2 4 3 7" xfId="2519" xr:uid="{00000000-0005-0000-0000-0000A2130000}"/>
    <cellStyle name="Normal 4 2 4 3 7 2" xfId="6802" xr:uid="{00000000-0005-0000-0000-0000A3130000}"/>
    <cellStyle name="Normal 4 2 4 3 7 2 2" xfId="16128" xr:uid="{582C7798-5C0E-4105-B654-0CBFE6148565}"/>
    <cellStyle name="Normal 4 2 4 3 7 2 2 2" xfId="34724" xr:uid="{D6578F6F-DD41-4847-877E-E43CC09F86F0}"/>
    <cellStyle name="Normal 4 2 4 3 7 2 3" xfId="25427" xr:uid="{3E5A4C3C-BDC4-495C-B249-BFB293A8A3C0}"/>
    <cellStyle name="Normal 4 2 4 3 7 3" xfId="11911" xr:uid="{C9689351-855F-43A8-AEB7-B24D7396A092}"/>
    <cellStyle name="Normal 4 2 4 3 7 3 2" xfId="30507" xr:uid="{7BA2F67D-2555-4CA2-8A3E-9E7D119E35CE}"/>
    <cellStyle name="Normal 4 2 4 3 7 4" xfId="21210" xr:uid="{2AAA33F8-C752-4DED-8ADC-3FA7B14BE9CB}"/>
    <cellStyle name="Normal 4 2 4 3 8" xfId="4737" xr:uid="{00000000-0005-0000-0000-0000A4130000}"/>
    <cellStyle name="Normal 4 2 4 3 8 2" xfId="14063" xr:uid="{3639DFA4-7E43-40BF-BC1E-6F999D633597}"/>
    <cellStyle name="Normal 4 2 4 3 8 2 2" xfId="32659" xr:uid="{7460FD35-B364-4DC2-8567-BCBFE56F601F}"/>
    <cellStyle name="Normal 4 2 4 3 8 3" xfId="23362" xr:uid="{10EB639A-56B8-42CF-A86A-B45960F6E553}"/>
    <cellStyle name="Normal 4 2 4 3 9" xfId="8878" xr:uid="{B73EE68A-BBFC-4E7A-B773-E14FCCFC8837}"/>
    <cellStyle name="Normal 4 2 4 3 9 2" xfId="18202" xr:uid="{741584E7-FE37-4CD9-83BF-804999351F73}"/>
    <cellStyle name="Normal 4 2 4 3 9 2 2" xfId="36797" xr:uid="{A6A2FD45-8720-4ED4-9D7B-FCE80D421348}"/>
    <cellStyle name="Normal 4 2 4 3 9 3" xfId="27500" xr:uid="{9C6AEFAB-7FBF-4E69-99E1-84347BC2E35E}"/>
    <cellStyle name="Normal 4 2 4 4" xfId="362" xr:uid="{00000000-0005-0000-0000-0000A5130000}"/>
    <cellStyle name="Normal 4 2 4 4 10" xfId="19147" xr:uid="{DCA89A67-3231-4147-AE79-0284D74A7C99}"/>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516A5BB1-93F2-465E-9B7C-51D2EB03AFB1}"/>
    <cellStyle name="Normal 4 2 4 4 2 2 2 2 2" xfId="35219" xr:uid="{CBE6487A-DFEB-41DC-BCA0-5A6CC5A8AE33}"/>
    <cellStyle name="Normal 4 2 4 4 2 2 2 3" xfId="25922" xr:uid="{5A56C5B9-896C-4E07-B569-5B23C13091C6}"/>
    <cellStyle name="Normal 4 2 4 4 2 2 3" xfId="12406" xr:uid="{1D084A3E-178A-42BB-A73E-144C5844DC3B}"/>
    <cellStyle name="Normal 4 2 4 4 2 2 3 2" xfId="31002" xr:uid="{DBF35194-2816-409A-8F87-7E6EA95FA44F}"/>
    <cellStyle name="Normal 4 2 4 4 2 2 4" xfId="21705" xr:uid="{8CC54F26-2726-44D4-9BB9-802B30EC60DF}"/>
    <cellStyle name="Normal 4 2 4 4 2 3" xfId="5152" xr:uid="{00000000-0005-0000-0000-0000A9130000}"/>
    <cellStyle name="Normal 4 2 4 4 2 3 2" xfId="14478" xr:uid="{3446E149-B35E-46FD-B7DC-2CF6A376EA5E}"/>
    <cellStyle name="Normal 4 2 4 4 2 3 2 2" xfId="33074" xr:uid="{62C00219-874F-455F-8741-0C9347F4CC28}"/>
    <cellStyle name="Normal 4 2 4 4 2 3 3" xfId="23777" xr:uid="{3CE57F64-100E-4E64-8BFF-AB59C52E33AC}"/>
    <cellStyle name="Normal 4 2 4 4 2 4" xfId="9407" xr:uid="{5D8D6A7A-388E-41EC-80E9-28307FA015D6}"/>
    <cellStyle name="Normal 4 2 4 4 2 4 2" xfId="18722" xr:uid="{349753FF-7336-41CF-BE97-735C7583192D}"/>
    <cellStyle name="Normal 4 2 4 4 2 4 2 2" xfId="37316" xr:uid="{90332F35-A70F-4932-9630-671EA7312D23}"/>
    <cellStyle name="Normal 4 2 4 4 2 4 3" xfId="28019" xr:uid="{6F29FFDD-2482-4C71-9550-DA3894B3C714}"/>
    <cellStyle name="Normal 4 2 4 4 2 5" xfId="10261" xr:uid="{056C9608-C72A-46F4-9634-9B456F175AA2}"/>
    <cellStyle name="Normal 4 2 4 4 2 5 2" xfId="28857" xr:uid="{72C169A3-8885-4B7A-89AD-72F82F282482}"/>
    <cellStyle name="Normal 4 2 4 4 2 6" xfId="19560" xr:uid="{45DF4BD7-629D-4483-AEA8-1C39FA3017D4}"/>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3303AFA3-76BB-4E65-B9B6-44F711FF764E}"/>
    <cellStyle name="Normal 4 2 4 4 3 2 2 2 2" xfId="35632" xr:uid="{5F3E8A3B-A225-4A0B-B560-2BA83C79E4B5}"/>
    <cellStyle name="Normal 4 2 4 4 3 2 2 3" xfId="26335" xr:uid="{B7E8932F-D636-431D-AD37-DBC8D956A83A}"/>
    <cellStyle name="Normal 4 2 4 4 3 2 3" xfId="12819" xr:uid="{1743A267-ED9B-4DD4-8DC3-DEB728C1C36C}"/>
    <cellStyle name="Normal 4 2 4 4 3 2 3 2" xfId="31415" xr:uid="{B5224736-570B-418B-B987-0A1D265CFBFD}"/>
    <cellStyle name="Normal 4 2 4 4 3 2 4" xfId="22118" xr:uid="{727E0957-AE2B-4557-8005-C72BE590A099}"/>
    <cellStyle name="Normal 4 2 4 4 3 3" xfId="5565" xr:uid="{00000000-0005-0000-0000-0000AD130000}"/>
    <cellStyle name="Normal 4 2 4 4 3 3 2" xfId="14891" xr:uid="{2EEEC635-C44C-4482-93C0-48BA2DC35AE5}"/>
    <cellStyle name="Normal 4 2 4 4 3 3 2 2" xfId="33487" xr:uid="{66105DA7-AB91-4BF2-A5CC-6BB91AD97CEB}"/>
    <cellStyle name="Normal 4 2 4 4 3 3 3" xfId="24190" xr:uid="{B70CA470-98A2-4524-94AB-87F83FE1DE1C}"/>
    <cellStyle name="Normal 4 2 4 4 3 4" xfId="10674" xr:uid="{C802788E-4DEA-43DC-A252-8FF1E80E3D90}"/>
    <cellStyle name="Normal 4 2 4 4 3 4 2" xfId="29270" xr:uid="{9EC3730D-6A76-4F41-9CA5-D82EC16427A5}"/>
    <cellStyle name="Normal 4 2 4 4 3 5" xfId="19973" xr:uid="{C2252824-4796-4BE9-8F85-3FCE4B5C5B0E}"/>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71ED487D-EE4E-4698-A572-8365ED4EDA14}"/>
    <cellStyle name="Normal 4 2 4 4 4 2 2 2 2" xfId="36045" xr:uid="{53069682-DC5B-42D7-85CF-9499E25D82A5}"/>
    <cellStyle name="Normal 4 2 4 4 4 2 2 3" xfId="26748" xr:uid="{362D090F-C916-4F61-A658-FEC8C740476B}"/>
    <cellStyle name="Normal 4 2 4 4 4 2 3" xfId="13232" xr:uid="{15060FF0-C251-420A-A3C8-0069D517F58F}"/>
    <cellStyle name="Normal 4 2 4 4 4 2 3 2" xfId="31828" xr:uid="{F0542C93-0074-4A63-A4DB-D3BD2AF70720}"/>
    <cellStyle name="Normal 4 2 4 4 4 2 4" xfId="22531" xr:uid="{144916C1-6D7D-4E74-9771-30666BEF22D8}"/>
    <cellStyle name="Normal 4 2 4 4 4 3" xfId="5978" xr:uid="{00000000-0005-0000-0000-0000B1130000}"/>
    <cellStyle name="Normal 4 2 4 4 4 3 2" xfId="15304" xr:uid="{E2B53582-C41A-4142-8AA4-79E5E128732C}"/>
    <cellStyle name="Normal 4 2 4 4 4 3 2 2" xfId="33900" xr:uid="{5BFAF7A2-FF73-4FE8-A6B2-D469DD9E76F8}"/>
    <cellStyle name="Normal 4 2 4 4 4 3 3" xfId="24603" xr:uid="{6E1BC475-AC33-49FF-A801-1D87B6C6E07D}"/>
    <cellStyle name="Normal 4 2 4 4 4 4" xfId="11087" xr:uid="{453A84CC-40B2-4F0F-821B-24B07CD50F01}"/>
    <cellStyle name="Normal 4 2 4 4 4 4 2" xfId="29683" xr:uid="{6C093CA3-89CD-4FD5-B76E-1848D164EC16}"/>
    <cellStyle name="Normal 4 2 4 4 4 5" xfId="20386" xr:uid="{3F555735-F3A7-4BE7-ACB1-4EEC6A74E8C1}"/>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54AB9E6B-1B01-4509-B6F8-DD8DFA3C8BE5}"/>
    <cellStyle name="Normal 4 2 4 4 5 2 2 2 2" xfId="36458" xr:uid="{BB0E5485-BEA8-415D-BF6F-C03F510F3D43}"/>
    <cellStyle name="Normal 4 2 4 4 5 2 2 3" xfId="27161" xr:uid="{AABC6AB9-5803-4FF2-B53D-D4E29385323B}"/>
    <cellStyle name="Normal 4 2 4 4 5 2 3" xfId="13645" xr:uid="{602CD6DD-04F5-40F0-82E1-C5B83E120E64}"/>
    <cellStyle name="Normal 4 2 4 4 5 2 3 2" xfId="32241" xr:uid="{34C656DA-FCA3-47F3-91AC-3F613EE7FF44}"/>
    <cellStyle name="Normal 4 2 4 4 5 2 4" xfId="22944" xr:uid="{FD564C8C-C8FF-4BC2-8C5D-93181EA31105}"/>
    <cellStyle name="Normal 4 2 4 4 5 3" xfId="6391" xr:uid="{00000000-0005-0000-0000-0000B5130000}"/>
    <cellStyle name="Normal 4 2 4 4 5 3 2" xfId="15717" xr:uid="{7E7A08BE-432A-403A-BB5E-0BE8E9F02958}"/>
    <cellStyle name="Normal 4 2 4 4 5 3 2 2" xfId="34313" xr:uid="{8C992801-22FC-41CC-BB71-7A2AB64F488B}"/>
    <cellStyle name="Normal 4 2 4 4 5 3 3" xfId="25016" xr:uid="{D46409D2-B0EA-4732-8E99-2D35675F1906}"/>
    <cellStyle name="Normal 4 2 4 4 5 4" xfId="11500" xr:uid="{AF64BEEA-08F5-4230-BE6C-F2DFE71D5F04}"/>
    <cellStyle name="Normal 4 2 4 4 5 4 2" xfId="30096" xr:uid="{45DC6FBC-9C91-4E37-8537-463BA7CCDCFE}"/>
    <cellStyle name="Normal 4 2 4 4 5 5" xfId="20799" xr:uid="{311C1CDC-CCBE-4E55-A98B-BAC786F654FA}"/>
    <cellStyle name="Normal 4 2 4 4 6" xfId="2521" xr:uid="{00000000-0005-0000-0000-0000B6130000}"/>
    <cellStyle name="Normal 4 2 4 4 6 2" xfId="6804" xr:uid="{00000000-0005-0000-0000-0000B7130000}"/>
    <cellStyle name="Normal 4 2 4 4 6 2 2" xfId="16130" xr:uid="{428C31B5-0FFE-4C7D-BA99-CC02D6C10FC2}"/>
    <cellStyle name="Normal 4 2 4 4 6 2 2 2" xfId="34726" xr:uid="{F2A155A2-FB37-4F24-8CC1-6A3BCF2833EE}"/>
    <cellStyle name="Normal 4 2 4 4 6 2 3" xfId="25429" xr:uid="{456DEBE0-4C77-42F6-AAF4-BC2CEABE5DAF}"/>
    <cellStyle name="Normal 4 2 4 4 6 3" xfId="11913" xr:uid="{6A39C52D-92BF-4030-9D2B-701384E52E77}"/>
    <cellStyle name="Normal 4 2 4 4 6 3 2" xfId="30509" xr:uid="{A5D308E1-C413-4C31-9AEF-D3F75F675F64}"/>
    <cellStyle name="Normal 4 2 4 4 6 4" xfId="21212" xr:uid="{F791DA06-0DC9-4BB0-9D5E-246564882E05}"/>
    <cellStyle name="Normal 4 2 4 4 7" xfId="4739" xr:uid="{00000000-0005-0000-0000-0000B8130000}"/>
    <cellStyle name="Normal 4 2 4 4 7 2" xfId="14065" xr:uid="{4034A279-906D-441A-B549-794AD56CFAB2}"/>
    <cellStyle name="Normal 4 2 4 4 7 2 2" xfId="32661" xr:uid="{80AC62A8-57CF-4896-860F-190661DB00CC}"/>
    <cellStyle name="Normal 4 2 4 4 7 3" xfId="23364" xr:uid="{563F9BB3-A96E-4DEA-918D-58D6A2C4ED4C}"/>
    <cellStyle name="Normal 4 2 4 4 8" xfId="8982" xr:uid="{4C273C9B-E12E-4EF2-812F-666600229207}"/>
    <cellStyle name="Normal 4 2 4 4 8 2" xfId="18306" xr:uid="{415CD6FE-7C74-4DD5-9EA0-7632D37442C7}"/>
    <cellStyle name="Normal 4 2 4 4 8 2 2" xfId="36901" xr:uid="{AA976D81-8138-4C84-8416-DEC4F5A7A8B4}"/>
    <cellStyle name="Normal 4 2 4 4 8 3" xfId="27604" xr:uid="{95A2C71B-A13C-4FB1-9D37-81448F3FE869}"/>
    <cellStyle name="Normal 4 2 4 4 9" xfId="9848" xr:uid="{79D63456-56B4-4196-846C-D62F954E006A}"/>
    <cellStyle name="Normal 4 2 4 4 9 2" xfId="28444" xr:uid="{4EB48429-83E4-4B7F-9683-C8A7BADA8B03}"/>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8FE7E223-457B-481D-8654-77E46FE60FE5}"/>
    <cellStyle name="Normal 4 2 4 5 2 2 2 2" xfId="35212" xr:uid="{5F3F8380-B4F8-4774-87D9-E58B80DACB74}"/>
    <cellStyle name="Normal 4 2 4 5 2 2 3" xfId="25915" xr:uid="{D2FBF3D8-E1E3-4FF9-9C49-1998707B8090}"/>
    <cellStyle name="Normal 4 2 4 5 2 3" xfId="12399" xr:uid="{41F3539A-3F30-4C3B-8C4C-76155E9C59E8}"/>
    <cellStyle name="Normal 4 2 4 5 2 3 2" xfId="30995" xr:uid="{F0B73F7A-F03A-470C-95D5-75D64396599D}"/>
    <cellStyle name="Normal 4 2 4 5 2 4" xfId="21698" xr:uid="{1584B90A-213A-4A9D-9B36-E2D046E87B24}"/>
    <cellStyle name="Normal 4 2 4 5 3" xfId="5145" xr:uid="{00000000-0005-0000-0000-0000BC130000}"/>
    <cellStyle name="Normal 4 2 4 5 3 2" xfId="14471" xr:uid="{944D9BC3-5C3E-4E05-99D7-F091A1B29142}"/>
    <cellStyle name="Normal 4 2 4 5 3 2 2" xfId="33067" xr:uid="{F8A95011-CCE1-4FA9-B097-9DE6C19AEFEF}"/>
    <cellStyle name="Normal 4 2 4 5 3 3" xfId="23770" xr:uid="{90F5D70A-DF91-4931-A79C-4D17380EE9E7}"/>
    <cellStyle name="Normal 4 2 4 5 4" xfId="9199" xr:uid="{1A9A2DC3-2FEA-4A30-A92C-84708E9B2741}"/>
    <cellStyle name="Normal 4 2 4 5 4 2" xfId="18515" xr:uid="{3CAE27CB-8318-4DAA-96C5-561401ACCFC2}"/>
    <cellStyle name="Normal 4 2 4 5 4 2 2" xfId="37109" xr:uid="{06CBD377-24D1-474C-848C-E8B21392646A}"/>
    <cellStyle name="Normal 4 2 4 5 4 3" xfId="27812" xr:uid="{5156097D-B4E9-4341-823E-8C3A7E049132}"/>
    <cellStyle name="Normal 4 2 4 5 5" xfId="10254" xr:uid="{24AC0E00-0661-4F8C-834A-BED8EFFA8C15}"/>
    <cellStyle name="Normal 4 2 4 5 5 2" xfId="28850" xr:uid="{BB344F74-287E-4E74-87E1-1E2C3DF40ADD}"/>
    <cellStyle name="Normal 4 2 4 5 6" xfId="19553" xr:uid="{A1C3D444-73FD-47C1-A4B4-A2EF144D98D0}"/>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3333AB12-E16A-4EE7-8ACF-55734FE1AFAD}"/>
    <cellStyle name="Normal 4 2 4 6 2 2 2 2" xfId="35625" xr:uid="{E4BA4B32-ED33-4DBA-B0DD-C1197F4B27EB}"/>
    <cellStyle name="Normal 4 2 4 6 2 2 3" xfId="26328" xr:uid="{C0361D47-708F-45B3-96DD-6EEC2660B2D3}"/>
    <cellStyle name="Normal 4 2 4 6 2 3" xfId="12812" xr:uid="{ED2AD744-9ABA-4168-883E-F3507D59D4EF}"/>
    <cellStyle name="Normal 4 2 4 6 2 3 2" xfId="31408" xr:uid="{4E93249C-79A5-4F45-B57D-3CAC33251ACD}"/>
    <cellStyle name="Normal 4 2 4 6 2 4" xfId="22111" xr:uid="{29862CE7-ADCE-4DA9-AB50-B3A523A765A1}"/>
    <cellStyle name="Normal 4 2 4 6 3" xfId="5558" xr:uid="{00000000-0005-0000-0000-0000C0130000}"/>
    <cellStyle name="Normal 4 2 4 6 3 2" xfId="14884" xr:uid="{36A5D9D5-FD2B-4871-BC13-D0E44619C4FE}"/>
    <cellStyle name="Normal 4 2 4 6 3 2 2" xfId="33480" xr:uid="{E553DE9C-6A6D-410C-9C5F-B8CCA7985ABF}"/>
    <cellStyle name="Normal 4 2 4 6 3 3" xfId="24183" xr:uid="{7F9B51AA-2523-4BB1-9CDF-BC9984C417D1}"/>
    <cellStyle name="Normal 4 2 4 6 4" xfId="10667" xr:uid="{774DB0FE-C855-4697-8E8E-4FD70295E789}"/>
    <cellStyle name="Normal 4 2 4 6 4 2" xfId="29263" xr:uid="{60904604-E01C-47AB-A651-181399AECCB2}"/>
    <cellStyle name="Normal 4 2 4 6 5" xfId="19966" xr:uid="{DF57E590-0317-427F-A63D-455489E58F0E}"/>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AAB67988-9E8B-433A-9263-9D73DD2B6EA0}"/>
    <cellStyle name="Normal 4 2 4 7 2 2 2 2" xfId="36038" xr:uid="{21B71081-E0DB-45D6-B740-CFB23877A3CE}"/>
    <cellStyle name="Normal 4 2 4 7 2 2 3" xfId="26741" xr:uid="{F21ADAE3-4B3E-4916-BF73-F6B201FAE78E}"/>
    <cellStyle name="Normal 4 2 4 7 2 3" xfId="13225" xr:uid="{8CF748EE-0676-4916-B637-21E7F4834626}"/>
    <cellStyle name="Normal 4 2 4 7 2 3 2" xfId="31821" xr:uid="{F1AC1ACB-9B19-4D37-B386-4604FD691038}"/>
    <cellStyle name="Normal 4 2 4 7 2 4" xfId="22524" xr:uid="{EE351504-1AF2-4354-A3E4-7AF637F7CB5C}"/>
    <cellStyle name="Normal 4 2 4 7 3" xfId="5971" xr:uid="{00000000-0005-0000-0000-0000C4130000}"/>
    <cellStyle name="Normal 4 2 4 7 3 2" xfId="15297" xr:uid="{DD6CA0C6-034A-4EE8-A580-2D46656605AB}"/>
    <cellStyle name="Normal 4 2 4 7 3 2 2" xfId="33893" xr:uid="{FE897664-FF24-46CB-9364-4FAFD47A5540}"/>
    <cellStyle name="Normal 4 2 4 7 3 3" xfId="24596" xr:uid="{97231ABB-7F8C-46EC-8BC9-45B0F32B0915}"/>
    <cellStyle name="Normal 4 2 4 7 4" xfId="11080" xr:uid="{57FC62BA-16B9-4A97-B7CC-9CB4B768B800}"/>
    <cellStyle name="Normal 4 2 4 7 4 2" xfId="29676" xr:uid="{1617F667-4F4F-4B21-9330-EE0C11ACD3CC}"/>
    <cellStyle name="Normal 4 2 4 7 5" xfId="20379" xr:uid="{86630F93-7594-4F01-95C3-20208DA42B21}"/>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BF18AD5D-363E-4534-8F37-8B2D5EF91295}"/>
    <cellStyle name="Normal 4 2 4 8 2 2 2 2" xfId="36451" xr:uid="{10C9A011-6187-4F8C-9572-9046027A18E3}"/>
    <cellStyle name="Normal 4 2 4 8 2 2 3" xfId="27154" xr:uid="{45BBC5C3-F19B-4AE0-A5FE-2DD107A7FE9E}"/>
    <cellStyle name="Normal 4 2 4 8 2 3" xfId="13638" xr:uid="{DE3F4905-A30D-4B43-9C78-786C5FC0CB33}"/>
    <cellStyle name="Normal 4 2 4 8 2 3 2" xfId="32234" xr:uid="{8D8F12D9-DDFE-4D36-BA21-FE1D1BACF6CA}"/>
    <cellStyle name="Normal 4 2 4 8 2 4" xfId="22937" xr:uid="{7935D6F1-F699-4EE8-BA75-20B8818287BA}"/>
    <cellStyle name="Normal 4 2 4 8 3" xfId="6384" xr:uid="{00000000-0005-0000-0000-0000C8130000}"/>
    <cellStyle name="Normal 4 2 4 8 3 2" xfId="15710" xr:uid="{371C8AB4-AEA1-49B7-89AE-07395A47D6DB}"/>
    <cellStyle name="Normal 4 2 4 8 3 2 2" xfId="34306" xr:uid="{0839F5B3-6334-4AD4-90C1-C9DE1B08ADD6}"/>
    <cellStyle name="Normal 4 2 4 8 3 3" xfId="25009" xr:uid="{D818E0A4-D537-4FC0-A477-F1645B7AA040}"/>
    <cellStyle name="Normal 4 2 4 8 4" xfId="11493" xr:uid="{A7C3F0F0-E281-44A0-AD89-8878E8A7657E}"/>
    <cellStyle name="Normal 4 2 4 8 4 2" xfId="30089" xr:uid="{AB8EBC6F-D453-4C8B-B6F5-4968B2AB8998}"/>
    <cellStyle name="Normal 4 2 4 8 5" xfId="20792" xr:uid="{B4EC0C6C-09B1-40FC-BF1C-73E147610F56}"/>
    <cellStyle name="Normal 4 2 4 9" xfId="2514" xr:uid="{00000000-0005-0000-0000-0000C9130000}"/>
    <cellStyle name="Normal 4 2 4 9 2" xfId="6797" xr:uid="{00000000-0005-0000-0000-0000CA130000}"/>
    <cellStyle name="Normal 4 2 4 9 2 2" xfId="16123" xr:uid="{AF75C03A-94F2-43AD-8256-6567D22AE31F}"/>
    <cellStyle name="Normal 4 2 4 9 2 2 2" xfId="34719" xr:uid="{A612A904-2301-4CC6-AA36-4E8AE912D961}"/>
    <cellStyle name="Normal 4 2 4 9 2 3" xfId="25422" xr:uid="{1F9870A2-577D-4DA4-A083-83DBE9AD10C8}"/>
    <cellStyle name="Normal 4 2 4 9 3" xfId="11906" xr:uid="{F31536B8-9836-4A73-9445-8E1FBA75998C}"/>
    <cellStyle name="Normal 4 2 4 9 3 2" xfId="30502" xr:uid="{5458B53D-0A70-4CF9-B958-A17D5A2BBC7B}"/>
    <cellStyle name="Normal 4 2 4 9 4" xfId="21205" xr:uid="{0D1BBB3D-4B8D-4B26-B115-56B0159FE260}"/>
    <cellStyle name="Normal 4 2 5" xfId="363" xr:uid="{00000000-0005-0000-0000-0000CB130000}"/>
    <cellStyle name="Normal 4 2 5 10" xfId="9849" xr:uid="{568BDF4C-1C3C-4FFE-865C-DA3D95DBBA45}"/>
    <cellStyle name="Normal 4 2 5 10 2" xfId="28445" xr:uid="{B20FDA3E-9B7D-4C15-99A1-7E4375853BED}"/>
    <cellStyle name="Normal 4 2 5 11" xfId="19148" xr:uid="{88CAB093-1B27-45B3-A564-0C7BEF39D929}"/>
    <cellStyle name="Normal 4 2 5 2" xfId="364" xr:uid="{00000000-0005-0000-0000-0000CC130000}"/>
    <cellStyle name="Normal 4 2 5 2 10" xfId="19149" xr:uid="{0CA27B4D-718D-4427-BFA2-4293EE8EB85F}"/>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91A66363-0E80-4B96-BE5B-53D771FA71E8}"/>
    <cellStyle name="Normal 4 2 5 2 2 2 2 2 2" xfId="35221" xr:uid="{74BC2BE8-4BBF-44B9-B018-8E771F3442E3}"/>
    <cellStyle name="Normal 4 2 5 2 2 2 2 3" xfId="25924" xr:uid="{60695894-564A-44EA-BE98-6A6370A56638}"/>
    <cellStyle name="Normal 4 2 5 2 2 2 3" xfId="12408" xr:uid="{78C4B926-2E73-4FBD-A2CE-87A0EE6D2837}"/>
    <cellStyle name="Normal 4 2 5 2 2 2 3 2" xfId="31004" xr:uid="{B7341EA4-1DB1-4E3C-BE07-6EED76D4A259}"/>
    <cellStyle name="Normal 4 2 5 2 2 2 4" xfId="21707" xr:uid="{BFB38BFD-0FDF-470E-B85A-38054399F5BF}"/>
    <cellStyle name="Normal 4 2 5 2 2 3" xfId="5154" xr:uid="{00000000-0005-0000-0000-0000D0130000}"/>
    <cellStyle name="Normal 4 2 5 2 2 3 2" xfId="14480" xr:uid="{1778AAAB-63AF-48BA-B77C-014E8723E9C5}"/>
    <cellStyle name="Normal 4 2 5 2 2 3 2 2" xfId="33076" xr:uid="{23E6031E-0493-4BC2-981D-03B8FD436EDB}"/>
    <cellStyle name="Normal 4 2 5 2 2 3 3" xfId="23779" xr:uid="{62370919-E04F-4EF5-B50B-E867A48C6A62}"/>
    <cellStyle name="Normal 4 2 5 2 2 4" xfId="9478" xr:uid="{9FEAEEC2-067D-4244-BB0F-0858128140EB}"/>
    <cellStyle name="Normal 4 2 5 2 2 4 2" xfId="18793" xr:uid="{D6F54679-8599-4401-B855-70CFAB1BD2A0}"/>
    <cellStyle name="Normal 4 2 5 2 2 4 2 2" xfId="37387" xr:uid="{5EDE203D-5A3F-49F5-8CAD-E208A83806F5}"/>
    <cellStyle name="Normal 4 2 5 2 2 4 3" xfId="28090" xr:uid="{068865F7-D9C6-4B52-84DC-6427C704AF1C}"/>
    <cellStyle name="Normal 4 2 5 2 2 5" xfId="10263" xr:uid="{02613EA0-FD59-4981-93AA-D6C7C8877105}"/>
    <cellStyle name="Normal 4 2 5 2 2 5 2" xfId="28859" xr:uid="{85A93067-1A0A-4317-84F4-467FE1323481}"/>
    <cellStyle name="Normal 4 2 5 2 2 6" xfId="19562" xr:uid="{8A637478-2273-4B19-B407-37D901657342}"/>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C99FC0FE-3030-4A95-AB2E-57CFE7FCC7E4}"/>
    <cellStyle name="Normal 4 2 5 2 3 2 2 2 2" xfId="35634" xr:uid="{7B490297-9112-478C-92F3-57ECACC288F1}"/>
    <cellStyle name="Normal 4 2 5 2 3 2 2 3" xfId="26337" xr:uid="{EEFD3A44-E503-4234-A90F-44CBAF0345B9}"/>
    <cellStyle name="Normal 4 2 5 2 3 2 3" xfId="12821" xr:uid="{72FC83C6-37A3-42BE-9344-DA47E1DE37C0}"/>
    <cellStyle name="Normal 4 2 5 2 3 2 3 2" xfId="31417" xr:uid="{0EE5FDC9-6904-42A7-9867-B21DCA0DB088}"/>
    <cellStyle name="Normal 4 2 5 2 3 2 4" xfId="22120" xr:uid="{04DE0C10-2C34-4000-A6BB-6919ADBE37B8}"/>
    <cellStyle name="Normal 4 2 5 2 3 3" xfId="5567" xr:uid="{00000000-0005-0000-0000-0000D4130000}"/>
    <cellStyle name="Normal 4 2 5 2 3 3 2" xfId="14893" xr:uid="{A33EC884-A314-430E-8852-9B3709E9F2FF}"/>
    <cellStyle name="Normal 4 2 5 2 3 3 2 2" xfId="33489" xr:uid="{F295BEA1-8506-463B-8D94-5AECEABF4973}"/>
    <cellStyle name="Normal 4 2 5 2 3 3 3" xfId="24192" xr:uid="{A2BA9142-65F5-400B-AEB2-94A81BFD47A5}"/>
    <cellStyle name="Normal 4 2 5 2 3 4" xfId="10676" xr:uid="{AEC95BB3-0419-43E8-B5A9-93AB924CB017}"/>
    <cellStyle name="Normal 4 2 5 2 3 4 2" xfId="29272" xr:uid="{96E63185-C446-46D6-8F73-406A086A7DA9}"/>
    <cellStyle name="Normal 4 2 5 2 3 5" xfId="19975" xr:uid="{DE321DF2-61DA-470F-AECE-A7977F767760}"/>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3FF3A043-3EB8-4EF5-8EEE-DABADC7DD662}"/>
    <cellStyle name="Normal 4 2 5 2 4 2 2 2 2" xfId="36047" xr:uid="{4188D8E4-29C5-4C84-98DA-8D56F7703B03}"/>
    <cellStyle name="Normal 4 2 5 2 4 2 2 3" xfId="26750" xr:uid="{7BBAB0C5-B74F-4E2D-B546-93F4198D4F19}"/>
    <cellStyle name="Normal 4 2 5 2 4 2 3" xfId="13234" xr:uid="{1B5C2456-CD54-4BB4-9A7F-CFF36E74D1D4}"/>
    <cellStyle name="Normal 4 2 5 2 4 2 3 2" xfId="31830" xr:uid="{4F999F6E-07EB-409E-8816-E993D2AD08BC}"/>
    <cellStyle name="Normal 4 2 5 2 4 2 4" xfId="22533" xr:uid="{DAA6937D-FEA4-477C-A2FC-F68A3E15CD04}"/>
    <cellStyle name="Normal 4 2 5 2 4 3" xfId="5980" xr:uid="{00000000-0005-0000-0000-0000D8130000}"/>
    <cellStyle name="Normal 4 2 5 2 4 3 2" xfId="15306" xr:uid="{26AB0403-6A58-4B64-9258-35E927155EDA}"/>
    <cellStyle name="Normal 4 2 5 2 4 3 2 2" xfId="33902" xr:uid="{8C9893C5-4FFE-453A-8BCE-EF6A973C7EF0}"/>
    <cellStyle name="Normal 4 2 5 2 4 3 3" xfId="24605" xr:uid="{C0DF4620-1EC4-4F83-AB53-6F2F14BD4604}"/>
    <cellStyle name="Normal 4 2 5 2 4 4" xfId="11089" xr:uid="{47D84784-8BA2-4692-88C8-B22FEAE4CD82}"/>
    <cellStyle name="Normal 4 2 5 2 4 4 2" xfId="29685" xr:uid="{7FD08909-3065-4352-B802-9D6F2019EAEB}"/>
    <cellStyle name="Normal 4 2 5 2 4 5" xfId="20388" xr:uid="{F6692EAD-99A0-4346-A1C9-007B4CAF0283}"/>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79621527-79A1-4ABA-88B2-BDFD955734DE}"/>
    <cellStyle name="Normal 4 2 5 2 5 2 2 2 2" xfId="36460" xr:uid="{1B1A12ED-20C5-4723-B861-8E13243BB359}"/>
    <cellStyle name="Normal 4 2 5 2 5 2 2 3" xfId="27163" xr:uid="{A17FF32F-469D-4305-B250-05B7275E241C}"/>
    <cellStyle name="Normal 4 2 5 2 5 2 3" xfId="13647" xr:uid="{3329E3AA-4EF0-4F8C-A66D-65C65327D241}"/>
    <cellStyle name="Normal 4 2 5 2 5 2 3 2" xfId="32243" xr:uid="{02CE7347-743E-46E4-A3F9-3E3F859023EA}"/>
    <cellStyle name="Normal 4 2 5 2 5 2 4" xfId="22946" xr:uid="{3E3DABF3-1EC8-4D35-8B06-A94C13751FD7}"/>
    <cellStyle name="Normal 4 2 5 2 5 3" xfId="6393" xr:uid="{00000000-0005-0000-0000-0000DC130000}"/>
    <cellStyle name="Normal 4 2 5 2 5 3 2" xfId="15719" xr:uid="{A394C81D-C856-4AC6-AF0F-DEFF5EA6DE2D}"/>
    <cellStyle name="Normal 4 2 5 2 5 3 2 2" xfId="34315" xr:uid="{109C212D-6741-4B35-89AB-89E32C8FA3F7}"/>
    <cellStyle name="Normal 4 2 5 2 5 3 3" xfId="25018" xr:uid="{BAA7C208-8E2B-490A-9CFD-79CF6C3AC4C9}"/>
    <cellStyle name="Normal 4 2 5 2 5 4" xfId="11502" xr:uid="{9C2C2F43-5FB4-4E7D-98F2-F8344BBA5A13}"/>
    <cellStyle name="Normal 4 2 5 2 5 4 2" xfId="30098" xr:uid="{212AFC9D-D023-43DA-AA38-376FEAD14E7B}"/>
    <cellStyle name="Normal 4 2 5 2 5 5" xfId="20801" xr:uid="{1342A941-0201-4BD2-961F-D127EFA8270B}"/>
    <cellStyle name="Normal 4 2 5 2 6" xfId="2523" xr:uid="{00000000-0005-0000-0000-0000DD130000}"/>
    <cellStyle name="Normal 4 2 5 2 6 2" xfId="6806" xr:uid="{00000000-0005-0000-0000-0000DE130000}"/>
    <cellStyle name="Normal 4 2 5 2 6 2 2" xfId="16132" xr:uid="{9C615ECD-8E2B-4951-A03F-F046CE9D0D5B}"/>
    <cellStyle name="Normal 4 2 5 2 6 2 2 2" xfId="34728" xr:uid="{FC8EF175-CA3C-4808-8F51-8966A3C088DE}"/>
    <cellStyle name="Normal 4 2 5 2 6 2 3" xfId="25431" xr:uid="{C0B1817C-ADB5-492D-BD82-1373C155AF33}"/>
    <cellStyle name="Normal 4 2 5 2 6 3" xfId="11915" xr:uid="{5C849ED5-13C3-4418-B318-0CFB185A7E7F}"/>
    <cellStyle name="Normal 4 2 5 2 6 3 2" xfId="30511" xr:uid="{E894C935-C9B5-43CD-85CE-52E0C3DDB9B2}"/>
    <cellStyle name="Normal 4 2 5 2 6 4" xfId="21214" xr:uid="{A285A49C-6DBE-4392-8625-83C6F6A6DAE9}"/>
    <cellStyle name="Normal 4 2 5 2 7" xfId="4741" xr:uid="{00000000-0005-0000-0000-0000DF130000}"/>
    <cellStyle name="Normal 4 2 5 2 7 2" xfId="14067" xr:uid="{C2D1EB0A-CF6E-4DEA-BFF8-AB817E77BF38}"/>
    <cellStyle name="Normal 4 2 5 2 7 2 2" xfId="32663" xr:uid="{0EB905D1-85C1-4C5D-978B-64367976F845}"/>
    <cellStyle name="Normal 4 2 5 2 7 3" xfId="23366" xr:uid="{0B621A8D-4A14-4ADF-80C3-044726517643}"/>
    <cellStyle name="Normal 4 2 5 2 8" xfId="9053" xr:uid="{0AE18A98-D9E6-47B9-86B0-DDAD3BC77B48}"/>
    <cellStyle name="Normal 4 2 5 2 8 2" xfId="18377" xr:uid="{60DE7DA8-72F4-448C-955F-50B208CA0F6B}"/>
    <cellStyle name="Normal 4 2 5 2 8 2 2" xfId="36972" xr:uid="{16608ED6-3805-4C62-B345-6CD5874F5691}"/>
    <cellStyle name="Normal 4 2 5 2 8 3" xfId="27675" xr:uid="{B9A2E976-6AB3-4F41-B45D-2A34A1EBB180}"/>
    <cellStyle name="Normal 4 2 5 2 9" xfId="9850" xr:uid="{7C0AE8EB-ED21-48ED-8E17-CDDBE8D87312}"/>
    <cellStyle name="Normal 4 2 5 2 9 2" xfId="28446" xr:uid="{262F220E-E484-4BAA-A208-58BE864B4E35}"/>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E6C67780-2C45-4248-ACAC-1CA3A6533397}"/>
    <cellStyle name="Normal 4 2 5 3 2 2 2 2" xfId="35220" xr:uid="{F76FDD2C-505C-4949-B354-879DE1E0E80E}"/>
    <cellStyle name="Normal 4 2 5 3 2 2 3" xfId="25923" xr:uid="{F27AB988-7A88-470E-9F63-C64DAE6E4F60}"/>
    <cellStyle name="Normal 4 2 5 3 2 3" xfId="12407" xr:uid="{FA2419D4-66B9-44C9-A055-B94707E87764}"/>
    <cellStyle name="Normal 4 2 5 3 2 3 2" xfId="31003" xr:uid="{FC1A5651-ADAD-4207-BF55-83546DAA6AAD}"/>
    <cellStyle name="Normal 4 2 5 3 2 4" xfId="21706" xr:uid="{A85FF786-F11D-4E66-BB17-332AC2B06B05}"/>
    <cellStyle name="Normal 4 2 5 3 3" xfId="5153" xr:uid="{00000000-0005-0000-0000-0000E3130000}"/>
    <cellStyle name="Normal 4 2 5 3 3 2" xfId="14479" xr:uid="{2F5DB1FD-B5D3-4EDC-82F1-6ED298430B94}"/>
    <cellStyle name="Normal 4 2 5 3 3 2 2" xfId="33075" xr:uid="{22D9C898-8BAD-4AF4-B406-C0A47A767BFB}"/>
    <cellStyle name="Normal 4 2 5 3 3 3" xfId="23778" xr:uid="{D96F67E6-10D0-4CDD-922B-9C26DF08D93C}"/>
    <cellStyle name="Normal 4 2 5 3 4" xfId="9271" xr:uid="{41AE7BB1-E3C7-48BD-B24F-55AE39E68BB6}"/>
    <cellStyle name="Normal 4 2 5 3 4 2" xfId="18586" xr:uid="{01F2641B-A7F9-4EF8-B9EA-A714CAC225A1}"/>
    <cellStyle name="Normal 4 2 5 3 4 2 2" xfId="37180" xr:uid="{70F60261-5519-4A24-8A6B-A22818FFEB75}"/>
    <cellStyle name="Normal 4 2 5 3 4 3" xfId="27883" xr:uid="{BEB83334-900A-40A0-ACE6-D12F2284D9F2}"/>
    <cellStyle name="Normal 4 2 5 3 5" xfId="10262" xr:uid="{8F2841B1-9AF5-4639-9A01-30F88BAA2982}"/>
    <cellStyle name="Normal 4 2 5 3 5 2" xfId="28858" xr:uid="{156D2901-1C9E-46E3-B202-A5FC196AD960}"/>
    <cellStyle name="Normal 4 2 5 3 6" xfId="19561" xr:uid="{591BFC1B-184C-4C29-A777-9F2F0F8447E4}"/>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6C238E90-1F7C-4103-AFA9-49B22C0C9B9B}"/>
    <cellStyle name="Normal 4 2 5 4 2 2 2 2" xfId="35633" xr:uid="{F5C3C8CF-4DDC-4A2C-9F29-CF0632C77420}"/>
    <cellStyle name="Normal 4 2 5 4 2 2 3" xfId="26336" xr:uid="{0DB386B1-7E06-4761-AC58-19DAB249A380}"/>
    <cellStyle name="Normal 4 2 5 4 2 3" xfId="12820" xr:uid="{8E755F93-2AD5-4621-AA56-3D16D7E73950}"/>
    <cellStyle name="Normal 4 2 5 4 2 3 2" xfId="31416" xr:uid="{EB971D20-74E5-47AB-9AA5-5F116322A5AF}"/>
    <cellStyle name="Normal 4 2 5 4 2 4" xfId="22119" xr:uid="{93EA9FBD-64C0-4824-8F49-DBF724B4A1A5}"/>
    <cellStyle name="Normal 4 2 5 4 3" xfId="5566" xr:uid="{00000000-0005-0000-0000-0000E7130000}"/>
    <cellStyle name="Normal 4 2 5 4 3 2" xfId="14892" xr:uid="{A3F72320-1772-4BE6-B42A-ACB3D98469A9}"/>
    <cellStyle name="Normal 4 2 5 4 3 2 2" xfId="33488" xr:uid="{5EA0380A-25AC-441B-BBC7-5ED392D49580}"/>
    <cellStyle name="Normal 4 2 5 4 3 3" xfId="24191" xr:uid="{844B32FF-F4EF-4F0F-AD3B-B6FC22C245F2}"/>
    <cellStyle name="Normal 4 2 5 4 4" xfId="10675" xr:uid="{DDEDC1E9-2D82-42D4-89F8-DEB125ACD752}"/>
    <cellStyle name="Normal 4 2 5 4 4 2" xfId="29271" xr:uid="{BF83ED36-C052-4668-9189-2C071370118B}"/>
    <cellStyle name="Normal 4 2 5 4 5" xfId="19974" xr:uid="{29A0F28B-4F29-4D42-872B-D70B6AC35BCA}"/>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EA413FD6-FE3B-4E94-BC39-0EF9AA7E8BD3}"/>
    <cellStyle name="Normal 4 2 5 5 2 2 2 2" xfId="36046" xr:uid="{5345EB18-6E18-4DBC-A475-1C18E68E2797}"/>
    <cellStyle name="Normal 4 2 5 5 2 2 3" xfId="26749" xr:uid="{194634C9-477E-4784-A33B-48DAD0769721}"/>
    <cellStyle name="Normal 4 2 5 5 2 3" xfId="13233" xr:uid="{D89F653C-14E9-434D-9349-A42421CF855D}"/>
    <cellStyle name="Normal 4 2 5 5 2 3 2" xfId="31829" xr:uid="{E53CC314-CF8E-411A-9943-A14684F570D9}"/>
    <cellStyle name="Normal 4 2 5 5 2 4" xfId="22532" xr:uid="{D0FFF185-6348-4008-B2D8-0BC4CC31B917}"/>
    <cellStyle name="Normal 4 2 5 5 3" xfId="5979" xr:uid="{00000000-0005-0000-0000-0000EB130000}"/>
    <cellStyle name="Normal 4 2 5 5 3 2" xfId="15305" xr:uid="{F0C2EDA1-FE95-47EE-9A3E-5829B3C9BDAD}"/>
    <cellStyle name="Normal 4 2 5 5 3 2 2" xfId="33901" xr:uid="{C8DF30B0-B36B-4151-A434-A6396A226AB4}"/>
    <cellStyle name="Normal 4 2 5 5 3 3" xfId="24604" xr:uid="{6C999833-763A-49AF-AE60-16E81778469E}"/>
    <cellStyle name="Normal 4 2 5 5 4" xfId="11088" xr:uid="{EE663F67-871D-4191-AB15-CA4C0B1A10EA}"/>
    <cellStyle name="Normal 4 2 5 5 4 2" xfId="29684" xr:uid="{54EF7C20-2950-4BE5-9D81-35FE12F069EE}"/>
    <cellStyle name="Normal 4 2 5 5 5" xfId="20387" xr:uid="{D877C699-B634-4CBA-92BD-719F1F30DD49}"/>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267027D7-E175-4D9F-926C-D5C9173DB49C}"/>
    <cellStyle name="Normal 4 2 5 6 2 2 2 2" xfId="36459" xr:uid="{A41623E1-F7C3-40E8-BD38-BD3B3B84841C}"/>
    <cellStyle name="Normal 4 2 5 6 2 2 3" xfId="27162" xr:uid="{10BFF452-640E-4AA4-94AF-71C7E05BB3A7}"/>
    <cellStyle name="Normal 4 2 5 6 2 3" xfId="13646" xr:uid="{F0E42273-BC6B-467F-9535-6D5772D573AF}"/>
    <cellStyle name="Normal 4 2 5 6 2 3 2" xfId="32242" xr:uid="{34B6825A-4E71-480C-9F2C-DB15E0C19477}"/>
    <cellStyle name="Normal 4 2 5 6 2 4" xfId="22945" xr:uid="{1AE3AD77-2DBD-448D-ABF9-ECE82FB20817}"/>
    <cellStyle name="Normal 4 2 5 6 3" xfId="6392" xr:uid="{00000000-0005-0000-0000-0000EF130000}"/>
    <cellStyle name="Normal 4 2 5 6 3 2" xfId="15718" xr:uid="{681D32AE-8B19-4FDE-9E79-BEBFC7F40087}"/>
    <cellStyle name="Normal 4 2 5 6 3 2 2" xfId="34314" xr:uid="{BC30CB3B-F78E-40C0-BC27-F10DE3E9FDF6}"/>
    <cellStyle name="Normal 4 2 5 6 3 3" xfId="25017" xr:uid="{7244DEA3-E1F4-4E16-B2EB-617CE4373241}"/>
    <cellStyle name="Normal 4 2 5 6 4" xfId="11501" xr:uid="{4790FF7F-A0EA-4FF4-B2A7-315A8A4A1C5F}"/>
    <cellStyle name="Normal 4 2 5 6 4 2" xfId="30097" xr:uid="{BF86FE7E-43F8-4A1C-9E03-6316CE46F1E5}"/>
    <cellStyle name="Normal 4 2 5 6 5" xfId="20800" xr:uid="{0042734A-F2CC-4C57-B6AC-F140899D1759}"/>
    <cellStyle name="Normal 4 2 5 7" xfId="2522" xr:uid="{00000000-0005-0000-0000-0000F0130000}"/>
    <cellStyle name="Normal 4 2 5 7 2" xfId="6805" xr:uid="{00000000-0005-0000-0000-0000F1130000}"/>
    <cellStyle name="Normal 4 2 5 7 2 2" xfId="16131" xr:uid="{181C4185-0AAD-48CB-B3B0-3A8E4F602D4C}"/>
    <cellStyle name="Normal 4 2 5 7 2 2 2" xfId="34727" xr:uid="{24ED6A07-C161-4D14-91B4-D46EA6069F08}"/>
    <cellStyle name="Normal 4 2 5 7 2 3" xfId="25430" xr:uid="{69C6472B-4B09-4554-8177-5971891059D3}"/>
    <cellStyle name="Normal 4 2 5 7 3" xfId="11914" xr:uid="{9EA31797-B314-44A7-A3DB-24571058C503}"/>
    <cellStyle name="Normal 4 2 5 7 3 2" xfId="30510" xr:uid="{D1925655-5D57-44DB-9AD4-23692E0B79B5}"/>
    <cellStyle name="Normal 4 2 5 7 4" xfId="21213" xr:uid="{C324CD9A-A35D-468F-BD01-64372A6A81A1}"/>
    <cellStyle name="Normal 4 2 5 8" xfId="4740" xr:uid="{00000000-0005-0000-0000-0000F2130000}"/>
    <cellStyle name="Normal 4 2 5 8 2" xfId="14066" xr:uid="{B4646C7F-262B-49A8-87C8-606FA1F67BB9}"/>
    <cellStyle name="Normal 4 2 5 8 2 2" xfId="32662" xr:uid="{9D3E2625-F3B7-448C-9ED9-9918C409B02E}"/>
    <cellStyle name="Normal 4 2 5 8 3" xfId="23365" xr:uid="{02B206B4-7EA7-4437-B9DB-315FDB5C81EC}"/>
    <cellStyle name="Normal 4 2 5 9" xfId="8846" xr:uid="{C69C7E2D-02E8-4C87-9C63-A39D0E37A062}"/>
    <cellStyle name="Normal 4 2 5 9 2" xfId="18170" xr:uid="{A5456341-EC25-4A59-A9C5-88875C3F2953}"/>
    <cellStyle name="Normal 4 2 5 9 2 2" xfId="36765" xr:uid="{4C547187-3BB7-4B53-9594-EC40A11E9C74}"/>
    <cellStyle name="Normal 4 2 5 9 3" xfId="27468" xr:uid="{E153C2AF-2357-4191-A7AC-0C77A4601644}"/>
    <cellStyle name="Normal 4 2 6" xfId="365" xr:uid="{00000000-0005-0000-0000-0000F3130000}"/>
    <cellStyle name="Normal 4 2 6 10" xfId="19150" xr:uid="{6B6E2FE8-E29D-4FEE-A2BF-D5C2AFC1CBB5}"/>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072665E8-0273-4FD6-8F94-1356C25A823E}"/>
    <cellStyle name="Normal 4 2 6 2 2 2 2 2" xfId="35222" xr:uid="{F349F884-73C8-420F-BE95-DD83C1D08B11}"/>
    <cellStyle name="Normal 4 2 6 2 2 2 3" xfId="25925" xr:uid="{9DEE6BCC-3CC6-45D4-82F3-EB84ECE08E08}"/>
    <cellStyle name="Normal 4 2 6 2 2 3" xfId="12409" xr:uid="{CCA03D35-A2EF-4400-9C11-19052364D0FE}"/>
    <cellStyle name="Normal 4 2 6 2 2 3 2" xfId="31005" xr:uid="{EC514D39-04B9-4BFA-AA6A-6649DE6AEB64}"/>
    <cellStyle name="Normal 4 2 6 2 2 4" xfId="21708" xr:uid="{B211E75F-2872-45C6-AD8F-DA8EDBF54143}"/>
    <cellStyle name="Normal 4 2 6 2 3" xfId="5155" xr:uid="{00000000-0005-0000-0000-0000F7130000}"/>
    <cellStyle name="Normal 4 2 6 2 3 2" xfId="14481" xr:uid="{9EF5DD14-0219-44D0-B61C-97AA00BBB096}"/>
    <cellStyle name="Normal 4 2 6 2 3 2 2" xfId="33077" xr:uid="{20848EF9-463D-4272-BAC5-5A95A1FBD657}"/>
    <cellStyle name="Normal 4 2 6 2 3 3" xfId="23780" xr:uid="{49834C48-A3B0-4E73-95B0-DF1AF4278017}"/>
    <cellStyle name="Normal 4 2 6 2 4" xfId="9387" xr:uid="{933EA8C7-37F7-4AF2-922A-47A5CB1A47BC}"/>
    <cellStyle name="Normal 4 2 6 2 4 2" xfId="18702" xr:uid="{3E4315AF-8D79-403D-A4C1-56AB3249A887}"/>
    <cellStyle name="Normal 4 2 6 2 4 2 2" xfId="37296" xr:uid="{67C74525-4000-4EA0-9696-3E750F90AB4B}"/>
    <cellStyle name="Normal 4 2 6 2 4 3" xfId="27999" xr:uid="{2E0D6E97-7149-4159-8B2E-2D3344DA6C23}"/>
    <cellStyle name="Normal 4 2 6 2 5" xfId="10264" xr:uid="{42306579-EB37-4124-A9A9-D707CD2019E8}"/>
    <cellStyle name="Normal 4 2 6 2 5 2" xfId="28860" xr:uid="{41C6F04F-C513-4EFC-9AC2-E1F3B9DF8FB1}"/>
    <cellStyle name="Normal 4 2 6 2 6" xfId="19563" xr:uid="{93E087BE-FD07-455B-9CA5-B0D9C9109310}"/>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931ABA42-37D6-4848-A6FC-35EAC691CF98}"/>
    <cellStyle name="Normal 4 2 6 3 2 2 2 2" xfId="35635" xr:uid="{BEC6BE4F-719D-478F-9FD6-1896FFB85C4B}"/>
    <cellStyle name="Normal 4 2 6 3 2 2 3" xfId="26338" xr:uid="{259CD8D4-D23E-48A3-B4BD-05541C6C82ED}"/>
    <cellStyle name="Normal 4 2 6 3 2 3" xfId="12822" xr:uid="{CD1342EF-E397-46D3-A7E1-0C159B5F8998}"/>
    <cellStyle name="Normal 4 2 6 3 2 3 2" xfId="31418" xr:uid="{ED8DE8A9-1E9C-4E02-AEED-D02F2B36273B}"/>
    <cellStyle name="Normal 4 2 6 3 2 4" xfId="22121" xr:uid="{35F3D0DF-EBEE-4DB8-8F23-335E93FABE31}"/>
    <cellStyle name="Normal 4 2 6 3 3" xfId="5568" xr:uid="{00000000-0005-0000-0000-0000FB130000}"/>
    <cellStyle name="Normal 4 2 6 3 3 2" xfId="14894" xr:uid="{F0AA9693-6270-4C37-86EB-E3D16DC01C70}"/>
    <cellStyle name="Normal 4 2 6 3 3 2 2" xfId="33490" xr:uid="{A409B515-91CC-4C26-ACDD-46AB297984AE}"/>
    <cellStyle name="Normal 4 2 6 3 3 3" xfId="24193" xr:uid="{3E0B674A-9D90-41A5-AC77-C837C87CB245}"/>
    <cellStyle name="Normal 4 2 6 3 4" xfId="10677" xr:uid="{A26EC7D1-7A82-4855-9966-8A6DE7C9A5D4}"/>
    <cellStyle name="Normal 4 2 6 3 4 2" xfId="29273" xr:uid="{17FCDBF4-B0D1-46C2-9FA0-6BE7072DC430}"/>
    <cellStyle name="Normal 4 2 6 3 5" xfId="19976" xr:uid="{C6EE9CA6-2BAC-4A02-865B-74F6CAE8740D}"/>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51E7D82B-88E9-44CE-B8DD-1B09C799D145}"/>
    <cellStyle name="Normal 4 2 6 4 2 2 2 2" xfId="36048" xr:uid="{AD00D8D7-EF92-4C95-94D7-3CE81DAC4706}"/>
    <cellStyle name="Normal 4 2 6 4 2 2 3" xfId="26751" xr:uid="{75C9BD52-6BBB-4223-88C9-32F41FB9A4E5}"/>
    <cellStyle name="Normal 4 2 6 4 2 3" xfId="13235" xr:uid="{5E43D234-F6A5-4CF0-AE7D-57F6C9002825}"/>
    <cellStyle name="Normal 4 2 6 4 2 3 2" xfId="31831" xr:uid="{72BE4AEB-344B-4E4E-87C9-E1CF290DA2D6}"/>
    <cellStyle name="Normal 4 2 6 4 2 4" xfId="22534" xr:uid="{0EC94BDE-8C9A-4F02-99EB-FC6B4807243A}"/>
    <cellStyle name="Normal 4 2 6 4 3" xfId="5981" xr:uid="{00000000-0005-0000-0000-0000FF130000}"/>
    <cellStyle name="Normal 4 2 6 4 3 2" xfId="15307" xr:uid="{7D9239A5-655B-48B0-9888-22EC10911E86}"/>
    <cellStyle name="Normal 4 2 6 4 3 2 2" xfId="33903" xr:uid="{6E169016-0E2B-4C9D-9F14-F24732C2AC53}"/>
    <cellStyle name="Normal 4 2 6 4 3 3" xfId="24606" xr:uid="{F3C3DF90-7F59-48D4-81C7-08D240F548B6}"/>
    <cellStyle name="Normal 4 2 6 4 4" xfId="11090" xr:uid="{19737647-5AE3-48BA-BB42-A3B7BF5E1D4E}"/>
    <cellStyle name="Normal 4 2 6 4 4 2" xfId="29686" xr:uid="{7373A63E-B56F-4556-A5E8-8322CB29E364}"/>
    <cellStyle name="Normal 4 2 6 4 5" xfId="20389" xr:uid="{EA63F447-6D1E-40DC-80E2-7C1FB038BC55}"/>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E0B7C04C-AD0F-4577-94BA-2FE383D1EAFD}"/>
    <cellStyle name="Normal 4 2 6 5 2 2 2 2" xfId="36461" xr:uid="{90714A89-9DF9-4E3E-B85D-9370A1F66FE1}"/>
    <cellStyle name="Normal 4 2 6 5 2 2 3" xfId="27164" xr:uid="{96EA4B4A-EAE0-48B8-922B-24B660F89D6C}"/>
    <cellStyle name="Normal 4 2 6 5 2 3" xfId="13648" xr:uid="{7655F53A-3E6E-4F0A-AD14-F5D92CCFF20C}"/>
    <cellStyle name="Normal 4 2 6 5 2 3 2" xfId="32244" xr:uid="{1FFABF00-DDDF-4783-8A90-DA4401393E8E}"/>
    <cellStyle name="Normal 4 2 6 5 2 4" xfId="22947" xr:uid="{A2D1350A-EA62-428E-91A4-1AED1D2D33EA}"/>
    <cellStyle name="Normal 4 2 6 5 3" xfId="6394" xr:uid="{00000000-0005-0000-0000-000003140000}"/>
    <cellStyle name="Normal 4 2 6 5 3 2" xfId="15720" xr:uid="{531161F3-2C0D-4F79-8509-D16C99415CB8}"/>
    <cellStyle name="Normal 4 2 6 5 3 2 2" xfId="34316" xr:uid="{08D23B1B-109D-4F00-93EC-37E06724F130}"/>
    <cellStyle name="Normal 4 2 6 5 3 3" xfId="25019" xr:uid="{21FEB74D-CF6B-4D86-A2C0-6741B351D059}"/>
    <cellStyle name="Normal 4 2 6 5 4" xfId="11503" xr:uid="{1CDE0A98-D651-4A58-AE69-71B7F20537D7}"/>
    <cellStyle name="Normal 4 2 6 5 4 2" xfId="30099" xr:uid="{F5AC63F0-9659-4ACF-AC20-B9EB63443CFE}"/>
    <cellStyle name="Normal 4 2 6 5 5" xfId="20802" xr:uid="{D9593FB9-14B4-40E5-A5B1-A56983D40E18}"/>
    <cellStyle name="Normal 4 2 6 6" xfId="2524" xr:uid="{00000000-0005-0000-0000-000004140000}"/>
    <cellStyle name="Normal 4 2 6 6 2" xfId="6807" xr:uid="{00000000-0005-0000-0000-000005140000}"/>
    <cellStyle name="Normal 4 2 6 6 2 2" xfId="16133" xr:uid="{697AE037-8FA3-4653-A77E-D3AE64E827C6}"/>
    <cellStyle name="Normal 4 2 6 6 2 2 2" xfId="34729" xr:uid="{4E30A438-77D4-4E4D-ABA3-E93ECAC9B1AC}"/>
    <cellStyle name="Normal 4 2 6 6 2 3" xfId="25432" xr:uid="{7323A22C-8712-4650-9949-33B5EF5FDCA8}"/>
    <cellStyle name="Normal 4 2 6 6 3" xfId="11916" xr:uid="{D9DB2B90-9F94-4C71-85F3-6929DD6E4052}"/>
    <cellStyle name="Normal 4 2 6 6 3 2" xfId="30512" xr:uid="{7BB08644-3497-49AD-BF5C-FFE63816835A}"/>
    <cellStyle name="Normal 4 2 6 6 4" xfId="21215" xr:uid="{9EFDC61B-B82F-45FC-B895-ACBCBFE60ED1}"/>
    <cellStyle name="Normal 4 2 6 7" xfId="4742" xr:uid="{00000000-0005-0000-0000-000006140000}"/>
    <cellStyle name="Normal 4 2 6 7 2" xfId="14068" xr:uid="{4D4CB56C-6020-464A-B24E-ABEE5F5F106C}"/>
    <cellStyle name="Normal 4 2 6 7 2 2" xfId="32664" xr:uid="{1C475292-554A-434E-99F3-ACE26A95E3CA}"/>
    <cellStyle name="Normal 4 2 6 7 3" xfId="23367" xr:uid="{11BFA20F-F3F6-441D-9030-D2CAF7EC196F}"/>
    <cellStyle name="Normal 4 2 6 8" xfId="8962" xr:uid="{1A1596D6-3914-4465-A638-E540359059D2}"/>
    <cellStyle name="Normal 4 2 6 8 2" xfId="18286" xr:uid="{AE9E3160-9FBD-482F-8E12-8FC491207B05}"/>
    <cellStyle name="Normal 4 2 6 8 2 2" xfId="36881" xr:uid="{79075175-8046-4E08-8B98-A03E598A4D2B}"/>
    <cellStyle name="Normal 4 2 6 8 3" xfId="27584" xr:uid="{0764F9A3-384E-4122-9872-30E74699EE4F}"/>
    <cellStyle name="Normal 4 2 6 9" xfId="9851" xr:uid="{98818E8B-46EC-4B89-A855-628E75C40951}"/>
    <cellStyle name="Normal 4 2 6 9 2" xfId="28447" xr:uid="{E226EEFB-1CE6-4AA8-966D-D10FE4917708}"/>
    <cellStyle name="Normal 4 2 7" xfId="9165" xr:uid="{6363F967-7399-442D-B2CE-00085FF7F1E8}"/>
    <cellStyle name="Normal 4 2 7 2" xfId="18483" xr:uid="{8F942404-1668-45C3-8B99-EBCE2E43BB47}"/>
    <cellStyle name="Normal 4 2 7 2 2" xfId="37077" xr:uid="{12DED15A-1315-4DC9-82E9-A0C50AFF6EF1}"/>
    <cellStyle name="Normal 4 2 7 3" xfId="27780" xr:uid="{FAE9E859-92A6-4EB4-AF2D-E29D31468264}"/>
    <cellStyle name="Normal 4 2 8" xfId="8743" xr:uid="{E2B8331F-47F9-4829-99C7-E05840A106B9}"/>
    <cellStyle name="Normal 4 2 8 2" xfId="18067" xr:uid="{A4765E9F-47AF-446B-8631-5A069850857C}"/>
    <cellStyle name="Normal 4 2 8 2 2" xfId="36662" xr:uid="{112DE1A4-AE82-46C6-AB6F-0BF9F4E809DA}"/>
    <cellStyle name="Normal 4 2 8 3" xfId="27365" xr:uid="{FB6C9403-4AC8-426E-AB53-C98ED0445387}"/>
    <cellStyle name="Normal 4 3" xfId="366" xr:uid="{00000000-0005-0000-0000-000007140000}"/>
    <cellStyle name="Normal 4 3 10" xfId="9852" xr:uid="{080F4B3B-E331-4B12-ABBB-5E2DF8ED7BC4}"/>
    <cellStyle name="Normal 4 3 10 2" xfId="28448" xr:uid="{A5DD716B-1C3A-4FE3-AEE5-DE021BE5B884}"/>
    <cellStyle name="Normal 4 3 11" xfId="19151" xr:uid="{B2F8BDEF-9229-4920-B0A3-DDB44D78FA06}"/>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0 2" xfId="18146" xr:uid="{625A39DC-0931-42B4-B37A-4708212F0962}"/>
    <cellStyle name="Normal 4 3 2 2 2 10 2 2" xfId="36741" xr:uid="{5F86E065-11FB-42FA-81C2-04966E4CF3CD}"/>
    <cellStyle name="Normal 4 3 2 2 2 10 3" xfId="27444" xr:uid="{34F0F1D7-BCF3-46C8-B992-05BE34A9A5F3}"/>
    <cellStyle name="Normal 4 3 2 2 2 11" xfId="9853" xr:uid="{3F322A9B-C6DA-43AD-9B49-EDE11060905D}"/>
    <cellStyle name="Normal 4 3 2 2 2 11 2" xfId="28449" xr:uid="{D35FDEDD-A47E-4428-AE76-A76D064F012D}"/>
    <cellStyle name="Normal 4 3 2 2 2 12" xfId="19152" xr:uid="{1A06F0B0-E264-4379-8FCE-D7AE16535602}"/>
    <cellStyle name="Normal 4 3 2 2 2 2" xfId="370" xr:uid="{00000000-0005-0000-0000-00000B140000}"/>
    <cellStyle name="Normal 4 3 2 2 2 2 10" xfId="9854" xr:uid="{39A6AA29-9034-4656-9A1A-6ABB44F2A6F4}"/>
    <cellStyle name="Normal 4 3 2 2 2 2 10 2" xfId="28450" xr:uid="{75CD3E35-773B-433F-AAA6-0CFBF821BF46}"/>
    <cellStyle name="Normal 4 3 2 2 2 2 11" xfId="19153" xr:uid="{CED7DB33-2F71-4D03-853C-499ADB2FC210}"/>
    <cellStyle name="Normal 4 3 2 2 2 2 2" xfId="371" xr:uid="{00000000-0005-0000-0000-00000C140000}"/>
    <cellStyle name="Normal 4 3 2 2 2 2 2 10" xfId="19154" xr:uid="{6F492141-3C1D-4114-8688-006BBB2861A4}"/>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E49D65C8-3DE0-4776-B739-B306716266EE}"/>
    <cellStyle name="Normal 4 3 2 2 2 2 2 2 2 2 2 2" xfId="35226" xr:uid="{D9DBEC9B-B034-4E06-918B-DCA754FAB608}"/>
    <cellStyle name="Normal 4 3 2 2 2 2 2 2 2 2 3" xfId="25929" xr:uid="{2F92D6B7-DA73-4A5B-BD5C-3366D9936843}"/>
    <cellStyle name="Normal 4 3 2 2 2 2 2 2 2 3" xfId="12413" xr:uid="{239CF173-D89F-4483-A0BE-ADDA118C06F0}"/>
    <cellStyle name="Normal 4 3 2 2 2 2 2 2 2 3 2" xfId="31009" xr:uid="{1C79A62F-D2A5-4D61-88C9-B9C9A93BA08C}"/>
    <cellStyle name="Normal 4 3 2 2 2 2 2 2 2 4" xfId="21712" xr:uid="{841E0CDA-9BC7-48DD-B867-83EDA7025E5D}"/>
    <cellStyle name="Normal 4 3 2 2 2 2 2 2 3" xfId="5159" xr:uid="{00000000-0005-0000-0000-000010140000}"/>
    <cellStyle name="Normal 4 3 2 2 2 2 2 2 3 2" xfId="14485" xr:uid="{F71B52E8-1CAE-4309-A09F-B0E458550521}"/>
    <cellStyle name="Normal 4 3 2 2 2 2 2 2 3 2 2" xfId="33081" xr:uid="{C606C063-3EC5-4EE4-9EE9-FEE152031FDF}"/>
    <cellStyle name="Normal 4 3 2 2 2 2 2 2 3 3" xfId="23784" xr:uid="{E60054E2-B194-488B-A6A0-A52DB495D274}"/>
    <cellStyle name="Normal 4 3 2 2 2 2 2 2 4" xfId="9557" xr:uid="{4F6BDD99-7BF1-4D2F-9EDC-4F75F1942DB4}"/>
    <cellStyle name="Normal 4 3 2 2 2 2 2 2 4 2" xfId="18872" xr:uid="{998F5F82-4272-47BE-AA13-39CA781CA8CC}"/>
    <cellStyle name="Normal 4 3 2 2 2 2 2 2 4 2 2" xfId="37466" xr:uid="{1A4240FE-55A3-47D3-B2EB-3062DB339199}"/>
    <cellStyle name="Normal 4 3 2 2 2 2 2 2 4 3" xfId="28169" xr:uid="{05CC8D94-DE6B-4844-891D-EDD134A83963}"/>
    <cellStyle name="Normal 4 3 2 2 2 2 2 2 5" xfId="10268" xr:uid="{3B85AB0D-2AC9-4A5C-A226-4D8FF7BC077A}"/>
    <cellStyle name="Normal 4 3 2 2 2 2 2 2 5 2" xfId="28864" xr:uid="{7477BA66-A7BC-49CE-A404-2954171ED080}"/>
    <cellStyle name="Normal 4 3 2 2 2 2 2 2 6" xfId="19567" xr:uid="{CBAE82BF-91C6-44BA-8A75-126DA070E331}"/>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8522CF55-1EC6-49CA-8E6D-AC54A522D3E4}"/>
    <cellStyle name="Normal 4 3 2 2 2 2 2 3 2 2 2 2" xfId="35639" xr:uid="{230750A9-5B86-45B3-BBC6-1E399F19B756}"/>
    <cellStyle name="Normal 4 3 2 2 2 2 2 3 2 2 3" xfId="26342" xr:uid="{B2124FCE-72DD-4D5D-A1F1-4CBD8F212530}"/>
    <cellStyle name="Normal 4 3 2 2 2 2 2 3 2 3" xfId="12826" xr:uid="{AF402522-BCDE-48A3-A1CC-6F477179F4B5}"/>
    <cellStyle name="Normal 4 3 2 2 2 2 2 3 2 3 2" xfId="31422" xr:uid="{33A133C2-F409-4623-935D-2E044E23673D}"/>
    <cellStyle name="Normal 4 3 2 2 2 2 2 3 2 4" xfId="22125" xr:uid="{516CA1FE-E661-495B-8E78-4999058CF404}"/>
    <cellStyle name="Normal 4 3 2 2 2 2 2 3 3" xfId="5572" xr:uid="{00000000-0005-0000-0000-000014140000}"/>
    <cellStyle name="Normal 4 3 2 2 2 2 2 3 3 2" xfId="14898" xr:uid="{9C7C57AB-A381-48C1-9C6A-643907278133}"/>
    <cellStyle name="Normal 4 3 2 2 2 2 2 3 3 2 2" xfId="33494" xr:uid="{ADB418DE-153A-42DF-9D8E-D6E13B4118AE}"/>
    <cellStyle name="Normal 4 3 2 2 2 2 2 3 3 3" xfId="24197" xr:uid="{DA218714-C9FA-4915-B5BC-9EC338039ED7}"/>
    <cellStyle name="Normal 4 3 2 2 2 2 2 3 4" xfId="10681" xr:uid="{12810356-853E-4696-902B-CD8667261013}"/>
    <cellStyle name="Normal 4 3 2 2 2 2 2 3 4 2" xfId="29277" xr:uid="{CBF60598-56B6-4593-A98D-CF38EB1FA754}"/>
    <cellStyle name="Normal 4 3 2 2 2 2 2 3 5" xfId="19980" xr:uid="{21FFCBF8-6759-4BF7-8B36-92F1F81CE43F}"/>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6B85A9D0-7371-46A8-8EEE-6AE6A0D5E184}"/>
    <cellStyle name="Normal 4 3 2 2 2 2 2 4 2 2 2 2" xfId="36052" xr:uid="{2024C8E7-1357-45C2-85E4-A76E5FCCBA39}"/>
    <cellStyle name="Normal 4 3 2 2 2 2 2 4 2 2 3" xfId="26755" xr:uid="{13341520-BEF1-4C35-A317-6C8EF1790050}"/>
    <cellStyle name="Normal 4 3 2 2 2 2 2 4 2 3" xfId="13239" xr:uid="{032DFBE8-1DE5-4285-B4C7-73A32DB21573}"/>
    <cellStyle name="Normal 4 3 2 2 2 2 2 4 2 3 2" xfId="31835" xr:uid="{A9212B91-30C7-49AB-A247-A19392C39756}"/>
    <cellStyle name="Normal 4 3 2 2 2 2 2 4 2 4" xfId="22538" xr:uid="{947D155D-96CE-40CB-A29F-A951CFB6666C}"/>
    <cellStyle name="Normal 4 3 2 2 2 2 2 4 3" xfId="5985" xr:uid="{00000000-0005-0000-0000-000018140000}"/>
    <cellStyle name="Normal 4 3 2 2 2 2 2 4 3 2" xfId="15311" xr:uid="{982B609B-7AB2-4F8C-B240-E748CD1B9F9D}"/>
    <cellStyle name="Normal 4 3 2 2 2 2 2 4 3 2 2" xfId="33907" xr:uid="{10E8FCE8-B506-44DA-9BD4-53E5DE467862}"/>
    <cellStyle name="Normal 4 3 2 2 2 2 2 4 3 3" xfId="24610" xr:uid="{B094A4C4-2341-4998-B098-6411A725B74D}"/>
    <cellStyle name="Normal 4 3 2 2 2 2 2 4 4" xfId="11094" xr:uid="{3BDB158B-A51D-49D4-B779-82C8380E9C15}"/>
    <cellStyle name="Normal 4 3 2 2 2 2 2 4 4 2" xfId="29690" xr:uid="{78C7256F-0CFB-4742-9F59-884F82EE17B5}"/>
    <cellStyle name="Normal 4 3 2 2 2 2 2 4 5" xfId="20393" xr:uid="{31B5F4E6-B96C-43D5-BFB9-E0B3C33B8759}"/>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276106CF-CE60-44D5-AFE6-7DFF129444BF}"/>
    <cellStyle name="Normal 4 3 2 2 2 2 2 5 2 2 2 2" xfId="36465" xr:uid="{78DE8646-6AFF-4A4B-A6D1-0E72696B78FE}"/>
    <cellStyle name="Normal 4 3 2 2 2 2 2 5 2 2 3" xfId="27168" xr:uid="{CCED935B-D75B-4828-B12C-20AE8AFBDC22}"/>
    <cellStyle name="Normal 4 3 2 2 2 2 2 5 2 3" xfId="13652" xr:uid="{2CE9BF7B-F570-4F28-815A-E1CE217C93D2}"/>
    <cellStyle name="Normal 4 3 2 2 2 2 2 5 2 3 2" xfId="32248" xr:uid="{AA1EA35F-AB37-4214-8D7D-E1B363FA21F0}"/>
    <cellStyle name="Normal 4 3 2 2 2 2 2 5 2 4" xfId="22951" xr:uid="{478A17F6-96D5-44D8-91A0-A293BB341EE0}"/>
    <cellStyle name="Normal 4 3 2 2 2 2 2 5 3" xfId="6398" xr:uid="{00000000-0005-0000-0000-00001C140000}"/>
    <cellStyle name="Normal 4 3 2 2 2 2 2 5 3 2" xfId="15724" xr:uid="{A67F77EE-0E83-4F40-AD1E-1623C4900B93}"/>
    <cellStyle name="Normal 4 3 2 2 2 2 2 5 3 2 2" xfId="34320" xr:uid="{17FD185B-B7EA-41CA-BFBC-BED3F87E5588}"/>
    <cellStyle name="Normal 4 3 2 2 2 2 2 5 3 3" xfId="25023" xr:uid="{1539EF97-5289-452D-B095-BF4BC12E9D02}"/>
    <cellStyle name="Normal 4 3 2 2 2 2 2 5 4" xfId="11507" xr:uid="{143DC851-9441-44E0-A110-1AF0F0DC0AE1}"/>
    <cellStyle name="Normal 4 3 2 2 2 2 2 5 4 2" xfId="30103" xr:uid="{7A610813-1014-49BA-B8FC-7280FD2834EE}"/>
    <cellStyle name="Normal 4 3 2 2 2 2 2 5 5" xfId="20806" xr:uid="{C95C1B2A-F521-48ED-8551-A1040442E168}"/>
    <cellStyle name="Normal 4 3 2 2 2 2 2 6" xfId="2528" xr:uid="{00000000-0005-0000-0000-00001D140000}"/>
    <cellStyle name="Normal 4 3 2 2 2 2 2 6 2" xfId="6811" xr:uid="{00000000-0005-0000-0000-00001E140000}"/>
    <cellStyle name="Normal 4 3 2 2 2 2 2 6 2 2" xfId="16137" xr:uid="{5B64CF9C-945B-40CD-9FDC-1013B7D277D4}"/>
    <cellStyle name="Normal 4 3 2 2 2 2 2 6 2 2 2" xfId="34733" xr:uid="{FC70593A-FF9C-4884-BB77-207B2EF4DDC3}"/>
    <cellStyle name="Normal 4 3 2 2 2 2 2 6 2 3" xfId="25436" xr:uid="{34E9F03E-F1B7-4D35-B593-E645941E7856}"/>
    <cellStyle name="Normal 4 3 2 2 2 2 2 6 3" xfId="11920" xr:uid="{BDC6194A-B1CD-4B65-8429-8CC254CD7215}"/>
    <cellStyle name="Normal 4 3 2 2 2 2 2 6 3 2" xfId="30516" xr:uid="{BEB52CA8-2ED2-48EC-93E0-2CD543CEF992}"/>
    <cellStyle name="Normal 4 3 2 2 2 2 2 6 4" xfId="21219" xr:uid="{9AC3ACB8-E56B-4ADE-A263-507D6A14E586}"/>
    <cellStyle name="Normal 4 3 2 2 2 2 2 7" xfId="4746" xr:uid="{00000000-0005-0000-0000-00001F140000}"/>
    <cellStyle name="Normal 4 3 2 2 2 2 2 7 2" xfId="14072" xr:uid="{25CED8AD-C8B3-422C-913E-3A03D34BAD84}"/>
    <cellStyle name="Normal 4 3 2 2 2 2 2 7 2 2" xfId="32668" xr:uid="{CB3BFACE-BA2A-42AC-B606-7D920661377F}"/>
    <cellStyle name="Normal 4 3 2 2 2 2 2 7 3" xfId="23371" xr:uid="{409D823A-5343-49E6-AA98-15FC095D50BB}"/>
    <cellStyle name="Normal 4 3 2 2 2 2 2 8" xfId="9132" xr:uid="{14F6ED12-EABF-4C82-AD59-55D351026913}"/>
    <cellStyle name="Normal 4 3 2 2 2 2 2 8 2" xfId="18456" xr:uid="{F964A654-DC9C-4B1B-AEFD-862E832ED68C}"/>
    <cellStyle name="Normal 4 3 2 2 2 2 2 8 2 2" xfId="37051" xr:uid="{827C6D5C-BCB5-40C0-8009-1BBDE4994632}"/>
    <cellStyle name="Normal 4 3 2 2 2 2 2 8 3" xfId="27754" xr:uid="{59480BF0-8D3C-44D7-A1D9-42D15B4E641A}"/>
    <cellStyle name="Normal 4 3 2 2 2 2 2 9" xfId="9855" xr:uid="{932A208E-F80E-43BA-85BA-64A919A904FD}"/>
    <cellStyle name="Normal 4 3 2 2 2 2 2 9 2" xfId="28451" xr:uid="{1DEB5F3F-AC74-43E0-BFB7-46DCBD5B374A}"/>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7A9FCA00-6839-4751-9612-F935C8BEBDC9}"/>
    <cellStyle name="Normal 4 3 2 2 2 2 3 2 2 2 2" xfId="35225" xr:uid="{9641DBED-3EEC-467C-ADEE-D630756F4D81}"/>
    <cellStyle name="Normal 4 3 2 2 2 2 3 2 2 3" xfId="25928" xr:uid="{1C73E8D9-3972-4B35-B349-A45938118FBE}"/>
    <cellStyle name="Normal 4 3 2 2 2 2 3 2 3" xfId="12412" xr:uid="{17A54AFB-6464-4B2C-B01E-907CE8573B52}"/>
    <cellStyle name="Normal 4 3 2 2 2 2 3 2 3 2" xfId="31008" xr:uid="{D3E5D57D-E1F5-45D6-B945-37C0E9F378E2}"/>
    <cellStyle name="Normal 4 3 2 2 2 2 3 2 4" xfId="21711" xr:uid="{F082FC2F-2FEC-4DB4-B3A8-9E44B29F6471}"/>
    <cellStyle name="Normal 4 3 2 2 2 2 3 3" xfId="5158" xr:uid="{00000000-0005-0000-0000-000023140000}"/>
    <cellStyle name="Normal 4 3 2 2 2 2 3 3 2" xfId="14484" xr:uid="{8CCA0E69-51C0-4940-B1B4-BEEADDF91CF1}"/>
    <cellStyle name="Normal 4 3 2 2 2 2 3 3 2 2" xfId="33080" xr:uid="{7B0F069C-050D-4E9E-84BB-046C81D65387}"/>
    <cellStyle name="Normal 4 3 2 2 2 2 3 3 3" xfId="23783" xr:uid="{ACD8AF1A-5969-43E0-B623-E17256DBEBE0}"/>
    <cellStyle name="Normal 4 3 2 2 2 2 3 4" xfId="9350" xr:uid="{DFFEAFB7-A284-4FD9-B115-C19DA011CCC7}"/>
    <cellStyle name="Normal 4 3 2 2 2 2 3 4 2" xfId="18665" xr:uid="{B24C828D-0291-4E0F-AF45-598C9151B472}"/>
    <cellStyle name="Normal 4 3 2 2 2 2 3 4 2 2" xfId="37259" xr:uid="{A5F1DE5D-8BD7-40E1-872C-6F3E6D86A62D}"/>
    <cellStyle name="Normal 4 3 2 2 2 2 3 4 3" xfId="27962" xr:uid="{4A3C3D39-A8C5-4319-88A5-95E295315B2E}"/>
    <cellStyle name="Normal 4 3 2 2 2 2 3 5" xfId="10267" xr:uid="{54D0A245-6C9A-456F-AC04-30F247ABA0A4}"/>
    <cellStyle name="Normal 4 3 2 2 2 2 3 5 2" xfId="28863" xr:uid="{B2913A59-8057-45A9-AA15-EC664301B5F5}"/>
    <cellStyle name="Normal 4 3 2 2 2 2 3 6" xfId="19566" xr:uid="{CBD23978-8352-4FAC-B112-EC17393924C8}"/>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EDB73E97-6F31-4BDA-AE40-1F208B3D58F2}"/>
    <cellStyle name="Normal 4 3 2 2 2 2 4 2 2 2 2" xfId="35638" xr:uid="{082BD2FD-B2F4-4D8A-8306-33932EDC8934}"/>
    <cellStyle name="Normal 4 3 2 2 2 2 4 2 2 3" xfId="26341" xr:uid="{6E85AD93-76BE-44FC-AE4C-69A46BDDE23C}"/>
    <cellStyle name="Normal 4 3 2 2 2 2 4 2 3" xfId="12825" xr:uid="{688E0E95-8D9D-434E-BE57-030EBC7D5864}"/>
    <cellStyle name="Normal 4 3 2 2 2 2 4 2 3 2" xfId="31421" xr:uid="{C0B62831-C014-4EDC-8096-C3063030F39A}"/>
    <cellStyle name="Normal 4 3 2 2 2 2 4 2 4" xfId="22124" xr:uid="{E70A4268-73C9-4DD6-9EE5-9592186453CB}"/>
    <cellStyle name="Normal 4 3 2 2 2 2 4 3" xfId="5571" xr:uid="{00000000-0005-0000-0000-000027140000}"/>
    <cellStyle name="Normal 4 3 2 2 2 2 4 3 2" xfId="14897" xr:uid="{C0B54C64-6CF3-4126-A0E4-44139FB749FA}"/>
    <cellStyle name="Normal 4 3 2 2 2 2 4 3 2 2" xfId="33493" xr:uid="{7F3E73EC-14D2-4E1F-83DE-EB846C6D20B2}"/>
    <cellStyle name="Normal 4 3 2 2 2 2 4 3 3" xfId="24196" xr:uid="{BDD67739-C68B-457F-B772-0760ACD87464}"/>
    <cellStyle name="Normal 4 3 2 2 2 2 4 4" xfId="10680" xr:uid="{56D427B2-4A16-40F6-8D9D-55B998583E05}"/>
    <cellStyle name="Normal 4 3 2 2 2 2 4 4 2" xfId="29276" xr:uid="{0E51A59F-AC16-457F-AEF4-E56E49F5F120}"/>
    <cellStyle name="Normal 4 3 2 2 2 2 4 5" xfId="19979" xr:uid="{B1BA5EEB-FF51-4286-881D-E87E54675D8D}"/>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CCA0C561-CA01-4986-BF0E-0B03922739D9}"/>
    <cellStyle name="Normal 4 3 2 2 2 2 5 2 2 2 2" xfId="36051" xr:uid="{C524DEB3-7CA4-4990-B02C-BC656970D520}"/>
    <cellStyle name="Normal 4 3 2 2 2 2 5 2 2 3" xfId="26754" xr:uid="{0EDC2772-F7EA-4EC7-AC28-4D6F13D842DA}"/>
    <cellStyle name="Normal 4 3 2 2 2 2 5 2 3" xfId="13238" xr:uid="{70A49FF4-F166-41FC-814B-D993D768C91A}"/>
    <cellStyle name="Normal 4 3 2 2 2 2 5 2 3 2" xfId="31834" xr:uid="{65A6A26E-1F16-4CBD-817F-D9643AAEF42A}"/>
    <cellStyle name="Normal 4 3 2 2 2 2 5 2 4" xfId="22537" xr:uid="{36563124-1158-4656-9DC7-CBC2561F196F}"/>
    <cellStyle name="Normal 4 3 2 2 2 2 5 3" xfId="5984" xr:uid="{00000000-0005-0000-0000-00002B140000}"/>
    <cellStyle name="Normal 4 3 2 2 2 2 5 3 2" xfId="15310" xr:uid="{E14D69C5-5D46-44CC-9643-A9620B085093}"/>
    <cellStyle name="Normal 4 3 2 2 2 2 5 3 2 2" xfId="33906" xr:uid="{32408625-11F6-4BFE-9156-7124914BFA99}"/>
    <cellStyle name="Normal 4 3 2 2 2 2 5 3 3" xfId="24609" xr:uid="{D0961B9C-7457-4D18-99C0-A3A5A22D1AE8}"/>
    <cellStyle name="Normal 4 3 2 2 2 2 5 4" xfId="11093" xr:uid="{CF9F6677-A398-45BF-AB8D-B1ACD57ADB8D}"/>
    <cellStyle name="Normal 4 3 2 2 2 2 5 4 2" xfId="29689" xr:uid="{64642E88-F17F-4C93-858D-BF72F6A66ABA}"/>
    <cellStyle name="Normal 4 3 2 2 2 2 5 5" xfId="20392" xr:uid="{E21B4B20-12DF-431B-8A3B-17AF519FC599}"/>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8A0F6F33-E947-4898-B5D3-D6739173BAA9}"/>
    <cellStyle name="Normal 4 3 2 2 2 2 6 2 2 2 2" xfId="36464" xr:uid="{DDC9FA8B-B771-4E4C-B52A-450339E8177F}"/>
    <cellStyle name="Normal 4 3 2 2 2 2 6 2 2 3" xfId="27167" xr:uid="{B32C40FB-3E18-438A-BE2A-E3F3CB0F1203}"/>
    <cellStyle name="Normal 4 3 2 2 2 2 6 2 3" xfId="13651" xr:uid="{07FD5D19-A182-44D2-970D-0F7AFA170474}"/>
    <cellStyle name="Normal 4 3 2 2 2 2 6 2 3 2" xfId="32247" xr:uid="{C9C06C13-2A18-4AAF-B4FC-37F592FC9AF4}"/>
    <cellStyle name="Normal 4 3 2 2 2 2 6 2 4" xfId="22950" xr:uid="{A0A792D6-789F-40ED-AC7E-85AE23360C42}"/>
    <cellStyle name="Normal 4 3 2 2 2 2 6 3" xfId="6397" xr:uid="{00000000-0005-0000-0000-00002F140000}"/>
    <cellStyle name="Normal 4 3 2 2 2 2 6 3 2" xfId="15723" xr:uid="{B51A0B60-D58A-426F-A8B3-1EC18A4CC660}"/>
    <cellStyle name="Normal 4 3 2 2 2 2 6 3 2 2" xfId="34319" xr:uid="{1B7F3C49-1899-4CAD-A94A-20A009C7B815}"/>
    <cellStyle name="Normal 4 3 2 2 2 2 6 3 3" xfId="25022" xr:uid="{48DEF0C8-F237-45B3-BD0D-55FEE47F75A5}"/>
    <cellStyle name="Normal 4 3 2 2 2 2 6 4" xfId="11506" xr:uid="{312E5803-EDC4-48BB-BE8B-C72B5E71E16C}"/>
    <cellStyle name="Normal 4 3 2 2 2 2 6 4 2" xfId="30102" xr:uid="{629F6BA4-B777-4804-B7AB-2E8FE8ACAA19}"/>
    <cellStyle name="Normal 4 3 2 2 2 2 6 5" xfId="20805" xr:uid="{D2CC7915-FA32-4A9F-B174-7E51E5D2F3A3}"/>
    <cellStyle name="Normal 4 3 2 2 2 2 7" xfId="2527" xr:uid="{00000000-0005-0000-0000-000030140000}"/>
    <cellStyle name="Normal 4 3 2 2 2 2 7 2" xfId="6810" xr:uid="{00000000-0005-0000-0000-000031140000}"/>
    <cellStyle name="Normal 4 3 2 2 2 2 7 2 2" xfId="16136" xr:uid="{2B25E1FA-3494-4C86-84CE-E860B57A5E15}"/>
    <cellStyle name="Normal 4 3 2 2 2 2 7 2 2 2" xfId="34732" xr:uid="{A10D27D3-F738-4D49-A282-3F24B9CBC281}"/>
    <cellStyle name="Normal 4 3 2 2 2 2 7 2 3" xfId="25435" xr:uid="{71FBC202-1F28-4ABC-B9F5-E73408B03040}"/>
    <cellStyle name="Normal 4 3 2 2 2 2 7 3" xfId="11919" xr:uid="{73E43E5F-76B9-4457-826C-B350885D6A5E}"/>
    <cellStyle name="Normal 4 3 2 2 2 2 7 3 2" xfId="30515" xr:uid="{2F0A2557-03A3-4ED9-AFB0-6E9B19569B57}"/>
    <cellStyle name="Normal 4 3 2 2 2 2 7 4" xfId="21218" xr:uid="{84BA8DB0-D026-4C98-B3EE-726B0EC02926}"/>
    <cellStyle name="Normal 4 3 2 2 2 2 8" xfId="4745" xr:uid="{00000000-0005-0000-0000-000032140000}"/>
    <cellStyle name="Normal 4 3 2 2 2 2 8 2" xfId="14071" xr:uid="{9ACA7764-ECD8-4430-A148-3FC6045A5486}"/>
    <cellStyle name="Normal 4 3 2 2 2 2 8 2 2" xfId="32667" xr:uid="{7A749FED-082D-4A1A-93A9-24BC86EC77F5}"/>
    <cellStyle name="Normal 4 3 2 2 2 2 8 3" xfId="23370" xr:uid="{80EC8C82-F50B-4CFA-9C87-DDB2E389A178}"/>
    <cellStyle name="Normal 4 3 2 2 2 2 9" xfId="8925" xr:uid="{71BB8AFA-37D7-474D-A12B-C284DDE23CE9}"/>
    <cellStyle name="Normal 4 3 2 2 2 2 9 2" xfId="18249" xr:uid="{8B3495E4-2EC7-4B22-BF08-BC4D54ED92ED}"/>
    <cellStyle name="Normal 4 3 2 2 2 2 9 2 2" xfId="36844" xr:uid="{93E7BAEC-DDCC-482C-8D04-6CAC1271F071}"/>
    <cellStyle name="Normal 4 3 2 2 2 2 9 3" xfId="27547" xr:uid="{CCF791AC-6679-4894-8062-237A8EA146B9}"/>
    <cellStyle name="Normal 4 3 2 2 2 3" xfId="372" xr:uid="{00000000-0005-0000-0000-000033140000}"/>
    <cellStyle name="Normal 4 3 2 2 2 3 10" xfId="19155" xr:uid="{665A03D4-06E8-4CF6-A848-FFF8DC4A989B}"/>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E254B045-2542-4F2C-9A2D-E10060A42E4D}"/>
    <cellStyle name="Normal 4 3 2 2 2 3 2 2 2 2 2" xfId="35227" xr:uid="{514D39CE-152D-4DA1-BB43-119D1181862E}"/>
    <cellStyle name="Normal 4 3 2 2 2 3 2 2 2 3" xfId="25930" xr:uid="{B085D7D2-F265-4CC6-B8BC-0022631D24A8}"/>
    <cellStyle name="Normal 4 3 2 2 2 3 2 2 3" xfId="12414" xr:uid="{CF6D4933-DD57-42EA-B5B9-D2B781F04F58}"/>
    <cellStyle name="Normal 4 3 2 2 2 3 2 2 3 2" xfId="31010" xr:uid="{3E56B229-044F-4BA2-9299-73A191C84DC2}"/>
    <cellStyle name="Normal 4 3 2 2 2 3 2 2 4" xfId="21713" xr:uid="{B040FF82-6BCB-4FAE-9331-FE7C4948DC59}"/>
    <cellStyle name="Normal 4 3 2 2 2 3 2 3" xfId="5160" xr:uid="{00000000-0005-0000-0000-000037140000}"/>
    <cellStyle name="Normal 4 3 2 2 2 3 2 3 2" xfId="14486" xr:uid="{EE2CAF43-4D02-4E22-AAA6-74283649EF8F}"/>
    <cellStyle name="Normal 4 3 2 2 2 3 2 3 2 2" xfId="33082" xr:uid="{05F36146-11CA-415C-8524-0EDAC58C5679}"/>
    <cellStyle name="Normal 4 3 2 2 2 3 2 3 3" xfId="23785" xr:uid="{AF1E1F72-1DC7-4658-87E4-73F059C08924}"/>
    <cellStyle name="Normal 4 3 2 2 2 3 2 4" xfId="9454" xr:uid="{B81F5EAA-7D8E-43B5-94D7-313E66088BA5}"/>
    <cellStyle name="Normal 4 3 2 2 2 3 2 4 2" xfId="18769" xr:uid="{257A39DF-F8F8-4B7D-988E-43A2E70482BC}"/>
    <cellStyle name="Normal 4 3 2 2 2 3 2 4 2 2" xfId="37363" xr:uid="{8C9FB7FB-1EAB-4CA3-B823-F4AA074002EA}"/>
    <cellStyle name="Normal 4 3 2 2 2 3 2 4 3" xfId="28066" xr:uid="{4EA401E2-E72D-47BC-A524-C40BB107574B}"/>
    <cellStyle name="Normal 4 3 2 2 2 3 2 5" xfId="10269" xr:uid="{B05CE374-185C-4FD6-ACBE-E403693AB712}"/>
    <cellStyle name="Normal 4 3 2 2 2 3 2 5 2" xfId="28865" xr:uid="{55679CF3-B1D4-4026-910C-529236B740C9}"/>
    <cellStyle name="Normal 4 3 2 2 2 3 2 6" xfId="19568" xr:uid="{B3011D73-87E8-48EA-80C7-7ADBD5381CAD}"/>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8542FEEA-874D-47F8-B26C-428F59821D7B}"/>
    <cellStyle name="Normal 4 3 2 2 2 3 3 2 2 2 2" xfId="35640" xr:uid="{B6B38268-5A6F-460B-9871-BC80462C607A}"/>
    <cellStyle name="Normal 4 3 2 2 2 3 3 2 2 3" xfId="26343" xr:uid="{C203E190-F521-44C1-982E-1E370CF89BA8}"/>
    <cellStyle name="Normal 4 3 2 2 2 3 3 2 3" xfId="12827" xr:uid="{E6F1B66F-E0FC-4440-8B42-61F7C1F39E7E}"/>
    <cellStyle name="Normal 4 3 2 2 2 3 3 2 3 2" xfId="31423" xr:uid="{76435291-0A43-4822-A386-D6253375F894}"/>
    <cellStyle name="Normal 4 3 2 2 2 3 3 2 4" xfId="22126" xr:uid="{34AADBB1-F7CA-436E-B71A-EBD0B634024D}"/>
    <cellStyle name="Normal 4 3 2 2 2 3 3 3" xfId="5573" xr:uid="{00000000-0005-0000-0000-00003B140000}"/>
    <cellStyle name="Normal 4 3 2 2 2 3 3 3 2" xfId="14899" xr:uid="{5A958942-C502-428B-BB39-DC9947CF7C8B}"/>
    <cellStyle name="Normal 4 3 2 2 2 3 3 3 2 2" xfId="33495" xr:uid="{2CCF0370-06A6-4F51-9030-FB425A88625B}"/>
    <cellStyle name="Normal 4 3 2 2 2 3 3 3 3" xfId="24198" xr:uid="{29C70271-C004-49B8-BE56-D4B24ED7DB69}"/>
    <cellStyle name="Normal 4 3 2 2 2 3 3 4" xfId="10682" xr:uid="{4A831545-1DD1-42E9-B88F-A402A9F9C976}"/>
    <cellStyle name="Normal 4 3 2 2 2 3 3 4 2" xfId="29278" xr:uid="{F59237AF-3DED-4A0F-9B10-A4DD216C977A}"/>
    <cellStyle name="Normal 4 3 2 2 2 3 3 5" xfId="19981" xr:uid="{9DEA8544-D04A-4DBD-BF2B-202736F56AAE}"/>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EE5E4155-8BF0-40F0-A5AA-25E7F3CF909F}"/>
    <cellStyle name="Normal 4 3 2 2 2 3 4 2 2 2 2" xfId="36053" xr:uid="{AAAEDFEE-7165-40D9-930A-A6DF696536DA}"/>
    <cellStyle name="Normal 4 3 2 2 2 3 4 2 2 3" xfId="26756" xr:uid="{95E0C211-0FE6-40A4-A53B-7CA97B55B464}"/>
    <cellStyle name="Normal 4 3 2 2 2 3 4 2 3" xfId="13240" xr:uid="{9AE318C3-CD2A-45DF-B42D-F5A41D817026}"/>
    <cellStyle name="Normal 4 3 2 2 2 3 4 2 3 2" xfId="31836" xr:uid="{5B401259-364C-4078-9A91-BC37AE07867C}"/>
    <cellStyle name="Normal 4 3 2 2 2 3 4 2 4" xfId="22539" xr:uid="{2DD8472D-106A-42A6-8BF6-E7FC78616793}"/>
    <cellStyle name="Normal 4 3 2 2 2 3 4 3" xfId="5986" xr:uid="{00000000-0005-0000-0000-00003F140000}"/>
    <cellStyle name="Normal 4 3 2 2 2 3 4 3 2" xfId="15312" xr:uid="{A87519D2-9A69-4027-859B-EC7D6A8D29C0}"/>
    <cellStyle name="Normal 4 3 2 2 2 3 4 3 2 2" xfId="33908" xr:uid="{60A3120B-5E73-4B43-8469-CB73C8A3EABA}"/>
    <cellStyle name="Normal 4 3 2 2 2 3 4 3 3" xfId="24611" xr:uid="{51F9FE8E-D41C-43FF-B3A9-982D8BE217EC}"/>
    <cellStyle name="Normal 4 3 2 2 2 3 4 4" xfId="11095" xr:uid="{887F7DDE-E883-48F1-8BE2-7D542626DB5D}"/>
    <cellStyle name="Normal 4 3 2 2 2 3 4 4 2" xfId="29691" xr:uid="{DA2FA014-B775-4FC0-AA18-9133BE6B4091}"/>
    <cellStyle name="Normal 4 3 2 2 2 3 4 5" xfId="20394" xr:uid="{7A263459-DD34-4D71-A612-542BBA3AD519}"/>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93E4C3DA-CAF7-4A1D-BC5A-97CE640AF6AE}"/>
    <cellStyle name="Normal 4 3 2 2 2 3 5 2 2 2 2" xfId="36466" xr:uid="{A8D1B24F-D973-4E03-9DBB-4C36FE07A044}"/>
    <cellStyle name="Normal 4 3 2 2 2 3 5 2 2 3" xfId="27169" xr:uid="{8125A41B-F1FC-43AE-BC8E-7347D36ACEFC}"/>
    <cellStyle name="Normal 4 3 2 2 2 3 5 2 3" xfId="13653" xr:uid="{203D9FEA-415E-416D-A703-5C9B2A6E3544}"/>
    <cellStyle name="Normal 4 3 2 2 2 3 5 2 3 2" xfId="32249" xr:uid="{4C33E2B6-D635-431A-A8C6-2DDC52A7BB6A}"/>
    <cellStyle name="Normal 4 3 2 2 2 3 5 2 4" xfId="22952" xr:uid="{21F06E22-0EE1-4E9F-892F-1F095906331D}"/>
    <cellStyle name="Normal 4 3 2 2 2 3 5 3" xfId="6399" xr:uid="{00000000-0005-0000-0000-000043140000}"/>
    <cellStyle name="Normal 4 3 2 2 2 3 5 3 2" xfId="15725" xr:uid="{07701BF6-A749-4B7A-B0A2-CBC728A0049C}"/>
    <cellStyle name="Normal 4 3 2 2 2 3 5 3 2 2" xfId="34321" xr:uid="{7F3184F7-802E-4093-A9CC-986ECAB61E85}"/>
    <cellStyle name="Normal 4 3 2 2 2 3 5 3 3" xfId="25024" xr:uid="{C2009701-00FF-458B-AD05-1870CA2A7B4D}"/>
    <cellStyle name="Normal 4 3 2 2 2 3 5 4" xfId="11508" xr:uid="{BEE33A98-FAD9-4934-8537-3F2C64A159CC}"/>
    <cellStyle name="Normal 4 3 2 2 2 3 5 4 2" xfId="30104" xr:uid="{73BC66E0-5786-4658-AAD2-52A02097C2B7}"/>
    <cellStyle name="Normal 4 3 2 2 2 3 5 5" xfId="20807" xr:uid="{2F883A2A-14D0-43C8-89A8-7B999F1A30E0}"/>
    <cellStyle name="Normal 4 3 2 2 2 3 6" xfId="2529" xr:uid="{00000000-0005-0000-0000-000044140000}"/>
    <cellStyle name="Normal 4 3 2 2 2 3 6 2" xfId="6812" xr:uid="{00000000-0005-0000-0000-000045140000}"/>
    <cellStyle name="Normal 4 3 2 2 2 3 6 2 2" xfId="16138" xr:uid="{B9457B92-C1B6-4C0D-BE4C-06A767D460A9}"/>
    <cellStyle name="Normal 4 3 2 2 2 3 6 2 2 2" xfId="34734" xr:uid="{C2DD1DAA-5F66-4733-8F3A-66F0355C6B1E}"/>
    <cellStyle name="Normal 4 3 2 2 2 3 6 2 3" xfId="25437" xr:uid="{8A1E30B4-2844-46F3-B35C-3D7861F2C442}"/>
    <cellStyle name="Normal 4 3 2 2 2 3 6 3" xfId="11921" xr:uid="{F8C089A2-D41F-4F6B-870B-40ED5B27FEA5}"/>
    <cellStyle name="Normal 4 3 2 2 2 3 6 3 2" xfId="30517" xr:uid="{434AFC87-8382-4559-8F0E-633508AEFC00}"/>
    <cellStyle name="Normal 4 3 2 2 2 3 6 4" xfId="21220" xr:uid="{0E0D18B8-7FFB-4B70-B115-598DAE65AFA5}"/>
    <cellStyle name="Normal 4 3 2 2 2 3 7" xfId="4747" xr:uid="{00000000-0005-0000-0000-000046140000}"/>
    <cellStyle name="Normal 4 3 2 2 2 3 7 2" xfId="14073" xr:uid="{10A56311-D91D-4843-B24E-9418DB58DE8D}"/>
    <cellStyle name="Normal 4 3 2 2 2 3 7 2 2" xfId="32669" xr:uid="{63E35A8C-7D2E-479F-837C-258552315496}"/>
    <cellStyle name="Normal 4 3 2 2 2 3 7 3" xfId="23372" xr:uid="{D2B66632-734B-453D-9E5C-7CCD5228A12F}"/>
    <cellStyle name="Normal 4 3 2 2 2 3 8" xfId="9029" xr:uid="{CC421D7E-69EF-4D96-A95C-E67F046F8D14}"/>
    <cellStyle name="Normal 4 3 2 2 2 3 8 2" xfId="18353" xr:uid="{325602E4-9B02-46D7-9A9C-65EF1BF023A4}"/>
    <cellStyle name="Normal 4 3 2 2 2 3 8 2 2" xfId="36948" xr:uid="{FBA14CA7-CCB7-4322-8766-2EFC738D7E18}"/>
    <cellStyle name="Normal 4 3 2 2 2 3 8 3" xfId="27651" xr:uid="{49D7E686-4283-4392-9365-D12687F4CF32}"/>
    <cellStyle name="Normal 4 3 2 2 2 3 9" xfId="9856" xr:uid="{252C8ECC-09A8-46F8-B759-87E9CD9DE4BE}"/>
    <cellStyle name="Normal 4 3 2 2 2 3 9 2" xfId="28452" xr:uid="{74128E8A-376B-45CC-885B-C62F4C94482D}"/>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778251CC-67CA-4613-8765-11A2AF2726FB}"/>
    <cellStyle name="Normal 4 3 2 2 2 4 2 2 2 2" xfId="35224" xr:uid="{E24FC306-A930-4791-AF09-A6133F5C333B}"/>
    <cellStyle name="Normal 4 3 2 2 2 4 2 2 3" xfId="25927" xr:uid="{69D4F7CD-6C95-40CB-B00C-C4B8002D55D8}"/>
    <cellStyle name="Normal 4 3 2 2 2 4 2 3" xfId="12411" xr:uid="{A7673DCD-2E7B-4F80-92BF-4A4818520D0E}"/>
    <cellStyle name="Normal 4 3 2 2 2 4 2 3 2" xfId="31007" xr:uid="{E42D71D4-CBB3-436A-A23C-720F0C13ED34}"/>
    <cellStyle name="Normal 4 3 2 2 2 4 2 4" xfId="21710" xr:uid="{EC188076-BC6B-484E-AB95-FEAA4D206A55}"/>
    <cellStyle name="Normal 4 3 2 2 2 4 3" xfId="5157" xr:uid="{00000000-0005-0000-0000-00004A140000}"/>
    <cellStyle name="Normal 4 3 2 2 2 4 3 2" xfId="14483" xr:uid="{975838BA-EEA8-4374-8346-C7FC8C75CDD2}"/>
    <cellStyle name="Normal 4 3 2 2 2 4 3 2 2" xfId="33079" xr:uid="{56E1198A-2FD8-4177-AD8F-C35BF075841C}"/>
    <cellStyle name="Normal 4 3 2 2 2 4 3 3" xfId="23782" xr:uid="{4FB40AE2-8BC1-4B8A-BCD8-AB3B9FE021AA}"/>
    <cellStyle name="Normal 4 3 2 2 2 4 4" xfId="9247" xr:uid="{70D9D224-DB0B-42B4-B4A9-BC88F455C395}"/>
    <cellStyle name="Normal 4 3 2 2 2 4 4 2" xfId="18562" xr:uid="{E1DBBE86-213D-4571-870F-2EC630722CD0}"/>
    <cellStyle name="Normal 4 3 2 2 2 4 4 2 2" xfId="37156" xr:uid="{37A23D0C-3E57-4070-864B-785D6220818E}"/>
    <cellStyle name="Normal 4 3 2 2 2 4 4 3" xfId="27859" xr:uid="{6A19FA3B-30FC-4470-BB53-452A26D7C647}"/>
    <cellStyle name="Normal 4 3 2 2 2 4 5" xfId="10266" xr:uid="{BB072308-AB1C-45C5-9D73-8548FE0D61C1}"/>
    <cellStyle name="Normal 4 3 2 2 2 4 5 2" xfId="28862" xr:uid="{65398FDB-FA38-4269-B026-AF7648664D5A}"/>
    <cellStyle name="Normal 4 3 2 2 2 4 6" xfId="19565" xr:uid="{FAAB11B3-ED8E-4EA5-BB1E-8596266E43F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CE65E8F1-7FCE-4D55-9BC4-1272A97CB08C}"/>
    <cellStyle name="Normal 4 3 2 2 2 5 2 2 2 2" xfId="35637" xr:uid="{D8107398-297F-4853-AC0D-D91905DD927D}"/>
    <cellStyle name="Normal 4 3 2 2 2 5 2 2 3" xfId="26340" xr:uid="{A5C1323E-392A-4952-9CE2-47A10D338782}"/>
    <cellStyle name="Normal 4 3 2 2 2 5 2 3" xfId="12824" xr:uid="{BC5C530B-F872-427A-AB4F-669299959A9A}"/>
    <cellStyle name="Normal 4 3 2 2 2 5 2 3 2" xfId="31420" xr:uid="{0E3F80E7-902F-47B7-B864-9C96EEF3469F}"/>
    <cellStyle name="Normal 4 3 2 2 2 5 2 4" xfId="22123" xr:uid="{0FA769D9-6A92-47A0-9DA5-F513147E835A}"/>
    <cellStyle name="Normal 4 3 2 2 2 5 3" xfId="5570" xr:uid="{00000000-0005-0000-0000-00004E140000}"/>
    <cellStyle name="Normal 4 3 2 2 2 5 3 2" xfId="14896" xr:uid="{2B0F7F76-CAE4-4F7A-BC0F-7145CB6B5001}"/>
    <cellStyle name="Normal 4 3 2 2 2 5 3 2 2" xfId="33492" xr:uid="{5071FE8A-AD62-4349-9E91-40E579134775}"/>
    <cellStyle name="Normal 4 3 2 2 2 5 3 3" xfId="24195" xr:uid="{D5FCB7BF-A80D-4227-AB12-0B8B1B82D6AA}"/>
    <cellStyle name="Normal 4 3 2 2 2 5 4" xfId="10679" xr:uid="{22528698-C49C-4269-BFD6-6A61DE4CE716}"/>
    <cellStyle name="Normal 4 3 2 2 2 5 4 2" xfId="29275" xr:uid="{7F1936C9-6A85-47BC-8442-6267A108525F}"/>
    <cellStyle name="Normal 4 3 2 2 2 5 5" xfId="19978" xr:uid="{BF34A944-0344-4F44-A7D2-87DBC84FB4F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D9C357E5-14AC-429E-A8BC-327BBE142A98}"/>
    <cellStyle name="Normal 4 3 2 2 2 6 2 2 2 2" xfId="36050" xr:uid="{C54C4C70-3185-4DDB-BC34-B5849CE1036F}"/>
    <cellStyle name="Normal 4 3 2 2 2 6 2 2 3" xfId="26753" xr:uid="{D970B188-FA48-4B19-9B27-AE1A4DA9562D}"/>
    <cellStyle name="Normal 4 3 2 2 2 6 2 3" xfId="13237" xr:uid="{6BC78044-9098-4516-AFFC-BCC2BC673CC6}"/>
    <cellStyle name="Normal 4 3 2 2 2 6 2 3 2" xfId="31833" xr:uid="{B4E29836-30A4-40E5-AC6E-FF86209BCE61}"/>
    <cellStyle name="Normal 4 3 2 2 2 6 2 4" xfId="22536" xr:uid="{3209A805-D970-4BAF-8B2C-FA6B1C32D122}"/>
    <cellStyle name="Normal 4 3 2 2 2 6 3" xfId="5983" xr:uid="{00000000-0005-0000-0000-000052140000}"/>
    <cellStyle name="Normal 4 3 2 2 2 6 3 2" xfId="15309" xr:uid="{74005749-10E2-45C0-81EB-F8119C4F80A8}"/>
    <cellStyle name="Normal 4 3 2 2 2 6 3 2 2" xfId="33905" xr:uid="{0E4CA45E-888F-4DE4-A848-D572043F7DEA}"/>
    <cellStyle name="Normal 4 3 2 2 2 6 3 3" xfId="24608" xr:uid="{FDC2140A-2124-4BDD-AA00-51BD0C14CF2A}"/>
    <cellStyle name="Normal 4 3 2 2 2 6 4" xfId="11092" xr:uid="{BFE96272-C3B3-4126-91C9-5370A862A212}"/>
    <cellStyle name="Normal 4 3 2 2 2 6 4 2" xfId="29688" xr:uid="{E4A4DEF5-8DD9-444E-9DEC-9D83D6756477}"/>
    <cellStyle name="Normal 4 3 2 2 2 6 5" xfId="20391" xr:uid="{62567331-CCEE-4D33-A465-D609EF50AC17}"/>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85CF6C4F-B4AB-49C3-B4B1-938FB24293BF}"/>
    <cellStyle name="Normal 4 3 2 2 2 7 2 2 2 2" xfId="36463" xr:uid="{CD141703-1394-45CF-A2E8-2354154B21C1}"/>
    <cellStyle name="Normal 4 3 2 2 2 7 2 2 3" xfId="27166" xr:uid="{6F5DCE36-7CB4-43FF-B80D-E88DC500991D}"/>
    <cellStyle name="Normal 4 3 2 2 2 7 2 3" xfId="13650" xr:uid="{69749639-D1CC-48D1-86A2-C02D16D2954D}"/>
    <cellStyle name="Normal 4 3 2 2 2 7 2 3 2" xfId="32246" xr:uid="{C62373B4-5F8C-498F-92E4-E30CB7DCFA74}"/>
    <cellStyle name="Normal 4 3 2 2 2 7 2 4" xfId="22949" xr:uid="{B4D92B50-EB61-45A4-850B-CE7A11800C36}"/>
    <cellStyle name="Normal 4 3 2 2 2 7 3" xfId="6396" xr:uid="{00000000-0005-0000-0000-000056140000}"/>
    <cellStyle name="Normal 4 3 2 2 2 7 3 2" xfId="15722" xr:uid="{6F8881D7-9ADA-4822-A512-D03392D90075}"/>
    <cellStyle name="Normal 4 3 2 2 2 7 3 2 2" xfId="34318" xr:uid="{391FA5D2-0B60-406B-AC76-025843DEE052}"/>
    <cellStyle name="Normal 4 3 2 2 2 7 3 3" xfId="25021" xr:uid="{1C2C2CC2-E0DC-4D5C-92AA-A532F5E948B6}"/>
    <cellStyle name="Normal 4 3 2 2 2 7 4" xfId="11505" xr:uid="{D33EDF79-1ACE-4118-B540-BDBD514B38D9}"/>
    <cellStyle name="Normal 4 3 2 2 2 7 4 2" xfId="30101" xr:uid="{25F183D6-4812-4DAB-8469-3500D92AF3C1}"/>
    <cellStyle name="Normal 4 3 2 2 2 7 5" xfId="20804" xr:uid="{FC27D307-3C85-4938-8E1C-1F590A0209D4}"/>
    <cellStyle name="Normal 4 3 2 2 2 8" xfId="2526" xr:uid="{00000000-0005-0000-0000-000057140000}"/>
    <cellStyle name="Normal 4 3 2 2 2 8 2" xfId="6809" xr:uid="{00000000-0005-0000-0000-000058140000}"/>
    <cellStyle name="Normal 4 3 2 2 2 8 2 2" xfId="16135" xr:uid="{494FD36B-6F72-4895-BA84-B3A13C83C0A2}"/>
    <cellStyle name="Normal 4 3 2 2 2 8 2 2 2" xfId="34731" xr:uid="{BE881EDB-9972-4400-A7CA-A29EE3B9F539}"/>
    <cellStyle name="Normal 4 3 2 2 2 8 2 3" xfId="25434" xr:uid="{D32A9036-71F1-45BB-9C01-01EB1DD5C115}"/>
    <cellStyle name="Normal 4 3 2 2 2 8 3" xfId="11918" xr:uid="{0017B3A3-BC76-400E-A4D5-C01ED0966ACD}"/>
    <cellStyle name="Normal 4 3 2 2 2 8 3 2" xfId="30514" xr:uid="{5CEA496A-0062-4A27-8FCE-D7C26D8C55A9}"/>
    <cellStyle name="Normal 4 3 2 2 2 8 4" xfId="21217" xr:uid="{45D2D328-8C63-4A14-B175-4A3F94D3C0CB}"/>
    <cellStyle name="Normal 4 3 2 2 2 9" xfId="4744" xr:uid="{00000000-0005-0000-0000-000059140000}"/>
    <cellStyle name="Normal 4 3 2 2 2 9 2" xfId="14070" xr:uid="{70633FB9-42DA-460A-B8C4-E5C4881C27CF}"/>
    <cellStyle name="Normal 4 3 2 2 2 9 2 2" xfId="32666" xr:uid="{48A2331C-C57C-42AA-8A5A-ED735D393DFA}"/>
    <cellStyle name="Normal 4 3 2 2 2 9 3" xfId="23369" xr:uid="{ECB992DE-8AFB-43BD-98BB-32BAD380472A}"/>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0 2" xfId="18145" xr:uid="{0ACC85D6-504D-4659-8135-748CFD671280}"/>
    <cellStyle name="Normal 4 3 3 10 2 2" xfId="36740" xr:uid="{55CC1FFA-E2E4-472E-AF9A-B39A93DCCCB1}"/>
    <cellStyle name="Normal 4 3 3 10 3" xfId="27443" xr:uid="{E29F2BC2-0814-4FB8-AA93-3217173D26A4}"/>
    <cellStyle name="Normal 4 3 3 11" xfId="9857" xr:uid="{ABB55522-5289-45FD-ACB4-054DD681668C}"/>
    <cellStyle name="Normal 4 3 3 11 2" xfId="28453" xr:uid="{24C50902-5B80-4EE4-8E87-A7881AF97267}"/>
    <cellStyle name="Normal 4 3 3 12" xfId="19156" xr:uid="{D0C300AF-6ABC-4CFE-96F4-72106BA94B5A}"/>
    <cellStyle name="Normal 4 3 3 2" xfId="375" xr:uid="{00000000-0005-0000-0000-00005E140000}"/>
    <cellStyle name="Normal 4 3 3 2 10" xfId="9858" xr:uid="{6B07C9DB-5A71-4BF1-B339-501C788F4C21}"/>
    <cellStyle name="Normal 4 3 3 2 10 2" xfId="28454" xr:uid="{D84C8F8F-8279-4115-A48E-B2189822BFC7}"/>
    <cellStyle name="Normal 4 3 3 2 11" xfId="19157" xr:uid="{495259E0-F152-44AC-8E37-8FE1743481BB}"/>
    <cellStyle name="Normal 4 3 3 2 2" xfId="376" xr:uid="{00000000-0005-0000-0000-00005F140000}"/>
    <cellStyle name="Normal 4 3 3 2 2 10" xfId="19158" xr:uid="{40522477-460E-49E7-BC55-192607065E7A}"/>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CBE2B19C-788B-460A-B27C-5F688E625667}"/>
    <cellStyle name="Normal 4 3 3 2 2 2 2 2 2 2" xfId="35230" xr:uid="{59A5E926-E1DE-45C3-943E-3025B08225BE}"/>
    <cellStyle name="Normal 4 3 3 2 2 2 2 2 3" xfId="25933" xr:uid="{902DD134-999F-4FC4-8B7A-A201EFCC1470}"/>
    <cellStyle name="Normal 4 3 3 2 2 2 2 3" xfId="12417" xr:uid="{D5733DC4-2840-4C49-94B4-D82F28DB82C4}"/>
    <cellStyle name="Normal 4 3 3 2 2 2 2 3 2" xfId="31013" xr:uid="{4CB03FC0-3F8D-4631-A6BC-87217ADFF002}"/>
    <cellStyle name="Normal 4 3 3 2 2 2 2 4" xfId="21716" xr:uid="{0AAD9DD3-180E-4912-9E3C-51ACB83FD4E6}"/>
    <cellStyle name="Normal 4 3 3 2 2 2 3" xfId="5163" xr:uid="{00000000-0005-0000-0000-000063140000}"/>
    <cellStyle name="Normal 4 3 3 2 2 2 3 2" xfId="14489" xr:uid="{E0AC6E45-422F-469C-A82E-C893B968C073}"/>
    <cellStyle name="Normal 4 3 3 2 2 2 3 2 2" xfId="33085" xr:uid="{DEA979D5-6EE3-46BC-BBF1-60C7885A1E17}"/>
    <cellStyle name="Normal 4 3 3 2 2 2 3 3" xfId="23788" xr:uid="{90CFF57F-24FF-4DD4-A511-5AECE5DFF75E}"/>
    <cellStyle name="Normal 4 3 3 2 2 2 4" xfId="9556" xr:uid="{7233D5E9-9F1E-43FF-8391-DCCFDF8A705D}"/>
    <cellStyle name="Normal 4 3 3 2 2 2 4 2" xfId="18871" xr:uid="{8AC9EDC7-818F-4BF1-955D-8247A68078C2}"/>
    <cellStyle name="Normal 4 3 3 2 2 2 4 2 2" xfId="37465" xr:uid="{1A625474-EBFD-4A3B-BC82-D4A8CDEF5537}"/>
    <cellStyle name="Normal 4 3 3 2 2 2 4 3" xfId="28168" xr:uid="{A2FF3F90-79FE-4560-BDD5-86D84E0D0A39}"/>
    <cellStyle name="Normal 4 3 3 2 2 2 5" xfId="10272" xr:uid="{34C3F587-4CAA-4B79-96C7-788B9832343B}"/>
    <cellStyle name="Normal 4 3 3 2 2 2 5 2" xfId="28868" xr:uid="{E06CEFEB-259D-4423-A634-3E759F7AF849}"/>
    <cellStyle name="Normal 4 3 3 2 2 2 6" xfId="19571" xr:uid="{0812DA66-559F-4115-9954-3056945FA338}"/>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0DB75D66-8101-4299-831E-F6FFA9FB45B0}"/>
    <cellStyle name="Normal 4 3 3 2 2 3 2 2 2 2" xfId="35643" xr:uid="{2127C7CC-67BE-4ECB-A9D3-178F076EB63F}"/>
    <cellStyle name="Normal 4 3 3 2 2 3 2 2 3" xfId="26346" xr:uid="{C10A4992-C99C-4073-A897-B9D5277A9A7A}"/>
    <cellStyle name="Normal 4 3 3 2 2 3 2 3" xfId="12830" xr:uid="{15FA4012-F153-4734-AB1B-CD32201103ED}"/>
    <cellStyle name="Normal 4 3 3 2 2 3 2 3 2" xfId="31426" xr:uid="{7FDD9C3F-3E0C-45D2-B3CF-8746503D642A}"/>
    <cellStyle name="Normal 4 3 3 2 2 3 2 4" xfId="22129" xr:uid="{A0E52240-196A-4E82-8827-C2585A2D420C}"/>
    <cellStyle name="Normal 4 3 3 2 2 3 3" xfId="5576" xr:uid="{00000000-0005-0000-0000-000067140000}"/>
    <cellStyle name="Normal 4 3 3 2 2 3 3 2" xfId="14902" xr:uid="{3B1D37C9-89AF-4C4D-A776-B4E6FC97E3E2}"/>
    <cellStyle name="Normal 4 3 3 2 2 3 3 2 2" xfId="33498" xr:uid="{DEB0936C-CE2F-42E1-8E8F-5F79E166D2E4}"/>
    <cellStyle name="Normal 4 3 3 2 2 3 3 3" xfId="24201" xr:uid="{7EB1C1BE-578B-4C6E-AD3A-3B58CD93C61B}"/>
    <cellStyle name="Normal 4 3 3 2 2 3 4" xfId="10685" xr:uid="{D815F9ED-BA19-4040-BCA6-5FF4E46800FB}"/>
    <cellStyle name="Normal 4 3 3 2 2 3 4 2" xfId="29281" xr:uid="{F3C42144-5AE9-4AE8-AB58-D726D7E7AA4C}"/>
    <cellStyle name="Normal 4 3 3 2 2 3 5" xfId="19984" xr:uid="{CCAE08A8-76FC-4547-90F2-BBD03328E98F}"/>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81BDDD0E-3800-42D6-95BA-BA26E16F307A}"/>
    <cellStyle name="Normal 4 3 3 2 2 4 2 2 2 2" xfId="36056" xr:uid="{73203451-2FA9-407E-A863-F4CBBF746987}"/>
    <cellStyle name="Normal 4 3 3 2 2 4 2 2 3" xfId="26759" xr:uid="{F9757C60-EF2A-4319-BFE3-EEB2AB5B56FD}"/>
    <cellStyle name="Normal 4 3 3 2 2 4 2 3" xfId="13243" xr:uid="{C7AC71AD-8939-4EB6-A39B-F42176B57B10}"/>
    <cellStyle name="Normal 4 3 3 2 2 4 2 3 2" xfId="31839" xr:uid="{7925D324-291D-4DCE-B50E-3419B1BB1D27}"/>
    <cellStyle name="Normal 4 3 3 2 2 4 2 4" xfId="22542" xr:uid="{5763919A-0453-4347-BB49-25EEDA1EB09B}"/>
    <cellStyle name="Normal 4 3 3 2 2 4 3" xfId="5989" xr:uid="{00000000-0005-0000-0000-00006B140000}"/>
    <cellStyle name="Normal 4 3 3 2 2 4 3 2" xfId="15315" xr:uid="{681E170D-D9EF-4871-928F-65475DB5C15F}"/>
    <cellStyle name="Normal 4 3 3 2 2 4 3 2 2" xfId="33911" xr:uid="{DCBCEF9F-C4CC-4A57-A2B9-D3138B053AA0}"/>
    <cellStyle name="Normal 4 3 3 2 2 4 3 3" xfId="24614" xr:uid="{D367BB20-4D09-441E-AE5E-371EEC85A322}"/>
    <cellStyle name="Normal 4 3 3 2 2 4 4" xfId="11098" xr:uid="{9CDA52CF-3098-4C20-AD05-D446D9DB482F}"/>
    <cellStyle name="Normal 4 3 3 2 2 4 4 2" xfId="29694" xr:uid="{F36D3B54-09C4-4AFA-9EDF-9AEE82A22AF7}"/>
    <cellStyle name="Normal 4 3 3 2 2 4 5" xfId="20397" xr:uid="{73563C72-D6D9-4CDF-A9F6-894CB307D7FD}"/>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F9B52C5B-A22A-4812-AAE8-E07A31FCDD7F}"/>
    <cellStyle name="Normal 4 3 3 2 2 5 2 2 2 2" xfId="36469" xr:uid="{21EE8E90-C1B4-449F-B662-F76E65DF5FEB}"/>
    <cellStyle name="Normal 4 3 3 2 2 5 2 2 3" xfId="27172" xr:uid="{1D22FF52-92CB-4182-A4B6-891C07872689}"/>
    <cellStyle name="Normal 4 3 3 2 2 5 2 3" xfId="13656" xr:uid="{7E078F28-BA5F-4F8F-BD46-D8A9F9E84F72}"/>
    <cellStyle name="Normal 4 3 3 2 2 5 2 3 2" xfId="32252" xr:uid="{6C7D8D95-44AC-4344-BE0C-9766A0137485}"/>
    <cellStyle name="Normal 4 3 3 2 2 5 2 4" xfId="22955" xr:uid="{8923F2B4-D898-45AA-B0AD-C3F8D31D61E3}"/>
    <cellStyle name="Normal 4 3 3 2 2 5 3" xfId="6402" xr:uid="{00000000-0005-0000-0000-00006F140000}"/>
    <cellStyle name="Normal 4 3 3 2 2 5 3 2" xfId="15728" xr:uid="{49C1D316-3AE8-4D7B-BE42-A6E0AC90133A}"/>
    <cellStyle name="Normal 4 3 3 2 2 5 3 2 2" xfId="34324" xr:uid="{2EA04DFF-3232-44E3-B4C4-B2B022436F0B}"/>
    <cellStyle name="Normal 4 3 3 2 2 5 3 3" xfId="25027" xr:uid="{9432AFE3-DCC9-40F8-BC26-72909FA7BED9}"/>
    <cellStyle name="Normal 4 3 3 2 2 5 4" xfId="11511" xr:uid="{2C834AE1-6F7F-4E15-B1E6-441A939882BE}"/>
    <cellStyle name="Normal 4 3 3 2 2 5 4 2" xfId="30107" xr:uid="{E239CF97-14EC-4B5B-B593-BC1C8F60D012}"/>
    <cellStyle name="Normal 4 3 3 2 2 5 5" xfId="20810" xr:uid="{53E3FD35-E0BF-4B7B-9F2D-CF78C4F4B356}"/>
    <cellStyle name="Normal 4 3 3 2 2 6" xfId="2532" xr:uid="{00000000-0005-0000-0000-000070140000}"/>
    <cellStyle name="Normal 4 3 3 2 2 6 2" xfId="6815" xr:uid="{00000000-0005-0000-0000-000071140000}"/>
    <cellStyle name="Normal 4 3 3 2 2 6 2 2" xfId="16141" xr:uid="{9C7B936C-179D-4755-815D-6EB649028803}"/>
    <cellStyle name="Normal 4 3 3 2 2 6 2 2 2" xfId="34737" xr:uid="{BC7D4AEE-5BE3-4428-ABCB-1DBBCC75EC6D}"/>
    <cellStyle name="Normal 4 3 3 2 2 6 2 3" xfId="25440" xr:uid="{E760E2D8-C487-4D77-A628-ADB9A50FBDC5}"/>
    <cellStyle name="Normal 4 3 3 2 2 6 3" xfId="11924" xr:uid="{A43B5051-49DB-48B2-B30A-8C0E9A937421}"/>
    <cellStyle name="Normal 4 3 3 2 2 6 3 2" xfId="30520" xr:uid="{FC2DB2AC-0A11-4345-A10A-B94DAB97036F}"/>
    <cellStyle name="Normal 4 3 3 2 2 6 4" xfId="21223" xr:uid="{E256884D-53B9-4678-9BFC-31F28695B9A1}"/>
    <cellStyle name="Normal 4 3 3 2 2 7" xfId="4750" xr:uid="{00000000-0005-0000-0000-000072140000}"/>
    <cellStyle name="Normal 4 3 3 2 2 7 2" xfId="14076" xr:uid="{F94CC0D6-92A4-455A-B41C-51BA00419334}"/>
    <cellStyle name="Normal 4 3 3 2 2 7 2 2" xfId="32672" xr:uid="{A5ED240F-0215-46B0-B68E-71CBFDAE3E3E}"/>
    <cellStyle name="Normal 4 3 3 2 2 7 3" xfId="23375" xr:uid="{F9654635-57F8-4AFA-B82B-6D9648CA16BE}"/>
    <cellStyle name="Normal 4 3 3 2 2 8" xfId="9131" xr:uid="{D7BA3B10-6765-4B57-99D1-3AF7343772F8}"/>
    <cellStyle name="Normal 4 3 3 2 2 8 2" xfId="18455" xr:uid="{FFC16CD2-C13C-4071-977E-D86674CADFB6}"/>
    <cellStyle name="Normal 4 3 3 2 2 8 2 2" xfId="37050" xr:uid="{34D7CF55-0F36-4A11-BA57-D24DCBD161A7}"/>
    <cellStyle name="Normal 4 3 3 2 2 8 3" xfId="27753" xr:uid="{683A0CD4-1774-4549-ADDD-55A9FDCD0F3C}"/>
    <cellStyle name="Normal 4 3 3 2 2 9" xfId="9859" xr:uid="{CBF954CF-5730-44F2-AA40-2ACFD3AE44C1}"/>
    <cellStyle name="Normal 4 3 3 2 2 9 2" xfId="28455" xr:uid="{AEB6AE36-1416-4DBA-A6BA-7655B614BC2F}"/>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08599F7A-D68C-4E59-9753-BCC4F1F7F7B2}"/>
    <cellStyle name="Normal 4 3 3 2 3 2 2 2 2" xfId="35229" xr:uid="{F684B9AE-9ACA-48C4-983C-605AAADBD068}"/>
    <cellStyle name="Normal 4 3 3 2 3 2 2 3" xfId="25932" xr:uid="{3940ECF2-C0CE-4EC7-929D-D871A558E963}"/>
    <cellStyle name="Normal 4 3 3 2 3 2 3" xfId="12416" xr:uid="{F7F2BE95-2832-4936-8C8E-10E9609CA5E6}"/>
    <cellStyle name="Normal 4 3 3 2 3 2 3 2" xfId="31012" xr:uid="{7E260A18-9F18-4C24-8C77-3E6C6AD835FE}"/>
    <cellStyle name="Normal 4 3 3 2 3 2 4" xfId="21715" xr:uid="{E05BFB23-8F64-4E2B-ADD2-89665E99F38E}"/>
    <cellStyle name="Normal 4 3 3 2 3 3" xfId="5162" xr:uid="{00000000-0005-0000-0000-000076140000}"/>
    <cellStyle name="Normal 4 3 3 2 3 3 2" xfId="14488" xr:uid="{A1B98817-A36C-42BD-A176-F11922DF9A36}"/>
    <cellStyle name="Normal 4 3 3 2 3 3 2 2" xfId="33084" xr:uid="{2CE0CBA5-DA79-46F7-BDEE-35CD98AF2F25}"/>
    <cellStyle name="Normal 4 3 3 2 3 3 3" xfId="23787" xr:uid="{761BF6CC-2D57-498C-972A-02B18DD9171D}"/>
    <cellStyle name="Normal 4 3 3 2 3 4" xfId="9349" xr:uid="{E498700C-D7AE-42FC-8EB1-59BA2C1BA6B9}"/>
    <cellStyle name="Normal 4 3 3 2 3 4 2" xfId="18664" xr:uid="{BD704FB6-7761-43A3-A737-48D4E8A90CE6}"/>
    <cellStyle name="Normal 4 3 3 2 3 4 2 2" xfId="37258" xr:uid="{03909FF3-6FC9-4BF4-A7BE-1B1BF7B0126F}"/>
    <cellStyle name="Normal 4 3 3 2 3 4 3" xfId="27961" xr:uid="{6DDC39DC-DE2C-4B5F-968A-F98B0CCD2A21}"/>
    <cellStyle name="Normal 4 3 3 2 3 5" xfId="10271" xr:uid="{1A3555F9-4369-4008-9C95-CFC06D18221B}"/>
    <cellStyle name="Normal 4 3 3 2 3 5 2" xfId="28867" xr:uid="{81C1DD08-6660-414A-9EB8-6415A18D7801}"/>
    <cellStyle name="Normal 4 3 3 2 3 6" xfId="19570" xr:uid="{8E2D317B-4FFC-434C-8152-5B82C8A590DD}"/>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96BCEE28-9503-4AC4-83F5-2E1F3AF2B558}"/>
    <cellStyle name="Normal 4 3 3 2 4 2 2 2 2" xfId="35642" xr:uid="{2C923319-5669-4E5E-B8A9-DEADBB181FF6}"/>
    <cellStyle name="Normal 4 3 3 2 4 2 2 3" xfId="26345" xr:uid="{42570D01-15CC-4DFA-B8C5-4DEE1667D8EF}"/>
    <cellStyle name="Normal 4 3 3 2 4 2 3" xfId="12829" xr:uid="{CBA69093-A6D8-4678-B374-1DCEF5292709}"/>
    <cellStyle name="Normal 4 3 3 2 4 2 3 2" xfId="31425" xr:uid="{6B7DC4F4-BBDD-4D40-AEE8-64858ED7405E}"/>
    <cellStyle name="Normal 4 3 3 2 4 2 4" xfId="22128" xr:uid="{6530A8B9-BE62-4EF0-9E57-C234C9FFBC78}"/>
    <cellStyle name="Normal 4 3 3 2 4 3" xfId="5575" xr:uid="{00000000-0005-0000-0000-00007A140000}"/>
    <cellStyle name="Normal 4 3 3 2 4 3 2" xfId="14901" xr:uid="{1B3EE753-6BD2-4139-9947-14B20C9D2942}"/>
    <cellStyle name="Normal 4 3 3 2 4 3 2 2" xfId="33497" xr:uid="{61B98C1F-4E8C-4642-B4F7-59C995E536F2}"/>
    <cellStyle name="Normal 4 3 3 2 4 3 3" xfId="24200" xr:uid="{D4CA600C-FFF0-4070-AAE2-4129FB42BA77}"/>
    <cellStyle name="Normal 4 3 3 2 4 4" xfId="10684" xr:uid="{932C0BD2-9B47-4CD5-A44E-887AE843A8D9}"/>
    <cellStyle name="Normal 4 3 3 2 4 4 2" xfId="29280" xr:uid="{60BD793B-DD6F-4626-8597-F904916D4A45}"/>
    <cellStyle name="Normal 4 3 3 2 4 5" xfId="19983" xr:uid="{96B6CE9B-1596-481A-810B-FD6E971A295E}"/>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EB4A6956-5EC3-4525-B667-FBBFBBF8E37C}"/>
    <cellStyle name="Normal 4 3 3 2 5 2 2 2 2" xfId="36055" xr:uid="{461CB449-F2B3-4740-B7BB-D7A4CB4E7111}"/>
    <cellStyle name="Normal 4 3 3 2 5 2 2 3" xfId="26758" xr:uid="{24DCD10C-BC61-48E4-B353-ABF37FBA466D}"/>
    <cellStyle name="Normal 4 3 3 2 5 2 3" xfId="13242" xr:uid="{61557342-1DA4-4C69-BD28-0C19FC5A551A}"/>
    <cellStyle name="Normal 4 3 3 2 5 2 3 2" xfId="31838" xr:uid="{1641AAF6-ACED-445D-B60C-D379BFDD73D1}"/>
    <cellStyle name="Normal 4 3 3 2 5 2 4" xfId="22541" xr:uid="{3D50C12F-6102-4885-BD7D-26D8C2EE94AC}"/>
    <cellStyle name="Normal 4 3 3 2 5 3" xfId="5988" xr:uid="{00000000-0005-0000-0000-00007E140000}"/>
    <cellStyle name="Normal 4 3 3 2 5 3 2" xfId="15314" xr:uid="{A1A1F8C6-CE74-4364-9B9B-B69C905E554C}"/>
    <cellStyle name="Normal 4 3 3 2 5 3 2 2" xfId="33910" xr:uid="{0A087453-558A-4180-A150-7F22413431C5}"/>
    <cellStyle name="Normal 4 3 3 2 5 3 3" xfId="24613" xr:uid="{A9CAB041-BAB9-40EE-A9A5-C26D342060AC}"/>
    <cellStyle name="Normal 4 3 3 2 5 4" xfId="11097" xr:uid="{551C6D8F-909D-44EE-A50D-8EBE3B3ABD0C}"/>
    <cellStyle name="Normal 4 3 3 2 5 4 2" xfId="29693" xr:uid="{C8F94935-66CB-4766-B59D-958638093B76}"/>
    <cellStyle name="Normal 4 3 3 2 5 5" xfId="20396" xr:uid="{BEAFB1A2-F768-4EDB-9472-3DF7D06B179C}"/>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F2201EAD-9B3E-4B46-A43B-1C6512FB44C6}"/>
    <cellStyle name="Normal 4 3 3 2 6 2 2 2 2" xfId="36468" xr:uid="{8730BBEB-5597-45B6-89EC-B790951EEAAD}"/>
    <cellStyle name="Normal 4 3 3 2 6 2 2 3" xfId="27171" xr:uid="{49E0AE84-F3EC-417A-B77F-01889FA1913F}"/>
    <cellStyle name="Normal 4 3 3 2 6 2 3" xfId="13655" xr:uid="{EB7BFB18-9461-4061-A8DB-DBC8D7AE081C}"/>
    <cellStyle name="Normal 4 3 3 2 6 2 3 2" xfId="32251" xr:uid="{23CB7258-DA94-483F-87E5-2A31722B26B7}"/>
    <cellStyle name="Normal 4 3 3 2 6 2 4" xfId="22954" xr:uid="{EF101671-0429-4B83-ACB4-1CAF4A91EC53}"/>
    <cellStyle name="Normal 4 3 3 2 6 3" xfId="6401" xr:uid="{00000000-0005-0000-0000-000082140000}"/>
    <cellStyle name="Normal 4 3 3 2 6 3 2" xfId="15727" xr:uid="{7C29BED3-1557-4B10-ADA2-0B5D2F4F17CC}"/>
    <cellStyle name="Normal 4 3 3 2 6 3 2 2" xfId="34323" xr:uid="{83286C49-5DBA-46B5-AA7E-2258C998C508}"/>
    <cellStyle name="Normal 4 3 3 2 6 3 3" xfId="25026" xr:uid="{C142ECFB-C3C8-4ADD-AD78-E29B8BFEA284}"/>
    <cellStyle name="Normal 4 3 3 2 6 4" xfId="11510" xr:uid="{0CC2120E-4032-4C67-AF7D-A53D8FE87F30}"/>
    <cellStyle name="Normal 4 3 3 2 6 4 2" xfId="30106" xr:uid="{9E914BE5-3307-4952-AA6C-FF35EBB59383}"/>
    <cellStyle name="Normal 4 3 3 2 6 5" xfId="20809" xr:uid="{24C95E6F-7385-4B65-A9ED-EADAC7D0DC61}"/>
    <cellStyle name="Normal 4 3 3 2 7" xfId="2531" xr:uid="{00000000-0005-0000-0000-000083140000}"/>
    <cellStyle name="Normal 4 3 3 2 7 2" xfId="6814" xr:uid="{00000000-0005-0000-0000-000084140000}"/>
    <cellStyle name="Normal 4 3 3 2 7 2 2" xfId="16140" xr:uid="{D9AF2737-E090-4B4C-AA10-55693D30FA6B}"/>
    <cellStyle name="Normal 4 3 3 2 7 2 2 2" xfId="34736" xr:uid="{55AA3FD9-64FF-4AB5-B97D-28B07349CF85}"/>
    <cellStyle name="Normal 4 3 3 2 7 2 3" xfId="25439" xr:uid="{707329E1-CAF7-4972-9C61-86ED26FADD66}"/>
    <cellStyle name="Normal 4 3 3 2 7 3" xfId="11923" xr:uid="{A4B3C4BA-95D3-4DDA-BD12-94B83C7E969C}"/>
    <cellStyle name="Normal 4 3 3 2 7 3 2" xfId="30519" xr:uid="{1EFFD490-D7A7-40F1-914E-A956DC589D46}"/>
    <cellStyle name="Normal 4 3 3 2 7 4" xfId="21222" xr:uid="{BD82D470-93D4-4529-B998-22755C4056A2}"/>
    <cellStyle name="Normal 4 3 3 2 8" xfId="4749" xr:uid="{00000000-0005-0000-0000-000085140000}"/>
    <cellStyle name="Normal 4 3 3 2 8 2" xfId="14075" xr:uid="{C719ACDA-7F5D-47A6-898B-68C9B9CB5FD6}"/>
    <cellStyle name="Normal 4 3 3 2 8 2 2" xfId="32671" xr:uid="{53623620-0DCD-4DCA-AE20-53270CA32782}"/>
    <cellStyle name="Normal 4 3 3 2 8 3" xfId="23374" xr:uid="{A8C016E9-DACE-4C99-903B-1CF845EC804C}"/>
    <cellStyle name="Normal 4 3 3 2 9" xfId="8924" xr:uid="{F9E914C5-63E8-4CB8-8EA1-7427CE35C4AA}"/>
    <cellStyle name="Normal 4 3 3 2 9 2" xfId="18248" xr:uid="{A9F37B97-2D36-4447-BE38-E44E1605A4D8}"/>
    <cellStyle name="Normal 4 3 3 2 9 2 2" xfId="36843" xr:uid="{D59A973F-8BD8-4F96-885E-556FAED75ADC}"/>
    <cellStyle name="Normal 4 3 3 2 9 3" xfId="27546" xr:uid="{6A3164E2-7834-4185-A1DE-55CD9BDEAE1D}"/>
    <cellStyle name="Normal 4 3 3 3" xfId="377" xr:uid="{00000000-0005-0000-0000-000086140000}"/>
    <cellStyle name="Normal 4 3 3 3 10" xfId="19159" xr:uid="{4D139985-21E1-488A-AFA5-03A3D44B0B83}"/>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39FAFA81-DFD3-4F9C-BCE4-DF11F560ABED}"/>
    <cellStyle name="Normal 4 3 3 3 2 2 2 2 2" xfId="35231" xr:uid="{6FC8A2B7-4509-44B2-A956-B42D59D0BF52}"/>
    <cellStyle name="Normal 4 3 3 3 2 2 2 3" xfId="25934" xr:uid="{6F765323-377E-4B77-AD27-E129DB7A447E}"/>
    <cellStyle name="Normal 4 3 3 3 2 2 3" xfId="12418" xr:uid="{44D1D23B-8BB4-46FD-B92A-1FF12E00D66B}"/>
    <cellStyle name="Normal 4 3 3 3 2 2 3 2" xfId="31014" xr:uid="{66AE5178-3FC0-4648-B3F7-3F615F04310D}"/>
    <cellStyle name="Normal 4 3 3 3 2 2 4" xfId="21717" xr:uid="{96C95655-9F35-40DA-8EA6-5D0251DF542D}"/>
    <cellStyle name="Normal 4 3 3 3 2 3" xfId="5164" xr:uid="{00000000-0005-0000-0000-00008A140000}"/>
    <cellStyle name="Normal 4 3 3 3 2 3 2" xfId="14490" xr:uid="{C5ED0BE7-2940-44D2-89AB-73C1049F498E}"/>
    <cellStyle name="Normal 4 3 3 3 2 3 2 2" xfId="33086" xr:uid="{EEADB433-FA52-4616-B6EF-26B1EBD663FF}"/>
    <cellStyle name="Normal 4 3 3 3 2 3 3" xfId="23789" xr:uid="{6DA9F9B2-C939-4017-A97A-34E1CD8E6D8D}"/>
    <cellStyle name="Normal 4 3 3 3 2 4" xfId="9453" xr:uid="{18D68920-503C-42C1-A733-EBE17DC6D008}"/>
    <cellStyle name="Normal 4 3 3 3 2 4 2" xfId="18768" xr:uid="{266143FC-4DE0-42FE-B9B1-5B703C522424}"/>
    <cellStyle name="Normal 4 3 3 3 2 4 2 2" xfId="37362" xr:uid="{3B4519F9-99CF-4A01-AFE4-A460CED92185}"/>
    <cellStyle name="Normal 4 3 3 3 2 4 3" xfId="28065" xr:uid="{B7D4A904-0271-4625-9900-582BE5529510}"/>
    <cellStyle name="Normal 4 3 3 3 2 5" xfId="10273" xr:uid="{AA51FBE3-8F79-440B-8029-47F9F7E1B500}"/>
    <cellStyle name="Normal 4 3 3 3 2 5 2" xfId="28869" xr:uid="{0087E0D1-B315-40FA-B421-B4FA96C95F19}"/>
    <cellStyle name="Normal 4 3 3 3 2 6" xfId="19572" xr:uid="{DA0B4FBC-ACE1-45CB-9B03-B479BB4E9476}"/>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B39D4C1A-1E65-44A6-9775-7DA1CDEA1E12}"/>
    <cellStyle name="Normal 4 3 3 3 3 2 2 2 2" xfId="35644" xr:uid="{C26C31D4-E97A-4A30-BF8F-0E79AE5BF85F}"/>
    <cellStyle name="Normal 4 3 3 3 3 2 2 3" xfId="26347" xr:uid="{3F2F80F4-D560-4719-9388-375CA0190B89}"/>
    <cellStyle name="Normal 4 3 3 3 3 2 3" xfId="12831" xr:uid="{532FF6A5-87A4-4344-82B5-093C358E8372}"/>
    <cellStyle name="Normal 4 3 3 3 3 2 3 2" xfId="31427" xr:uid="{8548D341-5B75-4F69-B762-2320587D34A2}"/>
    <cellStyle name="Normal 4 3 3 3 3 2 4" xfId="22130" xr:uid="{250DC12E-CF94-4476-B624-106E3D6DE086}"/>
    <cellStyle name="Normal 4 3 3 3 3 3" xfId="5577" xr:uid="{00000000-0005-0000-0000-00008E140000}"/>
    <cellStyle name="Normal 4 3 3 3 3 3 2" xfId="14903" xr:uid="{D846B94B-6787-4C41-9E5E-C6A53C137803}"/>
    <cellStyle name="Normal 4 3 3 3 3 3 2 2" xfId="33499" xr:uid="{7118A53B-25A9-433A-9702-782711E77881}"/>
    <cellStyle name="Normal 4 3 3 3 3 3 3" xfId="24202" xr:uid="{AD18B22C-797B-4386-9E39-1B943BC2F750}"/>
    <cellStyle name="Normal 4 3 3 3 3 4" xfId="10686" xr:uid="{7EDA5F83-F243-45C1-8584-A301E62DE919}"/>
    <cellStyle name="Normal 4 3 3 3 3 4 2" xfId="29282" xr:uid="{3A5E87A2-6C78-4BC5-889C-59FC1B8043E3}"/>
    <cellStyle name="Normal 4 3 3 3 3 5" xfId="19985" xr:uid="{D6D1505E-1A31-4CCB-AC65-C4E709C2ED0E}"/>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3A8F069C-B57C-4C07-8BD7-DA79A7EE40F3}"/>
    <cellStyle name="Normal 4 3 3 3 4 2 2 2 2" xfId="36057" xr:uid="{AA0158BC-264C-487D-88AA-C1CDBA33C0F2}"/>
    <cellStyle name="Normal 4 3 3 3 4 2 2 3" xfId="26760" xr:uid="{96E486A8-38B5-482C-BADF-94C180F6A51D}"/>
    <cellStyle name="Normal 4 3 3 3 4 2 3" xfId="13244" xr:uid="{3B6C8323-F755-498A-90BA-1F37B6BD27A7}"/>
    <cellStyle name="Normal 4 3 3 3 4 2 3 2" xfId="31840" xr:uid="{A152C0DA-17E9-4B33-9F68-B530A83B3780}"/>
    <cellStyle name="Normal 4 3 3 3 4 2 4" xfId="22543" xr:uid="{BE906C80-EEFC-471F-A5E4-3ABFF22E2836}"/>
    <cellStyle name="Normal 4 3 3 3 4 3" xfId="5990" xr:uid="{00000000-0005-0000-0000-000092140000}"/>
    <cellStyle name="Normal 4 3 3 3 4 3 2" xfId="15316" xr:uid="{09B718F7-68AB-4B69-91A9-6BE406271BC0}"/>
    <cellStyle name="Normal 4 3 3 3 4 3 2 2" xfId="33912" xr:uid="{FB7281D4-9519-43C7-9B24-3CD1A73A024E}"/>
    <cellStyle name="Normal 4 3 3 3 4 3 3" xfId="24615" xr:uid="{7F36600F-7EEE-436C-9C4D-80C98178475E}"/>
    <cellStyle name="Normal 4 3 3 3 4 4" xfId="11099" xr:uid="{9D57D035-5824-4F7C-A964-FF381BE91A6E}"/>
    <cellStyle name="Normal 4 3 3 3 4 4 2" xfId="29695" xr:uid="{D576C41B-6F6B-4D61-B497-38090949B81F}"/>
    <cellStyle name="Normal 4 3 3 3 4 5" xfId="20398" xr:uid="{D20E3124-1B42-4572-B094-3870839F2778}"/>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481FCBE4-313D-464C-965C-ACC09FFCE451}"/>
    <cellStyle name="Normal 4 3 3 3 5 2 2 2 2" xfId="36470" xr:uid="{D9EF3681-8067-4AFF-91EA-26B5E83E8A7C}"/>
    <cellStyle name="Normal 4 3 3 3 5 2 2 3" xfId="27173" xr:uid="{AA78CB98-CDB3-4049-B095-341AA01DAB20}"/>
    <cellStyle name="Normal 4 3 3 3 5 2 3" xfId="13657" xr:uid="{B9BE9D2A-8BA9-43D3-BD04-8645CBFE525D}"/>
    <cellStyle name="Normal 4 3 3 3 5 2 3 2" xfId="32253" xr:uid="{C658EDEF-484B-4514-9BCA-CEFA232E3350}"/>
    <cellStyle name="Normal 4 3 3 3 5 2 4" xfId="22956" xr:uid="{22C0E9C9-9DF5-42A5-89C0-A24EB89EAA7E}"/>
    <cellStyle name="Normal 4 3 3 3 5 3" xfId="6403" xr:uid="{00000000-0005-0000-0000-000096140000}"/>
    <cellStyle name="Normal 4 3 3 3 5 3 2" xfId="15729" xr:uid="{934A016B-C343-40DC-9AFD-9EB168DAFD05}"/>
    <cellStyle name="Normal 4 3 3 3 5 3 2 2" xfId="34325" xr:uid="{C5DD133A-39AE-4DD7-BA68-6BC2590447D3}"/>
    <cellStyle name="Normal 4 3 3 3 5 3 3" xfId="25028" xr:uid="{C22D399B-E636-42D6-A502-B16FCC08A4D0}"/>
    <cellStyle name="Normal 4 3 3 3 5 4" xfId="11512" xr:uid="{E4940A84-5AD2-4909-8C7D-270DBC1D05E1}"/>
    <cellStyle name="Normal 4 3 3 3 5 4 2" xfId="30108" xr:uid="{A7D3A398-DBCE-4305-907F-ECF5D908A81F}"/>
    <cellStyle name="Normal 4 3 3 3 5 5" xfId="20811" xr:uid="{B7321CDF-AAE6-4522-9E02-1951E9D1B137}"/>
    <cellStyle name="Normal 4 3 3 3 6" xfId="2533" xr:uid="{00000000-0005-0000-0000-000097140000}"/>
    <cellStyle name="Normal 4 3 3 3 6 2" xfId="6816" xr:uid="{00000000-0005-0000-0000-000098140000}"/>
    <cellStyle name="Normal 4 3 3 3 6 2 2" xfId="16142" xr:uid="{012DDDDB-E8E0-4BA5-883B-4C1A1478D045}"/>
    <cellStyle name="Normal 4 3 3 3 6 2 2 2" xfId="34738" xr:uid="{F1E360DC-C5E9-4077-A65E-73479F19D540}"/>
    <cellStyle name="Normal 4 3 3 3 6 2 3" xfId="25441" xr:uid="{CE6868B2-3B74-443B-B044-C62D0FDBCFF7}"/>
    <cellStyle name="Normal 4 3 3 3 6 3" xfId="11925" xr:uid="{0F3EFE58-6F82-4E6E-8685-42359ED3706E}"/>
    <cellStyle name="Normal 4 3 3 3 6 3 2" xfId="30521" xr:uid="{89B99DC4-8933-4A87-A8C0-0B34AD12F3B7}"/>
    <cellStyle name="Normal 4 3 3 3 6 4" xfId="21224" xr:uid="{7C7EE3C1-F77C-4F33-ACAC-161F7FC558C8}"/>
    <cellStyle name="Normal 4 3 3 3 7" xfId="4751" xr:uid="{00000000-0005-0000-0000-000099140000}"/>
    <cellStyle name="Normal 4 3 3 3 7 2" xfId="14077" xr:uid="{B9C83DF3-9528-439C-AE45-D0B82C0C1AA0}"/>
    <cellStyle name="Normal 4 3 3 3 7 2 2" xfId="32673" xr:uid="{85A7634F-D949-438B-8FBA-865D7F239EFA}"/>
    <cellStyle name="Normal 4 3 3 3 7 3" xfId="23376" xr:uid="{D7B0AD86-DEAF-4999-B59F-6345BA39900D}"/>
    <cellStyle name="Normal 4 3 3 3 8" xfId="9028" xr:uid="{A0BD85BE-0D8B-455E-B326-708B8FF8A8C8}"/>
    <cellStyle name="Normal 4 3 3 3 8 2" xfId="18352" xr:uid="{B21CC869-A340-4203-B261-13F2F1EA96BE}"/>
    <cellStyle name="Normal 4 3 3 3 8 2 2" xfId="36947" xr:uid="{980E1B3A-B2E2-457D-977A-4940FF65F514}"/>
    <cellStyle name="Normal 4 3 3 3 8 3" xfId="27650" xr:uid="{46EB8066-227D-4EBF-BFED-7CC0B98405C9}"/>
    <cellStyle name="Normal 4 3 3 3 9" xfId="9860" xr:uid="{572B0AF0-F18D-4BAA-99CA-B7A31B008978}"/>
    <cellStyle name="Normal 4 3 3 3 9 2" xfId="28456" xr:uid="{08F0E81A-4B1E-4F99-8F45-3E882864D7DA}"/>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B8A025BF-A53A-4681-A436-65EC0EB23AB8}"/>
    <cellStyle name="Normal 4 3 3 4 2 2 2 2" xfId="35228" xr:uid="{10E9CC93-CD79-4193-90E7-1F7A35D860F6}"/>
    <cellStyle name="Normal 4 3 3 4 2 2 3" xfId="25931" xr:uid="{1646640E-FBE8-4C6E-B20D-A50E8E791AD7}"/>
    <cellStyle name="Normal 4 3 3 4 2 3" xfId="12415" xr:uid="{84255843-34F0-4CD0-A071-B966F6439F56}"/>
    <cellStyle name="Normal 4 3 3 4 2 3 2" xfId="31011" xr:uid="{51E95646-D163-44B8-8C4A-32D6BDD030DB}"/>
    <cellStyle name="Normal 4 3 3 4 2 4" xfId="21714" xr:uid="{EBB884B4-68D0-4C3B-969A-48E27BA05AAA}"/>
    <cellStyle name="Normal 4 3 3 4 3" xfId="5161" xr:uid="{00000000-0005-0000-0000-00009D140000}"/>
    <cellStyle name="Normal 4 3 3 4 3 2" xfId="14487" xr:uid="{761B2EB5-783E-4006-BE54-B5D48C4A9296}"/>
    <cellStyle name="Normal 4 3 3 4 3 2 2" xfId="33083" xr:uid="{34A5BB3C-BE05-48F1-9AAB-4E845204FA2B}"/>
    <cellStyle name="Normal 4 3 3 4 3 3" xfId="23786" xr:uid="{DA5174DF-43AE-41A0-88A1-066509DD7EFC}"/>
    <cellStyle name="Normal 4 3 3 4 4" xfId="9246" xr:uid="{E1107DA9-8F13-4216-80A2-CEA1D2EF57FC}"/>
    <cellStyle name="Normal 4 3 3 4 4 2" xfId="18561" xr:uid="{7FED75AF-4587-4590-8729-2A1DB7887316}"/>
    <cellStyle name="Normal 4 3 3 4 4 2 2" xfId="37155" xr:uid="{D13EDA12-F256-48CA-9B11-A2FC68695ABB}"/>
    <cellStyle name="Normal 4 3 3 4 4 3" xfId="27858" xr:uid="{4283E0BE-C481-4F31-9360-8059E0D9B7BF}"/>
    <cellStyle name="Normal 4 3 3 4 5" xfId="10270" xr:uid="{2BDF109A-9E12-4D7C-A727-D69C45614AF0}"/>
    <cellStyle name="Normal 4 3 3 4 5 2" xfId="28866" xr:uid="{238710DC-028F-4ED7-AE59-FB0F16CB58CE}"/>
    <cellStyle name="Normal 4 3 3 4 6" xfId="19569" xr:uid="{725CBC56-7540-4878-8147-7F3165F720DB}"/>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125411CB-321B-44C7-BA4E-F715F3E93F9D}"/>
    <cellStyle name="Normal 4 3 3 5 2 2 2 2" xfId="35641" xr:uid="{347C686A-7C93-4EDB-8271-9C4C8070897A}"/>
    <cellStyle name="Normal 4 3 3 5 2 2 3" xfId="26344" xr:uid="{A4D11A36-B9A1-4721-A359-F33700DA6ADB}"/>
    <cellStyle name="Normal 4 3 3 5 2 3" xfId="12828" xr:uid="{E7379DC8-C356-490B-974B-C79B1B5BABBA}"/>
    <cellStyle name="Normal 4 3 3 5 2 3 2" xfId="31424" xr:uid="{96E70AD7-A57D-47CC-9BCC-F9106472825F}"/>
    <cellStyle name="Normal 4 3 3 5 2 4" xfId="22127" xr:uid="{D4774694-1DC4-46DA-BBEF-D5EE8AE0E338}"/>
    <cellStyle name="Normal 4 3 3 5 3" xfId="5574" xr:uid="{00000000-0005-0000-0000-0000A1140000}"/>
    <cellStyle name="Normal 4 3 3 5 3 2" xfId="14900" xr:uid="{69AE2404-EAE4-4C20-A019-5804FAEBA589}"/>
    <cellStyle name="Normal 4 3 3 5 3 2 2" xfId="33496" xr:uid="{3FD75EDE-7542-472F-B0B1-2CBEE3D6AC57}"/>
    <cellStyle name="Normal 4 3 3 5 3 3" xfId="24199" xr:uid="{B4CE20B0-4CD0-423D-93A6-57C87C6D9A77}"/>
    <cellStyle name="Normal 4 3 3 5 4" xfId="10683" xr:uid="{1788BFA1-8ABF-4187-8EFE-8FFCEE2552AE}"/>
    <cellStyle name="Normal 4 3 3 5 4 2" xfId="29279" xr:uid="{67AA192D-3EFF-40E4-93E9-08DE6DA7DB98}"/>
    <cellStyle name="Normal 4 3 3 5 5" xfId="19982" xr:uid="{12F2A9E5-7A1A-4784-A4E3-C62952F00A69}"/>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2603FE6C-8FB2-4B68-874A-8AB372DBA46A}"/>
    <cellStyle name="Normal 4 3 3 6 2 2 2 2" xfId="36054" xr:uid="{E17B0CFC-3686-4117-98E4-09D86B9C43AE}"/>
    <cellStyle name="Normal 4 3 3 6 2 2 3" xfId="26757" xr:uid="{D7525565-4E74-459B-A8F3-8B829607F0E1}"/>
    <cellStyle name="Normal 4 3 3 6 2 3" xfId="13241" xr:uid="{2B5BB374-7356-4B61-8008-71A1EAC46F9B}"/>
    <cellStyle name="Normal 4 3 3 6 2 3 2" xfId="31837" xr:uid="{FB95211E-DE18-4CA8-813C-A928C53A749E}"/>
    <cellStyle name="Normal 4 3 3 6 2 4" xfId="22540" xr:uid="{6CAF6A00-5030-4A59-999E-99EA9A52CED3}"/>
    <cellStyle name="Normal 4 3 3 6 3" xfId="5987" xr:uid="{00000000-0005-0000-0000-0000A5140000}"/>
    <cellStyle name="Normal 4 3 3 6 3 2" xfId="15313" xr:uid="{2762FB02-AEDC-4DC6-83E2-F6C0C74D4718}"/>
    <cellStyle name="Normal 4 3 3 6 3 2 2" xfId="33909" xr:uid="{19D8C4BA-6FAB-4A94-9665-5155BC9FAD85}"/>
    <cellStyle name="Normal 4 3 3 6 3 3" xfId="24612" xr:uid="{061E75BA-827A-4794-9907-F20858D207F9}"/>
    <cellStyle name="Normal 4 3 3 6 4" xfId="11096" xr:uid="{B8244BCA-32C0-4ED1-BCD4-46A41796BD7B}"/>
    <cellStyle name="Normal 4 3 3 6 4 2" xfId="29692" xr:uid="{610BF4BC-9262-430D-8D64-50D7A30A8690}"/>
    <cellStyle name="Normal 4 3 3 6 5" xfId="20395" xr:uid="{AEC93794-7C29-4F4E-B601-625E62707B4C}"/>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70CEE042-9AA6-4D32-B508-4B84D81D2493}"/>
    <cellStyle name="Normal 4 3 3 7 2 2 2 2" xfId="36467" xr:uid="{331735F2-0017-400E-AEBF-49C7480688CA}"/>
    <cellStyle name="Normal 4 3 3 7 2 2 3" xfId="27170" xr:uid="{ADD42C3B-7853-4B5E-B060-D90AF20A9FB3}"/>
    <cellStyle name="Normal 4 3 3 7 2 3" xfId="13654" xr:uid="{47DB2396-44DC-4CE4-BF4E-C96A8ACE2E97}"/>
    <cellStyle name="Normal 4 3 3 7 2 3 2" xfId="32250" xr:uid="{993B203A-FA15-4192-9C41-481178FE7C90}"/>
    <cellStyle name="Normal 4 3 3 7 2 4" xfId="22953" xr:uid="{47A1D69F-43B1-47AA-B7FA-A373F822CBC8}"/>
    <cellStyle name="Normal 4 3 3 7 3" xfId="6400" xr:uid="{00000000-0005-0000-0000-0000A9140000}"/>
    <cellStyle name="Normal 4 3 3 7 3 2" xfId="15726" xr:uid="{E2AE2903-96D1-43A9-A23D-097B9190F44A}"/>
    <cellStyle name="Normal 4 3 3 7 3 2 2" xfId="34322" xr:uid="{FDB82E8E-3ABD-4596-A49A-4C9F30E120D9}"/>
    <cellStyle name="Normal 4 3 3 7 3 3" xfId="25025" xr:uid="{65C66407-9951-4CA5-96D1-32D380027A40}"/>
    <cellStyle name="Normal 4 3 3 7 4" xfId="11509" xr:uid="{5C629530-EF63-481B-AB18-04E1E15FF8BE}"/>
    <cellStyle name="Normal 4 3 3 7 4 2" xfId="30105" xr:uid="{98465D9A-E038-41A2-8B57-C665B31D1E2D}"/>
    <cellStyle name="Normal 4 3 3 7 5" xfId="20808" xr:uid="{288C3FBD-CAEB-4FEB-91EF-B02A357E4361}"/>
    <cellStyle name="Normal 4 3 3 8" xfId="2530" xr:uid="{00000000-0005-0000-0000-0000AA140000}"/>
    <cellStyle name="Normal 4 3 3 8 2" xfId="6813" xr:uid="{00000000-0005-0000-0000-0000AB140000}"/>
    <cellStyle name="Normal 4 3 3 8 2 2" xfId="16139" xr:uid="{9CB59E47-2A3A-4643-A09C-CF3EAC8DFD8E}"/>
    <cellStyle name="Normal 4 3 3 8 2 2 2" xfId="34735" xr:uid="{7F0331AF-BE40-4D3E-BF62-EB0E5BE48459}"/>
    <cellStyle name="Normal 4 3 3 8 2 3" xfId="25438" xr:uid="{5512F6AE-CB9B-43D2-A882-31C6DFBB9F50}"/>
    <cellStyle name="Normal 4 3 3 8 3" xfId="11922" xr:uid="{49552B0D-5FF3-47AD-BA0C-12F5E7576595}"/>
    <cellStyle name="Normal 4 3 3 8 3 2" xfId="30518" xr:uid="{DC398C17-5F4F-4910-B018-E723959609AE}"/>
    <cellStyle name="Normal 4 3 3 8 4" xfId="21221" xr:uid="{5391D063-5CC5-4973-8974-2325C7E934F9}"/>
    <cellStyle name="Normal 4 3 3 9" xfId="4748" xr:uid="{00000000-0005-0000-0000-0000AC140000}"/>
    <cellStyle name="Normal 4 3 3 9 2" xfId="14074" xr:uid="{71A55079-BAB3-4C77-B73B-08BEE8931844}"/>
    <cellStyle name="Normal 4 3 3 9 2 2" xfId="32670" xr:uid="{7A7D2E20-40B3-4DDD-BB90-A061A7C3A927}"/>
    <cellStyle name="Normal 4 3 3 9 3" xfId="23373" xr:uid="{FDAEC2BA-747B-44C9-BF4A-1A6113558360}"/>
    <cellStyle name="Normal 4 3 4" xfId="842" xr:uid="{00000000-0005-0000-0000-0000AD140000}"/>
    <cellStyle name="Normal 4 3 4 2" xfId="3079" xr:uid="{00000000-0005-0000-0000-0000AE140000}"/>
    <cellStyle name="Normal 4 3 4 2 2" xfId="7301" xr:uid="{00000000-0005-0000-0000-0000AF140000}"/>
    <cellStyle name="Normal 4 3 4 2 2 2" xfId="16627" xr:uid="{7CB69149-08F5-4D42-BAEF-2FC1BA95C4DE}"/>
    <cellStyle name="Normal 4 3 4 2 2 2 2" xfId="35223" xr:uid="{A280A8CE-5226-40EF-B63D-FB26F30CBD96}"/>
    <cellStyle name="Normal 4 3 4 2 2 3" xfId="25926" xr:uid="{8C7FFC97-7322-404A-BF24-E38E58E23AE1}"/>
    <cellStyle name="Normal 4 3 4 2 3" xfId="12410" xr:uid="{1A64653C-DDCF-4F38-B137-F77B859606A4}"/>
    <cellStyle name="Normal 4 3 4 2 3 2" xfId="31006" xr:uid="{A675DAA0-EB9E-49DB-97DA-B3F1F0E7976F}"/>
    <cellStyle name="Normal 4 3 4 2 4" xfId="21709" xr:uid="{808099CE-ED71-45E7-8D2C-11873657035A}"/>
    <cellStyle name="Normal 4 3 4 3" xfId="5156" xr:uid="{00000000-0005-0000-0000-0000B0140000}"/>
    <cellStyle name="Normal 4 3 4 3 2" xfId="14482" xr:uid="{B645337E-DFB1-49D0-B1EB-571C8A86846D}"/>
    <cellStyle name="Normal 4 3 4 3 2 2" xfId="33078" xr:uid="{FAF0E624-3043-411A-A45D-1EA215BB7FA8}"/>
    <cellStyle name="Normal 4 3 4 3 3" xfId="23781" xr:uid="{A2687B19-F8F2-4A27-B329-A38979A76ED4}"/>
    <cellStyle name="Normal 4 3 4 4" xfId="9608" xr:uid="{C2EFFD2B-01D5-4B2B-BD85-BB4245D6A35E}"/>
    <cellStyle name="Normal 4 3 4 4 2" xfId="18909" xr:uid="{7CB757C2-1177-42DE-9706-4EEA4BC0774B}"/>
    <cellStyle name="Normal 4 3 4 4 2 2" xfId="37503" xr:uid="{A8EFA6F6-32A8-43E0-914B-D3EDB41E2418}"/>
    <cellStyle name="Normal 4 3 4 4 3" xfId="28206" xr:uid="{14C112D3-4C6A-40AA-8F01-3AA2205C87BF}"/>
    <cellStyle name="Normal 4 3 4 5" xfId="10265" xr:uid="{581A70C6-58EA-416C-B9A9-7821E35415EC}"/>
    <cellStyle name="Normal 4 3 4 5 2" xfId="28861" xr:uid="{7E51A427-6848-4E23-9D9C-E92DA494F29E}"/>
    <cellStyle name="Normal 4 3 4 6" xfId="19564" xr:uid="{04FD3E13-80E8-4FA8-8C65-216F87AC1D17}"/>
    <cellStyle name="Normal 4 3 5" xfId="1262" xr:uid="{00000000-0005-0000-0000-0000B1140000}"/>
    <cellStyle name="Normal 4 3 5 2" xfId="3492" xr:uid="{00000000-0005-0000-0000-0000B2140000}"/>
    <cellStyle name="Normal 4 3 5 2 2" xfId="7714" xr:uid="{00000000-0005-0000-0000-0000B3140000}"/>
    <cellStyle name="Normal 4 3 5 2 2 2" xfId="17040" xr:uid="{8D38A6B3-5CA1-4914-B7D1-D143449D17C1}"/>
    <cellStyle name="Normal 4 3 5 2 2 2 2" xfId="35636" xr:uid="{B4581FD1-F2E2-49EE-B6DA-1BFA22E0C7F7}"/>
    <cellStyle name="Normal 4 3 5 2 2 3" xfId="26339" xr:uid="{3509E083-7E1F-4726-9B0A-BB9EB54BDCFE}"/>
    <cellStyle name="Normal 4 3 5 2 3" xfId="12823" xr:uid="{4C4C9665-6EDE-46EA-AAF4-478391B666B0}"/>
    <cellStyle name="Normal 4 3 5 2 3 2" xfId="31419" xr:uid="{FB3E21A5-AD7B-472A-9F7F-B26E111D1750}"/>
    <cellStyle name="Normal 4 3 5 2 4" xfId="22122" xr:uid="{E31FE672-D8EE-42BE-8429-2F81D1B35E9E}"/>
    <cellStyle name="Normal 4 3 5 3" xfId="5569" xr:uid="{00000000-0005-0000-0000-0000B4140000}"/>
    <cellStyle name="Normal 4 3 5 3 2" xfId="14895" xr:uid="{DBCA888D-07D5-4C6A-AF1A-424CA7B87024}"/>
    <cellStyle name="Normal 4 3 5 3 2 2" xfId="33491" xr:uid="{531B358A-9FF1-46BD-8D63-1D793AC1B7D7}"/>
    <cellStyle name="Normal 4 3 5 3 3" xfId="24194" xr:uid="{62192D23-0C28-43FA-8FF0-0DE09C9DE1DF}"/>
    <cellStyle name="Normal 4 3 5 4" xfId="10678" xr:uid="{466E69CA-EF7D-4B82-96DC-89367587ABDD}"/>
    <cellStyle name="Normal 4 3 5 4 2" xfId="29274" xr:uid="{24E47661-7D64-4C2F-9175-6F1B69D000D0}"/>
    <cellStyle name="Normal 4 3 5 5" xfId="19977" xr:uid="{77130C10-77F0-4943-B5F4-4E8A4E4E52EB}"/>
    <cellStyle name="Normal 4 3 6" xfId="1675" xr:uid="{00000000-0005-0000-0000-0000B5140000}"/>
    <cellStyle name="Normal 4 3 6 2" xfId="3905" xr:uid="{00000000-0005-0000-0000-0000B6140000}"/>
    <cellStyle name="Normal 4 3 6 2 2" xfId="8127" xr:uid="{00000000-0005-0000-0000-0000B7140000}"/>
    <cellStyle name="Normal 4 3 6 2 2 2" xfId="17453" xr:uid="{03DE0DEF-79D0-46B4-B080-36826BF86EAF}"/>
    <cellStyle name="Normal 4 3 6 2 2 2 2" xfId="36049" xr:uid="{4D313674-AAED-4277-9871-901AC0EB38B2}"/>
    <cellStyle name="Normal 4 3 6 2 2 3" xfId="26752" xr:uid="{EDB24BFF-6E3F-4129-8135-5D0AD9E4F1CE}"/>
    <cellStyle name="Normal 4 3 6 2 3" xfId="13236" xr:uid="{C07B7630-A80C-4B7D-9319-5205FB52EED6}"/>
    <cellStyle name="Normal 4 3 6 2 3 2" xfId="31832" xr:uid="{7EC0EEF0-8D60-483A-9CF8-7C90B29C6360}"/>
    <cellStyle name="Normal 4 3 6 2 4" xfId="22535" xr:uid="{410366F4-DEB8-4FCA-8EAF-D860DADB3366}"/>
    <cellStyle name="Normal 4 3 6 3" xfId="5982" xr:uid="{00000000-0005-0000-0000-0000B8140000}"/>
    <cellStyle name="Normal 4 3 6 3 2" xfId="15308" xr:uid="{A399771F-65B2-4F43-AA15-E3A3374CFF8B}"/>
    <cellStyle name="Normal 4 3 6 3 2 2" xfId="33904" xr:uid="{C3C68D19-107A-4C20-9D8D-F46510BBA038}"/>
    <cellStyle name="Normal 4 3 6 3 3" xfId="24607" xr:uid="{7526EC80-3C38-4BAF-9043-3152CB89F956}"/>
    <cellStyle name="Normal 4 3 6 4" xfId="11091" xr:uid="{1ACF4BA4-D10E-4E11-8D69-71E17670225F}"/>
    <cellStyle name="Normal 4 3 6 4 2" xfId="29687" xr:uid="{73F323DB-1A90-4584-A540-2D9158BEC1A0}"/>
    <cellStyle name="Normal 4 3 6 5" xfId="20390" xr:uid="{BDCA7EF2-944C-4AFF-8DCC-3E32B0C36D69}"/>
    <cellStyle name="Normal 4 3 7" xfId="2089" xr:uid="{00000000-0005-0000-0000-0000B9140000}"/>
    <cellStyle name="Normal 4 3 7 2" xfId="4318" xr:uid="{00000000-0005-0000-0000-0000BA140000}"/>
    <cellStyle name="Normal 4 3 7 2 2" xfId="8540" xr:uid="{00000000-0005-0000-0000-0000BB140000}"/>
    <cellStyle name="Normal 4 3 7 2 2 2" xfId="17866" xr:uid="{A02966FD-9074-4E74-A230-85A99EBCEDB8}"/>
    <cellStyle name="Normal 4 3 7 2 2 2 2" xfId="36462" xr:uid="{2039E209-BAFA-4C8F-8E61-F656BCD9D95B}"/>
    <cellStyle name="Normal 4 3 7 2 2 3" xfId="27165" xr:uid="{AB8A10D6-A76C-4028-9644-62EB84655B1E}"/>
    <cellStyle name="Normal 4 3 7 2 3" xfId="13649" xr:uid="{47F5CF25-523A-40D7-A6CC-9EC6A7BFD016}"/>
    <cellStyle name="Normal 4 3 7 2 3 2" xfId="32245" xr:uid="{1CA085FC-6BB3-4F4E-972B-CFC4308A5AF4}"/>
    <cellStyle name="Normal 4 3 7 2 4" xfId="22948" xr:uid="{5F1989BF-E00C-4DA4-A111-98037D594349}"/>
    <cellStyle name="Normal 4 3 7 3" xfId="6395" xr:uid="{00000000-0005-0000-0000-0000BC140000}"/>
    <cellStyle name="Normal 4 3 7 3 2" xfId="15721" xr:uid="{F48CB50B-E208-4656-8777-2F1008D16E63}"/>
    <cellStyle name="Normal 4 3 7 3 2 2" xfId="34317" xr:uid="{2C6EB315-F18B-4C5A-A312-19BBCEBAB4CD}"/>
    <cellStyle name="Normal 4 3 7 3 3" xfId="25020" xr:uid="{02C3E600-A363-4592-8D4B-6BFE6B269928}"/>
    <cellStyle name="Normal 4 3 7 4" xfId="11504" xr:uid="{A9DACBC2-2E5D-4EE3-8DEE-B7CE437E079C}"/>
    <cellStyle name="Normal 4 3 7 4 2" xfId="30100" xr:uid="{3697C21D-BFC2-404F-A1F9-38EE676927EF}"/>
    <cellStyle name="Normal 4 3 7 5" xfId="20803" xr:uid="{5B64D894-B897-4E18-9C33-386E7D687ABC}"/>
    <cellStyle name="Normal 4 3 8" xfId="2525" xr:uid="{00000000-0005-0000-0000-0000BD140000}"/>
    <cellStyle name="Normal 4 3 8 2" xfId="6808" xr:uid="{00000000-0005-0000-0000-0000BE140000}"/>
    <cellStyle name="Normal 4 3 8 2 2" xfId="16134" xr:uid="{123F4895-7A30-470A-A8D1-20F6852D8069}"/>
    <cellStyle name="Normal 4 3 8 2 2 2" xfId="34730" xr:uid="{85262268-EA2B-40E0-818E-974DCFC8F52A}"/>
    <cellStyle name="Normal 4 3 8 2 3" xfId="25433" xr:uid="{AA8A6DBA-C987-4F85-A150-B768AA8BC54F}"/>
    <cellStyle name="Normal 4 3 8 3" xfId="11917" xr:uid="{F5B48981-01E2-4E5C-9757-90A54EE348B2}"/>
    <cellStyle name="Normal 4 3 8 3 2" xfId="30513" xr:uid="{5CCD0779-AEBB-49E9-BCBE-9D6BE7E8A8D2}"/>
    <cellStyle name="Normal 4 3 8 4" xfId="21216" xr:uid="{7B464B8F-0AA3-480C-8250-EC3F9454740D}"/>
    <cellStyle name="Normal 4 3 9" xfId="4743" xr:uid="{00000000-0005-0000-0000-0000BF140000}"/>
    <cellStyle name="Normal 4 3 9 2" xfId="14069" xr:uid="{4D7D23D1-4B57-4A69-8E31-60C13F1D55FE}"/>
    <cellStyle name="Normal 4 3 9 2 2" xfId="32665" xr:uid="{28816216-4940-48C6-A54A-12DF035096E5}"/>
    <cellStyle name="Normal 4 3 9 3" xfId="23368" xr:uid="{01347FA7-8A7F-42F1-A69E-5F4583781CC0}"/>
    <cellStyle name="Normal 4 4" xfId="378" xr:uid="{00000000-0005-0000-0000-0000C0140000}"/>
    <cellStyle name="Normal 4 4 10" xfId="2534" xr:uid="{00000000-0005-0000-0000-0000C1140000}"/>
    <cellStyle name="Normal 4 4 10 2" xfId="6817" xr:uid="{00000000-0005-0000-0000-0000C2140000}"/>
    <cellStyle name="Normal 4 4 10 2 2" xfId="16143" xr:uid="{1B32788B-4901-4978-B3C7-2E3EF198D11C}"/>
    <cellStyle name="Normal 4 4 10 2 2 2" xfId="34739" xr:uid="{1675DED7-E7BA-4EDE-A9B2-0BABCA231767}"/>
    <cellStyle name="Normal 4 4 10 2 3" xfId="25442" xr:uid="{75A902D0-2A72-4BBB-A1F7-C9C857232143}"/>
    <cellStyle name="Normal 4 4 10 3" xfId="11926" xr:uid="{ACF12F01-E320-4677-B0FC-8FA7083CC4F0}"/>
    <cellStyle name="Normal 4 4 10 3 2" xfId="30522" xr:uid="{BD97C812-54E3-4EBC-8B0D-1CF00ECC3F92}"/>
    <cellStyle name="Normal 4 4 10 4" xfId="21225" xr:uid="{27EF6F8C-2C5E-465F-8B62-C74437083C03}"/>
    <cellStyle name="Normal 4 4 11" xfId="4752" xr:uid="{00000000-0005-0000-0000-0000C3140000}"/>
    <cellStyle name="Normal 4 4 11 2" xfId="14078" xr:uid="{8C9D2E3A-34F4-4A0C-82B5-0DDDF3E68F85}"/>
    <cellStyle name="Normal 4 4 11 2 2" xfId="32674" xr:uid="{518E5A8D-8FDC-4367-AF55-C95195F4E80F}"/>
    <cellStyle name="Normal 4 4 11 3" xfId="23377" xr:uid="{0D2E4F0C-FC21-4938-81ED-A7EF14EEA639}"/>
    <cellStyle name="Normal 4 4 12" xfId="8749" xr:uid="{A91736B6-873D-4B1A-8B29-18DC69E5E65F}"/>
    <cellStyle name="Normal 4 4 12 2" xfId="18073" xr:uid="{6171A8F3-F5F7-4B35-B52E-1E345B067576}"/>
    <cellStyle name="Normal 4 4 12 2 2" xfId="36668" xr:uid="{450FF61E-6B14-42CC-8D90-DEAA8820D9A0}"/>
    <cellStyle name="Normal 4 4 12 3" xfId="27371" xr:uid="{7DE04904-AB2B-4A38-906D-3B511B8EEE43}"/>
    <cellStyle name="Normal 4 4 13" xfId="9861" xr:uid="{8539AA23-BE4D-4F9A-98D0-31D2DE346174}"/>
    <cellStyle name="Normal 4 4 13 2" xfId="28457" xr:uid="{2FB0731B-8266-4DDE-A5EC-83B2251B44B5}"/>
    <cellStyle name="Normal 4 4 14" xfId="19160" xr:uid="{DB2B3166-BB3A-48E4-8FA4-8D6106E43308}"/>
    <cellStyle name="Normal 4 4 2" xfId="379" xr:uid="{00000000-0005-0000-0000-0000C4140000}"/>
    <cellStyle name="Normal 4 4 2 10" xfId="4753" xr:uid="{00000000-0005-0000-0000-0000C5140000}"/>
    <cellStyle name="Normal 4 4 2 10 2" xfId="14079" xr:uid="{81C17425-BA38-459C-A622-9ED15AA4877D}"/>
    <cellStyle name="Normal 4 4 2 10 2 2" xfId="32675" xr:uid="{907AFCE3-C5E4-402B-964D-AB369AEB0479}"/>
    <cellStyle name="Normal 4 4 2 10 3" xfId="23378" xr:uid="{852CEAC4-6C0E-406B-A03C-4CD59523BBCD}"/>
    <cellStyle name="Normal 4 4 2 11" xfId="8781" xr:uid="{12B8F0AD-1EB8-4D0A-9CAD-21DEEFEDAE41}"/>
    <cellStyle name="Normal 4 4 2 11 2" xfId="18105" xr:uid="{B152B4F5-726C-48EF-B7EA-C4DC2E19092C}"/>
    <cellStyle name="Normal 4 4 2 11 2 2" xfId="36700" xr:uid="{DC9DB4D6-EF91-4F82-AD88-FABBCAACB0DC}"/>
    <cellStyle name="Normal 4 4 2 11 3" xfId="27403" xr:uid="{7B85836B-7D3C-4053-96F9-D125F10D543B}"/>
    <cellStyle name="Normal 4 4 2 12" xfId="9862" xr:uid="{F4228ABF-BCD6-48CD-BAE2-EDDC336DB2D8}"/>
    <cellStyle name="Normal 4 4 2 12 2" xfId="28458" xr:uid="{AD9A0E42-CB52-4903-B7F2-0E1D11FA44CE}"/>
    <cellStyle name="Normal 4 4 2 13" xfId="19161" xr:uid="{E64A08B8-4871-4BC0-83A3-23D7F49CEF44}"/>
    <cellStyle name="Normal 4 4 2 2" xfId="380" xr:uid="{00000000-0005-0000-0000-0000C6140000}"/>
    <cellStyle name="Normal 4 4 2 2 10" xfId="8824" xr:uid="{FF218EA8-00A9-476B-AA88-FBBBBED2D06B}"/>
    <cellStyle name="Normal 4 4 2 2 10 2" xfId="18148" xr:uid="{116A2B18-A742-4920-843A-BDB2B623D719}"/>
    <cellStyle name="Normal 4 4 2 2 10 2 2" xfId="36743" xr:uid="{E84003B9-9D9D-4BA3-8808-97E6EBD432EF}"/>
    <cellStyle name="Normal 4 4 2 2 10 3" xfId="27446" xr:uid="{3316C6A6-BC5B-4728-9103-BDFBC9B81CE0}"/>
    <cellStyle name="Normal 4 4 2 2 11" xfId="9863" xr:uid="{557E3295-87EE-4E55-B263-B7564863D73F}"/>
    <cellStyle name="Normal 4 4 2 2 11 2" xfId="28459" xr:uid="{8FC58178-EF87-4E3A-9670-1967D15964B7}"/>
    <cellStyle name="Normal 4 4 2 2 12" xfId="19162" xr:uid="{782C918B-52AD-4F3B-864B-37308CF3951F}"/>
    <cellStyle name="Normal 4 4 2 2 2" xfId="381" xr:uid="{00000000-0005-0000-0000-0000C7140000}"/>
    <cellStyle name="Normal 4 4 2 2 2 10" xfId="9864" xr:uid="{48FDBD7C-DDDE-4479-9A6C-A5CAC43644CA}"/>
    <cellStyle name="Normal 4 4 2 2 2 10 2" xfId="28460" xr:uid="{9CCA0080-6D81-4C11-BD36-69C080BC0D37}"/>
    <cellStyle name="Normal 4 4 2 2 2 11" xfId="19163" xr:uid="{A777059D-3322-45BE-8224-71DC3FD5F5E3}"/>
    <cellStyle name="Normal 4 4 2 2 2 2" xfId="382" xr:uid="{00000000-0005-0000-0000-0000C8140000}"/>
    <cellStyle name="Normal 4 4 2 2 2 2 10" xfId="19164" xr:uid="{6D75EF41-123A-496B-9D4A-A9DEC0971EC4}"/>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0040799E-1F1C-4DE1-8A55-69C3564A80F8}"/>
    <cellStyle name="Normal 4 4 2 2 2 2 2 2 2 2 2" xfId="35236" xr:uid="{D481F72C-D493-460E-BC90-E872543DC9CA}"/>
    <cellStyle name="Normal 4 4 2 2 2 2 2 2 2 3" xfId="25939" xr:uid="{18C891DD-3FA4-4E3B-B9C9-55307A44D74A}"/>
    <cellStyle name="Normal 4 4 2 2 2 2 2 2 3" xfId="12423" xr:uid="{AFE7DFCA-9F55-4CC6-9233-A10EB7625281}"/>
    <cellStyle name="Normal 4 4 2 2 2 2 2 2 3 2" xfId="31019" xr:uid="{197BE3C3-5609-4887-9A13-9E66C78B80D5}"/>
    <cellStyle name="Normal 4 4 2 2 2 2 2 2 4" xfId="21722" xr:uid="{CE482D5B-C179-487F-920F-D3843D7FF00A}"/>
    <cellStyle name="Normal 4 4 2 2 2 2 2 3" xfId="5169" xr:uid="{00000000-0005-0000-0000-0000CC140000}"/>
    <cellStyle name="Normal 4 4 2 2 2 2 2 3 2" xfId="14495" xr:uid="{BA1B50EC-28CE-4067-9BC0-B7E687EA6CA7}"/>
    <cellStyle name="Normal 4 4 2 2 2 2 2 3 2 2" xfId="33091" xr:uid="{6CA64F57-53D9-486B-9DDE-3DE8E3837BE5}"/>
    <cellStyle name="Normal 4 4 2 2 2 2 2 3 3" xfId="23794" xr:uid="{236CFF6F-5E8C-4F76-87F7-9F22CB360DC4}"/>
    <cellStyle name="Normal 4 4 2 2 2 2 2 4" xfId="9559" xr:uid="{6E5E886C-D83F-47E6-AD2B-552CC2A98FD0}"/>
    <cellStyle name="Normal 4 4 2 2 2 2 2 4 2" xfId="18874" xr:uid="{72A03407-3E0D-459A-9E53-ACEE8F677258}"/>
    <cellStyle name="Normal 4 4 2 2 2 2 2 4 2 2" xfId="37468" xr:uid="{114BB005-3689-4498-B9B3-8F150DAB70B1}"/>
    <cellStyle name="Normal 4 4 2 2 2 2 2 4 3" xfId="28171" xr:uid="{805D217B-FD69-4642-AF13-1BEECA616138}"/>
    <cellStyle name="Normal 4 4 2 2 2 2 2 5" xfId="10278" xr:uid="{BF226256-217A-4E6C-BB16-EFAE48D3E086}"/>
    <cellStyle name="Normal 4 4 2 2 2 2 2 5 2" xfId="28874" xr:uid="{2A2C8F0A-DF08-48CC-82D2-64AABD9D011B}"/>
    <cellStyle name="Normal 4 4 2 2 2 2 2 6" xfId="19577" xr:uid="{53A4F48A-F8DF-4E7F-998D-E879EF02C7BF}"/>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FCE205B6-7F6D-4796-8644-AFF9E8D6001F}"/>
    <cellStyle name="Normal 4 4 2 2 2 2 3 2 2 2 2" xfId="35649" xr:uid="{97A908AD-CC13-4BCA-82FA-5E75EDA00A0D}"/>
    <cellStyle name="Normal 4 4 2 2 2 2 3 2 2 3" xfId="26352" xr:uid="{3C92FFC2-B1B1-4DBB-9815-45D38DF56746}"/>
    <cellStyle name="Normal 4 4 2 2 2 2 3 2 3" xfId="12836" xr:uid="{D7B42DBC-49CB-4726-826F-D8E0AC61B027}"/>
    <cellStyle name="Normal 4 4 2 2 2 2 3 2 3 2" xfId="31432" xr:uid="{B425B3B7-FECF-40D3-9A62-7A9D60C48086}"/>
    <cellStyle name="Normal 4 4 2 2 2 2 3 2 4" xfId="22135" xr:uid="{571226BB-C33E-4DD7-8737-5E86EDFF2FBB}"/>
    <cellStyle name="Normal 4 4 2 2 2 2 3 3" xfId="5582" xr:uid="{00000000-0005-0000-0000-0000D0140000}"/>
    <cellStyle name="Normal 4 4 2 2 2 2 3 3 2" xfId="14908" xr:uid="{77A69C35-7DA2-435D-8896-4B7707CD1C2C}"/>
    <cellStyle name="Normal 4 4 2 2 2 2 3 3 2 2" xfId="33504" xr:uid="{CBE29DFF-4601-4AE4-9EA6-32CD6364FD3F}"/>
    <cellStyle name="Normal 4 4 2 2 2 2 3 3 3" xfId="24207" xr:uid="{8C1F340B-E634-4B70-88D5-E0CA4BA6B748}"/>
    <cellStyle name="Normal 4 4 2 2 2 2 3 4" xfId="10691" xr:uid="{B237847B-B4E5-47A7-B1D8-3217E6F084AA}"/>
    <cellStyle name="Normal 4 4 2 2 2 2 3 4 2" xfId="29287" xr:uid="{D021859F-7DF8-4E59-8658-E73F9837158B}"/>
    <cellStyle name="Normal 4 4 2 2 2 2 3 5" xfId="19990" xr:uid="{66BF2770-63BB-4577-80E0-3E5AB2271F42}"/>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7F9F87FC-9641-4F61-AE0D-15A87B4FCF31}"/>
    <cellStyle name="Normal 4 4 2 2 2 2 4 2 2 2 2" xfId="36062" xr:uid="{43D8CD26-C0C5-4E52-BD30-AD036551C15A}"/>
    <cellStyle name="Normal 4 4 2 2 2 2 4 2 2 3" xfId="26765" xr:uid="{9DA9AC31-5760-4EC2-9403-DFA9A80A623E}"/>
    <cellStyle name="Normal 4 4 2 2 2 2 4 2 3" xfId="13249" xr:uid="{B041E404-998B-4917-9222-AC8262E63DBC}"/>
    <cellStyle name="Normal 4 4 2 2 2 2 4 2 3 2" xfId="31845" xr:uid="{F6BBDF13-0737-4A54-94DF-6754322F9775}"/>
    <cellStyle name="Normal 4 4 2 2 2 2 4 2 4" xfId="22548" xr:uid="{0B959F3C-102D-4A9A-948E-75E4DF463447}"/>
    <cellStyle name="Normal 4 4 2 2 2 2 4 3" xfId="5995" xr:uid="{00000000-0005-0000-0000-0000D4140000}"/>
    <cellStyle name="Normal 4 4 2 2 2 2 4 3 2" xfId="15321" xr:uid="{7338D17F-0D60-461D-9AF3-8B3BFA21BB91}"/>
    <cellStyle name="Normal 4 4 2 2 2 2 4 3 2 2" xfId="33917" xr:uid="{CF7DC395-B695-4098-A59E-276E8374567E}"/>
    <cellStyle name="Normal 4 4 2 2 2 2 4 3 3" xfId="24620" xr:uid="{613DDA17-4898-4FF7-A9B5-5ABB212F14A9}"/>
    <cellStyle name="Normal 4 4 2 2 2 2 4 4" xfId="11104" xr:uid="{0C389F15-77CF-419E-80C0-BCFF237518FD}"/>
    <cellStyle name="Normal 4 4 2 2 2 2 4 4 2" xfId="29700" xr:uid="{7E5BA60F-3E9F-4A49-BF7A-F8FC885BE103}"/>
    <cellStyle name="Normal 4 4 2 2 2 2 4 5" xfId="20403" xr:uid="{6D3B31DE-3ECE-492E-8D85-B2CB74E9292F}"/>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06E78AEF-6350-499A-8F96-601A414CFE00}"/>
    <cellStyle name="Normal 4 4 2 2 2 2 5 2 2 2 2" xfId="36475" xr:uid="{36BC9F61-99AF-476E-80E2-DFA85B9C4B18}"/>
    <cellStyle name="Normal 4 4 2 2 2 2 5 2 2 3" xfId="27178" xr:uid="{DF618BD6-A6DF-476C-90AC-557A68DBF92A}"/>
    <cellStyle name="Normal 4 4 2 2 2 2 5 2 3" xfId="13662" xr:uid="{34885DAC-CB2B-47B9-9080-056FD76D5515}"/>
    <cellStyle name="Normal 4 4 2 2 2 2 5 2 3 2" xfId="32258" xr:uid="{1382ACCD-F287-452E-847D-D9328667A21E}"/>
    <cellStyle name="Normal 4 4 2 2 2 2 5 2 4" xfId="22961" xr:uid="{7B4DA9BF-DAE0-4EB0-9533-63619AA4B3E0}"/>
    <cellStyle name="Normal 4 4 2 2 2 2 5 3" xfId="6408" xr:uid="{00000000-0005-0000-0000-0000D8140000}"/>
    <cellStyle name="Normal 4 4 2 2 2 2 5 3 2" xfId="15734" xr:uid="{D1CB010C-538D-4323-AE5E-53A4EEBE4086}"/>
    <cellStyle name="Normal 4 4 2 2 2 2 5 3 2 2" xfId="34330" xr:uid="{F8E944C5-725E-42C2-B678-E9CEF430E279}"/>
    <cellStyle name="Normal 4 4 2 2 2 2 5 3 3" xfId="25033" xr:uid="{A958B1AD-F980-4442-AACF-294025EB9A01}"/>
    <cellStyle name="Normal 4 4 2 2 2 2 5 4" xfId="11517" xr:uid="{5E232A79-EDFA-4F9B-8D1F-DBE1D8F2C0A4}"/>
    <cellStyle name="Normal 4 4 2 2 2 2 5 4 2" xfId="30113" xr:uid="{789486D1-7670-4DED-83B8-B81371C1A6FA}"/>
    <cellStyle name="Normal 4 4 2 2 2 2 5 5" xfId="20816" xr:uid="{0ECCE380-D59D-40E6-8AFA-D7AB8786864D}"/>
    <cellStyle name="Normal 4 4 2 2 2 2 6" xfId="2538" xr:uid="{00000000-0005-0000-0000-0000D9140000}"/>
    <cellStyle name="Normal 4 4 2 2 2 2 6 2" xfId="6821" xr:uid="{00000000-0005-0000-0000-0000DA140000}"/>
    <cellStyle name="Normal 4 4 2 2 2 2 6 2 2" xfId="16147" xr:uid="{24FD5A27-2E0F-45E5-A3D4-8B184E495D1C}"/>
    <cellStyle name="Normal 4 4 2 2 2 2 6 2 2 2" xfId="34743" xr:uid="{25597B82-98B1-4D64-8C50-1CBE819714CB}"/>
    <cellStyle name="Normal 4 4 2 2 2 2 6 2 3" xfId="25446" xr:uid="{AF44A432-2339-4905-959F-F5E01F7D8B6E}"/>
    <cellStyle name="Normal 4 4 2 2 2 2 6 3" xfId="11930" xr:uid="{52A3FF6A-201F-4141-B2F4-4D68DA7EA01D}"/>
    <cellStyle name="Normal 4 4 2 2 2 2 6 3 2" xfId="30526" xr:uid="{D5DB1DD5-8437-4A56-A091-44DEE2053549}"/>
    <cellStyle name="Normal 4 4 2 2 2 2 6 4" xfId="21229" xr:uid="{CF904400-E695-4780-BB24-D860415FE563}"/>
    <cellStyle name="Normal 4 4 2 2 2 2 7" xfId="4756" xr:uid="{00000000-0005-0000-0000-0000DB140000}"/>
    <cellStyle name="Normal 4 4 2 2 2 2 7 2" xfId="14082" xr:uid="{337A7C15-79EF-47D5-8D6C-8525862D400E}"/>
    <cellStyle name="Normal 4 4 2 2 2 2 7 2 2" xfId="32678" xr:uid="{AB665C6D-149A-4C39-A358-EE3509F04B48}"/>
    <cellStyle name="Normal 4 4 2 2 2 2 7 3" xfId="23381" xr:uid="{02E5A7BA-3A14-41BD-9B1C-340F22C3D798}"/>
    <cellStyle name="Normal 4 4 2 2 2 2 8" xfId="9134" xr:uid="{B37D4C66-6754-4A5E-BFF7-77694E4355C2}"/>
    <cellStyle name="Normal 4 4 2 2 2 2 8 2" xfId="18458" xr:uid="{C49ACA02-B0F5-42D8-A072-52BD92E81CD3}"/>
    <cellStyle name="Normal 4 4 2 2 2 2 8 2 2" xfId="37053" xr:uid="{AF4B6B3F-0C90-485B-9482-1F86CE5FF19C}"/>
    <cellStyle name="Normal 4 4 2 2 2 2 8 3" xfId="27756" xr:uid="{F766EAFE-142B-40DF-8166-3FA85CC4DA52}"/>
    <cellStyle name="Normal 4 4 2 2 2 2 9" xfId="9865" xr:uid="{61623AF1-5D79-4EF9-9366-9A1C3EE32163}"/>
    <cellStyle name="Normal 4 4 2 2 2 2 9 2" xfId="28461" xr:uid="{4B513D77-A090-4A1D-8786-46A59CC3A5A5}"/>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03A23EF7-1D41-4DE0-AF15-18CF31B81B10}"/>
    <cellStyle name="Normal 4 4 2 2 2 3 2 2 2 2" xfId="35235" xr:uid="{911D4819-50C7-4069-B783-AFB2F4B44337}"/>
    <cellStyle name="Normal 4 4 2 2 2 3 2 2 3" xfId="25938" xr:uid="{92D626D1-7ADE-4BC6-9943-4539A9637625}"/>
    <cellStyle name="Normal 4 4 2 2 2 3 2 3" xfId="12422" xr:uid="{A0DB8FA4-1738-4DDD-8814-1EA9424411A8}"/>
    <cellStyle name="Normal 4 4 2 2 2 3 2 3 2" xfId="31018" xr:uid="{4EFF22E1-BB07-40DE-B938-AD03BD5D361A}"/>
    <cellStyle name="Normal 4 4 2 2 2 3 2 4" xfId="21721" xr:uid="{BEE4C28C-BD68-4408-9836-C9BD5894A636}"/>
    <cellStyle name="Normal 4 4 2 2 2 3 3" xfId="5168" xr:uid="{00000000-0005-0000-0000-0000DF140000}"/>
    <cellStyle name="Normal 4 4 2 2 2 3 3 2" xfId="14494" xr:uid="{5D1C7344-BA03-4AB7-92BF-32ED5B10F228}"/>
    <cellStyle name="Normal 4 4 2 2 2 3 3 2 2" xfId="33090" xr:uid="{38D94AF8-4146-4B8B-A9DB-23685F112C5A}"/>
    <cellStyle name="Normal 4 4 2 2 2 3 3 3" xfId="23793" xr:uid="{FC95A5AA-BDE5-40BF-8347-7FEE63830DA8}"/>
    <cellStyle name="Normal 4 4 2 2 2 3 4" xfId="9352" xr:uid="{76F31DA2-44D0-447F-BA9C-6271BA6AAE96}"/>
    <cellStyle name="Normal 4 4 2 2 2 3 4 2" xfId="18667" xr:uid="{29D5AD62-F0FF-47D2-9C48-54326C11486F}"/>
    <cellStyle name="Normal 4 4 2 2 2 3 4 2 2" xfId="37261" xr:uid="{2F1ED967-1819-4406-B2B8-B40E17AF0A36}"/>
    <cellStyle name="Normal 4 4 2 2 2 3 4 3" xfId="27964" xr:uid="{BF485BAF-3892-4AF1-B9DB-161ADF96F5AA}"/>
    <cellStyle name="Normal 4 4 2 2 2 3 5" xfId="10277" xr:uid="{79F03418-F7CE-476F-9A74-0C3875FB2F09}"/>
    <cellStyle name="Normal 4 4 2 2 2 3 5 2" xfId="28873" xr:uid="{BE8D9000-CDA2-45BF-A592-307690FE0989}"/>
    <cellStyle name="Normal 4 4 2 2 2 3 6" xfId="19576" xr:uid="{0093C777-6806-4E86-8B9C-5D7969063653}"/>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15D3E028-BC25-4AD7-AB27-8167BDB5E472}"/>
    <cellStyle name="Normal 4 4 2 2 2 4 2 2 2 2" xfId="35648" xr:uid="{6931A1E6-10B4-49EB-833F-87027B82FAF7}"/>
    <cellStyle name="Normal 4 4 2 2 2 4 2 2 3" xfId="26351" xr:uid="{C9209E03-C008-4C9D-9E06-9EADD8E318C8}"/>
    <cellStyle name="Normal 4 4 2 2 2 4 2 3" xfId="12835" xr:uid="{F00F6555-82CD-4AB9-A87A-49E224B81896}"/>
    <cellStyle name="Normal 4 4 2 2 2 4 2 3 2" xfId="31431" xr:uid="{4B29A689-BD8A-4782-9CCA-18B0797BFFD0}"/>
    <cellStyle name="Normal 4 4 2 2 2 4 2 4" xfId="22134" xr:uid="{4F328BFB-5743-4466-A8F5-800A22C45C4C}"/>
    <cellStyle name="Normal 4 4 2 2 2 4 3" xfId="5581" xr:uid="{00000000-0005-0000-0000-0000E3140000}"/>
    <cellStyle name="Normal 4 4 2 2 2 4 3 2" xfId="14907" xr:uid="{E2D63553-638B-4D7D-B338-3256B1E30CFF}"/>
    <cellStyle name="Normal 4 4 2 2 2 4 3 2 2" xfId="33503" xr:uid="{22B04767-4BE7-4045-8D0B-A32DF3120E81}"/>
    <cellStyle name="Normal 4 4 2 2 2 4 3 3" xfId="24206" xr:uid="{176DCCBC-71A1-4501-A9D7-123C8D72F82A}"/>
    <cellStyle name="Normal 4 4 2 2 2 4 4" xfId="10690" xr:uid="{85CD13B3-6F03-4FEB-B781-7E05EA9A9451}"/>
    <cellStyle name="Normal 4 4 2 2 2 4 4 2" xfId="29286" xr:uid="{6B3FEB12-62E7-40F2-9F1F-9C185F559EE3}"/>
    <cellStyle name="Normal 4 4 2 2 2 4 5" xfId="19989" xr:uid="{DD4D568E-0998-4322-8CCE-93ECCF3A4E7A}"/>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DD741E37-81B2-4404-88DB-C2FC76CC6CC4}"/>
    <cellStyle name="Normal 4 4 2 2 2 5 2 2 2 2" xfId="36061" xr:uid="{6E0654C4-8105-481C-9B3C-C8EBE42E8299}"/>
    <cellStyle name="Normal 4 4 2 2 2 5 2 2 3" xfId="26764" xr:uid="{B9C41235-3516-423B-B7DD-610A449373A2}"/>
    <cellStyle name="Normal 4 4 2 2 2 5 2 3" xfId="13248" xr:uid="{1D1AB1CF-0C1E-459E-AFA0-959FCDB77DC6}"/>
    <cellStyle name="Normal 4 4 2 2 2 5 2 3 2" xfId="31844" xr:uid="{E9E48D4F-0F7F-4D3B-9653-C1562141C5A6}"/>
    <cellStyle name="Normal 4 4 2 2 2 5 2 4" xfId="22547" xr:uid="{9E4B98E4-2612-4BC2-AD96-B8B44F423355}"/>
    <cellStyle name="Normal 4 4 2 2 2 5 3" xfId="5994" xr:uid="{00000000-0005-0000-0000-0000E7140000}"/>
    <cellStyle name="Normal 4 4 2 2 2 5 3 2" xfId="15320" xr:uid="{B7B26D47-380A-4CC5-9699-BEA4FFFBB73E}"/>
    <cellStyle name="Normal 4 4 2 2 2 5 3 2 2" xfId="33916" xr:uid="{6E873B24-62F4-47F1-B7C4-48B4648F9DE4}"/>
    <cellStyle name="Normal 4 4 2 2 2 5 3 3" xfId="24619" xr:uid="{14E01720-D8BE-487E-BCA7-B9C5031AD2F5}"/>
    <cellStyle name="Normal 4 4 2 2 2 5 4" xfId="11103" xr:uid="{C4BBD565-52EE-4387-AA74-7B926602B087}"/>
    <cellStyle name="Normal 4 4 2 2 2 5 4 2" xfId="29699" xr:uid="{04C76140-C566-4031-A391-59312729A964}"/>
    <cellStyle name="Normal 4 4 2 2 2 5 5" xfId="20402" xr:uid="{72BDA132-B6D1-42BC-BD34-162A1716F686}"/>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C9CF6E05-4401-4DB1-B289-7AD402F68F23}"/>
    <cellStyle name="Normal 4 4 2 2 2 6 2 2 2 2" xfId="36474" xr:uid="{F567E83D-F395-45B0-8F26-262F7FB0C659}"/>
    <cellStyle name="Normal 4 4 2 2 2 6 2 2 3" xfId="27177" xr:uid="{34EF3A72-66AE-4DC0-9950-EBC0E52001AA}"/>
    <cellStyle name="Normal 4 4 2 2 2 6 2 3" xfId="13661" xr:uid="{74AFD4B7-C534-4083-8B59-7CE1CDB03996}"/>
    <cellStyle name="Normal 4 4 2 2 2 6 2 3 2" xfId="32257" xr:uid="{CED8B58C-3842-47F1-A0D7-2C7E73F084D6}"/>
    <cellStyle name="Normal 4 4 2 2 2 6 2 4" xfId="22960" xr:uid="{0ED8B82C-86D3-4BC6-ABC7-900C2F391461}"/>
    <cellStyle name="Normal 4 4 2 2 2 6 3" xfId="6407" xr:uid="{00000000-0005-0000-0000-0000EB140000}"/>
    <cellStyle name="Normal 4 4 2 2 2 6 3 2" xfId="15733" xr:uid="{9CB5C50E-F5B9-4D0C-AACA-9F35BBF203C0}"/>
    <cellStyle name="Normal 4 4 2 2 2 6 3 2 2" xfId="34329" xr:uid="{8A03848F-6B6B-476B-8743-533294BCBD87}"/>
    <cellStyle name="Normal 4 4 2 2 2 6 3 3" xfId="25032" xr:uid="{4E7A82F2-0ED9-476C-9E34-6CFA4BAB8EAC}"/>
    <cellStyle name="Normal 4 4 2 2 2 6 4" xfId="11516" xr:uid="{03F3ABA6-8AF4-42BB-A353-593B94B51F9F}"/>
    <cellStyle name="Normal 4 4 2 2 2 6 4 2" xfId="30112" xr:uid="{397E8F75-5159-4965-928E-4C56FEA672BC}"/>
    <cellStyle name="Normal 4 4 2 2 2 6 5" xfId="20815" xr:uid="{4D3B3158-4588-45AC-8B34-A7C4BFECAB97}"/>
    <cellStyle name="Normal 4 4 2 2 2 7" xfId="2537" xr:uid="{00000000-0005-0000-0000-0000EC140000}"/>
    <cellStyle name="Normal 4 4 2 2 2 7 2" xfId="6820" xr:uid="{00000000-0005-0000-0000-0000ED140000}"/>
    <cellStyle name="Normal 4 4 2 2 2 7 2 2" xfId="16146" xr:uid="{6B3964BF-3429-43F4-9E90-3DA0819C633B}"/>
    <cellStyle name="Normal 4 4 2 2 2 7 2 2 2" xfId="34742" xr:uid="{6CE0198C-76E3-4DA5-AFD1-1781355CEF78}"/>
    <cellStyle name="Normal 4 4 2 2 2 7 2 3" xfId="25445" xr:uid="{C997ED7A-96A0-4AFA-9827-0BB0178AD98B}"/>
    <cellStyle name="Normal 4 4 2 2 2 7 3" xfId="11929" xr:uid="{7C21716C-25BA-4D51-AD9A-918BD2DE0D2A}"/>
    <cellStyle name="Normal 4 4 2 2 2 7 3 2" xfId="30525" xr:uid="{B6BA8C02-81A8-49D0-85B5-8C7BA7171B23}"/>
    <cellStyle name="Normal 4 4 2 2 2 7 4" xfId="21228" xr:uid="{756F9349-004D-498D-BB43-05F40F3379D6}"/>
    <cellStyle name="Normal 4 4 2 2 2 8" xfId="4755" xr:uid="{00000000-0005-0000-0000-0000EE140000}"/>
    <cellStyle name="Normal 4 4 2 2 2 8 2" xfId="14081" xr:uid="{689671E9-C88C-4125-B449-BB94D60C86A6}"/>
    <cellStyle name="Normal 4 4 2 2 2 8 2 2" xfId="32677" xr:uid="{DDA486F1-FD29-4E29-901B-8A748D12E362}"/>
    <cellStyle name="Normal 4 4 2 2 2 8 3" xfId="23380" xr:uid="{75276B49-F936-44FA-B966-582768857D00}"/>
    <cellStyle name="Normal 4 4 2 2 2 9" xfId="8927" xr:uid="{195B9197-F273-4D3B-B7A6-9CBAA360D528}"/>
    <cellStyle name="Normal 4 4 2 2 2 9 2" xfId="18251" xr:uid="{1A3F87FE-C19E-4AEA-B868-E413F972273C}"/>
    <cellStyle name="Normal 4 4 2 2 2 9 2 2" xfId="36846" xr:uid="{52044D8F-3E33-47CB-BE04-82EBAD2D1221}"/>
    <cellStyle name="Normal 4 4 2 2 2 9 3" xfId="27549" xr:uid="{8EB7F511-8A22-4998-8653-F899C2B73CFB}"/>
    <cellStyle name="Normal 4 4 2 2 3" xfId="383" xr:uid="{00000000-0005-0000-0000-0000EF140000}"/>
    <cellStyle name="Normal 4 4 2 2 3 10" xfId="19165" xr:uid="{D4B68138-ED7A-4229-9279-9238B649AA2B}"/>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F5C841F8-572A-485F-A949-90040E63844C}"/>
    <cellStyle name="Normal 4 4 2 2 3 2 2 2 2 2" xfId="35237" xr:uid="{B4928501-AFC9-4CEF-82C8-2897A541FA97}"/>
    <cellStyle name="Normal 4 4 2 2 3 2 2 2 3" xfId="25940" xr:uid="{9CFAAA3D-E1E9-47A7-891A-B84F734481B3}"/>
    <cellStyle name="Normal 4 4 2 2 3 2 2 3" xfId="12424" xr:uid="{2C7B23D9-5B93-4439-B7B6-B527A777AF98}"/>
    <cellStyle name="Normal 4 4 2 2 3 2 2 3 2" xfId="31020" xr:uid="{D3721748-64AE-4EC8-9B51-976C3EFFFB7E}"/>
    <cellStyle name="Normal 4 4 2 2 3 2 2 4" xfId="21723" xr:uid="{CD48B044-2A18-463C-AF39-908E7B89C3B6}"/>
    <cellStyle name="Normal 4 4 2 2 3 2 3" xfId="5170" xr:uid="{00000000-0005-0000-0000-0000F3140000}"/>
    <cellStyle name="Normal 4 4 2 2 3 2 3 2" xfId="14496" xr:uid="{AE4E2AD6-B8C6-4D74-94F1-A237899DCB7D}"/>
    <cellStyle name="Normal 4 4 2 2 3 2 3 2 2" xfId="33092" xr:uid="{8390133D-36D2-44B3-90E3-812AE3750968}"/>
    <cellStyle name="Normal 4 4 2 2 3 2 3 3" xfId="23795" xr:uid="{3D7767E4-311B-4B9E-8F70-807E0BF46269}"/>
    <cellStyle name="Normal 4 4 2 2 3 2 4" xfId="9456" xr:uid="{7CB0B972-68D8-4A2C-A3A7-1D2BD109E44A}"/>
    <cellStyle name="Normal 4 4 2 2 3 2 4 2" xfId="18771" xr:uid="{AE3D4D2E-233A-43CB-BA55-0F4F33F3C261}"/>
    <cellStyle name="Normal 4 4 2 2 3 2 4 2 2" xfId="37365" xr:uid="{78EAF966-542C-4C5E-B30E-1BEC34547BE1}"/>
    <cellStyle name="Normal 4 4 2 2 3 2 4 3" xfId="28068" xr:uid="{D737DCE8-6BCF-40DB-859E-1102E9A7AC11}"/>
    <cellStyle name="Normal 4 4 2 2 3 2 5" xfId="10279" xr:uid="{64411FF7-B5C6-4A0D-8E9D-BF89AEB09DAC}"/>
    <cellStyle name="Normal 4 4 2 2 3 2 5 2" xfId="28875" xr:uid="{751C30C4-9E8B-4B98-AAB3-F630F9275701}"/>
    <cellStyle name="Normal 4 4 2 2 3 2 6" xfId="19578" xr:uid="{871ABF1F-1101-462B-9AF4-8B77A20FC4CF}"/>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F80ED010-3ABB-4726-B1EA-939D0C930DCF}"/>
    <cellStyle name="Normal 4 4 2 2 3 3 2 2 2 2" xfId="35650" xr:uid="{E3668F8D-C8B0-4078-B2AC-CCF70DDFF495}"/>
    <cellStyle name="Normal 4 4 2 2 3 3 2 2 3" xfId="26353" xr:uid="{CCA8E591-D45F-4CE5-98B7-0D37C2BE17B8}"/>
    <cellStyle name="Normal 4 4 2 2 3 3 2 3" xfId="12837" xr:uid="{283C0628-BED6-47AF-8C80-B649442BEB16}"/>
    <cellStyle name="Normal 4 4 2 2 3 3 2 3 2" xfId="31433" xr:uid="{C1889123-0C71-48D8-B9E4-83B78AE8EBEF}"/>
    <cellStyle name="Normal 4 4 2 2 3 3 2 4" xfId="22136" xr:uid="{FDD9F9D1-870F-4833-9F18-C07035264F39}"/>
    <cellStyle name="Normal 4 4 2 2 3 3 3" xfId="5583" xr:uid="{00000000-0005-0000-0000-0000F7140000}"/>
    <cellStyle name="Normal 4 4 2 2 3 3 3 2" xfId="14909" xr:uid="{6200972A-C47B-4539-8901-266D18A7A6EF}"/>
    <cellStyle name="Normal 4 4 2 2 3 3 3 2 2" xfId="33505" xr:uid="{09684E39-CF5F-434E-B728-5BA036345CAD}"/>
    <cellStyle name="Normal 4 4 2 2 3 3 3 3" xfId="24208" xr:uid="{C04C90C2-4D6D-420D-BC84-6E75823CC046}"/>
    <cellStyle name="Normal 4 4 2 2 3 3 4" xfId="10692" xr:uid="{8B9F8F85-C30F-4C93-94F9-6D3F05EDEC19}"/>
    <cellStyle name="Normal 4 4 2 2 3 3 4 2" xfId="29288" xr:uid="{6C97DFF2-5BD6-4C9B-A4B0-A375535FAD00}"/>
    <cellStyle name="Normal 4 4 2 2 3 3 5" xfId="19991" xr:uid="{E26C2DD7-5A45-4593-A00C-20875283A033}"/>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0DF5C741-AA56-4D23-982A-EEC808EF4DB7}"/>
    <cellStyle name="Normal 4 4 2 2 3 4 2 2 2 2" xfId="36063" xr:uid="{B289EE8E-D077-403D-AD09-0EFF0422427B}"/>
    <cellStyle name="Normal 4 4 2 2 3 4 2 2 3" xfId="26766" xr:uid="{48724E0C-3FB4-41D9-B55F-57FB3510A155}"/>
    <cellStyle name="Normal 4 4 2 2 3 4 2 3" xfId="13250" xr:uid="{D94A1563-CBC7-40F4-A5FD-30BDB3E3C38D}"/>
    <cellStyle name="Normal 4 4 2 2 3 4 2 3 2" xfId="31846" xr:uid="{A568C74A-ACC1-4DA6-8D4C-EF51CA68FD63}"/>
    <cellStyle name="Normal 4 4 2 2 3 4 2 4" xfId="22549" xr:uid="{867FB6B2-1AEC-4369-893C-68AE594663C8}"/>
    <cellStyle name="Normal 4 4 2 2 3 4 3" xfId="5996" xr:uid="{00000000-0005-0000-0000-0000FB140000}"/>
    <cellStyle name="Normal 4 4 2 2 3 4 3 2" xfId="15322" xr:uid="{A7DE8850-C986-44E1-9EE6-E1B8FABA9F10}"/>
    <cellStyle name="Normal 4 4 2 2 3 4 3 2 2" xfId="33918" xr:uid="{C0DDEBB8-BBA3-4BEA-B348-C5446262F28A}"/>
    <cellStyle name="Normal 4 4 2 2 3 4 3 3" xfId="24621" xr:uid="{2B521D7C-E322-47C3-A568-E5BFED9C84AD}"/>
    <cellStyle name="Normal 4 4 2 2 3 4 4" xfId="11105" xr:uid="{2AB27DB4-C97A-4E28-B62F-2E66EEB50708}"/>
    <cellStyle name="Normal 4 4 2 2 3 4 4 2" xfId="29701" xr:uid="{E897BE46-99FC-4F05-971A-61AEB3402291}"/>
    <cellStyle name="Normal 4 4 2 2 3 4 5" xfId="20404" xr:uid="{DBFA0F6B-FCA4-4328-B45F-49494FC92FE8}"/>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C6CFBD11-74A0-4ADA-8EE0-897CF0B2D80D}"/>
    <cellStyle name="Normal 4 4 2 2 3 5 2 2 2 2" xfId="36476" xr:uid="{7A60CDD5-546F-4FA8-AC93-D1BF2AD3671F}"/>
    <cellStyle name="Normal 4 4 2 2 3 5 2 2 3" xfId="27179" xr:uid="{44CBC54E-3383-4AE6-8C00-D15DBBDF8FFC}"/>
    <cellStyle name="Normal 4 4 2 2 3 5 2 3" xfId="13663" xr:uid="{C8C32DC5-1478-45C0-B491-D990994D1F0E}"/>
    <cellStyle name="Normal 4 4 2 2 3 5 2 3 2" xfId="32259" xr:uid="{D3F91ABF-23AB-4E5E-A117-E5406617B542}"/>
    <cellStyle name="Normal 4 4 2 2 3 5 2 4" xfId="22962" xr:uid="{38BA226E-7EEB-4BD8-B549-6E35A222FE69}"/>
    <cellStyle name="Normal 4 4 2 2 3 5 3" xfId="6409" xr:uid="{00000000-0005-0000-0000-0000FF140000}"/>
    <cellStyle name="Normal 4 4 2 2 3 5 3 2" xfId="15735" xr:uid="{7F94D7B9-A2B4-4A47-A2D7-C8B376262725}"/>
    <cellStyle name="Normal 4 4 2 2 3 5 3 2 2" xfId="34331" xr:uid="{D6934FBA-4A22-4FBF-B694-478A745D20A0}"/>
    <cellStyle name="Normal 4 4 2 2 3 5 3 3" xfId="25034" xr:uid="{395979F2-A963-4B3B-A765-0BB080A4DE42}"/>
    <cellStyle name="Normal 4 4 2 2 3 5 4" xfId="11518" xr:uid="{01D5D038-B075-4C06-809B-D1625A065B0D}"/>
    <cellStyle name="Normal 4 4 2 2 3 5 4 2" xfId="30114" xr:uid="{D38E306F-19E6-4B94-8A64-EC215C0B456C}"/>
    <cellStyle name="Normal 4 4 2 2 3 5 5" xfId="20817" xr:uid="{4EDE23EF-869E-4485-B837-07FD8A15378D}"/>
    <cellStyle name="Normal 4 4 2 2 3 6" xfId="2539" xr:uid="{00000000-0005-0000-0000-000000150000}"/>
    <cellStyle name="Normal 4 4 2 2 3 6 2" xfId="6822" xr:uid="{00000000-0005-0000-0000-000001150000}"/>
    <cellStyle name="Normal 4 4 2 2 3 6 2 2" xfId="16148" xr:uid="{54AC799F-6BF7-46E5-8DF3-1E7C6B6AAD88}"/>
    <cellStyle name="Normal 4 4 2 2 3 6 2 2 2" xfId="34744" xr:uid="{1C403887-034D-4E03-9F23-11E26237D781}"/>
    <cellStyle name="Normal 4 4 2 2 3 6 2 3" xfId="25447" xr:uid="{4C45C72B-3575-452C-BB07-8D89CDFC7B32}"/>
    <cellStyle name="Normal 4 4 2 2 3 6 3" xfId="11931" xr:uid="{5C6265DE-420D-4DB7-96C0-B70E555931A6}"/>
    <cellStyle name="Normal 4 4 2 2 3 6 3 2" xfId="30527" xr:uid="{014064C6-E4AE-4175-BFD9-D8ED82F1C61F}"/>
    <cellStyle name="Normal 4 4 2 2 3 6 4" xfId="21230" xr:uid="{F880DBA1-2406-49B1-94F1-8E26B9F12630}"/>
    <cellStyle name="Normal 4 4 2 2 3 7" xfId="4757" xr:uid="{00000000-0005-0000-0000-000002150000}"/>
    <cellStyle name="Normal 4 4 2 2 3 7 2" xfId="14083" xr:uid="{A043E839-4E51-4B60-A0C0-0B7A3749E872}"/>
    <cellStyle name="Normal 4 4 2 2 3 7 2 2" xfId="32679" xr:uid="{89E25DF4-88C2-40DF-AFE1-772969B0BBE9}"/>
    <cellStyle name="Normal 4 4 2 2 3 7 3" xfId="23382" xr:uid="{0A73B648-7271-4F2F-BD0F-10F09ED863C4}"/>
    <cellStyle name="Normal 4 4 2 2 3 8" xfId="9031" xr:uid="{F1B59444-328A-4279-8A0A-A9F7E26061D5}"/>
    <cellStyle name="Normal 4 4 2 2 3 8 2" xfId="18355" xr:uid="{7406F415-CEDF-472F-ADDB-1A83E9B94B4D}"/>
    <cellStyle name="Normal 4 4 2 2 3 8 2 2" xfId="36950" xr:uid="{46C47354-48C9-4F0D-9F47-A9B9620F12C7}"/>
    <cellStyle name="Normal 4 4 2 2 3 8 3" xfId="27653" xr:uid="{549C18DF-D4BF-4F38-AB67-8BB2E7DD3A2D}"/>
    <cellStyle name="Normal 4 4 2 2 3 9" xfId="9866" xr:uid="{CF7A4C27-EC2B-43B0-A12B-082BDEA82DCC}"/>
    <cellStyle name="Normal 4 4 2 2 3 9 2" xfId="28462" xr:uid="{EC66408F-47AF-4061-AF2F-D57D357F3753}"/>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8875DC1D-7E62-4087-810B-50D9B45B6987}"/>
    <cellStyle name="Normal 4 4 2 2 4 2 2 2 2" xfId="35234" xr:uid="{887B943E-4910-4285-B243-1696459E8294}"/>
    <cellStyle name="Normal 4 4 2 2 4 2 2 3" xfId="25937" xr:uid="{F764E53E-65DC-44F5-AC5F-A50F4CDEBA12}"/>
    <cellStyle name="Normal 4 4 2 2 4 2 3" xfId="12421" xr:uid="{F305E5DD-9FF3-417D-93D9-95365F77A2E0}"/>
    <cellStyle name="Normal 4 4 2 2 4 2 3 2" xfId="31017" xr:uid="{17CFBDB2-5D5F-4375-8A53-B6B49DD53D5E}"/>
    <cellStyle name="Normal 4 4 2 2 4 2 4" xfId="21720" xr:uid="{66AABA7F-E9C3-44F8-B113-9C0787ECC302}"/>
    <cellStyle name="Normal 4 4 2 2 4 3" xfId="5167" xr:uid="{00000000-0005-0000-0000-000006150000}"/>
    <cellStyle name="Normal 4 4 2 2 4 3 2" xfId="14493" xr:uid="{DC274CC2-D81C-42DF-8237-518686376ECC}"/>
    <cellStyle name="Normal 4 4 2 2 4 3 2 2" xfId="33089" xr:uid="{26BFE6FA-B62A-45D7-8717-A9A9072C8350}"/>
    <cellStyle name="Normal 4 4 2 2 4 3 3" xfId="23792" xr:uid="{E0E1D214-71E0-487D-A2F1-F594C4EBBD6F}"/>
    <cellStyle name="Normal 4 4 2 2 4 4" xfId="9249" xr:uid="{7E4CA7C7-738D-4CFA-907A-40590344548A}"/>
    <cellStyle name="Normal 4 4 2 2 4 4 2" xfId="18564" xr:uid="{3D70F005-87DF-4E82-A448-8ED333C8E8B8}"/>
    <cellStyle name="Normal 4 4 2 2 4 4 2 2" xfId="37158" xr:uid="{93F55017-2923-4076-A59F-B04A81137618}"/>
    <cellStyle name="Normal 4 4 2 2 4 4 3" xfId="27861" xr:uid="{F423CFC8-B8B1-4601-94F8-FA6F55F73C9C}"/>
    <cellStyle name="Normal 4 4 2 2 4 5" xfId="10276" xr:uid="{E3E434D1-C46C-4DB4-9D75-0924D8FE43DC}"/>
    <cellStyle name="Normal 4 4 2 2 4 5 2" xfId="28872" xr:uid="{9481363E-C863-4C8E-AE0C-6D95BB9C73E2}"/>
    <cellStyle name="Normal 4 4 2 2 4 6" xfId="19575" xr:uid="{1AE7D3DF-70CD-4DFD-84AE-C2DB050C04F3}"/>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EBAE9778-3D24-4D84-8CF0-8ED712B42B5C}"/>
    <cellStyle name="Normal 4 4 2 2 5 2 2 2 2" xfId="35647" xr:uid="{73A910EA-3077-49F3-8E85-B88D92C3AC51}"/>
    <cellStyle name="Normal 4 4 2 2 5 2 2 3" xfId="26350" xr:uid="{D7E03E6C-B0B5-4F25-BB86-A159DB7271E1}"/>
    <cellStyle name="Normal 4 4 2 2 5 2 3" xfId="12834" xr:uid="{4D6C01D2-E4C4-4D80-8A39-B97D7A194969}"/>
    <cellStyle name="Normal 4 4 2 2 5 2 3 2" xfId="31430" xr:uid="{BCAFE1EB-C99B-49D2-A2E8-52A293151CC5}"/>
    <cellStyle name="Normal 4 4 2 2 5 2 4" xfId="22133" xr:uid="{477A7011-FCF2-470A-8076-AEB78B53067E}"/>
    <cellStyle name="Normal 4 4 2 2 5 3" xfId="5580" xr:uid="{00000000-0005-0000-0000-00000A150000}"/>
    <cellStyle name="Normal 4 4 2 2 5 3 2" xfId="14906" xr:uid="{8476D344-18A2-4064-A4C1-E00F1193752B}"/>
    <cellStyle name="Normal 4 4 2 2 5 3 2 2" xfId="33502" xr:uid="{9CCFA0FF-84BD-4EB8-96CA-AB9F27BC9536}"/>
    <cellStyle name="Normal 4 4 2 2 5 3 3" xfId="24205" xr:uid="{E362C626-B264-4A3C-A50D-E43DF65E7173}"/>
    <cellStyle name="Normal 4 4 2 2 5 4" xfId="10689" xr:uid="{D58B5484-E71A-4B7E-8FDF-A3D01B6539F1}"/>
    <cellStyle name="Normal 4 4 2 2 5 4 2" xfId="29285" xr:uid="{8438D5BE-1A78-47CD-A811-1F1E3BDD4238}"/>
    <cellStyle name="Normal 4 4 2 2 5 5" xfId="19988" xr:uid="{90477982-5964-486B-BF80-EAA4C3B8D42C}"/>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CB8500C8-3E84-464A-9C4B-B88DC1193DC4}"/>
    <cellStyle name="Normal 4 4 2 2 6 2 2 2 2" xfId="36060" xr:uid="{C5DC4121-C760-4F7B-824E-903BB4A678E0}"/>
    <cellStyle name="Normal 4 4 2 2 6 2 2 3" xfId="26763" xr:uid="{4B771778-A6A5-4BE1-8383-41F7F9B5C569}"/>
    <cellStyle name="Normal 4 4 2 2 6 2 3" xfId="13247" xr:uid="{13F9FDAC-4E1A-4593-96EB-3255164E1D4E}"/>
    <cellStyle name="Normal 4 4 2 2 6 2 3 2" xfId="31843" xr:uid="{CF9F1463-8D78-4194-B702-2C66B5F61903}"/>
    <cellStyle name="Normal 4 4 2 2 6 2 4" xfId="22546" xr:uid="{179BA799-6E83-4752-B5EA-D1617F05A02D}"/>
    <cellStyle name="Normal 4 4 2 2 6 3" xfId="5993" xr:uid="{00000000-0005-0000-0000-00000E150000}"/>
    <cellStyle name="Normal 4 4 2 2 6 3 2" xfId="15319" xr:uid="{2BCABEA6-C1FF-419A-ACB1-CA08D1193A08}"/>
    <cellStyle name="Normal 4 4 2 2 6 3 2 2" xfId="33915" xr:uid="{EAED6398-FA2E-4369-B4E7-EAF27C8282BD}"/>
    <cellStyle name="Normal 4 4 2 2 6 3 3" xfId="24618" xr:uid="{EBA03853-4D84-4675-A4EC-87BA57E5BAC9}"/>
    <cellStyle name="Normal 4 4 2 2 6 4" xfId="11102" xr:uid="{F016ECF9-B7F6-492D-AF16-4345E6BEA7A4}"/>
    <cellStyle name="Normal 4 4 2 2 6 4 2" xfId="29698" xr:uid="{840EB050-3164-4304-BC2B-9785854E146D}"/>
    <cellStyle name="Normal 4 4 2 2 6 5" xfId="20401" xr:uid="{89F3F5F7-6443-476B-9335-FDD11425F159}"/>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E6CBD361-A71A-47EE-AC57-D4E85AFDF1BB}"/>
    <cellStyle name="Normal 4 4 2 2 7 2 2 2 2" xfId="36473" xr:uid="{DF1D88D6-0A81-4842-B034-D2DEAE9DD117}"/>
    <cellStyle name="Normal 4 4 2 2 7 2 2 3" xfId="27176" xr:uid="{40F7D7F2-EB8C-418A-BCA6-4B98178176F2}"/>
    <cellStyle name="Normal 4 4 2 2 7 2 3" xfId="13660" xr:uid="{6A459487-70C3-491C-9B0E-B8D9F2B1597C}"/>
    <cellStyle name="Normal 4 4 2 2 7 2 3 2" xfId="32256" xr:uid="{36308185-D8BC-4976-AECA-C89FC1A1A517}"/>
    <cellStyle name="Normal 4 4 2 2 7 2 4" xfId="22959" xr:uid="{A7164068-6340-4040-90AA-F791E830F514}"/>
    <cellStyle name="Normal 4 4 2 2 7 3" xfId="6406" xr:uid="{00000000-0005-0000-0000-000012150000}"/>
    <cellStyle name="Normal 4 4 2 2 7 3 2" xfId="15732" xr:uid="{577AC939-91C1-447C-8FCF-BDE522C97BFF}"/>
    <cellStyle name="Normal 4 4 2 2 7 3 2 2" xfId="34328" xr:uid="{54C1525A-DDB2-47D6-9AFA-6252DDC2FD22}"/>
    <cellStyle name="Normal 4 4 2 2 7 3 3" xfId="25031" xr:uid="{8062EB6D-05EF-46FB-BB11-AA2B70C56CD4}"/>
    <cellStyle name="Normal 4 4 2 2 7 4" xfId="11515" xr:uid="{924D732D-A20D-47D7-B33F-F50C5ECF6377}"/>
    <cellStyle name="Normal 4 4 2 2 7 4 2" xfId="30111" xr:uid="{80A57F55-6D49-4973-B71D-DDEEA4796791}"/>
    <cellStyle name="Normal 4 4 2 2 7 5" xfId="20814" xr:uid="{B43E126F-14AC-4244-AC47-EE011C23F4E3}"/>
    <cellStyle name="Normal 4 4 2 2 8" xfId="2536" xr:uid="{00000000-0005-0000-0000-000013150000}"/>
    <cellStyle name="Normal 4 4 2 2 8 2" xfId="6819" xr:uid="{00000000-0005-0000-0000-000014150000}"/>
    <cellStyle name="Normal 4 4 2 2 8 2 2" xfId="16145" xr:uid="{38FF3824-407A-4467-8DD0-EA479E972F63}"/>
    <cellStyle name="Normal 4 4 2 2 8 2 2 2" xfId="34741" xr:uid="{E772D82F-81BF-4DA6-80F6-6F087F97881B}"/>
    <cellStyle name="Normal 4 4 2 2 8 2 3" xfId="25444" xr:uid="{40EFB52E-4A7D-4C15-9D3D-69248879798B}"/>
    <cellStyle name="Normal 4 4 2 2 8 3" xfId="11928" xr:uid="{21639CF4-C1F0-4053-8E5E-D6E8AA039617}"/>
    <cellStyle name="Normal 4 4 2 2 8 3 2" xfId="30524" xr:uid="{FBF89A9F-C607-4F6F-9D34-C7668200C6AD}"/>
    <cellStyle name="Normal 4 4 2 2 8 4" xfId="21227" xr:uid="{E65C04FE-09A5-414F-8A80-C4D401141290}"/>
    <cellStyle name="Normal 4 4 2 2 9" xfId="4754" xr:uid="{00000000-0005-0000-0000-000015150000}"/>
    <cellStyle name="Normal 4 4 2 2 9 2" xfId="14080" xr:uid="{B9765D0F-99D9-4EA6-B6FF-A3E4C1564388}"/>
    <cellStyle name="Normal 4 4 2 2 9 2 2" xfId="32676" xr:uid="{BA26F08B-042D-4032-9D82-4331094E76E3}"/>
    <cellStyle name="Normal 4 4 2 2 9 3" xfId="23379" xr:uid="{7EBCDC49-D73F-4470-ACD6-9BE919C6D302}"/>
    <cellStyle name="Normal 4 4 2 3" xfId="384" xr:uid="{00000000-0005-0000-0000-000016150000}"/>
    <cellStyle name="Normal 4 4 2 3 10" xfId="9867" xr:uid="{09A6B8A9-36CC-4125-982C-32B474EFC3AB}"/>
    <cellStyle name="Normal 4 4 2 3 10 2" xfId="28463" xr:uid="{6B4F59EE-CFA9-4843-86E2-FD65BAF8AEB7}"/>
    <cellStyle name="Normal 4 4 2 3 11" xfId="19166" xr:uid="{A2A0B7A3-FFEC-4141-A291-68872BEFE887}"/>
    <cellStyle name="Normal 4 4 2 3 2" xfId="385" xr:uid="{00000000-0005-0000-0000-000017150000}"/>
    <cellStyle name="Normal 4 4 2 3 2 10" xfId="19167" xr:uid="{A69B39E5-6827-454C-921D-A7B34E792A7A}"/>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73E7DE12-5D96-4081-AF66-518EA22B493B}"/>
    <cellStyle name="Normal 4 4 2 3 2 2 2 2 2 2" xfId="35239" xr:uid="{730EF266-0102-47D4-8E61-CBEC4E71C69F}"/>
    <cellStyle name="Normal 4 4 2 3 2 2 2 2 3" xfId="25942" xr:uid="{5E06930D-C515-42D7-961B-7B55B670BB53}"/>
    <cellStyle name="Normal 4 4 2 3 2 2 2 3" xfId="12426" xr:uid="{A0F8210E-8BA9-488C-8B03-C3BB88F5014F}"/>
    <cellStyle name="Normal 4 4 2 3 2 2 2 3 2" xfId="31022" xr:uid="{93A861FC-66EA-4B07-92F4-577349925D4C}"/>
    <cellStyle name="Normal 4 4 2 3 2 2 2 4" xfId="21725" xr:uid="{17AA665D-B6BA-41CC-BE2B-F700508357DA}"/>
    <cellStyle name="Normal 4 4 2 3 2 2 3" xfId="5172" xr:uid="{00000000-0005-0000-0000-00001B150000}"/>
    <cellStyle name="Normal 4 4 2 3 2 2 3 2" xfId="14498" xr:uid="{DFA118D0-6494-4B93-9649-A139FD655D90}"/>
    <cellStyle name="Normal 4 4 2 3 2 2 3 2 2" xfId="33094" xr:uid="{C241AB23-6E6D-40E1-BFAB-D2911C45097B}"/>
    <cellStyle name="Normal 4 4 2 3 2 2 3 3" xfId="23797" xr:uid="{498D7D40-9A47-4CAE-8A2E-D3263571E1DB}"/>
    <cellStyle name="Normal 4 4 2 3 2 2 4" xfId="9516" xr:uid="{93008D3B-5827-4778-B167-5B518B5BF56F}"/>
    <cellStyle name="Normal 4 4 2 3 2 2 4 2" xfId="18831" xr:uid="{B5688BB1-1DC6-424B-BE29-3432BCB90E13}"/>
    <cellStyle name="Normal 4 4 2 3 2 2 4 2 2" xfId="37425" xr:uid="{4ED5C4C2-A064-4674-AEFC-A5C21141F494}"/>
    <cellStyle name="Normal 4 4 2 3 2 2 4 3" xfId="28128" xr:uid="{C7542A01-B15A-4F8B-A798-9C32085879D9}"/>
    <cellStyle name="Normal 4 4 2 3 2 2 5" xfId="10281" xr:uid="{9B2799BB-926C-41B7-9FE5-2B98E6B2CF7A}"/>
    <cellStyle name="Normal 4 4 2 3 2 2 5 2" xfId="28877" xr:uid="{8110F529-6675-4C3A-9159-B19B3C3D2A9E}"/>
    <cellStyle name="Normal 4 4 2 3 2 2 6" xfId="19580" xr:uid="{FB4F417D-4484-4CC0-BC4F-F80BAB2FF0F8}"/>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30540840-E410-4A2F-A575-0AED27F5B6A3}"/>
    <cellStyle name="Normal 4 4 2 3 2 3 2 2 2 2" xfId="35652" xr:uid="{83D82FA1-D6EE-4185-81E2-4C629E602A40}"/>
    <cellStyle name="Normal 4 4 2 3 2 3 2 2 3" xfId="26355" xr:uid="{F7750EEF-E76E-4B8E-A83A-EC65D7CBAF42}"/>
    <cellStyle name="Normal 4 4 2 3 2 3 2 3" xfId="12839" xr:uid="{D59A797A-5851-47D7-8354-E499C22A0A3D}"/>
    <cellStyle name="Normal 4 4 2 3 2 3 2 3 2" xfId="31435" xr:uid="{570104B4-116D-4DBE-9BF7-EBC6A93CC14F}"/>
    <cellStyle name="Normal 4 4 2 3 2 3 2 4" xfId="22138" xr:uid="{AADEF450-E93F-48A7-90A8-B7A269017F51}"/>
    <cellStyle name="Normal 4 4 2 3 2 3 3" xfId="5585" xr:uid="{00000000-0005-0000-0000-00001F150000}"/>
    <cellStyle name="Normal 4 4 2 3 2 3 3 2" xfId="14911" xr:uid="{F5EF9810-3967-4EE9-B5BC-198A8E0E2636}"/>
    <cellStyle name="Normal 4 4 2 3 2 3 3 2 2" xfId="33507" xr:uid="{BF563675-DBBC-4F3A-A543-01CCE344AAE2}"/>
    <cellStyle name="Normal 4 4 2 3 2 3 3 3" xfId="24210" xr:uid="{17C2C67C-3323-4610-A947-96FFA051E533}"/>
    <cellStyle name="Normal 4 4 2 3 2 3 4" xfId="10694" xr:uid="{43C44D35-F43A-47DC-9C0B-D9549AC73EC6}"/>
    <cellStyle name="Normal 4 4 2 3 2 3 4 2" xfId="29290" xr:uid="{12E35C0D-82BD-476B-BFC8-A20CF07FECA4}"/>
    <cellStyle name="Normal 4 4 2 3 2 3 5" xfId="19993" xr:uid="{E26E5079-0934-47B6-97E8-FAF38FC61BD7}"/>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55CC445A-B0A8-43ED-9A25-40B7B0172739}"/>
    <cellStyle name="Normal 4 4 2 3 2 4 2 2 2 2" xfId="36065" xr:uid="{197ADF60-BD31-42D0-9355-72FA3621E596}"/>
    <cellStyle name="Normal 4 4 2 3 2 4 2 2 3" xfId="26768" xr:uid="{D79E1E17-C6FF-4320-AEEA-581F0E3E73FD}"/>
    <cellStyle name="Normal 4 4 2 3 2 4 2 3" xfId="13252" xr:uid="{31CF7359-C53B-4619-AE64-B3DD2B6263D3}"/>
    <cellStyle name="Normal 4 4 2 3 2 4 2 3 2" xfId="31848" xr:uid="{5D49260C-E1EB-4AED-8FC5-F1A96D966F5D}"/>
    <cellStyle name="Normal 4 4 2 3 2 4 2 4" xfId="22551" xr:uid="{4BC607C6-E385-4DDE-AFFD-D511EF956496}"/>
    <cellStyle name="Normal 4 4 2 3 2 4 3" xfId="5998" xr:uid="{00000000-0005-0000-0000-000023150000}"/>
    <cellStyle name="Normal 4 4 2 3 2 4 3 2" xfId="15324" xr:uid="{CE3AC180-1C55-4F3D-9F63-2184A03F6B07}"/>
    <cellStyle name="Normal 4 4 2 3 2 4 3 2 2" xfId="33920" xr:uid="{2A765C56-7347-4E2F-99B2-D6CA3E30D144}"/>
    <cellStyle name="Normal 4 4 2 3 2 4 3 3" xfId="24623" xr:uid="{AEFD9B0F-92E6-466D-881A-EACEC7CF42B5}"/>
    <cellStyle name="Normal 4 4 2 3 2 4 4" xfId="11107" xr:uid="{58124EE6-1DA9-490B-B606-CE0A466245C4}"/>
    <cellStyle name="Normal 4 4 2 3 2 4 4 2" xfId="29703" xr:uid="{A7303375-172F-4DBB-9301-33CEBC83C905}"/>
    <cellStyle name="Normal 4 4 2 3 2 4 5" xfId="20406" xr:uid="{1EC90968-F20A-4D95-9274-44D846A65E86}"/>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182B23C0-5858-4187-A9CF-6AF8E297AFC0}"/>
    <cellStyle name="Normal 4 4 2 3 2 5 2 2 2 2" xfId="36478" xr:uid="{7618F4AC-5454-48A5-B72A-5D47499A1C3F}"/>
    <cellStyle name="Normal 4 4 2 3 2 5 2 2 3" xfId="27181" xr:uid="{5D063B11-12DD-4AFD-8EC6-A784610FC5B6}"/>
    <cellStyle name="Normal 4 4 2 3 2 5 2 3" xfId="13665" xr:uid="{58C44F28-5A56-437D-B3B4-5A9776178582}"/>
    <cellStyle name="Normal 4 4 2 3 2 5 2 3 2" xfId="32261" xr:uid="{C6A70C33-CAEA-4EE7-A7DA-9C5460EAF00E}"/>
    <cellStyle name="Normal 4 4 2 3 2 5 2 4" xfId="22964" xr:uid="{8B0E6D95-F1FA-46AF-B651-074D8826243C}"/>
    <cellStyle name="Normal 4 4 2 3 2 5 3" xfId="6411" xr:uid="{00000000-0005-0000-0000-000027150000}"/>
    <cellStyle name="Normal 4 4 2 3 2 5 3 2" xfId="15737" xr:uid="{5BAA3073-26D1-479A-93A0-D8DB805AF89E}"/>
    <cellStyle name="Normal 4 4 2 3 2 5 3 2 2" xfId="34333" xr:uid="{686C80D2-18B5-4178-A817-20B43B818978}"/>
    <cellStyle name="Normal 4 4 2 3 2 5 3 3" xfId="25036" xr:uid="{61A66185-2F71-4527-917A-E58AC052768C}"/>
    <cellStyle name="Normal 4 4 2 3 2 5 4" xfId="11520" xr:uid="{5EDA168D-4D15-4BC6-9DC4-8FAF18BCCB73}"/>
    <cellStyle name="Normal 4 4 2 3 2 5 4 2" xfId="30116" xr:uid="{EB280FC6-741F-4B23-9D02-F0429557C5C4}"/>
    <cellStyle name="Normal 4 4 2 3 2 5 5" xfId="20819" xr:uid="{7CF72C97-1F0B-4CA8-BE3B-580C900A89F1}"/>
    <cellStyle name="Normal 4 4 2 3 2 6" xfId="2541" xr:uid="{00000000-0005-0000-0000-000028150000}"/>
    <cellStyle name="Normal 4 4 2 3 2 6 2" xfId="6824" xr:uid="{00000000-0005-0000-0000-000029150000}"/>
    <cellStyle name="Normal 4 4 2 3 2 6 2 2" xfId="16150" xr:uid="{A9C56229-95DF-4F15-81CB-2BE0B156A2CC}"/>
    <cellStyle name="Normal 4 4 2 3 2 6 2 2 2" xfId="34746" xr:uid="{A92F7B1C-02C1-4E6B-8756-9B8B0E353FF6}"/>
    <cellStyle name="Normal 4 4 2 3 2 6 2 3" xfId="25449" xr:uid="{EC5F9531-2274-48C4-BE67-5F218EC569D7}"/>
    <cellStyle name="Normal 4 4 2 3 2 6 3" xfId="11933" xr:uid="{0B0D0AB2-08CA-4DE5-AF3D-C794B61D1D5C}"/>
    <cellStyle name="Normal 4 4 2 3 2 6 3 2" xfId="30529" xr:uid="{8350D9FD-2709-481C-99A7-2AA68ED52D5E}"/>
    <cellStyle name="Normal 4 4 2 3 2 6 4" xfId="21232" xr:uid="{21897051-9E36-4CF8-8A76-10491326D857}"/>
    <cellStyle name="Normal 4 4 2 3 2 7" xfId="4759" xr:uid="{00000000-0005-0000-0000-00002A150000}"/>
    <cellStyle name="Normal 4 4 2 3 2 7 2" xfId="14085" xr:uid="{449EA549-1E92-4926-8556-256C01844EB9}"/>
    <cellStyle name="Normal 4 4 2 3 2 7 2 2" xfId="32681" xr:uid="{B2DD6527-FF50-44D4-8185-1C569617947D}"/>
    <cellStyle name="Normal 4 4 2 3 2 7 3" xfId="23384" xr:uid="{B40411E8-31A2-42D1-9B4F-BFEDA1FCF837}"/>
    <cellStyle name="Normal 4 4 2 3 2 8" xfId="9091" xr:uid="{9DBAED0A-05EE-4674-B1B7-8D03DBB53301}"/>
    <cellStyle name="Normal 4 4 2 3 2 8 2" xfId="18415" xr:uid="{89D74404-C067-4611-A481-CA98F053D8E7}"/>
    <cellStyle name="Normal 4 4 2 3 2 8 2 2" xfId="37010" xr:uid="{B604D857-F606-4E0C-879E-FDDBCB97D9AB}"/>
    <cellStyle name="Normal 4 4 2 3 2 8 3" xfId="27713" xr:uid="{5F59E075-FBB9-4C4C-827C-7369B48EAFAB}"/>
    <cellStyle name="Normal 4 4 2 3 2 9" xfId="9868" xr:uid="{BD3DFDA2-EAE3-437F-A87A-728C896F9849}"/>
    <cellStyle name="Normal 4 4 2 3 2 9 2" xfId="28464" xr:uid="{1CBFF96A-7737-4074-9C11-E678CBF7535B}"/>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F5352B16-5AF0-4A7B-8FEE-9619A02A407D}"/>
    <cellStyle name="Normal 4 4 2 3 3 2 2 2 2" xfId="35238" xr:uid="{9A998B5F-2C79-4E76-88FB-887410C1206B}"/>
    <cellStyle name="Normal 4 4 2 3 3 2 2 3" xfId="25941" xr:uid="{FD30B66A-AB4E-41C4-B2F5-AEABA0119068}"/>
    <cellStyle name="Normal 4 4 2 3 3 2 3" xfId="12425" xr:uid="{5C4CA6E6-B94C-4A69-95DB-C2B651FB7D3E}"/>
    <cellStyle name="Normal 4 4 2 3 3 2 3 2" xfId="31021" xr:uid="{62D46896-728F-4643-82A5-48710073CDBC}"/>
    <cellStyle name="Normal 4 4 2 3 3 2 4" xfId="21724" xr:uid="{D884D503-04CF-4C10-BE31-D164ACAEF70E}"/>
    <cellStyle name="Normal 4 4 2 3 3 3" xfId="5171" xr:uid="{00000000-0005-0000-0000-00002E150000}"/>
    <cellStyle name="Normal 4 4 2 3 3 3 2" xfId="14497" xr:uid="{3DC8923B-CAEC-4522-9C5D-8CDBBA036716}"/>
    <cellStyle name="Normal 4 4 2 3 3 3 2 2" xfId="33093" xr:uid="{5E88B22B-A32F-4347-A089-599B8F1F0C6B}"/>
    <cellStyle name="Normal 4 4 2 3 3 3 3" xfId="23796" xr:uid="{FA1D4628-7E84-4761-9B97-1E49651F12E0}"/>
    <cellStyle name="Normal 4 4 2 3 3 4" xfId="9309" xr:uid="{73E912F6-92AF-449E-AE53-1DEDEF686C0F}"/>
    <cellStyle name="Normal 4 4 2 3 3 4 2" xfId="18624" xr:uid="{1ADB6C90-17A1-49C9-B6A2-DC5098797938}"/>
    <cellStyle name="Normal 4 4 2 3 3 4 2 2" xfId="37218" xr:uid="{B7CC9197-33FE-46E3-A7A4-C67CFDE21B05}"/>
    <cellStyle name="Normal 4 4 2 3 3 4 3" xfId="27921" xr:uid="{B9A848A1-E4D6-40CE-B659-3BA314A2BA55}"/>
    <cellStyle name="Normal 4 4 2 3 3 5" xfId="10280" xr:uid="{B81DE8CD-CB08-42D8-9E65-DA9B19033EA9}"/>
    <cellStyle name="Normal 4 4 2 3 3 5 2" xfId="28876" xr:uid="{DE1FCAC6-62CE-4C4C-934D-C2F54077E695}"/>
    <cellStyle name="Normal 4 4 2 3 3 6" xfId="19579" xr:uid="{526D2EF4-7976-4085-91C9-FEA6D64072BB}"/>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C4FE3F71-5248-4958-BCCC-C160E03B0685}"/>
    <cellStyle name="Normal 4 4 2 3 4 2 2 2 2" xfId="35651" xr:uid="{9ADE7E45-17FE-4CF6-970A-2A200B27A606}"/>
    <cellStyle name="Normal 4 4 2 3 4 2 2 3" xfId="26354" xr:uid="{8B94CA41-2D59-44FA-B09F-090D752081D2}"/>
    <cellStyle name="Normal 4 4 2 3 4 2 3" xfId="12838" xr:uid="{61A46F41-5C5C-4625-A19F-40094FC8453C}"/>
    <cellStyle name="Normal 4 4 2 3 4 2 3 2" xfId="31434" xr:uid="{4EFE92CE-2ECC-48A9-BCBC-010F699D66E4}"/>
    <cellStyle name="Normal 4 4 2 3 4 2 4" xfId="22137" xr:uid="{CF29616D-8867-4853-B09E-ECD37B5A1169}"/>
    <cellStyle name="Normal 4 4 2 3 4 3" xfId="5584" xr:uid="{00000000-0005-0000-0000-000032150000}"/>
    <cellStyle name="Normal 4 4 2 3 4 3 2" xfId="14910" xr:uid="{B4EEFA95-5A24-41CB-8E12-6AC38FE603A4}"/>
    <cellStyle name="Normal 4 4 2 3 4 3 2 2" xfId="33506" xr:uid="{C4F68BEC-559D-4074-9DE9-D2830D5281B6}"/>
    <cellStyle name="Normal 4 4 2 3 4 3 3" xfId="24209" xr:uid="{BE7CF3CE-6135-4541-B09F-E263EA94501C}"/>
    <cellStyle name="Normal 4 4 2 3 4 4" xfId="10693" xr:uid="{C9CEE281-2355-4007-814F-AE1380670D95}"/>
    <cellStyle name="Normal 4 4 2 3 4 4 2" xfId="29289" xr:uid="{E15CE71E-84C8-43C1-B0B1-935888C4E4CE}"/>
    <cellStyle name="Normal 4 4 2 3 4 5" xfId="19992" xr:uid="{7FA91626-41C7-4F8F-88F3-6D33F772D0EC}"/>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BC9E1E4D-CE62-4B1F-B7A1-D23064A65BE9}"/>
    <cellStyle name="Normal 4 4 2 3 5 2 2 2 2" xfId="36064" xr:uid="{9E2BB8DE-5444-4CD3-BA78-220AAADB4965}"/>
    <cellStyle name="Normal 4 4 2 3 5 2 2 3" xfId="26767" xr:uid="{A902B313-83AD-4CC2-9C8A-35782FD4F1B2}"/>
    <cellStyle name="Normal 4 4 2 3 5 2 3" xfId="13251" xr:uid="{99E48801-913E-48C9-8960-F2B725EBCFB3}"/>
    <cellStyle name="Normal 4 4 2 3 5 2 3 2" xfId="31847" xr:uid="{61289886-D2FA-421E-819D-7ED4FB4D9A6C}"/>
    <cellStyle name="Normal 4 4 2 3 5 2 4" xfId="22550" xr:uid="{37E9DC0D-A158-4944-8C05-DACBBD1017D0}"/>
    <cellStyle name="Normal 4 4 2 3 5 3" xfId="5997" xr:uid="{00000000-0005-0000-0000-000036150000}"/>
    <cellStyle name="Normal 4 4 2 3 5 3 2" xfId="15323" xr:uid="{016FC4FD-3459-42C9-B9CB-838A3853C974}"/>
    <cellStyle name="Normal 4 4 2 3 5 3 2 2" xfId="33919" xr:uid="{BE682537-0403-4419-B2F4-0571E1522851}"/>
    <cellStyle name="Normal 4 4 2 3 5 3 3" xfId="24622" xr:uid="{90A573DC-9B74-43B6-8D32-DAC158727A64}"/>
    <cellStyle name="Normal 4 4 2 3 5 4" xfId="11106" xr:uid="{3149706E-39AD-4304-AF22-663346302B72}"/>
    <cellStyle name="Normal 4 4 2 3 5 4 2" xfId="29702" xr:uid="{3DE0B40D-F6F3-4FBC-A303-F86B313E92CA}"/>
    <cellStyle name="Normal 4 4 2 3 5 5" xfId="20405" xr:uid="{0F7B2CF3-CAC5-4C7A-BB3F-F1158209A0DB}"/>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EEC853FB-1B29-4436-A729-2C2D4636594B}"/>
    <cellStyle name="Normal 4 4 2 3 6 2 2 2 2" xfId="36477" xr:uid="{566A382B-359E-4E2B-9CE4-D0E55B67C068}"/>
    <cellStyle name="Normal 4 4 2 3 6 2 2 3" xfId="27180" xr:uid="{5E6F008D-149F-4369-8B9A-CA525B9A6183}"/>
    <cellStyle name="Normal 4 4 2 3 6 2 3" xfId="13664" xr:uid="{079FEF3B-D3BF-4EF5-A082-98363681EC25}"/>
    <cellStyle name="Normal 4 4 2 3 6 2 3 2" xfId="32260" xr:uid="{FE32172D-474A-4CA5-AD6C-07FF3B187122}"/>
    <cellStyle name="Normal 4 4 2 3 6 2 4" xfId="22963" xr:uid="{D7146B04-8DA6-4FEA-86E6-AE6CD061EB98}"/>
    <cellStyle name="Normal 4 4 2 3 6 3" xfId="6410" xr:uid="{00000000-0005-0000-0000-00003A150000}"/>
    <cellStyle name="Normal 4 4 2 3 6 3 2" xfId="15736" xr:uid="{B7641B02-C5FF-45FC-A95E-155498698528}"/>
    <cellStyle name="Normal 4 4 2 3 6 3 2 2" xfId="34332" xr:uid="{149B07C1-951F-4611-825E-961DE3A38FB1}"/>
    <cellStyle name="Normal 4 4 2 3 6 3 3" xfId="25035" xr:uid="{BFD2DA7A-C54F-4FFE-A7D2-A8B61F7923EC}"/>
    <cellStyle name="Normal 4 4 2 3 6 4" xfId="11519" xr:uid="{9A5EC1EF-EAE8-428E-B849-EAA946349A3D}"/>
    <cellStyle name="Normal 4 4 2 3 6 4 2" xfId="30115" xr:uid="{C73A7BF5-EA2D-4959-A088-E8641912EE39}"/>
    <cellStyle name="Normal 4 4 2 3 6 5" xfId="20818" xr:uid="{D60F416A-D7D1-4B62-B9D6-C00C70B75BF1}"/>
    <cellStyle name="Normal 4 4 2 3 7" xfId="2540" xr:uid="{00000000-0005-0000-0000-00003B150000}"/>
    <cellStyle name="Normal 4 4 2 3 7 2" xfId="6823" xr:uid="{00000000-0005-0000-0000-00003C150000}"/>
    <cellStyle name="Normal 4 4 2 3 7 2 2" xfId="16149" xr:uid="{D3ABAA2D-2C89-4395-8874-4E5532297C2E}"/>
    <cellStyle name="Normal 4 4 2 3 7 2 2 2" xfId="34745" xr:uid="{AA4357DC-5632-4EDB-BC86-819042512962}"/>
    <cellStyle name="Normal 4 4 2 3 7 2 3" xfId="25448" xr:uid="{059A7A84-08BA-4811-B759-2971C6638A08}"/>
    <cellStyle name="Normal 4 4 2 3 7 3" xfId="11932" xr:uid="{96E765A9-2978-4CDE-925D-CBB9C57C3D49}"/>
    <cellStyle name="Normal 4 4 2 3 7 3 2" xfId="30528" xr:uid="{14BAC049-8B4E-4DAC-B724-3B569C9A536B}"/>
    <cellStyle name="Normal 4 4 2 3 7 4" xfId="21231" xr:uid="{6B7F51AA-4416-470F-9C73-63FA20A2DD88}"/>
    <cellStyle name="Normal 4 4 2 3 8" xfId="4758" xr:uid="{00000000-0005-0000-0000-00003D150000}"/>
    <cellStyle name="Normal 4 4 2 3 8 2" xfId="14084" xr:uid="{A0CDA149-7DDA-4BEE-A95E-50413BC14D0E}"/>
    <cellStyle name="Normal 4 4 2 3 8 2 2" xfId="32680" xr:uid="{2CF9BDFC-03C6-4A03-BE9C-870D9EA3819C}"/>
    <cellStyle name="Normal 4 4 2 3 8 3" xfId="23383" xr:uid="{167A75DD-C4C5-4699-A7B9-4D826F505B02}"/>
    <cellStyle name="Normal 4 4 2 3 9" xfId="8884" xr:uid="{CBA8CCC0-D2E2-46C8-AC83-39734599F615}"/>
    <cellStyle name="Normal 4 4 2 3 9 2" xfId="18208" xr:uid="{CFCB8530-BE1B-4642-BB5E-6531BB260355}"/>
    <cellStyle name="Normal 4 4 2 3 9 2 2" xfId="36803" xr:uid="{2FD46537-03FB-4D53-BF74-9C145125ADC6}"/>
    <cellStyle name="Normal 4 4 2 3 9 3" xfId="27506" xr:uid="{0B049383-25E3-4C13-8908-0503EE4F2D95}"/>
    <cellStyle name="Normal 4 4 2 4" xfId="386" xr:uid="{00000000-0005-0000-0000-00003E150000}"/>
    <cellStyle name="Normal 4 4 2 4 10" xfId="19168" xr:uid="{B5CC9DB0-808E-43E4-99B1-C04472CB84A4}"/>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2F376B54-CFCA-4A9D-A5E6-FE26D1707636}"/>
    <cellStyle name="Normal 4 4 2 4 2 2 2 2 2" xfId="35240" xr:uid="{6F5310E2-6017-4D8D-9AF2-BA98410B65DD}"/>
    <cellStyle name="Normal 4 4 2 4 2 2 2 3" xfId="25943" xr:uid="{C402AF1D-9AEF-471A-870B-2A236C34702C}"/>
    <cellStyle name="Normal 4 4 2 4 2 2 3" xfId="12427" xr:uid="{CAFE44D3-CA21-4223-A3B7-59C087B54683}"/>
    <cellStyle name="Normal 4 4 2 4 2 2 3 2" xfId="31023" xr:uid="{FC8C22D3-1E6F-4CBE-BAA7-E4A6CE14F23D}"/>
    <cellStyle name="Normal 4 4 2 4 2 2 4" xfId="21726" xr:uid="{5ACFC5A1-E34B-470B-A877-B6ABA85BBB7C}"/>
    <cellStyle name="Normal 4 4 2 4 2 3" xfId="5173" xr:uid="{00000000-0005-0000-0000-000042150000}"/>
    <cellStyle name="Normal 4 4 2 4 2 3 2" xfId="14499" xr:uid="{C257CE7F-2EAE-4617-B618-D822BA3AB63F}"/>
    <cellStyle name="Normal 4 4 2 4 2 3 2 2" xfId="33095" xr:uid="{C701A407-E8AD-4648-9E8E-5F0655DF7009}"/>
    <cellStyle name="Normal 4 4 2 4 2 3 3" xfId="23798" xr:uid="{DBBA9D8D-4F30-462E-92C1-AA2134F4C72A}"/>
    <cellStyle name="Normal 4 4 2 4 2 4" xfId="9413" xr:uid="{4DC092EA-7C69-4E02-9FE8-33F62D070F54}"/>
    <cellStyle name="Normal 4 4 2 4 2 4 2" xfId="18728" xr:uid="{46968447-274F-4CE4-864C-ADEDEF6AB7B0}"/>
    <cellStyle name="Normal 4 4 2 4 2 4 2 2" xfId="37322" xr:uid="{431A1ADE-2D96-44BB-B74E-103DDD62C650}"/>
    <cellStyle name="Normal 4 4 2 4 2 4 3" xfId="28025" xr:uid="{9BC6B362-185F-41B1-AE4A-CCAF3BE61234}"/>
    <cellStyle name="Normal 4 4 2 4 2 5" xfId="10282" xr:uid="{DDB258BB-D001-45B4-9818-B27C8D4DC26A}"/>
    <cellStyle name="Normal 4 4 2 4 2 5 2" xfId="28878" xr:uid="{34F73838-A06D-4FF5-91D8-57C4853C8643}"/>
    <cellStyle name="Normal 4 4 2 4 2 6" xfId="19581" xr:uid="{4E41630D-B78D-4CF4-8A1E-07C520226D34}"/>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6695D9E3-A646-485F-921E-26A6DF42DB43}"/>
    <cellStyle name="Normal 4 4 2 4 3 2 2 2 2" xfId="35653" xr:uid="{E05BC890-F312-433C-A175-6AA256FB7377}"/>
    <cellStyle name="Normal 4 4 2 4 3 2 2 3" xfId="26356" xr:uid="{A2268442-11EA-41DE-A027-7EA5459350A2}"/>
    <cellStyle name="Normal 4 4 2 4 3 2 3" xfId="12840" xr:uid="{108BFCFB-FD1E-4451-BA3C-7BC08BF2AA90}"/>
    <cellStyle name="Normal 4 4 2 4 3 2 3 2" xfId="31436" xr:uid="{DAEE6E4B-D464-453C-BD88-C55A98AA046D}"/>
    <cellStyle name="Normal 4 4 2 4 3 2 4" xfId="22139" xr:uid="{FD684A92-E710-46C5-BDA4-892FDDB448D8}"/>
    <cellStyle name="Normal 4 4 2 4 3 3" xfId="5586" xr:uid="{00000000-0005-0000-0000-000046150000}"/>
    <cellStyle name="Normal 4 4 2 4 3 3 2" xfId="14912" xr:uid="{5AFA02DB-BEC3-4D8E-8383-DEC97CAF99B6}"/>
    <cellStyle name="Normal 4 4 2 4 3 3 2 2" xfId="33508" xr:uid="{65257027-9692-4076-AD48-967881051E41}"/>
    <cellStyle name="Normal 4 4 2 4 3 3 3" xfId="24211" xr:uid="{818A6B32-D20A-44C1-BBE4-1D40FF1A920A}"/>
    <cellStyle name="Normal 4 4 2 4 3 4" xfId="10695" xr:uid="{B36FCDA8-C812-49DC-8031-36977EA24B81}"/>
    <cellStyle name="Normal 4 4 2 4 3 4 2" xfId="29291" xr:uid="{A053EEA2-5956-4C5A-A425-D7B65EAD061B}"/>
    <cellStyle name="Normal 4 4 2 4 3 5" xfId="19994" xr:uid="{8EC6B06A-9446-43B7-AEA6-AFB07A9CF652}"/>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093F706F-E6E9-4DEC-A22D-616A4CF94C28}"/>
    <cellStyle name="Normal 4 4 2 4 4 2 2 2 2" xfId="36066" xr:uid="{8F659FD3-2EFE-4BD2-91D4-DDDCE60935DC}"/>
    <cellStyle name="Normal 4 4 2 4 4 2 2 3" xfId="26769" xr:uid="{454E4F24-6834-4965-9DD4-DE24964D5429}"/>
    <cellStyle name="Normal 4 4 2 4 4 2 3" xfId="13253" xr:uid="{E9887DC3-60EC-4E92-B00A-F714734AC024}"/>
    <cellStyle name="Normal 4 4 2 4 4 2 3 2" xfId="31849" xr:uid="{095D77F0-CC0B-4CC2-86F4-4AB61DD115F2}"/>
    <cellStyle name="Normal 4 4 2 4 4 2 4" xfId="22552" xr:uid="{444AF25E-91FF-436C-87A8-150B79FB7982}"/>
    <cellStyle name="Normal 4 4 2 4 4 3" xfId="5999" xr:uid="{00000000-0005-0000-0000-00004A150000}"/>
    <cellStyle name="Normal 4 4 2 4 4 3 2" xfId="15325" xr:uid="{325A98FC-D153-4303-AB71-093E9EA73D4C}"/>
    <cellStyle name="Normal 4 4 2 4 4 3 2 2" xfId="33921" xr:uid="{285A6042-3DFE-47C9-A73E-318C532598FF}"/>
    <cellStyle name="Normal 4 4 2 4 4 3 3" xfId="24624" xr:uid="{1423711B-E738-41AD-BF8F-9FB6E11CA21B}"/>
    <cellStyle name="Normal 4 4 2 4 4 4" xfId="11108" xr:uid="{9A6F7AD2-B9E6-428A-90D6-C8B2008E3941}"/>
    <cellStyle name="Normal 4 4 2 4 4 4 2" xfId="29704" xr:uid="{1CAE6821-2964-4ADF-8CDE-E9EEA92C6CB8}"/>
    <cellStyle name="Normal 4 4 2 4 4 5" xfId="20407" xr:uid="{94741D33-5649-49AD-854B-91FB56BA31B1}"/>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E73B7279-975E-451F-BCC7-8084ABC9F1C9}"/>
    <cellStyle name="Normal 4 4 2 4 5 2 2 2 2" xfId="36479" xr:uid="{8AB4E390-5E8D-4B5B-8E35-BB4738176852}"/>
    <cellStyle name="Normal 4 4 2 4 5 2 2 3" xfId="27182" xr:uid="{12672497-1C27-4FB7-BD09-82397E749E14}"/>
    <cellStyle name="Normal 4 4 2 4 5 2 3" xfId="13666" xr:uid="{7778E5A2-D8A8-468B-ADA8-7CD3B93DCF25}"/>
    <cellStyle name="Normal 4 4 2 4 5 2 3 2" xfId="32262" xr:uid="{614BDFE2-FA5C-4D63-9C23-AE7DB9B413BF}"/>
    <cellStyle name="Normal 4 4 2 4 5 2 4" xfId="22965" xr:uid="{C66CDD3F-2ECF-486C-9A89-D50B84A2A156}"/>
    <cellStyle name="Normal 4 4 2 4 5 3" xfId="6412" xr:uid="{00000000-0005-0000-0000-00004E150000}"/>
    <cellStyle name="Normal 4 4 2 4 5 3 2" xfId="15738" xr:uid="{E161758F-627B-4673-BE54-B6972D5DA82D}"/>
    <cellStyle name="Normal 4 4 2 4 5 3 2 2" xfId="34334" xr:uid="{0E398A8B-693E-4EE7-8E4A-3A1695872FFD}"/>
    <cellStyle name="Normal 4 4 2 4 5 3 3" xfId="25037" xr:uid="{2353ED54-F0A5-4306-9195-E53F71E5F8CC}"/>
    <cellStyle name="Normal 4 4 2 4 5 4" xfId="11521" xr:uid="{B23C8E49-2C38-42FD-A062-8452F09F70C0}"/>
    <cellStyle name="Normal 4 4 2 4 5 4 2" xfId="30117" xr:uid="{E2888AC5-DAEC-4B39-8797-093C3317661C}"/>
    <cellStyle name="Normal 4 4 2 4 5 5" xfId="20820" xr:uid="{BADA1962-A855-45D2-A9E0-3B0A4596F43D}"/>
    <cellStyle name="Normal 4 4 2 4 6" xfId="2542" xr:uid="{00000000-0005-0000-0000-00004F150000}"/>
    <cellStyle name="Normal 4 4 2 4 6 2" xfId="6825" xr:uid="{00000000-0005-0000-0000-000050150000}"/>
    <cellStyle name="Normal 4 4 2 4 6 2 2" xfId="16151" xr:uid="{93726FDB-F2EE-4E74-B5A7-2E827730888A}"/>
    <cellStyle name="Normal 4 4 2 4 6 2 2 2" xfId="34747" xr:uid="{D870D251-013B-475F-9993-E37473669EC8}"/>
    <cellStyle name="Normal 4 4 2 4 6 2 3" xfId="25450" xr:uid="{CF38F6F2-0253-4EA6-BFD1-BFAB484E8418}"/>
    <cellStyle name="Normal 4 4 2 4 6 3" xfId="11934" xr:uid="{7564149C-320A-4F78-B423-60F405934D5F}"/>
    <cellStyle name="Normal 4 4 2 4 6 3 2" xfId="30530" xr:uid="{CE59A522-BC74-47A8-BBAF-7D0480522BFA}"/>
    <cellStyle name="Normal 4 4 2 4 6 4" xfId="21233" xr:uid="{9FD9929E-C467-4441-8BD1-5EC283AD4169}"/>
    <cellStyle name="Normal 4 4 2 4 7" xfId="4760" xr:uid="{00000000-0005-0000-0000-000051150000}"/>
    <cellStyle name="Normal 4 4 2 4 7 2" xfId="14086" xr:uid="{A6C09DE0-EAFE-4B4B-9E1B-35847ADFE7F3}"/>
    <cellStyle name="Normal 4 4 2 4 7 2 2" xfId="32682" xr:uid="{A8FEBAC7-38F7-4E34-B376-48A6696E1A16}"/>
    <cellStyle name="Normal 4 4 2 4 7 3" xfId="23385" xr:uid="{763B0B20-7EBE-4C76-85FA-7C6C8D87F8D2}"/>
    <cellStyle name="Normal 4 4 2 4 8" xfId="8988" xr:uid="{F852E7B0-7ACD-4401-B3B6-BE989A5C8AD5}"/>
    <cellStyle name="Normal 4 4 2 4 8 2" xfId="18312" xr:uid="{2D3C3F21-DA2B-474B-9A69-F603269FF084}"/>
    <cellStyle name="Normal 4 4 2 4 8 2 2" xfId="36907" xr:uid="{9AC00A26-BAAE-4EE5-8623-ABFCC490D6F4}"/>
    <cellStyle name="Normal 4 4 2 4 8 3" xfId="27610" xr:uid="{47DADD55-4B41-4B45-AF34-EA9B907D4309}"/>
    <cellStyle name="Normal 4 4 2 4 9" xfId="9869" xr:uid="{4EEC4132-FD3B-4389-8538-96FB20FE4ADE}"/>
    <cellStyle name="Normal 4 4 2 4 9 2" xfId="28465" xr:uid="{48F2DC97-B7AA-4A3A-9B3C-3EB8B4A8FDE8}"/>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75E8A354-5B92-46AF-BEEF-E631DC0EDBF9}"/>
    <cellStyle name="Normal 4 4 2 5 2 2 2 2" xfId="35233" xr:uid="{A06464AF-97BF-4AA4-9A31-591610A279C0}"/>
    <cellStyle name="Normal 4 4 2 5 2 2 3" xfId="25936" xr:uid="{5C402AAF-1A0C-4F6F-B863-1B74C53A40CE}"/>
    <cellStyle name="Normal 4 4 2 5 2 3" xfId="12420" xr:uid="{6CF51ABD-E0AB-4724-9FC9-94CEC8F9410F}"/>
    <cellStyle name="Normal 4 4 2 5 2 3 2" xfId="31016" xr:uid="{53CA4D5C-1DBE-42A6-8827-6069479A0AFF}"/>
    <cellStyle name="Normal 4 4 2 5 2 4" xfId="21719" xr:uid="{6B27AEF2-A9CC-487B-97CF-5F9622C2F602}"/>
    <cellStyle name="Normal 4 4 2 5 3" xfId="5166" xr:uid="{00000000-0005-0000-0000-000055150000}"/>
    <cellStyle name="Normal 4 4 2 5 3 2" xfId="14492" xr:uid="{780023DE-33E6-46D1-BE7A-6EA5335612EE}"/>
    <cellStyle name="Normal 4 4 2 5 3 2 2" xfId="33088" xr:uid="{F563D188-1373-4A59-83DA-27EE364CD146}"/>
    <cellStyle name="Normal 4 4 2 5 3 3" xfId="23791" xr:uid="{6B15839E-99E3-4BAD-ABCF-FE512236C207}"/>
    <cellStyle name="Normal 4 4 2 5 4" xfId="9205" xr:uid="{A63DE01D-3EC8-40FC-A47E-E0EA001EED52}"/>
    <cellStyle name="Normal 4 4 2 5 4 2" xfId="18521" xr:uid="{9D3AC6C8-51E2-4D94-95B1-0E3A678E116D}"/>
    <cellStyle name="Normal 4 4 2 5 4 2 2" xfId="37115" xr:uid="{C9C41ADE-E6AC-4EC0-8AA1-3CC92E2691C5}"/>
    <cellStyle name="Normal 4 4 2 5 4 3" xfId="27818" xr:uid="{5324E408-B960-40B1-94A5-4C22DB339567}"/>
    <cellStyle name="Normal 4 4 2 5 5" xfId="10275" xr:uid="{37AED1E1-90C6-433C-AA7D-89FE93F40D2B}"/>
    <cellStyle name="Normal 4 4 2 5 5 2" xfId="28871" xr:uid="{AFB5C33B-86DA-40BB-AE56-579803523D01}"/>
    <cellStyle name="Normal 4 4 2 5 6" xfId="19574" xr:uid="{363FEF87-3DB8-4006-B308-E3A5ADD5116F}"/>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4BD10947-1ACD-4A12-B20C-23483DEAF67F}"/>
    <cellStyle name="Normal 4 4 2 6 2 2 2 2" xfId="35646" xr:uid="{DECCC365-1309-4790-BE96-AF24BD7CDC95}"/>
    <cellStyle name="Normal 4 4 2 6 2 2 3" xfId="26349" xr:uid="{62B243D1-39DB-4DFA-A535-D66DCB31059A}"/>
    <cellStyle name="Normal 4 4 2 6 2 3" xfId="12833" xr:uid="{A77296C7-5ADE-484B-8E3E-AED68005E78E}"/>
    <cellStyle name="Normal 4 4 2 6 2 3 2" xfId="31429" xr:uid="{0C801237-95E5-4AA2-8E45-1757A13FE45E}"/>
    <cellStyle name="Normal 4 4 2 6 2 4" xfId="22132" xr:uid="{3084B277-B3B9-4528-89CC-B1FA4A4BF353}"/>
    <cellStyle name="Normal 4 4 2 6 3" xfId="5579" xr:uid="{00000000-0005-0000-0000-000059150000}"/>
    <cellStyle name="Normal 4 4 2 6 3 2" xfId="14905" xr:uid="{5C5A54AD-2B27-40F9-AA0C-980C76D07849}"/>
    <cellStyle name="Normal 4 4 2 6 3 2 2" xfId="33501" xr:uid="{79337DBA-6FC6-49FC-9194-8907A13772BA}"/>
    <cellStyle name="Normal 4 4 2 6 3 3" xfId="24204" xr:uid="{22A0BBC4-BE9D-44D6-BD23-F31A74FC6F9B}"/>
    <cellStyle name="Normal 4 4 2 6 4" xfId="10688" xr:uid="{9544E451-AC06-454B-871F-CC62C74DD677}"/>
    <cellStyle name="Normal 4 4 2 6 4 2" xfId="29284" xr:uid="{43D0B492-0A4B-4AB1-A67E-10E492CE5167}"/>
    <cellStyle name="Normal 4 4 2 6 5" xfId="19987" xr:uid="{8AD870D9-3825-435F-AB78-A96A6E577F89}"/>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CC42B8F5-F3D6-41D2-95DA-D1A54D45D919}"/>
    <cellStyle name="Normal 4 4 2 7 2 2 2 2" xfId="36059" xr:uid="{8260C992-9A85-4EC5-B174-E97A73860E83}"/>
    <cellStyle name="Normal 4 4 2 7 2 2 3" xfId="26762" xr:uid="{41F95570-8DBF-4C3E-B8DB-BDD528C5685F}"/>
    <cellStyle name="Normal 4 4 2 7 2 3" xfId="13246" xr:uid="{D274D15A-556D-4D7C-A390-468081B8B5D7}"/>
    <cellStyle name="Normal 4 4 2 7 2 3 2" xfId="31842" xr:uid="{A83CA1E7-BF01-429C-9C87-6DEE147895B7}"/>
    <cellStyle name="Normal 4 4 2 7 2 4" xfId="22545" xr:uid="{A8E9D14A-5853-4450-AE3B-A04FBCF06915}"/>
    <cellStyle name="Normal 4 4 2 7 3" xfId="5992" xr:uid="{00000000-0005-0000-0000-00005D150000}"/>
    <cellStyle name="Normal 4 4 2 7 3 2" xfId="15318" xr:uid="{2BA2620A-946D-4145-A121-20696D306F6D}"/>
    <cellStyle name="Normal 4 4 2 7 3 2 2" xfId="33914" xr:uid="{6EEED8D1-9070-4127-BA54-142627BC2711}"/>
    <cellStyle name="Normal 4 4 2 7 3 3" xfId="24617" xr:uid="{AA65A9EA-3BAF-4AB5-8A40-C20CD9B746B8}"/>
    <cellStyle name="Normal 4 4 2 7 4" xfId="11101" xr:uid="{95823985-EB33-4D2E-9861-8A725583912C}"/>
    <cellStyle name="Normal 4 4 2 7 4 2" xfId="29697" xr:uid="{A0AC6E40-BFCE-4616-9679-7B5DC1E972E4}"/>
    <cellStyle name="Normal 4 4 2 7 5" xfId="20400" xr:uid="{6F61D1CE-5E25-461B-96E2-BE23A131EE39}"/>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ACDE0C61-A314-4F43-A2BF-C1B5ECF7A070}"/>
    <cellStyle name="Normal 4 4 2 8 2 2 2 2" xfId="36472" xr:uid="{6A7801BE-4F69-4C83-BEC2-C036E6D7C08F}"/>
    <cellStyle name="Normal 4 4 2 8 2 2 3" xfId="27175" xr:uid="{205CD11F-54F8-4100-9FD2-D6F1B096DF32}"/>
    <cellStyle name="Normal 4 4 2 8 2 3" xfId="13659" xr:uid="{C026DA4F-584E-4BF9-9054-5CF831FF7D89}"/>
    <cellStyle name="Normal 4 4 2 8 2 3 2" xfId="32255" xr:uid="{2D663940-80C1-41C3-A543-9159F31FC4D4}"/>
    <cellStyle name="Normal 4 4 2 8 2 4" xfId="22958" xr:uid="{E45F5B9B-2514-4699-87A6-7AE82D3848CE}"/>
    <cellStyle name="Normal 4 4 2 8 3" xfId="6405" xr:uid="{00000000-0005-0000-0000-000061150000}"/>
    <cellStyle name="Normal 4 4 2 8 3 2" xfId="15731" xr:uid="{B219B83B-777C-4A1F-886B-30A0F73A767B}"/>
    <cellStyle name="Normal 4 4 2 8 3 2 2" xfId="34327" xr:uid="{07E69797-B25A-451A-9BBE-D4A28BC713AD}"/>
    <cellStyle name="Normal 4 4 2 8 3 3" xfId="25030" xr:uid="{FBA12AF5-5E61-411E-AA93-AFBB53B796D8}"/>
    <cellStyle name="Normal 4 4 2 8 4" xfId="11514" xr:uid="{1E06766F-FC22-4E1C-B579-1905BD368526}"/>
    <cellStyle name="Normal 4 4 2 8 4 2" xfId="30110" xr:uid="{E4ABA3C8-592C-4F28-B83D-2B2A9A0686B1}"/>
    <cellStyle name="Normal 4 4 2 8 5" xfId="20813" xr:uid="{39192D48-FD96-41A9-9C2C-5E27C40ACDCC}"/>
    <cellStyle name="Normal 4 4 2 9" xfId="2535" xr:uid="{00000000-0005-0000-0000-000062150000}"/>
    <cellStyle name="Normal 4 4 2 9 2" xfId="6818" xr:uid="{00000000-0005-0000-0000-000063150000}"/>
    <cellStyle name="Normal 4 4 2 9 2 2" xfId="16144" xr:uid="{E816BA03-A8B2-423A-96EC-EF8CF7849AE4}"/>
    <cellStyle name="Normal 4 4 2 9 2 2 2" xfId="34740" xr:uid="{2D1D3237-62E6-4E55-A1AB-92AE89A56300}"/>
    <cellStyle name="Normal 4 4 2 9 2 3" xfId="25443" xr:uid="{6F1F3D1B-0077-41B2-B75A-40F95E888187}"/>
    <cellStyle name="Normal 4 4 2 9 3" xfId="11927" xr:uid="{3FDDEA42-5286-4AB9-B906-FB0FAB68FA59}"/>
    <cellStyle name="Normal 4 4 2 9 3 2" xfId="30523" xr:uid="{199525DA-5C04-4A1A-9986-0807696233A8}"/>
    <cellStyle name="Normal 4 4 2 9 4" xfId="21226" xr:uid="{78C8F4BC-8C8E-4B2B-AA09-267449D13053}"/>
    <cellStyle name="Normal 4 4 3" xfId="387" xr:uid="{00000000-0005-0000-0000-000064150000}"/>
    <cellStyle name="Normal 4 4 3 10" xfId="8823" xr:uid="{E623F102-F69B-4FD0-BEDA-A1480AF4D892}"/>
    <cellStyle name="Normal 4 4 3 10 2" xfId="18147" xr:uid="{D350606A-3F08-4089-A365-DF7180E096D0}"/>
    <cellStyle name="Normal 4 4 3 10 2 2" xfId="36742" xr:uid="{FF4E686B-F7FC-42D0-9771-4B94D497CFAC}"/>
    <cellStyle name="Normal 4 4 3 10 3" xfId="27445" xr:uid="{0C992BB9-C7ED-4218-8A7E-DF6272986D0B}"/>
    <cellStyle name="Normal 4 4 3 11" xfId="9870" xr:uid="{44BF3269-D70A-4CBB-9DD5-B8D8E0FCDD1C}"/>
    <cellStyle name="Normal 4 4 3 11 2" xfId="28466" xr:uid="{1A549A9F-3AD4-4831-AA9C-CD29B2C86A79}"/>
    <cellStyle name="Normal 4 4 3 12" xfId="19169" xr:uid="{F9F71E8B-BF20-4391-AD3D-FC6ADCE82225}"/>
    <cellStyle name="Normal 4 4 3 2" xfId="388" xr:uid="{00000000-0005-0000-0000-000065150000}"/>
    <cellStyle name="Normal 4 4 3 2 10" xfId="9871" xr:uid="{E405C22A-D12F-49F5-A5E7-8D44BD09BFB5}"/>
    <cellStyle name="Normal 4 4 3 2 10 2" xfId="28467" xr:uid="{670A0FC3-AE55-491D-8A1D-094A2931F7E6}"/>
    <cellStyle name="Normal 4 4 3 2 11" xfId="19170" xr:uid="{F5A62EF6-2886-489C-965A-F760B72C1DAC}"/>
    <cellStyle name="Normal 4 4 3 2 2" xfId="389" xr:uid="{00000000-0005-0000-0000-000066150000}"/>
    <cellStyle name="Normal 4 4 3 2 2 10" xfId="19171" xr:uid="{7F919932-7318-4859-AE92-D3A44D69B9EE}"/>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3C84D28B-D56A-42E4-A091-013DBA2DB26E}"/>
    <cellStyle name="Normal 4 4 3 2 2 2 2 2 2 2" xfId="35243" xr:uid="{E8864BA1-6591-4ACA-BC3E-EA4CE7D0A4D6}"/>
    <cellStyle name="Normal 4 4 3 2 2 2 2 2 3" xfId="25946" xr:uid="{4C54C6EF-CD19-4490-B844-5E703F97B225}"/>
    <cellStyle name="Normal 4 4 3 2 2 2 2 3" xfId="12430" xr:uid="{40713BEE-E365-48DE-9283-24DBC8BECB99}"/>
    <cellStyle name="Normal 4 4 3 2 2 2 2 3 2" xfId="31026" xr:uid="{984753AB-95C1-4F7F-B7C8-ABF50DDEC434}"/>
    <cellStyle name="Normal 4 4 3 2 2 2 2 4" xfId="21729" xr:uid="{CB7A21CE-1EE4-4C28-8FB9-7FEADCA39175}"/>
    <cellStyle name="Normal 4 4 3 2 2 2 3" xfId="5176" xr:uid="{00000000-0005-0000-0000-00006A150000}"/>
    <cellStyle name="Normal 4 4 3 2 2 2 3 2" xfId="14502" xr:uid="{9FCD50DF-5F4A-44DB-B040-376A6340538D}"/>
    <cellStyle name="Normal 4 4 3 2 2 2 3 2 2" xfId="33098" xr:uid="{5143E509-A513-4612-883A-CA41D652DF09}"/>
    <cellStyle name="Normal 4 4 3 2 2 2 3 3" xfId="23801" xr:uid="{57FCF958-AB74-4432-A915-64415531EB8F}"/>
    <cellStyle name="Normal 4 4 3 2 2 2 4" xfId="9558" xr:uid="{8C9519E6-5920-473D-9749-EC61E4877632}"/>
    <cellStyle name="Normal 4 4 3 2 2 2 4 2" xfId="18873" xr:uid="{95C19C83-BBB9-49A2-BB9F-370548EEA1F7}"/>
    <cellStyle name="Normal 4 4 3 2 2 2 4 2 2" xfId="37467" xr:uid="{56534954-6F3A-4719-BCA6-908629E87147}"/>
    <cellStyle name="Normal 4 4 3 2 2 2 4 3" xfId="28170" xr:uid="{9E68083D-71E7-49C0-B974-F3842A19BE76}"/>
    <cellStyle name="Normal 4 4 3 2 2 2 5" xfId="10285" xr:uid="{C9FEDE9C-6D07-47A9-B670-68BA4D01BA58}"/>
    <cellStyle name="Normal 4 4 3 2 2 2 5 2" xfId="28881" xr:uid="{2AE14531-6F09-43F9-A716-7C069C7809D7}"/>
    <cellStyle name="Normal 4 4 3 2 2 2 6" xfId="19584" xr:uid="{274D8504-B4D8-48F4-8057-89E636C6ABC5}"/>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3583753F-1FC1-4815-8C7D-A2E0483B8688}"/>
    <cellStyle name="Normal 4 4 3 2 2 3 2 2 2 2" xfId="35656" xr:uid="{C86B5974-A1CD-4595-870E-F4A69067C8C0}"/>
    <cellStyle name="Normal 4 4 3 2 2 3 2 2 3" xfId="26359" xr:uid="{B38E134A-2F4D-425B-997A-3FBBC8D1C2A4}"/>
    <cellStyle name="Normal 4 4 3 2 2 3 2 3" xfId="12843" xr:uid="{67B69CA3-B3D6-4EB9-A200-BD68BB6735BF}"/>
    <cellStyle name="Normal 4 4 3 2 2 3 2 3 2" xfId="31439" xr:uid="{1182B54F-EF51-4A1D-B3D4-0810193BBD0F}"/>
    <cellStyle name="Normal 4 4 3 2 2 3 2 4" xfId="22142" xr:uid="{DE4828AD-61E4-439F-ACE0-91C452A6F5B8}"/>
    <cellStyle name="Normal 4 4 3 2 2 3 3" xfId="5589" xr:uid="{00000000-0005-0000-0000-00006E150000}"/>
    <cellStyle name="Normal 4 4 3 2 2 3 3 2" xfId="14915" xr:uid="{F672154B-65F2-4F3F-825B-A6AB3591385B}"/>
    <cellStyle name="Normal 4 4 3 2 2 3 3 2 2" xfId="33511" xr:uid="{48BDDC6E-8C6F-4933-A645-C3AD75EBBF19}"/>
    <cellStyle name="Normal 4 4 3 2 2 3 3 3" xfId="24214" xr:uid="{3142E9A8-23E6-41A9-9EC3-B3B861842A85}"/>
    <cellStyle name="Normal 4 4 3 2 2 3 4" xfId="10698" xr:uid="{52615611-B20F-4207-B6D1-5F2EA4AB8B17}"/>
    <cellStyle name="Normal 4 4 3 2 2 3 4 2" xfId="29294" xr:uid="{10BC3AF3-E41D-43AD-A357-14644D853344}"/>
    <cellStyle name="Normal 4 4 3 2 2 3 5" xfId="19997" xr:uid="{98023832-BB42-4B8E-8A16-F65E0243032F}"/>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519F9FD6-2372-4B6C-9C1A-845D91D659D4}"/>
    <cellStyle name="Normal 4 4 3 2 2 4 2 2 2 2" xfId="36069" xr:uid="{B766847B-1D3D-4D72-A071-4591B4E3D810}"/>
    <cellStyle name="Normal 4 4 3 2 2 4 2 2 3" xfId="26772" xr:uid="{E117E453-ED58-48B2-B352-A54E157C8FFE}"/>
    <cellStyle name="Normal 4 4 3 2 2 4 2 3" xfId="13256" xr:uid="{8F494EAA-69E2-47E2-A014-F31140D19B69}"/>
    <cellStyle name="Normal 4 4 3 2 2 4 2 3 2" xfId="31852" xr:uid="{56ECE388-C2C0-44A6-BCFE-8ACC85B1E79E}"/>
    <cellStyle name="Normal 4 4 3 2 2 4 2 4" xfId="22555" xr:uid="{D0CBE9E5-FABD-41BF-9B83-8912ECB771B6}"/>
    <cellStyle name="Normal 4 4 3 2 2 4 3" xfId="6002" xr:uid="{00000000-0005-0000-0000-000072150000}"/>
    <cellStyle name="Normal 4 4 3 2 2 4 3 2" xfId="15328" xr:uid="{9BAAD3A4-B679-4AB6-9978-74866202050C}"/>
    <cellStyle name="Normal 4 4 3 2 2 4 3 2 2" xfId="33924" xr:uid="{F9B1C8D1-316A-448E-A0C3-CEAAD1B64C16}"/>
    <cellStyle name="Normal 4 4 3 2 2 4 3 3" xfId="24627" xr:uid="{E3054B63-F5DE-4A50-B365-D32E061E1F18}"/>
    <cellStyle name="Normal 4 4 3 2 2 4 4" xfId="11111" xr:uid="{9267DD57-31E6-4FE1-867D-DF3C19091E74}"/>
    <cellStyle name="Normal 4 4 3 2 2 4 4 2" xfId="29707" xr:uid="{BD9889D7-89D6-45D7-A336-5BD655AD6EE9}"/>
    <cellStyle name="Normal 4 4 3 2 2 4 5" xfId="20410" xr:uid="{E7DC4FF1-EC36-4F85-AD8F-1534CC3DEF2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C2029939-7829-4BBE-ABB1-AD5C83767985}"/>
    <cellStyle name="Normal 4 4 3 2 2 5 2 2 2 2" xfId="36482" xr:uid="{AB098D29-E015-44CB-98F8-831367F07CF6}"/>
    <cellStyle name="Normal 4 4 3 2 2 5 2 2 3" xfId="27185" xr:uid="{792AD165-08FF-4E78-8094-6C9331815AE4}"/>
    <cellStyle name="Normal 4 4 3 2 2 5 2 3" xfId="13669" xr:uid="{D1F86352-F0FA-4520-9179-DCE341F9D2F2}"/>
    <cellStyle name="Normal 4 4 3 2 2 5 2 3 2" xfId="32265" xr:uid="{E9F09F6E-2529-4809-8E4B-7AB019CD2C09}"/>
    <cellStyle name="Normal 4 4 3 2 2 5 2 4" xfId="22968" xr:uid="{C79DB76C-DE5E-4D90-891E-10D11A17EF1D}"/>
    <cellStyle name="Normal 4 4 3 2 2 5 3" xfId="6415" xr:uid="{00000000-0005-0000-0000-000076150000}"/>
    <cellStyle name="Normal 4 4 3 2 2 5 3 2" xfId="15741" xr:uid="{D5217D00-7BC1-41F1-A6EC-4D9CD87B0BFA}"/>
    <cellStyle name="Normal 4 4 3 2 2 5 3 2 2" xfId="34337" xr:uid="{841A9F99-E38B-4719-A950-5C25FDAEECC4}"/>
    <cellStyle name="Normal 4 4 3 2 2 5 3 3" xfId="25040" xr:uid="{7E557F0F-A591-4000-BDB6-F0203B875174}"/>
    <cellStyle name="Normal 4 4 3 2 2 5 4" xfId="11524" xr:uid="{35C13B03-1910-4254-8668-ADE81E8F6805}"/>
    <cellStyle name="Normal 4 4 3 2 2 5 4 2" xfId="30120" xr:uid="{2C0160D5-13BD-4192-9973-4CF0800EE79F}"/>
    <cellStyle name="Normal 4 4 3 2 2 5 5" xfId="20823" xr:uid="{BE40894F-C2EC-4529-89BD-D4A9188413BA}"/>
    <cellStyle name="Normal 4 4 3 2 2 6" xfId="2545" xr:uid="{00000000-0005-0000-0000-000077150000}"/>
    <cellStyle name="Normal 4 4 3 2 2 6 2" xfId="6828" xr:uid="{00000000-0005-0000-0000-000078150000}"/>
    <cellStyle name="Normal 4 4 3 2 2 6 2 2" xfId="16154" xr:uid="{7A96AABF-0112-4396-9EFF-675728160D63}"/>
    <cellStyle name="Normal 4 4 3 2 2 6 2 2 2" xfId="34750" xr:uid="{4D9B1790-D280-4F1B-900D-C639D0BC5C81}"/>
    <cellStyle name="Normal 4 4 3 2 2 6 2 3" xfId="25453" xr:uid="{92EE48E9-3AF7-4F6C-9ED1-122C9BABDF23}"/>
    <cellStyle name="Normal 4 4 3 2 2 6 3" xfId="11937" xr:uid="{E40F87BF-26EB-4280-85BA-5C1B74DA74EA}"/>
    <cellStyle name="Normal 4 4 3 2 2 6 3 2" xfId="30533" xr:uid="{9D9537AB-CDF7-42AB-9678-1F35A7F95623}"/>
    <cellStyle name="Normal 4 4 3 2 2 6 4" xfId="21236" xr:uid="{75FD1D85-606A-4EE0-9E7F-CE932F61F7E3}"/>
    <cellStyle name="Normal 4 4 3 2 2 7" xfId="4763" xr:uid="{00000000-0005-0000-0000-000079150000}"/>
    <cellStyle name="Normal 4 4 3 2 2 7 2" xfId="14089" xr:uid="{FA87192A-0EF8-4FF2-A1B6-B62FCD811575}"/>
    <cellStyle name="Normal 4 4 3 2 2 7 2 2" xfId="32685" xr:uid="{92FD062A-B0C1-4CC3-A34F-ABA4A425A03B}"/>
    <cellStyle name="Normal 4 4 3 2 2 7 3" xfId="23388" xr:uid="{707ABEA8-F59A-43A2-BD9A-928A416136DD}"/>
    <cellStyle name="Normal 4 4 3 2 2 8" xfId="9133" xr:uid="{37002A66-D58A-4EF9-8D22-8F1A3EE99E08}"/>
    <cellStyle name="Normal 4 4 3 2 2 8 2" xfId="18457" xr:uid="{492432B9-F093-4255-9CF0-0AEE90858FDF}"/>
    <cellStyle name="Normal 4 4 3 2 2 8 2 2" xfId="37052" xr:uid="{C55F3DB1-6FC1-4CCC-BE14-D5C2D3B7A4DB}"/>
    <cellStyle name="Normal 4 4 3 2 2 8 3" xfId="27755" xr:uid="{4E83CF20-8BBD-4933-A167-707B8F99D914}"/>
    <cellStyle name="Normal 4 4 3 2 2 9" xfId="9872" xr:uid="{4E628BD8-EAE3-4C55-9173-01CD9B814E57}"/>
    <cellStyle name="Normal 4 4 3 2 2 9 2" xfId="28468" xr:uid="{BFA4F458-ED58-4AF9-AC87-4F38A8C60A72}"/>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05BB6FAA-7156-4096-B276-0B16C6D2EA1F}"/>
    <cellStyle name="Normal 4 4 3 2 3 2 2 2 2" xfId="35242" xr:uid="{89645D94-A26F-4784-BF3A-F929E006C12C}"/>
    <cellStyle name="Normal 4 4 3 2 3 2 2 3" xfId="25945" xr:uid="{87AE7F5B-6664-4B31-815C-77B21010BD22}"/>
    <cellStyle name="Normal 4 4 3 2 3 2 3" xfId="12429" xr:uid="{76F23CEE-DCFB-4C84-8E57-B79E34311FD6}"/>
    <cellStyle name="Normal 4 4 3 2 3 2 3 2" xfId="31025" xr:uid="{B7F2B6F9-B9CC-49A3-B1DB-B22F7E3BF520}"/>
    <cellStyle name="Normal 4 4 3 2 3 2 4" xfId="21728" xr:uid="{BFE1D5A6-5470-415B-B67A-023BF551DBEA}"/>
    <cellStyle name="Normal 4 4 3 2 3 3" xfId="5175" xr:uid="{00000000-0005-0000-0000-00007D150000}"/>
    <cellStyle name="Normal 4 4 3 2 3 3 2" xfId="14501" xr:uid="{20D8C95E-3345-4216-B89F-26B0729B5EE1}"/>
    <cellStyle name="Normal 4 4 3 2 3 3 2 2" xfId="33097" xr:uid="{1FD19F29-2EF8-430C-99E7-8EEA6905AD8C}"/>
    <cellStyle name="Normal 4 4 3 2 3 3 3" xfId="23800" xr:uid="{ADE667CE-C53B-4A6A-9696-84CFFF6AD8B3}"/>
    <cellStyle name="Normal 4 4 3 2 3 4" xfId="9351" xr:uid="{51AD2B95-755A-411D-AA40-98381F5D8294}"/>
    <cellStyle name="Normal 4 4 3 2 3 4 2" xfId="18666" xr:uid="{F8CF056F-DD6A-4F44-9316-77DDBAD975DC}"/>
    <cellStyle name="Normal 4 4 3 2 3 4 2 2" xfId="37260" xr:uid="{A5D6682F-520D-4F42-9083-7140AE596980}"/>
    <cellStyle name="Normal 4 4 3 2 3 4 3" xfId="27963" xr:uid="{86C69E51-F120-4A07-8C9C-5C4575D66159}"/>
    <cellStyle name="Normal 4 4 3 2 3 5" xfId="10284" xr:uid="{6155B831-04CC-4D95-96A3-32AF69C975F7}"/>
    <cellStyle name="Normal 4 4 3 2 3 5 2" xfId="28880" xr:uid="{DDA8AECE-4811-40AB-98A9-CD44A93EC30B}"/>
    <cellStyle name="Normal 4 4 3 2 3 6" xfId="19583" xr:uid="{DF179ED7-685E-4EE9-ACFB-93DB6AE4451E}"/>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E9D2FD8A-E42D-41D7-9286-0211FFB6E588}"/>
    <cellStyle name="Normal 4 4 3 2 4 2 2 2 2" xfId="35655" xr:uid="{D6FBDB61-401D-48E2-8287-200D786CC796}"/>
    <cellStyle name="Normal 4 4 3 2 4 2 2 3" xfId="26358" xr:uid="{C504B4E8-E7D7-4391-81BC-88C7ADBCBD33}"/>
    <cellStyle name="Normal 4 4 3 2 4 2 3" xfId="12842" xr:uid="{A438D6E8-51CB-4C5A-BC80-9FF86280D7D4}"/>
    <cellStyle name="Normal 4 4 3 2 4 2 3 2" xfId="31438" xr:uid="{E27B8E47-9D41-4BDA-AA45-5898F78CCDA7}"/>
    <cellStyle name="Normal 4 4 3 2 4 2 4" xfId="22141" xr:uid="{C5F59DAE-AE63-46C4-A998-C7E0BB0CA2BA}"/>
    <cellStyle name="Normal 4 4 3 2 4 3" xfId="5588" xr:uid="{00000000-0005-0000-0000-000081150000}"/>
    <cellStyle name="Normal 4 4 3 2 4 3 2" xfId="14914" xr:uid="{A36C70BC-0407-4DB2-96C5-D4B86F507CBB}"/>
    <cellStyle name="Normal 4 4 3 2 4 3 2 2" xfId="33510" xr:uid="{8A48BCC1-4B00-4ACC-ACDD-13178C5AF0BE}"/>
    <cellStyle name="Normal 4 4 3 2 4 3 3" xfId="24213" xr:uid="{342CB47E-C74E-46B7-A5A7-529CCFCD6D96}"/>
    <cellStyle name="Normal 4 4 3 2 4 4" xfId="10697" xr:uid="{62D64195-266B-4BF4-9F37-3EA6BC153ECC}"/>
    <cellStyle name="Normal 4 4 3 2 4 4 2" xfId="29293" xr:uid="{65B836E7-48F0-4EE3-80E1-8EBB5672A30B}"/>
    <cellStyle name="Normal 4 4 3 2 4 5" xfId="19996" xr:uid="{1235B517-AB9D-4FFD-938F-64C5C32793D2}"/>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574A17A0-D8DB-4AF1-8C4E-4408DE9B45CE}"/>
    <cellStyle name="Normal 4 4 3 2 5 2 2 2 2" xfId="36068" xr:uid="{BB59ADAA-0B5B-4E32-8A89-BB97CCB63C8C}"/>
    <cellStyle name="Normal 4 4 3 2 5 2 2 3" xfId="26771" xr:uid="{EAD82AC5-39B2-4EAA-845C-992D81FA3267}"/>
    <cellStyle name="Normal 4 4 3 2 5 2 3" xfId="13255" xr:uid="{69DFF7CE-229D-4DDA-B3A4-58AFAA23E28F}"/>
    <cellStyle name="Normal 4 4 3 2 5 2 3 2" xfId="31851" xr:uid="{53AB7A57-BD47-4E4E-A841-3DBE7189BB56}"/>
    <cellStyle name="Normal 4 4 3 2 5 2 4" xfId="22554" xr:uid="{FB9BE8C6-2124-4D95-BFA2-C9F54BE9C785}"/>
    <cellStyle name="Normal 4 4 3 2 5 3" xfId="6001" xr:uid="{00000000-0005-0000-0000-000085150000}"/>
    <cellStyle name="Normal 4 4 3 2 5 3 2" xfId="15327" xr:uid="{B2E5FE66-C12E-4D9B-8211-6B24C63CE5E9}"/>
    <cellStyle name="Normal 4 4 3 2 5 3 2 2" xfId="33923" xr:uid="{90186B75-96FB-4844-933B-A81DDD560898}"/>
    <cellStyle name="Normal 4 4 3 2 5 3 3" xfId="24626" xr:uid="{45AB84F3-D51D-41DD-A037-1995BC4ABC65}"/>
    <cellStyle name="Normal 4 4 3 2 5 4" xfId="11110" xr:uid="{88394A67-3512-4B18-94FB-FECD00DD7D4E}"/>
    <cellStyle name="Normal 4 4 3 2 5 4 2" xfId="29706" xr:uid="{100B70D1-ABF0-48AD-BF6F-E86809C7099E}"/>
    <cellStyle name="Normal 4 4 3 2 5 5" xfId="20409" xr:uid="{A393F6E9-18A2-4E51-AB4B-4D9BA691063D}"/>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A4B1F4CC-926F-4572-ACC1-7B89493BEB0C}"/>
    <cellStyle name="Normal 4 4 3 2 6 2 2 2 2" xfId="36481" xr:uid="{30CACF58-8ED6-4E1E-85A0-3D4F63F12EB7}"/>
    <cellStyle name="Normal 4 4 3 2 6 2 2 3" xfId="27184" xr:uid="{0B285ABE-E1E7-456A-9E76-5D2B96C51156}"/>
    <cellStyle name="Normal 4 4 3 2 6 2 3" xfId="13668" xr:uid="{FB7FE4C1-C937-417C-8C9D-3FD84B8F3BB0}"/>
    <cellStyle name="Normal 4 4 3 2 6 2 3 2" xfId="32264" xr:uid="{1202F3F5-4B78-47F2-B9FA-8FF3E726FC0C}"/>
    <cellStyle name="Normal 4 4 3 2 6 2 4" xfId="22967" xr:uid="{0D3C4540-9C0C-404E-A8AF-9CA4B93538CA}"/>
    <cellStyle name="Normal 4 4 3 2 6 3" xfId="6414" xr:uid="{00000000-0005-0000-0000-000089150000}"/>
    <cellStyle name="Normal 4 4 3 2 6 3 2" xfId="15740" xr:uid="{FEA29F3B-B032-4633-AA76-447D2F49EFE2}"/>
    <cellStyle name="Normal 4 4 3 2 6 3 2 2" xfId="34336" xr:uid="{AEAC5FEA-CCEB-4408-9BFB-75D2991F0CBF}"/>
    <cellStyle name="Normal 4 4 3 2 6 3 3" xfId="25039" xr:uid="{02BD21C0-3576-487E-B92C-12DE2E7A37FF}"/>
    <cellStyle name="Normal 4 4 3 2 6 4" xfId="11523" xr:uid="{271B7844-B325-44F8-87ED-09AB693BB8A3}"/>
    <cellStyle name="Normal 4 4 3 2 6 4 2" xfId="30119" xr:uid="{BEE673B1-A708-4534-A2C7-7EA92F969E4D}"/>
    <cellStyle name="Normal 4 4 3 2 6 5" xfId="20822" xr:uid="{DA8B0B35-C5E2-477E-99FE-F7A474773930}"/>
    <cellStyle name="Normal 4 4 3 2 7" xfId="2544" xr:uid="{00000000-0005-0000-0000-00008A150000}"/>
    <cellStyle name="Normal 4 4 3 2 7 2" xfId="6827" xr:uid="{00000000-0005-0000-0000-00008B150000}"/>
    <cellStyle name="Normal 4 4 3 2 7 2 2" xfId="16153" xr:uid="{6E7CE4CD-AA59-40F3-BED9-B7CC37387017}"/>
    <cellStyle name="Normal 4 4 3 2 7 2 2 2" xfId="34749" xr:uid="{64A227D7-16EF-48F3-A92D-6893FA01AAA1}"/>
    <cellStyle name="Normal 4 4 3 2 7 2 3" xfId="25452" xr:uid="{4B653D4E-0E43-4B14-9847-F982C36B6EF7}"/>
    <cellStyle name="Normal 4 4 3 2 7 3" xfId="11936" xr:uid="{35DBDC4B-22F8-4487-A8FF-0B4DC3183A58}"/>
    <cellStyle name="Normal 4 4 3 2 7 3 2" xfId="30532" xr:uid="{F77D1C4E-DCFB-47D5-A5EB-B93E8C5B8EFD}"/>
    <cellStyle name="Normal 4 4 3 2 7 4" xfId="21235" xr:uid="{835F7163-97C0-464E-A959-B4C49CB78872}"/>
    <cellStyle name="Normal 4 4 3 2 8" xfId="4762" xr:uid="{00000000-0005-0000-0000-00008C150000}"/>
    <cellStyle name="Normal 4 4 3 2 8 2" xfId="14088" xr:uid="{DA9D3922-9DBE-4514-8C90-39398CF96AD1}"/>
    <cellStyle name="Normal 4 4 3 2 8 2 2" xfId="32684" xr:uid="{F86CA702-232D-4B5B-9C01-5BCB3D5674F0}"/>
    <cellStyle name="Normal 4 4 3 2 8 3" xfId="23387" xr:uid="{CB694C7B-EFEC-4BA7-8425-1B83480381A0}"/>
    <cellStyle name="Normal 4 4 3 2 9" xfId="8926" xr:uid="{821D1F47-EF8D-4C64-BA70-5606A81A57B5}"/>
    <cellStyle name="Normal 4 4 3 2 9 2" xfId="18250" xr:uid="{7970BA98-41F5-4B11-B335-B81979E2B322}"/>
    <cellStyle name="Normal 4 4 3 2 9 2 2" xfId="36845" xr:uid="{ADAE283C-2BA5-4A23-B731-5AB898EE943E}"/>
    <cellStyle name="Normal 4 4 3 2 9 3" xfId="27548" xr:uid="{B06CCA65-8EFB-4037-A807-CB6E3D4A7B49}"/>
    <cellStyle name="Normal 4 4 3 3" xfId="390" xr:uid="{00000000-0005-0000-0000-00008D150000}"/>
    <cellStyle name="Normal 4 4 3 3 10" xfId="19172" xr:uid="{2925B291-EF31-4DDE-A69B-C8438D5BBE74}"/>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46CE5FAF-B112-4DCA-A10F-283C19F4E529}"/>
    <cellStyle name="Normal 4 4 3 3 2 2 2 2 2" xfId="35244" xr:uid="{7481DE92-7028-4234-80B5-67EC3A6F6B6D}"/>
    <cellStyle name="Normal 4 4 3 3 2 2 2 3" xfId="25947" xr:uid="{A314180C-A26B-42B5-8CA3-315407255231}"/>
    <cellStyle name="Normal 4 4 3 3 2 2 3" xfId="12431" xr:uid="{557FDC9C-7902-4A9C-BF0D-335186C48C00}"/>
    <cellStyle name="Normal 4 4 3 3 2 2 3 2" xfId="31027" xr:uid="{30317A2C-E658-4D8B-94F7-7D44B05321F2}"/>
    <cellStyle name="Normal 4 4 3 3 2 2 4" xfId="21730" xr:uid="{5A4CC431-24CF-4A85-9225-73A8453E5D3F}"/>
    <cellStyle name="Normal 4 4 3 3 2 3" xfId="5177" xr:uid="{00000000-0005-0000-0000-000091150000}"/>
    <cellStyle name="Normal 4 4 3 3 2 3 2" xfId="14503" xr:uid="{1DF21452-964A-47DC-BF94-8252C2EDCA5B}"/>
    <cellStyle name="Normal 4 4 3 3 2 3 2 2" xfId="33099" xr:uid="{D7ECC505-9DE8-482F-992B-884D7917E839}"/>
    <cellStyle name="Normal 4 4 3 3 2 3 3" xfId="23802" xr:uid="{EE05940C-E4CB-4B9B-9039-EF4D114D6322}"/>
    <cellStyle name="Normal 4 4 3 3 2 4" xfId="9455" xr:uid="{E39EB3A2-D99A-426C-AFEC-E4C90C85BE02}"/>
    <cellStyle name="Normal 4 4 3 3 2 4 2" xfId="18770" xr:uid="{ABE555D9-8B71-4DB1-BBC2-E696762BCCAA}"/>
    <cellStyle name="Normal 4 4 3 3 2 4 2 2" xfId="37364" xr:uid="{4D0125D6-E17A-422A-8FB1-B57FB0AD8C51}"/>
    <cellStyle name="Normal 4 4 3 3 2 4 3" xfId="28067" xr:uid="{FBB955F3-0A49-4672-9C0D-42BF1E694861}"/>
    <cellStyle name="Normal 4 4 3 3 2 5" xfId="10286" xr:uid="{4FABC7AA-F3C2-4DE8-A9F7-1C62F677F590}"/>
    <cellStyle name="Normal 4 4 3 3 2 5 2" xfId="28882" xr:uid="{351E42CC-1834-47FF-8996-57A2A2823CAF}"/>
    <cellStyle name="Normal 4 4 3 3 2 6" xfId="19585" xr:uid="{97BACD91-24F2-4137-A529-D3FA9A614FD0}"/>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931C28BD-6B73-4EAE-88D7-9885DE005D37}"/>
    <cellStyle name="Normal 4 4 3 3 3 2 2 2 2" xfId="35657" xr:uid="{17044262-65E9-4DDB-80A7-958718824B14}"/>
    <cellStyle name="Normal 4 4 3 3 3 2 2 3" xfId="26360" xr:uid="{57EBF248-4225-47E8-8251-5E005620FEE1}"/>
    <cellStyle name="Normal 4 4 3 3 3 2 3" xfId="12844" xr:uid="{46E99A78-7E08-46BB-8AA8-2256FF4FAA65}"/>
    <cellStyle name="Normal 4 4 3 3 3 2 3 2" xfId="31440" xr:uid="{0BD346E1-8595-4995-A7CF-0E2183A9DD78}"/>
    <cellStyle name="Normal 4 4 3 3 3 2 4" xfId="22143" xr:uid="{E8A79901-145C-47CC-91CB-1A13EEAF0318}"/>
    <cellStyle name="Normal 4 4 3 3 3 3" xfId="5590" xr:uid="{00000000-0005-0000-0000-000095150000}"/>
    <cellStyle name="Normal 4 4 3 3 3 3 2" xfId="14916" xr:uid="{A6551954-936A-4A3A-B997-F2EC79F7A995}"/>
    <cellStyle name="Normal 4 4 3 3 3 3 2 2" xfId="33512" xr:uid="{22E12890-9D3E-4FF4-8418-8D93E622673C}"/>
    <cellStyle name="Normal 4 4 3 3 3 3 3" xfId="24215" xr:uid="{6AFBF6CD-5328-48A6-904B-F078BD6BC00A}"/>
    <cellStyle name="Normal 4 4 3 3 3 4" xfId="10699" xr:uid="{51FE72DB-126E-4A8E-A4F4-A92B0F7C537D}"/>
    <cellStyle name="Normal 4 4 3 3 3 4 2" xfId="29295" xr:uid="{2906FF98-485F-491A-BE51-C00AD4F40249}"/>
    <cellStyle name="Normal 4 4 3 3 3 5" xfId="19998" xr:uid="{C0A581D1-B024-4333-8476-33924823EBE5}"/>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44309EC6-5EB6-4552-B99B-86F12C04815C}"/>
    <cellStyle name="Normal 4 4 3 3 4 2 2 2 2" xfId="36070" xr:uid="{D66F03C6-22B5-4A9B-ACC4-9993F59E32EA}"/>
    <cellStyle name="Normal 4 4 3 3 4 2 2 3" xfId="26773" xr:uid="{F4681364-BAA5-4C71-A623-FA48E62B6E4F}"/>
    <cellStyle name="Normal 4 4 3 3 4 2 3" xfId="13257" xr:uid="{03FC38FC-49E5-472D-B16E-4A03DBF204C1}"/>
    <cellStyle name="Normal 4 4 3 3 4 2 3 2" xfId="31853" xr:uid="{CF745938-7771-4D4D-A703-EDC9A7060580}"/>
    <cellStyle name="Normal 4 4 3 3 4 2 4" xfId="22556" xr:uid="{9F4EC59E-3910-495F-8504-F00F6E8E936A}"/>
    <cellStyle name="Normal 4 4 3 3 4 3" xfId="6003" xr:uid="{00000000-0005-0000-0000-000099150000}"/>
    <cellStyle name="Normal 4 4 3 3 4 3 2" xfId="15329" xr:uid="{B64F20ED-C60B-4BE7-99C9-8CFE6F18F854}"/>
    <cellStyle name="Normal 4 4 3 3 4 3 2 2" xfId="33925" xr:uid="{655607C5-CA2C-43F2-A517-CE8A1CEB0794}"/>
    <cellStyle name="Normal 4 4 3 3 4 3 3" xfId="24628" xr:uid="{F2CB63AB-0A3D-47A2-A9F0-0E15502635CE}"/>
    <cellStyle name="Normal 4 4 3 3 4 4" xfId="11112" xr:uid="{7816BB99-305E-4B6D-B3AE-A1AFDBDB6180}"/>
    <cellStyle name="Normal 4 4 3 3 4 4 2" xfId="29708" xr:uid="{F01EAFB9-8A56-4A3C-B1E6-EC385CF72F2E}"/>
    <cellStyle name="Normal 4 4 3 3 4 5" xfId="20411" xr:uid="{905A4980-4662-4AF3-901D-F8DB55F4A66D}"/>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C603A1D9-AD9C-4273-A0FA-16A382337E99}"/>
    <cellStyle name="Normal 4 4 3 3 5 2 2 2 2" xfId="36483" xr:uid="{E2F9553E-5FA7-4205-BC57-09F24E9687B8}"/>
    <cellStyle name="Normal 4 4 3 3 5 2 2 3" xfId="27186" xr:uid="{EE577597-1263-4A2F-B7B3-ECBE0BDCB724}"/>
    <cellStyle name="Normal 4 4 3 3 5 2 3" xfId="13670" xr:uid="{98D0DB04-3560-410D-A797-43015050B36C}"/>
    <cellStyle name="Normal 4 4 3 3 5 2 3 2" xfId="32266" xr:uid="{7660B43E-A239-4317-8352-C9572CB4C7FC}"/>
    <cellStyle name="Normal 4 4 3 3 5 2 4" xfId="22969" xr:uid="{C4CC6851-B89D-402C-97BC-55805D71F3E8}"/>
    <cellStyle name="Normal 4 4 3 3 5 3" xfId="6416" xr:uid="{00000000-0005-0000-0000-00009D150000}"/>
    <cellStyle name="Normal 4 4 3 3 5 3 2" xfId="15742" xr:uid="{C173F76B-C0F2-4732-8873-18ABE2554AB9}"/>
    <cellStyle name="Normal 4 4 3 3 5 3 2 2" xfId="34338" xr:uid="{A53F80F1-E102-433B-A6CE-AA299CEE99CB}"/>
    <cellStyle name="Normal 4 4 3 3 5 3 3" xfId="25041" xr:uid="{8FC7B301-8662-4A74-94C0-F58FACCA899E}"/>
    <cellStyle name="Normal 4 4 3 3 5 4" xfId="11525" xr:uid="{69FD5345-8507-46CD-8887-920BE9193C06}"/>
    <cellStyle name="Normal 4 4 3 3 5 4 2" xfId="30121" xr:uid="{307A5F4E-426F-48EB-9769-2094442A8804}"/>
    <cellStyle name="Normal 4 4 3 3 5 5" xfId="20824" xr:uid="{1A4EAC01-6334-45C7-8E21-07851A75CF95}"/>
    <cellStyle name="Normal 4 4 3 3 6" xfId="2546" xr:uid="{00000000-0005-0000-0000-00009E150000}"/>
    <cellStyle name="Normal 4 4 3 3 6 2" xfId="6829" xr:uid="{00000000-0005-0000-0000-00009F150000}"/>
    <cellStyle name="Normal 4 4 3 3 6 2 2" xfId="16155" xr:uid="{47ED482F-3EED-45A5-B215-5E3215248A0E}"/>
    <cellStyle name="Normal 4 4 3 3 6 2 2 2" xfId="34751" xr:uid="{AFF70108-B653-4641-A723-1B0CA7550AB7}"/>
    <cellStyle name="Normal 4 4 3 3 6 2 3" xfId="25454" xr:uid="{9E59FD18-7286-4F71-9137-9656C42275EB}"/>
    <cellStyle name="Normal 4 4 3 3 6 3" xfId="11938" xr:uid="{FCEFB297-C2CB-4BE1-A235-50B1175B6740}"/>
    <cellStyle name="Normal 4 4 3 3 6 3 2" xfId="30534" xr:uid="{2A371982-1458-4744-84DD-E99059E9FEFE}"/>
    <cellStyle name="Normal 4 4 3 3 6 4" xfId="21237" xr:uid="{49C6DF4E-8AC4-4BCD-A2C5-60D11204594E}"/>
    <cellStyle name="Normal 4 4 3 3 7" xfId="4764" xr:uid="{00000000-0005-0000-0000-0000A0150000}"/>
    <cellStyle name="Normal 4 4 3 3 7 2" xfId="14090" xr:uid="{AB801221-01DB-4830-B59E-E2E29126716A}"/>
    <cellStyle name="Normal 4 4 3 3 7 2 2" xfId="32686" xr:uid="{448E41E1-2851-4C16-82C6-E1D411243E79}"/>
    <cellStyle name="Normal 4 4 3 3 7 3" xfId="23389" xr:uid="{C201C534-1CC3-4C83-850A-76150AD5C9D6}"/>
    <cellStyle name="Normal 4 4 3 3 8" xfId="9030" xr:uid="{F975DAAD-4546-4770-9976-5C5C66DA227B}"/>
    <cellStyle name="Normal 4 4 3 3 8 2" xfId="18354" xr:uid="{55360353-2F85-4AE6-B99A-0DEFD2653748}"/>
    <cellStyle name="Normal 4 4 3 3 8 2 2" xfId="36949" xr:uid="{9F636D68-9D9E-4C0B-B120-CA2A8235B8CF}"/>
    <cellStyle name="Normal 4 4 3 3 8 3" xfId="27652" xr:uid="{67537CAA-D04C-4AB9-A3F4-BEF68B2CEA5B}"/>
    <cellStyle name="Normal 4 4 3 3 9" xfId="9873" xr:uid="{D13AEFA3-20E6-4D14-919F-F657EAC45259}"/>
    <cellStyle name="Normal 4 4 3 3 9 2" xfId="28469" xr:uid="{D88771BF-08C1-4B14-B395-DA1DBD4D9794}"/>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B6698D72-C0FD-4991-A3F6-D3469DEBE641}"/>
    <cellStyle name="Normal 4 4 3 4 2 2 2 2" xfId="35241" xr:uid="{9AA5AD6F-D1D9-4700-9F44-33C1ABCC1E61}"/>
    <cellStyle name="Normal 4 4 3 4 2 2 3" xfId="25944" xr:uid="{671AECA4-99F6-45C3-8E18-9C39F65F8E1F}"/>
    <cellStyle name="Normal 4 4 3 4 2 3" xfId="12428" xr:uid="{D07B8BA2-1BE1-46E7-8DE7-BEBE3393E96A}"/>
    <cellStyle name="Normal 4 4 3 4 2 3 2" xfId="31024" xr:uid="{FA9CF7B1-0775-4992-BC03-8692F4729259}"/>
    <cellStyle name="Normal 4 4 3 4 2 4" xfId="21727" xr:uid="{1FB5504E-4CC1-49B0-810F-A3231176C627}"/>
    <cellStyle name="Normal 4 4 3 4 3" xfId="5174" xr:uid="{00000000-0005-0000-0000-0000A4150000}"/>
    <cellStyle name="Normal 4 4 3 4 3 2" xfId="14500" xr:uid="{782D1A50-EC68-4872-8AC5-7CC26CEE86D8}"/>
    <cellStyle name="Normal 4 4 3 4 3 2 2" xfId="33096" xr:uid="{DB20277C-F699-4B20-B733-EC4A4DED2443}"/>
    <cellStyle name="Normal 4 4 3 4 3 3" xfId="23799" xr:uid="{C2B81C34-43CA-4F51-BDC9-11783389CBCB}"/>
    <cellStyle name="Normal 4 4 3 4 4" xfId="9248" xr:uid="{6C5F877B-48E6-47C2-B849-E53F373D5A86}"/>
    <cellStyle name="Normal 4 4 3 4 4 2" xfId="18563" xr:uid="{ECDC87E0-C504-4584-9FCC-C2E470CD5867}"/>
    <cellStyle name="Normal 4 4 3 4 4 2 2" xfId="37157" xr:uid="{A9608508-50AD-42CF-AD14-6C05B635AD76}"/>
    <cellStyle name="Normal 4 4 3 4 4 3" xfId="27860" xr:uid="{3BCBEA62-5FF6-4A7C-B5A8-ED997D0F4650}"/>
    <cellStyle name="Normal 4 4 3 4 5" xfId="10283" xr:uid="{8B65B300-DA17-4E85-8BEF-C41998B4D8BB}"/>
    <cellStyle name="Normal 4 4 3 4 5 2" xfId="28879" xr:uid="{0F00569B-86A4-4DB5-A03C-1E4C9783CFE2}"/>
    <cellStyle name="Normal 4 4 3 4 6" xfId="19582" xr:uid="{6F3C7CE8-1ADB-48D3-A6F0-0376BBE5A15F}"/>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A3BABFA0-D302-4816-B907-A130F12FBBC5}"/>
    <cellStyle name="Normal 4 4 3 5 2 2 2 2" xfId="35654" xr:uid="{17BA1B63-A102-4330-BB27-D492D385F6BA}"/>
    <cellStyle name="Normal 4 4 3 5 2 2 3" xfId="26357" xr:uid="{E0B2FACB-D543-4531-B2D8-D4280E1D40B0}"/>
    <cellStyle name="Normal 4 4 3 5 2 3" xfId="12841" xr:uid="{4C359DFA-1135-4BA5-A3AA-A3D8C4745CD8}"/>
    <cellStyle name="Normal 4 4 3 5 2 3 2" xfId="31437" xr:uid="{55C472BC-952A-4BAC-997F-18A337EC9209}"/>
    <cellStyle name="Normal 4 4 3 5 2 4" xfId="22140" xr:uid="{BD8E4C5D-2879-4C19-8E9E-A1BD7B876578}"/>
    <cellStyle name="Normal 4 4 3 5 3" xfId="5587" xr:uid="{00000000-0005-0000-0000-0000A8150000}"/>
    <cellStyle name="Normal 4 4 3 5 3 2" xfId="14913" xr:uid="{C1F6E39C-F7B1-4E98-BFDE-CBC883D85C68}"/>
    <cellStyle name="Normal 4 4 3 5 3 2 2" xfId="33509" xr:uid="{01FED0E2-5EEB-4580-836C-69A24FB2683D}"/>
    <cellStyle name="Normal 4 4 3 5 3 3" xfId="24212" xr:uid="{CC6A6101-E493-493B-B809-B7993EDD0354}"/>
    <cellStyle name="Normal 4 4 3 5 4" xfId="10696" xr:uid="{B1E941C6-4DB9-4B0E-AAE1-5A4050309A75}"/>
    <cellStyle name="Normal 4 4 3 5 4 2" xfId="29292" xr:uid="{5843A566-669D-45AF-883A-5C6936941D5D}"/>
    <cellStyle name="Normal 4 4 3 5 5" xfId="19995" xr:uid="{830F23D4-80FE-405F-A14B-F7FD8578FBCB}"/>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FC1B6CD8-343D-41F1-9B88-D3C7119C6470}"/>
    <cellStyle name="Normal 4 4 3 6 2 2 2 2" xfId="36067" xr:uid="{7831E62C-B931-4D68-9897-3D7DBBD1DDA5}"/>
    <cellStyle name="Normal 4 4 3 6 2 2 3" xfId="26770" xr:uid="{16188F18-6245-459C-9178-803BDD42A545}"/>
    <cellStyle name="Normal 4 4 3 6 2 3" xfId="13254" xr:uid="{D45E6E01-91E9-467C-972E-24429E327351}"/>
    <cellStyle name="Normal 4 4 3 6 2 3 2" xfId="31850" xr:uid="{A55F15E2-3582-4137-8531-5E84B7CB91DB}"/>
    <cellStyle name="Normal 4 4 3 6 2 4" xfId="22553" xr:uid="{4E107505-358D-4873-8CB4-A1804718AF03}"/>
    <cellStyle name="Normal 4 4 3 6 3" xfId="6000" xr:uid="{00000000-0005-0000-0000-0000AC150000}"/>
    <cellStyle name="Normal 4 4 3 6 3 2" xfId="15326" xr:uid="{749C65D5-A56F-4BEC-BADE-209382D662AA}"/>
    <cellStyle name="Normal 4 4 3 6 3 2 2" xfId="33922" xr:uid="{77EDFD12-B919-450B-93ED-07AE90276147}"/>
    <cellStyle name="Normal 4 4 3 6 3 3" xfId="24625" xr:uid="{5F399CFA-29D1-4F68-9499-2CBB60B44C58}"/>
    <cellStyle name="Normal 4 4 3 6 4" xfId="11109" xr:uid="{0DB5E1CB-D809-4688-B1CD-E969E1C6BAC7}"/>
    <cellStyle name="Normal 4 4 3 6 4 2" xfId="29705" xr:uid="{E226696E-7FB1-441F-8639-82DFA9B55286}"/>
    <cellStyle name="Normal 4 4 3 6 5" xfId="20408" xr:uid="{240A2F4A-7B2F-41C8-8C81-A331888CD2A8}"/>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1E107955-FA96-40FC-8C2F-76ED1EAF437E}"/>
    <cellStyle name="Normal 4 4 3 7 2 2 2 2" xfId="36480" xr:uid="{4D0C36E9-E5B2-4F50-B7AC-7100574631E7}"/>
    <cellStyle name="Normal 4 4 3 7 2 2 3" xfId="27183" xr:uid="{7BC11BF0-C629-4D25-9983-718CDA0C8484}"/>
    <cellStyle name="Normal 4 4 3 7 2 3" xfId="13667" xr:uid="{1BBBF68B-327B-422D-B985-98A73D2961E1}"/>
    <cellStyle name="Normal 4 4 3 7 2 3 2" xfId="32263" xr:uid="{134378B0-490A-428E-A7A5-67E05B762DA8}"/>
    <cellStyle name="Normal 4 4 3 7 2 4" xfId="22966" xr:uid="{F04EA133-BAF7-43DA-BB62-614F6E0821A0}"/>
    <cellStyle name="Normal 4 4 3 7 3" xfId="6413" xr:uid="{00000000-0005-0000-0000-0000B0150000}"/>
    <cellStyle name="Normal 4 4 3 7 3 2" xfId="15739" xr:uid="{E787B240-997E-4E1D-AE1F-333B7870D714}"/>
    <cellStyle name="Normal 4 4 3 7 3 2 2" xfId="34335" xr:uid="{279AA583-7B22-40BB-B6D5-005B5EBC9EB2}"/>
    <cellStyle name="Normal 4 4 3 7 3 3" xfId="25038" xr:uid="{C89CB5B9-A69A-4BA0-AF6F-522F64C5D8B0}"/>
    <cellStyle name="Normal 4 4 3 7 4" xfId="11522" xr:uid="{CD86A71F-A637-409F-A4E8-0388C3D22A57}"/>
    <cellStyle name="Normal 4 4 3 7 4 2" xfId="30118" xr:uid="{1CDE3280-B21A-46BB-B832-35334F524736}"/>
    <cellStyle name="Normal 4 4 3 7 5" xfId="20821" xr:uid="{D4E92928-9A2D-426A-AD1F-D4AF030955A8}"/>
    <cellStyle name="Normal 4 4 3 8" xfId="2543" xr:uid="{00000000-0005-0000-0000-0000B1150000}"/>
    <cellStyle name="Normal 4 4 3 8 2" xfId="6826" xr:uid="{00000000-0005-0000-0000-0000B2150000}"/>
    <cellStyle name="Normal 4 4 3 8 2 2" xfId="16152" xr:uid="{2E762627-42DA-4142-8C2B-8D52BDF0DF1F}"/>
    <cellStyle name="Normal 4 4 3 8 2 2 2" xfId="34748" xr:uid="{78007180-C179-4523-9308-E3351FFEF5BC}"/>
    <cellStyle name="Normal 4 4 3 8 2 3" xfId="25451" xr:uid="{25462DAE-3A94-442F-B240-F20A1012D8CA}"/>
    <cellStyle name="Normal 4 4 3 8 3" xfId="11935" xr:uid="{A6DFAF7C-688E-42ED-AFBC-213C06D19251}"/>
    <cellStyle name="Normal 4 4 3 8 3 2" xfId="30531" xr:uid="{8DDE52B8-125F-4FB0-968A-CCE7E06FB9C1}"/>
    <cellStyle name="Normal 4 4 3 8 4" xfId="21234" xr:uid="{6BAE2787-50B9-4425-BE1B-195DCE474167}"/>
    <cellStyle name="Normal 4 4 3 9" xfId="4761" xr:uid="{00000000-0005-0000-0000-0000B3150000}"/>
    <cellStyle name="Normal 4 4 3 9 2" xfId="14087" xr:uid="{043FA2D4-6453-4407-A100-AA261C51AFCE}"/>
    <cellStyle name="Normal 4 4 3 9 2 2" xfId="32683" xr:uid="{559741F7-96A1-4D96-BFF4-9CAB74C61A23}"/>
    <cellStyle name="Normal 4 4 3 9 3" xfId="23386" xr:uid="{946B2C20-5214-481F-B289-A675365A6D86}"/>
    <cellStyle name="Normal 4 4 4" xfId="391" xr:uid="{00000000-0005-0000-0000-0000B4150000}"/>
    <cellStyle name="Normal 4 4 4 10" xfId="9874" xr:uid="{39118B2A-47BD-4837-AC63-94D3930A5007}"/>
    <cellStyle name="Normal 4 4 4 10 2" xfId="28470" xr:uid="{4B27BF48-BD7D-473A-803F-7CEEEEBB879A}"/>
    <cellStyle name="Normal 4 4 4 11" xfId="19173" xr:uid="{5DB6DED7-46E5-4DF0-99B5-1223CBA39FBD}"/>
    <cellStyle name="Normal 4 4 4 2" xfId="392" xr:uid="{00000000-0005-0000-0000-0000B5150000}"/>
    <cellStyle name="Normal 4 4 4 2 10" xfId="19174" xr:uid="{14A18EF1-7F73-445D-A5C1-75A8C435714A}"/>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F367A4F1-0250-486D-B1A6-951DDCBEDEA7}"/>
    <cellStyle name="Normal 4 4 4 2 2 2 2 2 2" xfId="35246" xr:uid="{442BF01B-729F-4241-A679-CC218EEA09E7}"/>
    <cellStyle name="Normal 4 4 4 2 2 2 2 3" xfId="25949" xr:uid="{EFAB1B00-40D1-43AA-8106-59A3363EAB17}"/>
    <cellStyle name="Normal 4 4 4 2 2 2 3" xfId="12433" xr:uid="{CCD484B9-6937-418D-8086-EA3C34213FEB}"/>
    <cellStyle name="Normal 4 4 4 2 2 2 3 2" xfId="31029" xr:uid="{2EA8F7C0-065F-4F67-A28E-C849CBB7D40B}"/>
    <cellStyle name="Normal 4 4 4 2 2 2 4" xfId="21732" xr:uid="{6E1B53D8-6226-4CC8-9CE4-51280B33A466}"/>
    <cellStyle name="Normal 4 4 4 2 2 3" xfId="5179" xr:uid="{00000000-0005-0000-0000-0000B9150000}"/>
    <cellStyle name="Normal 4 4 4 2 2 3 2" xfId="14505" xr:uid="{20C8873C-AA24-438C-8A9A-5DD11E2202D5}"/>
    <cellStyle name="Normal 4 4 4 2 2 3 2 2" xfId="33101" xr:uid="{8572C252-C66F-47CE-A39F-F1CCA834A4B4}"/>
    <cellStyle name="Normal 4 4 4 2 2 3 3" xfId="23804" xr:uid="{D0CD031D-D1A4-4074-802A-5E79D783F615}"/>
    <cellStyle name="Normal 4 4 4 2 2 4" xfId="9484" xr:uid="{69910E0C-08C8-41C5-A6FC-61B52F6CD538}"/>
    <cellStyle name="Normal 4 4 4 2 2 4 2" xfId="18799" xr:uid="{E60FA6DB-5B10-484D-AC38-499C9247B759}"/>
    <cellStyle name="Normal 4 4 4 2 2 4 2 2" xfId="37393" xr:uid="{AC8C8BE4-118A-4EAB-8833-488721F1E658}"/>
    <cellStyle name="Normal 4 4 4 2 2 4 3" xfId="28096" xr:uid="{85D5540A-26F0-4AA3-8A0A-A37B7CFC6B48}"/>
    <cellStyle name="Normal 4 4 4 2 2 5" xfId="10288" xr:uid="{0269710F-CE6A-4597-BA8C-835644DD1AC6}"/>
    <cellStyle name="Normal 4 4 4 2 2 5 2" xfId="28884" xr:uid="{61DA40EB-E880-4648-84D2-E694C03DF023}"/>
    <cellStyle name="Normal 4 4 4 2 2 6" xfId="19587" xr:uid="{8948869B-DB14-41D0-8771-219026E86518}"/>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0BB11314-7656-4AF8-81C6-211B3838F0FD}"/>
    <cellStyle name="Normal 4 4 4 2 3 2 2 2 2" xfId="35659" xr:uid="{2E842F5F-0709-4FE9-A7A0-930AE9F46DA3}"/>
    <cellStyle name="Normal 4 4 4 2 3 2 2 3" xfId="26362" xr:uid="{5510EE3D-CFFF-43EF-962B-60CD9BF5173F}"/>
    <cellStyle name="Normal 4 4 4 2 3 2 3" xfId="12846" xr:uid="{D52868EB-1236-4815-AC67-85ADD6AC2AF3}"/>
    <cellStyle name="Normal 4 4 4 2 3 2 3 2" xfId="31442" xr:uid="{1B9E1A2A-F803-4E38-9875-C4281DB85143}"/>
    <cellStyle name="Normal 4 4 4 2 3 2 4" xfId="22145" xr:uid="{49FE1B41-463F-4E9F-9975-2390E6A7F5B5}"/>
    <cellStyle name="Normal 4 4 4 2 3 3" xfId="5592" xr:uid="{00000000-0005-0000-0000-0000BD150000}"/>
    <cellStyle name="Normal 4 4 4 2 3 3 2" xfId="14918" xr:uid="{0A1127E4-CD5A-4C2C-B0BB-5A673A93E06A}"/>
    <cellStyle name="Normal 4 4 4 2 3 3 2 2" xfId="33514" xr:uid="{DD8C4C90-7B00-43F3-8D48-EF4F4E3EFD3D}"/>
    <cellStyle name="Normal 4 4 4 2 3 3 3" xfId="24217" xr:uid="{4FDA5CC1-50BA-470F-B79B-DC83C96AB92B}"/>
    <cellStyle name="Normal 4 4 4 2 3 4" xfId="10701" xr:uid="{58E44539-A46A-4D04-8315-EEB313B69882}"/>
    <cellStyle name="Normal 4 4 4 2 3 4 2" xfId="29297" xr:uid="{19E999FF-5425-4C6D-B971-3281106EEFD0}"/>
    <cellStyle name="Normal 4 4 4 2 3 5" xfId="20000" xr:uid="{CD04AFE8-47D0-49FA-B5B6-818B82BCCE60}"/>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3D82D857-2602-4010-908F-28D8B07A9F77}"/>
    <cellStyle name="Normal 4 4 4 2 4 2 2 2 2" xfId="36072" xr:uid="{27788581-9CC8-4CC4-BD8C-7D7459F84EB4}"/>
    <cellStyle name="Normal 4 4 4 2 4 2 2 3" xfId="26775" xr:uid="{6A1E7E7E-A0C8-44B3-BDCB-3623FE9BC779}"/>
    <cellStyle name="Normal 4 4 4 2 4 2 3" xfId="13259" xr:uid="{5E090D14-BC73-4F0E-9377-A0D01A43EB6A}"/>
    <cellStyle name="Normal 4 4 4 2 4 2 3 2" xfId="31855" xr:uid="{80502BFB-0458-4512-AD26-3D16D4127A0C}"/>
    <cellStyle name="Normal 4 4 4 2 4 2 4" xfId="22558" xr:uid="{3C83F759-7EA2-4273-A805-6E057F8A51BA}"/>
    <cellStyle name="Normal 4 4 4 2 4 3" xfId="6005" xr:uid="{00000000-0005-0000-0000-0000C1150000}"/>
    <cellStyle name="Normal 4 4 4 2 4 3 2" xfId="15331" xr:uid="{EA1ED6CA-985E-42C1-AC8B-72E1651859D5}"/>
    <cellStyle name="Normal 4 4 4 2 4 3 2 2" xfId="33927" xr:uid="{C4886DCB-9EF6-4969-89C1-49F58B004AFF}"/>
    <cellStyle name="Normal 4 4 4 2 4 3 3" xfId="24630" xr:uid="{BA373CB6-7E79-4A3C-8A9E-5784558FA3F0}"/>
    <cellStyle name="Normal 4 4 4 2 4 4" xfId="11114" xr:uid="{BA0F2692-2DAD-4891-A19D-948BE31DA25A}"/>
    <cellStyle name="Normal 4 4 4 2 4 4 2" xfId="29710" xr:uid="{0E01B976-B65D-483B-956F-F9C17C091779}"/>
    <cellStyle name="Normal 4 4 4 2 4 5" xfId="20413" xr:uid="{D50A62E4-4FBB-4754-BF32-3E5126041341}"/>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B8E4DEA5-0F56-48B5-834F-D2356FA1A925}"/>
    <cellStyle name="Normal 4 4 4 2 5 2 2 2 2" xfId="36485" xr:uid="{628DE7E0-1DC2-4F87-91A2-7F2B05F1D163}"/>
    <cellStyle name="Normal 4 4 4 2 5 2 2 3" xfId="27188" xr:uid="{644FBAF1-DC74-42FD-A302-43658DAE2F57}"/>
    <cellStyle name="Normal 4 4 4 2 5 2 3" xfId="13672" xr:uid="{209597BB-BE43-4A8C-9EF8-AACDF3A1D80B}"/>
    <cellStyle name="Normal 4 4 4 2 5 2 3 2" xfId="32268" xr:uid="{A760930D-F39A-40AA-ABF7-C74D6C87AE45}"/>
    <cellStyle name="Normal 4 4 4 2 5 2 4" xfId="22971" xr:uid="{1F99030E-E428-4B6C-BAE4-A55289CBB077}"/>
    <cellStyle name="Normal 4 4 4 2 5 3" xfId="6418" xr:uid="{00000000-0005-0000-0000-0000C5150000}"/>
    <cellStyle name="Normal 4 4 4 2 5 3 2" xfId="15744" xr:uid="{EE0E7BBD-8746-4D8E-9C03-3C1E8B5A5D9B}"/>
    <cellStyle name="Normal 4 4 4 2 5 3 2 2" xfId="34340" xr:uid="{BF1AB3B2-2F09-44BB-9A92-5E77228BDCAE}"/>
    <cellStyle name="Normal 4 4 4 2 5 3 3" xfId="25043" xr:uid="{EE0914FE-C3E4-44B1-99C2-11C4B8EB8BF6}"/>
    <cellStyle name="Normal 4 4 4 2 5 4" xfId="11527" xr:uid="{4CF64400-252E-4107-884A-A54960B68159}"/>
    <cellStyle name="Normal 4 4 4 2 5 4 2" xfId="30123" xr:uid="{73F555BB-8E90-43BE-BEF1-EDCF7A2B8A50}"/>
    <cellStyle name="Normal 4 4 4 2 5 5" xfId="20826" xr:uid="{CD422856-D08F-46F3-9539-8AB3F96CDE1B}"/>
    <cellStyle name="Normal 4 4 4 2 6" xfId="2548" xr:uid="{00000000-0005-0000-0000-0000C6150000}"/>
    <cellStyle name="Normal 4 4 4 2 6 2" xfId="6831" xr:uid="{00000000-0005-0000-0000-0000C7150000}"/>
    <cellStyle name="Normal 4 4 4 2 6 2 2" xfId="16157" xr:uid="{C96BCCB6-5117-461E-8127-17154FF7151A}"/>
    <cellStyle name="Normal 4 4 4 2 6 2 2 2" xfId="34753" xr:uid="{5FC1A7CB-227D-4D09-B64E-48EECDE51345}"/>
    <cellStyle name="Normal 4 4 4 2 6 2 3" xfId="25456" xr:uid="{8CD375E5-9CF9-43A7-A4EC-CF4330D3182B}"/>
    <cellStyle name="Normal 4 4 4 2 6 3" xfId="11940" xr:uid="{4655BBCF-EB7B-4A02-9FB9-9A88F062879D}"/>
    <cellStyle name="Normal 4 4 4 2 6 3 2" xfId="30536" xr:uid="{7BD700EF-DC85-465A-B373-07C1A930576F}"/>
    <cellStyle name="Normal 4 4 4 2 6 4" xfId="21239" xr:uid="{E3B2CB26-30BC-43A1-A402-4374888F6DE3}"/>
    <cellStyle name="Normal 4 4 4 2 7" xfId="4766" xr:uid="{00000000-0005-0000-0000-0000C8150000}"/>
    <cellStyle name="Normal 4 4 4 2 7 2" xfId="14092" xr:uid="{5EC8F175-0886-481B-B4EA-4CF2EEC5B947}"/>
    <cellStyle name="Normal 4 4 4 2 7 2 2" xfId="32688" xr:uid="{82F1FCA0-36A6-41F2-A412-B148882A9D40}"/>
    <cellStyle name="Normal 4 4 4 2 7 3" xfId="23391" xr:uid="{2EC406E8-408F-4BBD-A730-C372E1DA749C}"/>
    <cellStyle name="Normal 4 4 4 2 8" xfId="9059" xr:uid="{76617FCA-DBA6-4291-BD32-6340A19903F7}"/>
    <cellStyle name="Normal 4 4 4 2 8 2" xfId="18383" xr:uid="{7B2A25E1-1908-4B28-AB4F-DB67777A3F89}"/>
    <cellStyle name="Normal 4 4 4 2 8 2 2" xfId="36978" xr:uid="{49669D08-06F1-455B-AE38-35C846C8B3B2}"/>
    <cellStyle name="Normal 4 4 4 2 8 3" xfId="27681" xr:uid="{B30ABE16-C36B-4541-B1CF-48E4B8559620}"/>
    <cellStyle name="Normal 4 4 4 2 9" xfId="9875" xr:uid="{D5680A5A-7E19-491D-92D1-0F3E5C8123D0}"/>
    <cellStyle name="Normal 4 4 4 2 9 2" xfId="28471" xr:uid="{87D33B0F-401C-4590-B0D9-2B7028319F9E}"/>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EFBA92FB-E543-4AC8-AF30-479EF3710048}"/>
    <cellStyle name="Normal 4 4 4 3 2 2 2 2" xfId="35245" xr:uid="{4BED30C0-A8F2-46DE-AE68-FF402BD19A43}"/>
    <cellStyle name="Normal 4 4 4 3 2 2 3" xfId="25948" xr:uid="{C77BFAF2-0C60-4956-B35E-B2E8AA552C40}"/>
    <cellStyle name="Normal 4 4 4 3 2 3" xfId="12432" xr:uid="{72E35CAD-A5D6-4D65-8EFB-A31EB904A059}"/>
    <cellStyle name="Normal 4 4 4 3 2 3 2" xfId="31028" xr:uid="{ECD364A7-2D5C-4BCF-B8B2-3F5465FA0497}"/>
    <cellStyle name="Normal 4 4 4 3 2 4" xfId="21731" xr:uid="{8888753D-482C-42FA-B4D9-A1A0F00E852A}"/>
    <cellStyle name="Normal 4 4 4 3 3" xfId="5178" xr:uid="{00000000-0005-0000-0000-0000CC150000}"/>
    <cellStyle name="Normal 4 4 4 3 3 2" xfId="14504" xr:uid="{2921E995-57FF-4AF5-8E01-4E040CF33CAD}"/>
    <cellStyle name="Normal 4 4 4 3 3 2 2" xfId="33100" xr:uid="{7F6D359F-6B04-415F-9973-DAB4EC005BEC}"/>
    <cellStyle name="Normal 4 4 4 3 3 3" xfId="23803" xr:uid="{0DF8D485-FE76-4B04-9C5C-67A5A5567223}"/>
    <cellStyle name="Normal 4 4 4 3 4" xfId="9277" xr:uid="{DD01CD29-2559-4BCC-919C-99D1D75C445F}"/>
    <cellStyle name="Normal 4 4 4 3 4 2" xfId="18592" xr:uid="{50731724-7A2F-40BF-BCEE-F58570FA94F8}"/>
    <cellStyle name="Normal 4 4 4 3 4 2 2" xfId="37186" xr:uid="{2C2B1E3E-56FB-4A88-97BB-E08132FE41F4}"/>
    <cellStyle name="Normal 4 4 4 3 4 3" xfId="27889" xr:uid="{E9AAEA8B-AB82-46AC-BBEB-B0A41204B147}"/>
    <cellStyle name="Normal 4 4 4 3 5" xfId="10287" xr:uid="{A2C3B9BA-A027-43E5-902E-2298DEE49ADC}"/>
    <cellStyle name="Normal 4 4 4 3 5 2" xfId="28883" xr:uid="{3F6BC6C2-B5F8-4D2D-B98E-B564F7EB1C8B}"/>
    <cellStyle name="Normal 4 4 4 3 6" xfId="19586" xr:uid="{9EEA6026-C37D-4552-90E9-1A7829396B1E}"/>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D3D4A14D-CE74-4D90-8FCB-5E37C78345FD}"/>
    <cellStyle name="Normal 4 4 4 4 2 2 2 2" xfId="35658" xr:uid="{E133BC80-33C6-422D-9FD0-BB4EC930B441}"/>
    <cellStyle name="Normal 4 4 4 4 2 2 3" xfId="26361" xr:uid="{4D8ACFE9-E23E-4191-B13F-1450B8D99931}"/>
    <cellStyle name="Normal 4 4 4 4 2 3" xfId="12845" xr:uid="{EAD0D08A-C613-40E1-8B59-E1991C3501B0}"/>
    <cellStyle name="Normal 4 4 4 4 2 3 2" xfId="31441" xr:uid="{CD1E56BE-DE5E-4588-9662-2093FBFAC514}"/>
    <cellStyle name="Normal 4 4 4 4 2 4" xfId="22144" xr:uid="{AD902796-944E-45E3-8808-F6ADE7D54B06}"/>
    <cellStyle name="Normal 4 4 4 4 3" xfId="5591" xr:uid="{00000000-0005-0000-0000-0000D0150000}"/>
    <cellStyle name="Normal 4 4 4 4 3 2" xfId="14917" xr:uid="{D44FABB4-4007-4307-BCBA-CC01925D9FD5}"/>
    <cellStyle name="Normal 4 4 4 4 3 2 2" xfId="33513" xr:uid="{359513B7-397A-45BE-9C99-D10225D277F3}"/>
    <cellStyle name="Normal 4 4 4 4 3 3" xfId="24216" xr:uid="{CD2DECFA-6FCB-4624-BFDE-56B86F25697C}"/>
    <cellStyle name="Normal 4 4 4 4 4" xfId="10700" xr:uid="{E2A276F5-B281-4822-A6BA-C1A3C5E503EE}"/>
    <cellStyle name="Normal 4 4 4 4 4 2" xfId="29296" xr:uid="{83A30E71-E51C-4468-8871-CD5BA7790CEE}"/>
    <cellStyle name="Normal 4 4 4 4 5" xfId="19999" xr:uid="{210CF3DB-A55A-4D76-BBBD-DDDDFAF5A4C7}"/>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B831B59D-FD2C-4F41-8321-DFF06DCEC279}"/>
    <cellStyle name="Normal 4 4 4 5 2 2 2 2" xfId="36071" xr:uid="{DCC9D7C2-BA49-44BB-B91F-C3933431FAD9}"/>
    <cellStyle name="Normal 4 4 4 5 2 2 3" xfId="26774" xr:uid="{B6CE98B1-E1B9-47C6-BF89-ABD4DEA2C49F}"/>
    <cellStyle name="Normal 4 4 4 5 2 3" xfId="13258" xr:uid="{C3851240-772A-4A09-963D-E9D0AD891584}"/>
    <cellStyle name="Normal 4 4 4 5 2 3 2" xfId="31854" xr:uid="{90ABF3DF-8226-4E19-8E49-B2CBB4D42551}"/>
    <cellStyle name="Normal 4 4 4 5 2 4" xfId="22557" xr:uid="{638005FA-8255-4105-884F-12E851C702F3}"/>
    <cellStyle name="Normal 4 4 4 5 3" xfId="6004" xr:uid="{00000000-0005-0000-0000-0000D4150000}"/>
    <cellStyle name="Normal 4 4 4 5 3 2" xfId="15330" xr:uid="{41C890EC-BB19-4E42-9D1E-8B5D24D8C3DB}"/>
    <cellStyle name="Normal 4 4 4 5 3 2 2" xfId="33926" xr:uid="{94B07BD0-8000-4401-AF51-D59153E7D925}"/>
    <cellStyle name="Normal 4 4 4 5 3 3" xfId="24629" xr:uid="{C5816725-2351-422A-8CD6-CDB87E54810A}"/>
    <cellStyle name="Normal 4 4 4 5 4" xfId="11113" xr:uid="{3637A62D-6AAF-4F66-9203-B9061B02EC2A}"/>
    <cellStyle name="Normal 4 4 4 5 4 2" xfId="29709" xr:uid="{60C6BE91-5189-4844-ACBD-F4F7B952BCF3}"/>
    <cellStyle name="Normal 4 4 4 5 5" xfId="20412" xr:uid="{F6918DAC-0664-4E0C-BAD0-35F889650062}"/>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A968D9C5-BA19-4318-A56E-346EDF69643F}"/>
    <cellStyle name="Normal 4 4 4 6 2 2 2 2" xfId="36484" xr:uid="{77C864C6-A515-4184-AF7A-466730570922}"/>
    <cellStyle name="Normal 4 4 4 6 2 2 3" xfId="27187" xr:uid="{C3BEE657-1F2F-45CE-901E-177AE3069DF9}"/>
    <cellStyle name="Normal 4 4 4 6 2 3" xfId="13671" xr:uid="{67306097-7435-4866-83D8-007CE8BEA1FB}"/>
    <cellStyle name="Normal 4 4 4 6 2 3 2" xfId="32267" xr:uid="{AFD2BE9B-308E-466E-A0B0-D9C70970C4E3}"/>
    <cellStyle name="Normal 4 4 4 6 2 4" xfId="22970" xr:uid="{FFBC1CFB-A750-43AE-8F88-614835756BF5}"/>
    <cellStyle name="Normal 4 4 4 6 3" xfId="6417" xr:uid="{00000000-0005-0000-0000-0000D8150000}"/>
    <cellStyle name="Normal 4 4 4 6 3 2" xfId="15743" xr:uid="{003032EC-B110-4330-8060-DB7591E1303D}"/>
    <cellStyle name="Normal 4 4 4 6 3 2 2" xfId="34339" xr:uid="{377C6A09-FCC9-4B64-926F-00EE153394DE}"/>
    <cellStyle name="Normal 4 4 4 6 3 3" xfId="25042" xr:uid="{658626B6-9C71-4717-BA0B-BB84AD75124E}"/>
    <cellStyle name="Normal 4 4 4 6 4" xfId="11526" xr:uid="{4393905B-6600-4B10-AAFE-5145F4A37DBE}"/>
    <cellStyle name="Normal 4 4 4 6 4 2" xfId="30122" xr:uid="{68B5FCEC-2433-4DF0-8A14-5CEA43FA82FD}"/>
    <cellStyle name="Normal 4 4 4 6 5" xfId="20825" xr:uid="{235446FC-0E7C-4431-A007-9F949AD4E647}"/>
    <cellStyle name="Normal 4 4 4 7" xfId="2547" xr:uid="{00000000-0005-0000-0000-0000D9150000}"/>
    <cellStyle name="Normal 4 4 4 7 2" xfId="6830" xr:uid="{00000000-0005-0000-0000-0000DA150000}"/>
    <cellStyle name="Normal 4 4 4 7 2 2" xfId="16156" xr:uid="{010C826C-10F7-42C0-8B15-DF25ACF1A94C}"/>
    <cellStyle name="Normal 4 4 4 7 2 2 2" xfId="34752" xr:uid="{0104EA1C-72F9-473D-9592-59E84FD74CEB}"/>
    <cellStyle name="Normal 4 4 4 7 2 3" xfId="25455" xr:uid="{C264A8B9-0A0E-46D4-84DC-B157625A1F89}"/>
    <cellStyle name="Normal 4 4 4 7 3" xfId="11939" xr:uid="{F7C505E6-4DBB-4381-8593-C71E471C6259}"/>
    <cellStyle name="Normal 4 4 4 7 3 2" xfId="30535" xr:uid="{BE9981C2-110B-488C-A1D2-8A99D063D736}"/>
    <cellStyle name="Normal 4 4 4 7 4" xfId="21238" xr:uid="{89A81770-614B-40EE-8993-2EE0B68F1887}"/>
    <cellStyle name="Normal 4 4 4 8" xfId="4765" xr:uid="{00000000-0005-0000-0000-0000DB150000}"/>
    <cellStyle name="Normal 4 4 4 8 2" xfId="14091" xr:uid="{F307F7B4-4836-4676-9E1B-03C13E77D238}"/>
    <cellStyle name="Normal 4 4 4 8 2 2" xfId="32687" xr:uid="{CDD792EF-3157-42F2-A194-C5BEF8C1D2E1}"/>
    <cellStyle name="Normal 4 4 4 8 3" xfId="23390" xr:uid="{55654E44-3885-468E-A0DF-4ED7A685BD8F}"/>
    <cellStyle name="Normal 4 4 4 9" xfId="8852" xr:uid="{DF4BB962-85B1-44B5-A0FE-735796672772}"/>
    <cellStyle name="Normal 4 4 4 9 2" xfId="18176" xr:uid="{E52BC07D-9E37-4DEE-8A3F-D08D170E3FB6}"/>
    <cellStyle name="Normal 4 4 4 9 2 2" xfId="36771" xr:uid="{492966E3-1B12-4D1E-A15E-062FBD794CF8}"/>
    <cellStyle name="Normal 4 4 4 9 3" xfId="27474" xr:uid="{DC8DD08F-17CA-4C2C-B672-1A115BDD4C6C}"/>
    <cellStyle name="Normal 4 4 5" xfId="393" xr:uid="{00000000-0005-0000-0000-0000DC150000}"/>
    <cellStyle name="Normal 4 4 5 10" xfId="19175" xr:uid="{005A41B9-14FF-4E5D-B492-B30A6C9F1AA3}"/>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EAA5CA90-060C-4B4B-8595-05378776F4BD}"/>
    <cellStyle name="Normal 4 4 5 2 2 2 2 2" xfId="35247" xr:uid="{3C83D8F3-BACA-4115-803C-360E7F45951A}"/>
    <cellStyle name="Normal 4 4 5 2 2 2 3" xfId="25950" xr:uid="{1605E7F3-E2F5-4A3A-8519-6E9552A09E84}"/>
    <cellStyle name="Normal 4 4 5 2 2 3" xfId="12434" xr:uid="{CB52F36D-96E8-4745-8632-726D04DFAFCA}"/>
    <cellStyle name="Normal 4 4 5 2 2 3 2" xfId="31030" xr:uid="{DFC3BE0A-6A06-43F5-B8BD-7DFC38D8154F}"/>
    <cellStyle name="Normal 4 4 5 2 2 4" xfId="21733" xr:uid="{D0173A57-75C4-4BC6-BAD4-A32E04763C99}"/>
    <cellStyle name="Normal 4 4 5 2 3" xfId="5180" xr:uid="{00000000-0005-0000-0000-0000E0150000}"/>
    <cellStyle name="Normal 4 4 5 2 3 2" xfId="14506" xr:uid="{E43B7420-7F43-4DE5-9FBD-B7A88C1E0DD6}"/>
    <cellStyle name="Normal 4 4 5 2 3 2 2" xfId="33102" xr:uid="{DA1C6672-AA0F-4037-B178-B3B6036F007E}"/>
    <cellStyle name="Normal 4 4 5 2 3 3" xfId="23805" xr:uid="{EAA1206A-E7B6-41F3-B565-2DD116533E7B}"/>
    <cellStyle name="Normal 4 4 5 2 4" xfId="9393" xr:uid="{C2991CC4-4E0B-46C4-B338-C6A1C9BA2DE9}"/>
    <cellStyle name="Normal 4 4 5 2 4 2" xfId="18708" xr:uid="{7DBD6D98-6E7C-4078-BDEA-1D8404B09AE3}"/>
    <cellStyle name="Normal 4 4 5 2 4 2 2" xfId="37302" xr:uid="{B27A021E-50EE-4234-B9A1-ED26A3E166B2}"/>
    <cellStyle name="Normal 4 4 5 2 4 3" xfId="28005" xr:uid="{C005AE96-09FE-4A80-8A9B-67125C846D0C}"/>
    <cellStyle name="Normal 4 4 5 2 5" xfId="10289" xr:uid="{83CDF13C-ECAF-46E6-83C3-D8EBEDB45E57}"/>
    <cellStyle name="Normal 4 4 5 2 5 2" xfId="28885" xr:uid="{872A3126-93B9-43AE-BC33-59A9C8B463D0}"/>
    <cellStyle name="Normal 4 4 5 2 6" xfId="19588" xr:uid="{BC8DD8C1-7C8F-4AE6-B07D-FDD76B861C96}"/>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BC5600FA-73A2-43CD-B2DE-65948AA66BB1}"/>
    <cellStyle name="Normal 4 4 5 3 2 2 2 2" xfId="35660" xr:uid="{0F3771EE-3C00-4A23-9F68-65DABD3E26F3}"/>
    <cellStyle name="Normal 4 4 5 3 2 2 3" xfId="26363" xr:uid="{63A6C723-2D4F-44C0-82E6-844416F15D50}"/>
    <cellStyle name="Normal 4 4 5 3 2 3" xfId="12847" xr:uid="{B5A46032-8331-46D5-84F0-9937A093247E}"/>
    <cellStyle name="Normal 4 4 5 3 2 3 2" xfId="31443" xr:uid="{7EFE39A3-400B-4522-B388-C11D6DD1E0D8}"/>
    <cellStyle name="Normal 4 4 5 3 2 4" xfId="22146" xr:uid="{33C0D137-C026-4653-A9AD-772F4DF25843}"/>
    <cellStyle name="Normal 4 4 5 3 3" xfId="5593" xr:uid="{00000000-0005-0000-0000-0000E4150000}"/>
    <cellStyle name="Normal 4 4 5 3 3 2" xfId="14919" xr:uid="{DDDAEA19-DDF7-48AC-8EC3-4FB94795A2CE}"/>
    <cellStyle name="Normal 4 4 5 3 3 2 2" xfId="33515" xr:uid="{A57F21C5-5B79-489C-94A9-231C869356EC}"/>
    <cellStyle name="Normal 4 4 5 3 3 3" xfId="24218" xr:uid="{14558D5E-EEF8-49CF-9B54-1BECF6A2C127}"/>
    <cellStyle name="Normal 4 4 5 3 4" xfId="10702" xr:uid="{5F070DE7-2D03-4A1D-B902-051B7D0BA358}"/>
    <cellStyle name="Normal 4 4 5 3 4 2" xfId="29298" xr:uid="{955ADDEB-F35E-4F9D-945D-7FBCFCDE3BD7}"/>
    <cellStyle name="Normal 4 4 5 3 5" xfId="20001" xr:uid="{4CF397AE-64AA-4FD2-B3CC-32051A57EF1C}"/>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828B5273-5F9D-4D53-ACB6-B33BDF79C629}"/>
    <cellStyle name="Normal 4 4 5 4 2 2 2 2" xfId="36073" xr:uid="{0900939F-9AA0-4EC9-861C-2F0323208264}"/>
    <cellStyle name="Normal 4 4 5 4 2 2 3" xfId="26776" xr:uid="{2201704B-3E7B-4EB2-A545-A661E1E9043B}"/>
    <cellStyle name="Normal 4 4 5 4 2 3" xfId="13260" xr:uid="{A755CDB3-865F-4A74-8586-79F528AF0E2C}"/>
    <cellStyle name="Normal 4 4 5 4 2 3 2" xfId="31856" xr:uid="{7533DFFC-E2E1-42B6-BF0B-0913F56A9C69}"/>
    <cellStyle name="Normal 4 4 5 4 2 4" xfId="22559" xr:uid="{97B659F9-2351-47FA-903D-C60DB651AB4A}"/>
    <cellStyle name="Normal 4 4 5 4 3" xfId="6006" xr:uid="{00000000-0005-0000-0000-0000E8150000}"/>
    <cellStyle name="Normal 4 4 5 4 3 2" xfId="15332" xr:uid="{33B3BAB1-BE01-464A-92DE-CAB898BF93F6}"/>
    <cellStyle name="Normal 4 4 5 4 3 2 2" xfId="33928" xr:uid="{FE1806AB-B8D9-4B0F-B36C-F07831B7E787}"/>
    <cellStyle name="Normal 4 4 5 4 3 3" xfId="24631" xr:uid="{959C63E5-A647-4812-B49B-175C4C277947}"/>
    <cellStyle name="Normal 4 4 5 4 4" xfId="11115" xr:uid="{7D55AD9D-1EAD-4B23-95D9-FF7F069CFBA9}"/>
    <cellStyle name="Normal 4 4 5 4 4 2" xfId="29711" xr:uid="{BF584634-A104-48B9-A23B-4823C9249016}"/>
    <cellStyle name="Normal 4 4 5 4 5" xfId="20414" xr:uid="{6850F2C0-1D53-488A-A189-BAB80326CA7A}"/>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8157C97D-0DDC-49D2-A745-7CC420190BC0}"/>
    <cellStyle name="Normal 4 4 5 5 2 2 2 2" xfId="36486" xr:uid="{3E652CB8-91E8-427D-A3CA-438E3DB45647}"/>
    <cellStyle name="Normal 4 4 5 5 2 2 3" xfId="27189" xr:uid="{80662A6D-76A6-4FED-9879-6BA31A3DE146}"/>
    <cellStyle name="Normal 4 4 5 5 2 3" xfId="13673" xr:uid="{65EC2C1F-CDE4-44DB-AD21-ECF60B97A105}"/>
    <cellStyle name="Normal 4 4 5 5 2 3 2" xfId="32269" xr:uid="{CBF9164D-AF6C-4B29-8516-67061EE66F18}"/>
    <cellStyle name="Normal 4 4 5 5 2 4" xfId="22972" xr:uid="{0147A132-02C4-4CE8-8AD6-F86075F28B41}"/>
    <cellStyle name="Normal 4 4 5 5 3" xfId="6419" xr:uid="{00000000-0005-0000-0000-0000EC150000}"/>
    <cellStyle name="Normal 4 4 5 5 3 2" xfId="15745" xr:uid="{047ED753-175B-4130-A39A-1BDA8267ADDD}"/>
    <cellStyle name="Normal 4 4 5 5 3 2 2" xfId="34341" xr:uid="{8CB5DC3E-E18F-4C61-920E-3E5A1D94ED1F}"/>
    <cellStyle name="Normal 4 4 5 5 3 3" xfId="25044" xr:uid="{C84EDCD1-EFFD-424D-8C6F-AA9F2732C697}"/>
    <cellStyle name="Normal 4 4 5 5 4" xfId="11528" xr:uid="{FF49D6B2-2891-40F9-8463-1F43FE7EB7B8}"/>
    <cellStyle name="Normal 4 4 5 5 4 2" xfId="30124" xr:uid="{F79B8352-1851-48E2-9799-60FDC82C4AB0}"/>
    <cellStyle name="Normal 4 4 5 5 5" xfId="20827" xr:uid="{2552324C-C83B-4EEE-84CF-CEBDC17F860B}"/>
    <cellStyle name="Normal 4 4 5 6" xfId="2549" xr:uid="{00000000-0005-0000-0000-0000ED150000}"/>
    <cellStyle name="Normal 4 4 5 6 2" xfId="6832" xr:uid="{00000000-0005-0000-0000-0000EE150000}"/>
    <cellStyle name="Normal 4 4 5 6 2 2" xfId="16158" xr:uid="{16AE26EB-7FA4-4D39-AD21-79BE1A80D731}"/>
    <cellStyle name="Normal 4 4 5 6 2 2 2" xfId="34754" xr:uid="{43767159-9CC2-45AA-8BFD-BAFFB8B0B78E}"/>
    <cellStyle name="Normal 4 4 5 6 2 3" xfId="25457" xr:uid="{4AC2A2AE-529B-4069-B900-8D3953A4642E}"/>
    <cellStyle name="Normal 4 4 5 6 3" xfId="11941" xr:uid="{4DB9BE28-807A-48B1-A50C-4D10D97C0A59}"/>
    <cellStyle name="Normal 4 4 5 6 3 2" xfId="30537" xr:uid="{82B07278-CB5C-4F02-81D8-B24818C33707}"/>
    <cellStyle name="Normal 4 4 5 6 4" xfId="21240" xr:uid="{38547B6E-B3D1-4DFC-B102-57CF4708DE90}"/>
    <cellStyle name="Normal 4 4 5 7" xfId="4767" xr:uid="{00000000-0005-0000-0000-0000EF150000}"/>
    <cellStyle name="Normal 4 4 5 7 2" xfId="14093" xr:uid="{C7D45E43-AED8-40EA-95AF-4043B2C6C9EA}"/>
    <cellStyle name="Normal 4 4 5 7 2 2" xfId="32689" xr:uid="{9B416777-F6E1-4D48-828B-DEF6F6F93D5C}"/>
    <cellStyle name="Normal 4 4 5 7 3" xfId="23392" xr:uid="{7443C4A5-2C5B-4AE1-8C84-3EAFD63F5DB2}"/>
    <cellStyle name="Normal 4 4 5 8" xfId="8968" xr:uid="{BE877DDE-435D-4CBA-84F2-0372D1DDE771}"/>
    <cellStyle name="Normal 4 4 5 8 2" xfId="18292" xr:uid="{DD78BA6B-0B66-4227-8B6D-2B6A5AA23F14}"/>
    <cellStyle name="Normal 4 4 5 8 2 2" xfId="36887" xr:uid="{49F772BB-F718-4965-B284-4B33CE4F5749}"/>
    <cellStyle name="Normal 4 4 5 8 3" xfId="27590" xr:uid="{3F8B0C7C-0A0B-4EF5-942E-AABF3A8CD1C9}"/>
    <cellStyle name="Normal 4 4 5 9" xfId="9876" xr:uid="{41969D60-B61F-40C2-A825-E31F4A13D4C5}"/>
    <cellStyle name="Normal 4 4 5 9 2" xfId="28472" xr:uid="{23E688C6-857F-4693-A663-4CDF52F47939}"/>
    <cellStyle name="Normal 4 4 6" xfId="853" xr:uid="{00000000-0005-0000-0000-0000F0150000}"/>
    <cellStyle name="Normal 4 4 6 2" xfId="3088" xr:uid="{00000000-0005-0000-0000-0000F1150000}"/>
    <cellStyle name="Normal 4 4 6 2 2" xfId="7310" xr:uid="{00000000-0005-0000-0000-0000F2150000}"/>
    <cellStyle name="Normal 4 4 6 2 2 2" xfId="16636" xr:uid="{45EA3260-A35E-4E18-BB17-AD4641DA3A34}"/>
    <cellStyle name="Normal 4 4 6 2 2 2 2" xfId="35232" xr:uid="{E6D2F19C-59A6-49CA-8CA6-899AE8DE0C2C}"/>
    <cellStyle name="Normal 4 4 6 2 2 3" xfId="25935" xr:uid="{00FD88D6-CF99-44AD-BEAB-528BE018A92F}"/>
    <cellStyle name="Normal 4 4 6 2 3" xfId="12419" xr:uid="{2DFAF910-BB84-4BE4-BD6F-076F7D3CB4F5}"/>
    <cellStyle name="Normal 4 4 6 2 3 2" xfId="31015" xr:uid="{C3656E8F-619C-420D-B6B3-4A28CC2044CF}"/>
    <cellStyle name="Normal 4 4 6 2 4" xfId="21718" xr:uid="{CE11BF3A-4EAC-4BF2-BFE9-1F023AFD4994}"/>
    <cellStyle name="Normal 4 4 6 3" xfId="5165" xr:uid="{00000000-0005-0000-0000-0000F3150000}"/>
    <cellStyle name="Normal 4 4 6 3 2" xfId="14491" xr:uid="{F20E9E48-6EF8-494E-88E2-7EFE2608C676}"/>
    <cellStyle name="Normal 4 4 6 3 2 2" xfId="33087" xr:uid="{20F4DA32-6475-40EA-9F94-CEFB51B56BBF}"/>
    <cellStyle name="Normal 4 4 6 3 3" xfId="23790" xr:uid="{2779986C-C6B6-4376-AF72-7F96CA075107}"/>
    <cellStyle name="Normal 4 4 6 4" xfId="9171" xr:uid="{C474601B-95F0-4C9E-AB77-B3E61D2A21D7}"/>
    <cellStyle name="Normal 4 4 6 4 2" xfId="18489" xr:uid="{AB556A28-D132-4503-8C52-044EEFD6C33E}"/>
    <cellStyle name="Normal 4 4 6 4 2 2" xfId="37083" xr:uid="{03B71EF8-700F-4EB0-8546-DB492D464BE4}"/>
    <cellStyle name="Normal 4 4 6 4 3" xfId="27786" xr:uid="{88D1810C-CF77-4E99-972C-D2FE35DE8553}"/>
    <cellStyle name="Normal 4 4 6 5" xfId="10274" xr:uid="{B64B1B5F-F387-47E2-94DB-03B7DFE32BEB}"/>
    <cellStyle name="Normal 4 4 6 5 2" xfId="28870" xr:uid="{61D97BF8-945E-455A-9860-3B238F154C50}"/>
    <cellStyle name="Normal 4 4 6 6" xfId="19573" xr:uid="{A4BF7CF4-8D1E-42D2-A073-9A2321B7950A}"/>
    <cellStyle name="Normal 4 4 7" xfId="1271" xr:uid="{00000000-0005-0000-0000-0000F4150000}"/>
    <cellStyle name="Normal 4 4 7 2" xfId="3501" xr:uid="{00000000-0005-0000-0000-0000F5150000}"/>
    <cellStyle name="Normal 4 4 7 2 2" xfId="7723" xr:uid="{00000000-0005-0000-0000-0000F6150000}"/>
    <cellStyle name="Normal 4 4 7 2 2 2" xfId="17049" xr:uid="{BFD4E8FE-2A8E-454C-9603-AC91A4A5CDE9}"/>
    <cellStyle name="Normal 4 4 7 2 2 2 2" xfId="35645" xr:uid="{F8DCFD5C-6233-4269-B5F9-417EF9CA4130}"/>
    <cellStyle name="Normal 4 4 7 2 2 3" xfId="26348" xr:uid="{71D7D34C-FFEA-4EAE-A9F9-3BC9A22A977B}"/>
    <cellStyle name="Normal 4 4 7 2 3" xfId="12832" xr:uid="{E1F8F3E4-6F6D-4961-9B03-99EA09ECF533}"/>
    <cellStyle name="Normal 4 4 7 2 3 2" xfId="31428" xr:uid="{27E92EDC-6420-4FA7-A102-AAF6C6F7A940}"/>
    <cellStyle name="Normal 4 4 7 2 4" xfId="22131" xr:uid="{4B59A06C-522D-4868-BC1A-4AF740600A56}"/>
    <cellStyle name="Normal 4 4 7 3" xfId="5578" xr:uid="{00000000-0005-0000-0000-0000F7150000}"/>
    <cellStyle name="Normal 4 4 7 3 2" xfId="14904" xr:uid="{4ECD49BA-4B26-4E3A-BB95-74FEF8AB0111}"/>
    <cellStyle name="Normal 4 4 7 3 2 2" xfId="33500" xr:uid="{531684D9-F72D-4685-BAEB-F81B0137154F}"/>
    <cellStyle name="Normal 4 4 7 3 3" xfId="24203" xr:uid="{57A673E6-7AE3-4CC0-B95E-CB197473457E}"/>
    <cellStyle name="Normal 4 4 7 4" xfId="10687" xr:uid="{E46E5180-E1D0-4864-B3EC-F555503844D4}"/>
    <cellStyle name="Normal 4 4 7 4 2" xfId="29283" xr:uid="{CE4B9049-0F93-4D7B-820C-FAF1D1D8EB45}"/>
    <cellStyle name="Normal 4 4 7 5" xfId="19986" xr:uid="{E3D67E33-8FF0-45A1-B734-2322EAF443FF}"/>
    <cellStyle name="Normal 4 4 8" xfId="1684" xr:uid="{00000000-0005-0000-0000-0000F8150000}"/>
    <cellStyle name="Normal 4 4 8 2" xfId="3914" xr:uid="{00000000-0005-0000-0000-0000F9150000}"/>
    <cellStyle name="Normal 4 4 8 2 2" xfId="8136" xr:uid="{00000000-0005-0000-0000-0000FA150000}"/>
    <cellStyle name="Normal 4 4 8 2 2 2" xfId="17462" xr:uid="{C28E573E-F8AD-4D83-B825-2F7F5D670656}"/>
    <cellStyle name="Normal 4 4 8 2 2 2 2" xfId="36058" xr:uid="{C6C37544-5DB1-4462-BE30-E5D568EBCDE2}"/>
    <cellStyle name="Normal 4 4 8 2 2 3" xfId="26761" xr:uid="{B3E459A1-936E-4FD7-B67B-27E67C1C271E}"/>
    <cellStyle name="Normal 4 4 8 2 3" xfId="13245" xr:uid="{EE2372F5-C5D4-4E33-94F3-413CC9CD4971}"/>
    <cellStyle name="Normal 4 4 8 2 3 2" xfId="31841" xr:uid="{1D829D2D-A9D8-4F0F-8CC9-D729170FC825}"/>
    <cellStyle name="Normal 4 4 8 2 4" xfId="22544" xr:uid="{322702CC-7EE1-44A5-8111-0DEB02EBD8A3}"/>
    <cellStyle name="Normal 4 4 8 3" xfId="5991" xr:uid="{00000000-0005-0000-0000-0000FB150000}"/>
    <cellStyle name="Normal 4 4 8 3 2" xfId="15317" xr:uid="{A9C92834-CB68-4822-957A-D7F511B6FB66}"/>
    <cellStyle name="Normal 4 4 8 3 2 2" xfId="33913" xr:uid="{B76DCF40-1A17-4437-80AF-EE0CF9A44C70}"/>
    <cellStyle name="Normal 4 4 8 3 3" xfId="24616" xr:uid="{D7CD0DE5-0299-4977-899C-A827DBB03AD9}"/>
    <cellStyle name="Normal 4 4 8 4" xfId="11100" xr:uid="{6E8A316D-2768-4873-AB58-B32A385A4F4A}"/>
    <cellStyle name="Normal 4 4 8 4 2" xfId="29696" xr:uid="{ACBF600E-A80A-4D1D-A090-B1E6E4B725D8}"/>
    <cellStyle name="Normal 4 4 8 5" xfId="20399" xr:uid="{6179F4BC-EAD9-44C0-87D4-8EF92DDA324F}"/>
    <cellStyle name="Normal 4 4 9" xfId="2098" xr:uid="{00000000-0005-0000-0000-0000FC150000}"/>
    <cellStyle name="Normal 4 4 9 2" xfId="4327" xr:uid="{00000000-0005-0000-0000-0000FD150000}"/>
    <cellStyle name="Normal 4 4 9 2 2" xfId="8549" xr:uid="{00000000-0005-0000-0000-0000FE150000}"/>
    <cellStyle name="Normal 4 4 9 2 2 2" xfId="17875" xr:uid="{2EC08C39-5697-468D-B89E-BDE68D0014C6}"/>
    <cellStyle name="Normal 4 4 9 2 2 2 2" xfId="36471" xr:uid="{581FDD81-C640-4A72-B033-100D301A4384}"/>
    <cellStyle name="Normal 4 4 9 2 2 3" xfId="27174" xr:uid="{4A73F541-3E8D-4E3F-B0E0-181A14AA0E3D}"/>
    <cellStyle name="Normal 4 4 9 2 3" xfId="13658" xr:uid="{26D6B323-6856-4AD1-BCD5-9A70F17C353E}"/>
    <cellStyle name="Normal 4 4 9 2 3 2" xfId="32254" xr:uid="{70461D95-1858-4B0E-BCCF-8A68CC3C633A}"/>
    <cellStyle name="Normal 4 4 9 2 4" xfId="22957" xr:uid="{BFA9BD2D-E399-4E76-A3AB-C7F66386E4CD}"/>
    <cellStyle name="Normal 4 4 9 3" xfId="6404" xr:uid="{00000000-0005-0000-0000-0000FF150000}"/>
    <cellStyle name="Normal 4 4 9 3 2" xfId="15730" xr:uid="{FA7E431D-3EA3-4382-B2F8-4A75A60AF2E2}"/>
    <cellStyle name="Normal 4 4 9 3 2 2" xfId="34326" xr:uid="{1CD755DF-278E-4DC7-A095-B3AB8A29E9B2}"/>
    <cellStyle name="Normal 4 4 9 3 3" xfId="25029" xr:uid="{D88E4395-9E55-4AF3-B3B6-C7919808AAF6}"/>
    <cellStyle name="Normal 4 4 9 4" xfId="11513" xr:uid="{7EB76A3C-D9D9-4B10-81CB-FF6CD87C5665}"/>
    <cellStyle name="Normal 4 4 9 4 2" xfId="30109" xr:uid="{F0DE55B8-A0A5-44DC-B286-91558BCCED3E}"/>
    <cellStyle name="Normal 4 4 9 5" xfId="20812" xr:uid="{AF7BB3EE-9567-4098-B8FA-5B0CF60B04AE}"/>
    <cellStyle name="Normal 4 5" xfId="394" xr:uid="{00000000-0005-0000-0000-000000160000}"/>
    <cellStyle name="Normal 4 6" xfId="395" xr:uid="{00000000-0005-0000-0000-000001160000}"/>
    <cellStyle name="Normal 4 6 10" xfId="4768" xr:uid="{00000000-0005-0000-0000-000002160000}"/>
    <cellStyle name="Normal 4 6 10 2" xfId="14094" xr:uid="{CB70519D-CF45-4A3A-8C21-184BBC3B4BBD}"/>
    <cellStyle name="Normal 4 6 10 2 2" xfId="32690" xr:uid="{70716DFD-612B-41FE-A40C-F92607D5C1FD}"/>
    <cellStyle name="Normal 4 6 10 3" xfId="23393" xr:uid="{FDCEE741-2E4E-4AB9-B7DB-07239EDAE5B7}"/>
    <cellStyle name="Normal 4 6 11" xfId="8772" xr:uid="{23628FEE-4113-4B2C-B2A0-0106FC7F55C2}"/>
    <cellStyle name="Normal 4 6 11 2" xfId="18096" xr:uid="{253D7479-BC90-4F5D-BFD0-C7F744B02E3B}"/>
    <cellStyle name="Normal 4 6 11 2 2" xfId="36691" xr:uid="{1EDE50A9-96E6-421F-8E50-89F16365D09D}"/>
    <cellStyle name="Normal 4 6 11 3" xfId="27394" xr:uid="{B88F7C8B-A7EE-458A-8A12-FF4FE8504B08}"/>
    <cellStyle name="Normal 4 6 12" xfId="9877" xr:uid="{126F0DC0-7E0A-41F3-A3B5-D92194281A9D}"/>
    <cellStyle name="Normal 4 6 12 2" xfId="28473" xr:uid="{FC19FF5C-DF92-4AE6-B54C-B1C124221F0F}"/>
    <cellStyle name="Normal 4 6 13" xfId="19176" xr:uid="{FF98D384-19C4-4C11-BA6D-3A48C76D6C13}"/>
    <cellStyle name="Normal 4 6 2" xfId="396" xr:uid="{00000000-0005-0000-0000-000003160000}"/>
    <cellStyle name="Normal 4 6 2 10" xfId="8825" xr:uid="{C3062495-9D56-441B-95F6-B73E7DAC524C}"/>
    <cellStyle name="Normal 4 6 2 10 2" xfId="18149" xr:uid="{FC114022-2494-430E-85BB-B66086CE988E}"/>
    <cellStyle name="Normal 4 6 2 10 2 2" xfId="36744" xr:uid="{59A6EBC9-7E02-47F2-A4E7-27E719D71388}"/>
    <cellStyle name="Normal 4 6 2 10 3" xfId="27447" xr:uid="{B3EC4C16-6565-4EBB-9FB5-0BF03809B873}"/>
    <cellStyle name="Normal 4 6 2 11" xfId="9878" xr:uid="{627C339A-7040-4084-8B66-8E33FB68F09A}"/>
    <cellStyle name="Normal 4 6 2 11 2" xfId="28474" xr:uid="{4070DDFC-F37A-4952-8788-0463A42E606A}"/>
    <cellStyle name="Normal 4 6 2 12" xfId="19177" xr:uid="{D4E4C983-6022-4E8D-830C-E7D98E33EEB2}"/>
    <cellStyle name="Normal 4 6 2 2" xfId="397" xr:uid="{00000000-0005-0000-0000-000004160000}"/>
    <cellStyle name="Normal 4 6 2 2 10" xfId="9879" xr:uid="{EFD6815B-152F-4C33-89BF-FDB359A50661}"/>
    <cellStyle name="Normal 4 6 2 2 10 2" xfId="28475" xr:uid="{10662974-3B9E-4396-912B-A267F7DB81C5}"/>
    <cellStyle name="Normal 4 6 2 2 11" xfId="19178" xr:uid="{34E23CC3-63D6-49B3-AAD2-3560D991157A}"/>
    <cellStyle name="Normal 4 6 2 2 2" xfId="398" xr:uid="{00000000-0005-0000-0000-000005160000}"/>
    <cellStyle name="Normal 4 6 2 2 2 10" xfId="19179" xr:uid="{30F937EE-AA14-4776-B3DC-A2E4B195757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04930FD5-1F72-4D2A-BF15-1FA2F7FA344A}"/>
    <cellStyle name="Normal 4 6 2 2 2 2 2 2 2 2" xfId="35251" xr:uid="{3BFD4DD1-7A08-49A3-8D3F-DFAEE796C7FE}"/>
    <cellStyle name="Normal 4 6 2 2 2 2 2 2 3" xfId="25954" xr:uid="{8755AF1E-B259-4FEA-8C57-8710B234D3EB}"/>
    <cellStyle name="Normal 4 6 2 2 2 2 2 3" xfId="12438" xr:uid="{3E4B3F2A-774B-449D-AAEC-82E6AFCB9730}"/>
    <cellStyle name="Normal 4 6 2 2 2 2 2 3 2" xfId="31034" xr:uid="{D7292034-4FB8-4391-8E8C-66164D9722FD}"/>
    <cellStyle name="Normal 4 6 2 2 2 2 2 4" xfId="21737" xr:uid="{F06F053D-0BC3-48E5-8B70-3FC262EF01C1}"/>
    <cellStyle name="Normal 4 6 2 2 2 2 3" xfId="5184" xr:uid="{00000000-0005-0000-0000-000009160000}"/>
    <cellStyle name="Normal 4 6 2 2 2 2 3 2" xfId="14510" xr:uid="{8982BF6E-8F31-4FC5-9EB9-428EFEFE9FFD}"/>
    <cellStyle name="Normal 4 6 2 2 2 2 3 2 2" xfId="33106" xr:uid="{D44D0AB5-D0EC-4344-9BB2-F2F275F8E722}"/>
    <cellStyle name="Normal 4 6 2 2 2 2 3 3" xfId="23809" xr:uid="{98F47DC7-00E5-454D-946F-0FE01633E337}"/>
    <cellStyle name="Normal 4 6 2 2 2 2 4" xfId="9560" xr:uid="{04DAEE11-A96E-4522-8546-8A0C107E12B9}"/>
    <cellStyle name="Normal 4 6 2 2 2 2 4 2" xfId="18875" xr:uid="{B071D388-C8ED-49C6-99A8-4164276AA6F3}"/>
    <cellStyle name="Normal 4 6 2 2 2 2 4 2 2" xfId="37469" xr:uid="{E1EEA553-8F92-4615-95F5-107D6E3D759A}"/>
    <cellStyle name="Normal 4 6 2 2 2 2 4 3" xfId="28172" xr:uid="{9B528F6F-69F8-42C4-A2EC-AA4C887B7DB3}"/>
    <cellStyle name="Normal 4 6 2 2 2 2 5" xfId="10293" xr:uid="{ECA16B24-1B4D-4D5D-B863-650F5E667F54}"/>
    <cellStyle name="Normal 4 6 2 2 2 2 5 2" xfId="28889" xr:uid="{3D2CF968-0659-4B1F-A7B4-2F525CCDED9F}"/>
    <cellStyle name="Normal 4 6 2 2 2 2 6" xfId="19592" xr:uid="{B0A74F1B-6965-445F-A11E-61580E22F83E}"/>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8AD67EAF-1074-4DEC-B69D-2382707D63AB}"/>
    <cellStyle name="Normal 4 6 2 2 2 3 2 2 2 2" xfId="35664" xr:uid="{7C46A47D-75C7-4537-BCAF-381614A85284}"/>
    <cellStyle name="Normal 4 6 2 2 2 3 2 2 3" xfId="26367" xr:uid="{2096B2F8-33EE-4DBE-8FAF-704635FB9F8B}"/>
    <cellStyle name="Normal 4 6 2 2 2 3 2 3" xfId="12851" xr:uid="{4E127D03-54F6-4961-AED5-5DEE0965CC0F}"/>
    <cellStyle name="Normal 4 6 2 2 2 3 2 3 2" xfId="31447" xr:uid="{E0E671A6-DA7F-46D7-92E2-BA6D19FB2553}"/>
    <cellStyle name="Normal 4 6 2 2 2 3 2 4" xfId="22150" xr:uid="{3B3E3CFA-5048-424F-AA10-FEAB19247BA7}"/>
    <cellStyle name="Normal 4 6 2 2 2 3 3" xfId="5597" xr:uid="{00000000-0005-0000-0000-00000D160000}"/>
    <cellStyle name="Normal 4 6 2 2 2 3 3 2" xfId="14923" xr:uid="{B3ABBA75-FDA8-4170-9D72-9ED5677EF424}"/>
    <cellStyle name="Normal 4 6 2 2 2 3 3 2 2" xfId="33519" xr:uid="{CA8780A7-479B-448F-9508-C41C5D5B9E1E}"/>
    <cellStyle name="Normal 4 6 2 2 2 3 3 3" xfId="24222" xr:uid="{3C12FC40-8858-44A7-A161-2236FA7C6893}"/>
    <cellStyle name="Normal 4 6 2 2 2 3 4" xfId="10706" xr:uid="{6997E458-186C-4638-A906-A15E63ACDD1D}"/>
    <cellStyle name="Normal 4 6 2 2 2 3 4 2" xfId="29302" xr:uid="{7F642277-1C29-4E46-AFD9-CA8D9B065F88}"/>
    <cellStyle name="Normal 4 6 2 2 2 3 5" xfId="20005" xr:uid="{B212679A-61B2-4F7E-B7DE-F6F5DA400427}"/>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773D5D0F-5275-468F-B5A0-1A1C7FC31EA5}"/>
    <cellStyle name="Normal 4 6 2 2 2 4 2 2 2 2" xfId="36077" xr:uid="{E2D18111-D962-4BD1-80E8-B52E70AD9BD6}"/>
    <cellStyle name="Normal 4 6 2 2 2 4 2 2 3" xfId="26780" xr:uid="{134D9EF3-79D5-4AAF-83E8-46E6845D26C6}"/>
    <cellStyle name="Normal 4 6 2 2 2 4 2 3" xfId="13264" xr:uid="{981BF49B-5DFB-409F-8B05-75BA9C34DABB}"/>
    <cellStyle name="Normal 4 6 2 2 2 4 2 3 2" xfId="31860" xr:uid="{27DC0322-ED92-4553-96B8-CE69815BE303}"/>
    <cellStyle name="Normal 4 6 2 2 2 4 2 4" xfId="22563" xr:uid="{DC464BA0-D559-4220-A1FE-4AC33079A3A2}"/>
    <cellStyle name="Normal 4 6 2 2 2 4 3" xfId="6010" xr:uid="{00000000-0005-0000-0000-000011160000}"/>
    <cellStyle name="Normal 4 6 2 2 2 4 3 2" xfId="15336" xr:uid="{7E13A8C6-C09E-44FD-BB7D-E70FD1621E6D}"/>
    <cellStyle name="Normal 4 6 2 2 2 4 3 2 2" xfId="33932" xr:uid="{FA8316AC-E6E0-4E49-A7BB-73FCD5781341}"/>
    <cellStyle name="Normal 4 6 2 2 2 4 3 3" xfId="24635" xr:uid="{F214961C-D53B-478C-917D-FCBAC36DA805}"/>
    <cellStyle name="Normal 4 6 2 2 2 4 4" xfId="11119" xr:uid="{0F8A8C39-DA62-4D2C-A0AB-B0DA60674F5D}"/>
    <cellStyle name="Normal 4 6 2 2 2 4 4 2" xfId="29715" xr:uid="{59A66E88-FA0C-43BC-B94D-B7A8C8957D72}"/>
    <cellStyle name="Normal 4 6 2 2 2 4 5" xfId="20418" xr:uid="{B3F3B587-3B7B-4A0E-9EEF-FF3F420F910F}"/>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AEA19B8F-9A8E-4947-8B76-D88A4047402D}"/>
    <cellStyle name="Normal 4 6 2 2 2 5 2 2 2 2" xfId="36490" xr:uid="{5F4E6F65-166D-479F-8E1E-06F66E7C0F47}"/>
    <cellStyle name="Normal 4 6 2 2 2 5 2 2 3" xfId="27193" xr:uid="{A061CA6E-68BF-444C-B6C2-064E06DEFAA6}"/>
    <cellStyle name="Normal 4 6 2 2 2 5 2 3" xfId="13677" xr:uid="{225CB1A9-3091-4350-9F2D-D5C87E017FBC}"/>
    <cellStyle name="Normal 4 6 2 2 2 5 2 3 2" xfId="32273" xr:uid="{B7A93B79-601C-49E1-8E46-1FA70802F24C}"/>
    <cellStyle name="Normal 4 6 2 2 2 5 2 4" xfId="22976" xr:uid="{D8FB61B8-5893-4E96-8664-E8D517D9E1B3}"/>
    <cellStyle name="Normal 4 6 2 2 2 5 3" xfId="6423" xr:uid="{00000000-0005-0000-0000-000015160000}"/>
    <cellStyle name="Normal 4 6 2 2 2 5 3 2" xfId="15749" xr:uid="{66E4FA69-4091-44DB-BAFB-A781038CEBD3}"/>
    <cellStyle name="Normal 4 6 2 2 2 5 3 2 2" xfId="34345" xr:uid="{D2B3A4C1-2734-4DE1-9C8E-F2BDBF1DC520}"/>
    <cellStyle name="Normal 4 6 2 2 2 5 3 3" xfId="25048" xr:uid="{17155303-7579-4D23-9CC1-43E53CD0B81D}"/>
    <cellStyle name="Normal 4 6 2 2 2 5 4" xfId="11532" xr:uid="{5C0A9835-7294-4AC1-B724-637120A53B73}"/>
    <cellStyle name="Normal 4 6 2 2 2 5 4 2" xfId="30128" xr:uid="{A312EA56-7642-4F40-B5E2-ABC7F2095EE6}"/>
    <cellStyle name="Normal 4 6 2 2 2 5 5" xfId="20831" xr:uid="{739582A2-2420-40A9-921C-5E49E4ED7353}"/>
    <cellStyle name="Normal 4 6 2 2 2 6" xfId="2553" xr:uid="{00000000-0005-0000-0000-000016160000}"/>
    <cellStyle name="Normal 4 6 2 2 2 6 2" xfId="6836" xr:uid="{00000000-0005-0000-0000-000017160000}"/>
    <cellStyle name="Normal 4 6 2 2 2 6 2 2" xfId="16162" xr:uid="{29389770-3DE8-4FBC-9923-1246C8B436FF}"/>
    <cellStyle name="Normal 4 6 2 2 2 6 2 2 2" xfId="34758" xr:uid="{03C7EEE7-2B6A-47D5-BF17-1AD464F29B4A}"/>
    <cellStyle name="Normal 4 6 2 2 2 6 2 3" xfId="25461" xr:uid="{F3B4C8A5-4058-460D-91D2-B9A9E485CB7C}"/>
    <cellStyle name="Normal 4 6 2 2 2 6 3" xfId="11945" xr:uid="{1A292430-6074-41F2-8280-6F9035900FF2}"/>
    <cellStyle name="Normal 4 6 2 2 2 6 3 2" xfId="30541" xr:uid="{752F0B59-7E5C-4A58-AA26-92E5ACBC739C}"/>
    <cellStyle name="Normal 4 6 2 2 2 6 4" xfId="21244" xr:uid="{219E9C02-7711-4D59-8B00-7E0302ABBC93}"/>
    <cellStyle name="Normal 4 6 2 2 2 7" xfId="4771" xr:uid="{00000000-0005-0000-0000-000018160000}"/>
    <cellStyle name="Normal 4 6 2 2 2 7 2" xfId="14097" xr:uid="{A7547E74-4F94-437A-B4B0-8F4FC7FF5653}"/>
    <cellStyle name="Normal 4 6 2 2 2 7 2 2" xfId="32693" xr:uid="{E2E8D29B-A87F-44B0-9AEF-5FEA7D26E060}"/>
    <cellStyle name="Normal 4 6 2 2 2 7 3" xfId="23396" xr:uid="{F2A91771-72E8-4072-9D68-8153564EC508}"/>
    <cellStyle name="Normal 4 6 2 2 2 8" xfId="9135" xr:uid="{2F4C420F-13DD-45DD-99DD-C7AFF7CD7823}"/>
    <cellStyle name="Normal 4 6 2 2 2 8 2" xfId="18459" xr:uid="{4B28B9EF-028F-419B-9FD5-03AEC7E5887D}"/>
    <cellStyle name="Normal 4 6 2 2 2 8 2 2" xfId="37054" xr:uid="{C367032A-A113-4BF0-927B-2A50B3AEFF3B}"/>
    <cellStyle name="Normal 4 6 2 2 2 8 3" xfId="27757" xr:uid="{C2F2BF7D-E1F7-428C-B2A3-E1774F3356DC}"/>
    <cellStyle name="Normal 4 6 2 2 2 9" xfId="9880" xr:uid="{EE419E95-C9AF-416C-A67B-218B4EBD3B9A}"/>
    <cellStyle name="Normal 4 6 2 2 2 9 2" xfId="28476" xr:uid="{42B58E3F-41A8-4343-BFE3-F6720EFEDB0D}"/>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D15DD1C2-5727-4BC9-8D6B-5E911A786E19}"/>
    <cellStyle name="Normal 4 6 2 2 3 2 2 2 2" xfId="35250" xr:uid="{92FADC6C-4A76-4A5B-B57B-047AD109ECBD}"/>
    <cellStyle name="Normal 4 6 2 2 3 2 2 3" xfId="25953" xr:uid="{6088DEB8-EC38-43C2-877E-5DBE1D166594}"/>
    <cellStyle name="Normal 4 6 2 2 3 2 3" xfId="12437" xr:uid="{53351999-E419-4D32-9324-06CC43836DD9}"/>
    <cellStyle name="Normal 4 6 2 2 3 2 3 2" xfId="31033" xr:uid="{0E1F7400-EDF7-471E-B148-EA712942C03A}"/>
    <cellStyle name="Normal 4 6 2 2 3 2 4" xfId="21736" xr:uid="{399CE62E-8ECF-46F8-BCFC-D525AB0005D6}"/>
    <cellStyle name="Normal 4 6 2 2 3 3" xfId="5183" xr:uid="{00000000-0005-0000-0000-00001C160000}"/>
    <cellStyle name="Normal 4 6 2 2 3 3 2" xfId="14509" xr:uid="{806E3A24-4445-4BE4-A3CF-A30DE00E366D}"/>
    <cellStyle name="Normal 4 6 2 2 3 3 2 2" xfId="33105" xr:uid="{9408F694-13BF-4693-B0FD-52B3FEC444CF}"/>
    <cellStyle name="Normal 4 6 2 2 3 3 3" xfId="23808" xr:uid="{98F6E8E5-23E8-470C-A46C-066ED46428E7}"/>
    <cellStyle name="Normal 4 6 2 2 3 4" xfId="9353" xr:uid="{60C7EC16-17DE-43AF-A246-41C667B376B7}"/>
    <cellStyle name="Normal 4 6 2 2 3 4 2" xfId="18668" xr:uid="{49A989B0-BE49-4B39-8F59-A9D03BD33551}"/>
    <cellStyle name="Normal 4 6 2 2 3 4 2 2" xfId="37262" xr:uid="{5D668086-E204-478C-9FD8-411DF89BCC1E}"/>
    <cellStyle name="Normal 4 6 2 2 3 4 3" xfId="27965" xr:uid="{D0A0DDFF-2193-4F98-8289-C232D3114E3B}"/>
    <cellStyle name="Normal 4 6 2 2 3 5" xfId="10292" xr:uid="{36E102D3-B408-4743-8198-FC52E7806D2C}"/>
    <cellStyle name="Normal 4 6 2 2 3 5 2" xfId="28888" xr:uid="{9E97DC9D-4A29-4364-867D-2DF126E13E30}"/>
    <cellStyle name="Normal 4 6 2 2 3 6" xfId="19591" xr:uid="{C7B19484-3234-4D3A-8DDE-1D0228012312}"/>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98E1BDBB-0EF5-43EC-B50C-30B561E40468}"/>
    <cellStyle name="Normal 4 6 2 2 4 2 2 2 2" xfId="35663" xr:uid="{CD9E7B0C-B565-4401-BC0C-C2C20E650168}"/>
    <cellStyle name="Normal 4 6 2 2 4 2 2 3" xfId="26366" xr:uid="{3124FE61-D04D-4FAA-AE8D-4032D61C3EE3}"/>
    <cellStyle name="Normal 4 6 2 2 4 2 3" xfId="12850" xr:uid="{F9B41DC3-FF05-460A-B6F7-FABBA83BC91E}"/>
    <cellStyle name="Normal 4 6 2 2 4 2 3 2" xfId="31446" xr:uid="{7B0E586E-9734-40D5-B22F-EBC9E3C1BE56}"/>
    <cellStyle name="Normal 4 6 2 2 4 2 4" xfId="22149" xr:uid="{F601EB0F-0E35-4B8F-8956-AD86EF743FC5}"/>
    <cellStyle name="Normal 4 6 2 2 4 3" xfId="5596" xr:uid="{00000000-0005-0000-0000-000020160000}"/>
    <cellStyle name="Normal 4 6 2 2 4 3 2" xfId="14922" xr:uid="{A9B58A30-CB6C-4D81-939D-AAB0FA4E3F5D}"/>
    <cellStyle name="Normal 4 6 2 2 4 3 2 2" xfId="33518" xr:uid="{164DC1F9-13B2-48E7-9BB0-1AFBA9429A59}"/>
    <cellStyle name="Normal 4 6 2 2 4 3 3" xfId="24221" xr:uid="{36D39FAA-DAD0-4C7B-B95E-EA82A6D17129}"/>
    <cellStyle name="Normal 4 6 2 2 4 4" xfId="10705" xr:uid="{AF308288-E135-4675-8C31-B9BA2217489D}"/>
    <cellStyle name="Normal 4 6 2 2 4 4 2" xfId="29301" xr:uid="{0EFB67DD-1612-4568-91AA-7F65CF9BFA99}"/>
    <cellStyle name="Normal 4 6 2 2 4 5" xfId="20004" xr:uid="{03DA56FB-37B6-4C0C-9E55-C107C486DAA8}"/>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085AC93A-ED4A-4145-9A04-5B89C16A85D1}"/>
    <cellStyle name="Normal 4 6 2 2 5 2 2 2 2" xfId="36076" xr:uid="{7CEECF53-C0EC-4387-BD34-0AD604F9706D}"/>
    <cellStyle name="Normal 4 6 2 2 5 2 2 3" xfId="26779" xr:uid="{44660753-10BC-45D9-83BD-804010B45EAF}"/>
    <cellStyle name="Normal 4 6 2 2 5 2 3" xfId="13263" xr:uid="{AC4BE034-E9ED-4DAD-88EB-3B14CDE0604C}"/>
    <cellStyle name="Normal 4 6 2 2 5 2 3 2" xfId="31859" xr:uid="{7E620239-73B3-49ED-9036-77E09CC31EB8}"/>
    <cellStyle name="Normal 4 6 2 2 5 2 4" xfId="22562" xr:uid="{CD264CF9-FCBC-46D1-A2A7-21AAF45DC41E}"/>
    <cellStyle name="Normal 4 6 2 2 5 3" xfId="6009" xr:uid="{00000000-0005-0000-0000-000024160000}"/>
    <cellStyle name="Normal 4 6 2 2 5 3 2" xfId="15335" xr:uid="{47C993BF-7C37-4F5A-BBF3-CC7B817EFC11}"/>
    <cellStyle name="Normal 4 6 2 2 5 3 2 2" xfId="33931" xr:uid="{E3C013AA-3A4B-497A-8CE5-BC489EFA49E8}"/>
    <cellStyle name="Normal 4 6 2 2 5 3 3" xfId="24634" xr:uid="{B7AA75AC-FC83-4C0F-803C-B19656ED9EB6}"/>
    <cellStyle name="Normal 4 6 2 2 5 4" xfId="11118" xr:uid="{CAE8773B-8CEA-48CE-A713-D7DD05D89E68}"/>
    <cellStyle name="Normal 4 6 2 2 5 4 2" xfId="29714" xr:uid="{C737778B-785C-4E5E-8E3C-15CE97C3591C}"/>
    <cellStyle name="Normal 4 6 2 2 5 5" xfId="20417" xr:uid="{4943555A-923B-468F-845C-56D25DA5CF15}"/>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F5736E10-8568-42B3-9C1E-31F3952FA10E}"/>
    <cellStyle name="Normal 4 6 2 2 6 2 2 2 2" xfId="36489" xr:uid="{9D27F25B-A14A-4110-ABD1-8AEDD42FFB43}"/>
    <cellStyle name="Normal 4 6 2 2 6 2 2 3" xfId="27192" xr:uid="{7A4EAF9A-86E9-4B6E-BCBF-14173007E541}"/>
    <cellStyle name="Normal 4 6 2 2 6 2 3" xfId="13676" xr:uid="{CC06F204-580C-4AA8-9E32-0A59A0095CB0}"/>
    <cellStyle name="Normal 4 6 2 2 6 2 3 2" xfId="32272" xr:uid="{EB724EDA-8FB4-461D-ADF7-0D74BB0E8FA7}"/>
    <cellStyle name="Normal 4 6 2 2 6 2 4" xfId="22975" xr:uid="{34F47D24-9865-43F3-A3A5-CA3B0C28E88E}"/>
    <cellStyle name="Normal 4 6 2 2 6 3" xfId="6422" xr:uid="{00000000-0005-0000-0000-000028160000}"/>
    <cellStyle name="Normal 4 6 2 2 6 3 2" xfId="15748" xr:uid="{D37453A2-6618-4DE9-9163-42446DAC2A61}"/>
    <cellStyle name="Normal 4 6 2 2 6 3 2 2" xfId="34344" xr:uid="{3A2A080D-DB76-4C53-93E6-C71D5A68BEAF}"/>
    <cellStyle name="Normal 4 6 2 2 6 3 3" xfId="25047" xr:uid="{055FEA5C-6DC5-45FC-B4B9-7BA08E108F69}"/>
    <cellStyle name="Normal 4 6 2 2 6 4" xfId="11531" xr:uid="{AA61B0B9-409C-47D5-B9EB-0EA2D45EB64F}"/>
    <cellStyle name="Normal 4 6 2 2 6 4 2" xfId="30127" xr:uid="{656B9B4A-9406-406B-93EB-79C07260F852}"/>
    <cellStyle name="Normal 4 6 2 2 6 5" xfId="20830" xr:uid="{8D0AB2EB-A9D7-4AE0-AE3E-16A135565DE2}"/>
    <cellStyle name="Normal 4 6 2 2 7" xfId="2552" xr:uid="{00000000-0005-0000-0000-000029160000}"/>
    <cellStyle name="Normal 4 6 2 2 7 2" xfId="6835" xr:uid="{00000000-0005-0000-0000-00002A160000}"/>
    <cellStyle name="Normal 4 6 2 2 7 2 2" xfId="16161" xr:uid="{4821D0D4-45A9-4487-B19E-BE00C49C06B8}"/>
    <cellStyle name="Normal 4 6 2 2 7 2 2 2" xfId="34757" xr:uid="{1949319B-B10E-4449-947F-7B6F24162671}"/>
    <cellStyle name="Normal 4 6 2 2 7 2 3" xfId="25460" xr:uid="{ECE2E81F-AD9B-42A2-9A7B-068905C11880}"/>
    <cellStyle name="Normal 4 6 2 2 7 3" xfId="11944" xr:uid="{B9B2E023-24EE-42C6-8040-2CBFA44E0A30}"/>
    <cellStyle name="Normal 4 6 2 2 7 3 2" xfId="30540" xr:uid="{0E36AEFB-C8D4-4665-86C3-B50F303CCEF8}"/>
    <cellStyle name="Normal 4 6 2 2 7 4" xfId="21243" xr:uid="{50B10EA8-849B-43B4-8D4E-4E1B17EDFC0F}"/>
    <cellStyle name="Normal 4 6 2 2 8" xfId="4770" xr:uid="{00000000-0005-0000-0000-00002B160000}"/>
    <cellStyle name="Normal 4 6 2 2 8 2" xfId="14096" xr:uid="{74BE46D8-9D13-4B72-8D9F-C10A81E3BCFA}"/>
    <cellStyle name="Normal 4 6 2 2 8 2 2" xfId="32692" xr:uid="{878339EE-61B7-42A3-9861-CDAB626A59C5}"/>
    <cellStyle name="Normal 4 6 2 2 8 3" xfId="23395" xr:uid="{2B556AE6-77CE-4938-AA64-1A50AF8E2C7E}"/>
    <cellStyle name="Normal 4 6 2 2 9" xfId="8928" xr:uid="{EC58FE5E-68BA-4864-AD86-0F9D1DB17AD0}"/>
    <cellStyle name="Normal 4 6 2 2 9 2" xfId="18252" xr:uid="{467C5407-605A-4C27-84E6-D4C9622C405E}"/>
    <cellStyle name="Normal 4 6 2 2 9 2 2" xfId="36847" xr:uid="{23E472ED-E4E9-494F-8749-8AD6608574A6}"/>
    <cellStyle name="Normal 4 6 2 2 9 3" xfId="27550" xr:uid="{4775B879-174C-4215-90D9-C47E27AABE31}"/>
    <cellStyle name="Normal 4 6 2 3" xfId="399" xr:uid="{00000000-0005-0000-0000-00002C160000}"/>
    <cellStyle name="Normal 4 6 2 3 10" xfId="19180" xr:uid="{F55695EE-ED6F-45C0-BF54-5A9CBCFAB217}"/>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8FBFA067-7D34-48E7-ADA7-BDFA36899EF9}"/>
    <cellStyle name="Normal 4 6 2 3 2 2 2 2 2" xfId="35252" xr:uid="{B2AD093E-9ACF-47CC-A518-0EF1937E85EB}"/>
    <cellStyle name="Normal 4 6 2 3 2 2 2 3" xfId="25955" xr:uid="{2994B7B2-D590-49CB-958F-5A69443AE2D9}"/>
    <cellStyle name="Normal 4 6 2 3 2 2 3" xfId="12439" xr:uid="{A68317E5-AFE3-4344-A612-87195DE5FA94}"/>
    <cellStyle name="Normal 4 6 2 3 2 2 3 2" xfId="31035" xr:uid="{BFAC34C5-C708-45F0-9F26-D08FD844B39F}"/>
    <cellStyle name="Normal 4 6 2 3 2 2 4" xfId="21738" xr:uid="{AAC6D563-EB14-4579-A77B-B71B01E075C7}"/>
    <cellStyle name="Normal 4 6 2 3 2 3" xfId="5185" xr:uid="{00000000-0005-0000-0000-000030160000}"/>
    <cellStyle name="Normal 4 6 2 3 2 3 2" xfId="14511" xr:uid="{7331E669-1C9E-4559-A163-7342AECF4851}"/>
    <cellStyle name="Normal 4 6 2 3 2 3 2 2" xfId="33107" xr:uid="{FE51EDA0-3622-47B0-83AB-05CFE7F8F0A0}"/>
    <cellStyle name="Normal 4 6 2 3 2 3 3" xfId="23810" xr:uid="{2CB306BF-2096-447D-AD18-7AB77D61E2C8}"/>
    <cellStyle name="Normal 4 6 2 3 2 4" xfId="9457" xr:uid="{E86AED2D-42AD-49DE-9461-1FA72B82C89E}"/>
    <cellStyle name="Normal 4 6 2 3 2 4 2" xfId="18772" xr:uid="{515F2310-93C6-4A7A-8953-4B244CACEDB8}"/>
    <cellStyle name="Normal 4 6 2 3 2 4 2 2" xfId="37366" xr:uid="{4CDF9BD4-4826-4E93-8F42-C2A52A1A35CB}"/>
    <cellStyle name="Normal 4 6 2 3 2 4 3" xfId="28069" xr:uid="{99961D8A-4614-4945-9F1D-6714419AF3FB}"/>
    <cellStyle name="Normal 4 6 2 3 2 5" xfId="10294" xr:uid="{F95E3E1A-1D4C-486D-B9E5-C5E84E6D9EB2}"/>
    <cellStyle name="Normal 4 6 2 3 2 5 2" xfId="28890" xr:uid="{A05C9637-1C6A-4845-823A-043DFED03645}"/>
    <cellStyle name="Normal 4 6 2 3 2 6" xfId="19593" xr:uid="{A651B9EB-7006-4D78-B8DB-884C18D4D073}"/>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E7EB1281-F21B-4EFC-A921-716F84773AF0}"/>
    <cellStyle name="Normal 4 6 2 3 3 2 2 2 2" xfId="35665" xr:uid="{6861EED1-75EB-4D38-B4F9-8468F257B6CE}"/>
    <cellStyle name="Normal 4 6 2 3 3 2 2 3" xfId="26368" xr:uid="{DD6E56D5-0502-46AE-A38A-402841D28AF3}"/>
    <cellStyle name="Normal 4 6 2 3 3 2 3" xfId="12852" xr:uid="{8B706684-700B-4406-A23E-4131D8921755}"/>
    <cellStyle name="Normal 4 6 2 3 3 2 3 2" xfId="31448" xr:uid="{145ADDFA-F591-4944-9171-C19006F3230F}"/>
    <cellStyle name="Normal 4 6 2 3 3 2 4" xfId="22151" xr:uid="{1AA5FEED-48C8-4963-9A54-17E5846B9479}"/>
    <cellStyle name="Normal 4 6 2 3 3 3" xfId="5598" xr:uid="{00000000-0005-0000-0000-000034160000}"/>
    <cellStyle name="Normal 4 6 2 3 3 3 2" xfId="14924" xr:uid="{727E33F6-9B81-4BEB-8780-F471B00838F2}"/>
    <cellStyle name="Normal 4 6 2 3 3 3 2 2" xfId="33520" xr:uid="{243817A6-C0EE-421A-A3DD-C737156794FD}"/>
    <cellStyle name="Normal 4 6 2 3 3 3 3" xfId="24223" xr:uid="{CBF4524A-D019-43C3-80AA-082F4028DAC4}"/>
    <cellStyle name="Normal 4 6 2 3 3 4" xfId="10707" xr:uid="{9ED753D2-C8C8-4DA4-979C-3DB61132691A}"/>
    <cellStyle name="Normal 4 6 2 3 3 4 2" xfId="29303" xr:uid="{6550226B-0EA8-41E6-8602-CDD5D8EF19AA}"/>
    <cellStyle name="Normal 4 6 2 3 3 5" xfId="20006" xr:uid="{D8726BE7-CBD8-4537-85F2-27F533784B95}"/>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CBDF35F5-54B1-487C-B3B2-1D7BCD8105A4}"/>
    <cellStyle name="Normal 4 6 2 3 4 2 2 2 2" xfId="36078" xr:uid="{9FED4916-1C57-4B06-AD5B-A7A86027C4BD}"/>
    <cellStyle name="Normal 4 6 2 3 4 2 2 3" xfId="26781" xr:uid="{DEDC75C8-5538-4DA7-A319-B42B3581EB06}"/>
    <cellStyle name="Normal 4 6 2 3 4 2 3" xfId="13265" xr:uid="{0DB54979-DF6A-4024-BC62-F020C692C040}"/>
    <cellStyle name="Normal 4 6 2 3 4 2 3 2" xfId="31861" xr:uid="{55777BD0-4535-4ABE-B7D8-327B8F4E5050}"/>
    <cellStyle name="Normal 4 6 2 3 4 2 4" xfId="22564" xr:uid="{DAEB6CFE-80F9-4551-A3F2-BEAAABFBC882}"/>
    <cellStyle name="Normal 4 6 2 3 4 3" xfId="6011" xr:uid="{00000000-0005-0000-0000-000038160000}"/>
    <cellStyle name="Normal 4 6 2 3 4 3 2" xfId="15337" xr:uid="{D7F40FCA-F6DB-41F3-8AE0-9752A61A19B9}"/>
    <cellStyle name="Normal 4 6 2 3 4 3 2 2" xfId="33933" xr:uid="{E82B7F46-CB8F-4CF9-9631-A982F5AFA734}"/>
    <cellStyle name="Normal 4 6 2 3 4 3 3" xfId="24636" xr:uid="{A2AB756F-6E44-4CA6-96F0-5B7377E32747}"/>
    <cellStyle name="Normal 4 6 2 3 4 4" xfId="11120" xr:uid="{8840B2E6-B1AE-4895-A035-3152446424CD}"/>
    <cellStyle name="Normal 4 6 2 3 4 4 2" xfId="29716" xr:uid="{C91329C7-D75E-465F-ACF6-AAAFA9D962DB}"/>
    <cellStyle name="Normal 4 6 2 3 4 5" xfId="20419" xr:uid="{43EE88A6-351A-4581-A3DC-A04560AB21C0}"/>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C2A0C042-5E2F-4098-9FA8-5A4BB1E19826}"/>
    <cellStyle name="Normal 4 6 2 3 5 2 2 2 2" xfId="36491" xr:uid="{78E7FE15-3BF6-4105-9F85-562EE915DEE5}"/>
    <cellStyle name="Normal 4 6 2 3 5 2 2 3" xfId="27194" xr:uid="{0F41E6E6-3F7A-4CA0-8ADF-4E8CB2129BF5}"/>
    <cellStyle name="Normal 4 6 2 3 5 2 3" xfId="13678" xr:uid="{71292743-63B8-4E9B-812B-1C5B5F62CA91}"/>
    <cellStyle name="Normal 4 6 2 3 5 2 3 2" xfId="32274" xr:uid="{8A708177-D797-474C-A158-DA2AD37B1321}"/>
    <cellStyle name="Normal 4 6 2 3 5 2 4" xfId="22977" xr:uid="{D7FFD4A2-639B-40F7-B699-28065AC735BD}"/>
    <cellStyle name="Normal 4 6 2 3 5 3" xfId="6424" xr:uid="{00000000-0005-0000-0000-00003C160000}"/>
    <cellStyle name="Normal 4 6 2 3 5 3 2" xfId="15750" xr:uid="{FFA6CF1A-516F-4876-9FB1-93C75F80EDAB}"/>
    <cellStyle name="Normal 4 6 2 3 5 3 2 2" xfId="34346" xr:uid="{6DABD452-CED4-444D-9937-8B95134BA219}"/>
    <cellStyle name="Normal 4 6 2 3 5 3 3" xfId="25049" xr:uid="{E81B8343-37EB-4BCA-9128-5DF045162209}"/>
    <cellStyle name="Normal 4 6 2 3 5 4" xfId="11533" xr:uid="{CC6570A0-EC2E-45D5-8AB7-B24D1A54A461}"/>
    <cellStyle name="Normal 4 6 2 3 5 4 2" xfId="30129" xr:uid="{543D7959-09BF-4AD5-826E-EF5473A5A5D4}"/>
    <cellStyle name="Normal 4 6 2 3 5 5" xfId="20832" xr:uid="{758CA7F3-4B4C-45DB-9D4E-27028A225010}"/>
    <cellStyle name="Normal 4 6 2 3 6" xfId="2554" xr:uid="{00000000-0005-0000-0000-00003D160000}"/>
    <cellStyle name="Normal 4 6 2 3 6 2" xfId="6837" xr:uid="{00000000-0005-0000-0000-00003E160000}"/>
    <cellStyle name="Normal 4 6 2 3 6 2 2" xfId="16163" xr:uid="{875D472A-D8A3-4B51-A81E-F102F8827ACA}"/>
    <cellStyle name="Normal 4 6 2 3 6 2 2 2" xfId="34759" xr:uid="{E82417FB-1BD1-479D-BA94-CF98F0FE7BE8}"/>
    <cellStyle name="Normal 4 6 2 3 6 2 3" xfId="25462" xr:uid="{14E2A4AC-DA93-495E-BC05-884AE5818F8E}"/>
    <cellStyle name="Normal 4 6 2 3 6 3" xfId="11946" xr:uid="{777D0CFE-BBC1-4A11-9B2E-CCD1AC23B130}"/>
    <cellStyle name="Normal 4 6 2 3 6 3 2" xfId="30542" xr:uid="{A21E53B9-9463-40B4-A22A-962FEF7EE52F}"/>
    <cellStyle name="Normal 4 6 2 3 6 4" xfId="21245" xr:uid="{8EE7188F-B1D9-44E0-8D3E-3401E2CEA3A4}"/>
    <cellStyle name="Normal 4 6 2 3 7" xfId="4772" xr:uid="{00000000-0005-0000-0000-00003F160000}"/>
    <cellStyle name="Normal 4 6 2 3 7 2" xfId="14098" xr:uid="{8927F34D-35F1-4225-AD57-40E638CA2CA5}"/>
    <cellStyle name="Normal 4 6 2 3 7 2 2" xfId="32694" xr:uid="{C2B4DDE1-FA80-43C5-B582-D272E53B69EF}"/>
    <cellStyle name="Normal 4 6 2 3 7 3" xfId="23397" xr:uid="{4BA41093-3849-4E08-930E-5F20E6791673}"/>
    <cellStyle name="Normal 4 6 2 3 8" xfId="9032" xr:uid="{576A1DC5-5971-4772-803F-0A60F80D4C41}"/>
    <cellStyle name="Normal 4 6 2 3 8 2" xfId="18356" xr:uid="{9DA2A866-3FEF-49FB-97B6-344CE9CF4EDE}"/>
    <cellStyle name="Normal 4 6 2 3 8 2 2" xfId="36951" xr:uid="{122C9101-B349-4215-B8F7-6D2D6838D681}"/>
    <cellStyle name="Normal 4 6 2 3 8 3" xfId="27654" xr:uid="{7AD79BEF-DEEF-4BAF-A328-A38F9E68620A}"/>
    <cellStyle name="Normal 4 6 2 3 9" xfId="9881" xr:uid="{381E7045-C6AD-4615-9070-22C0ED883FF9}"/>
    <cellStyle name="Normal 4 6 2 3 9 2" xfId="28477" xr:uid="{C6D72054-72FD-4C43-A221-B7ADB7436A5B}"/>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1D2E28B6-91CB-4EA7-A10C-6A326E2CF81C}"/>
    <cellStyle name="Normal 4 6 2 4 2 2 2 2" xfId="35249" xr:uid="{0B325343-6B1E-4418-8C2A-6AA13C62A59B}"/>
    <cellStyle name="Normal 4 6 2 4 2 2 3" xfId="25952" xr:uid="{067430CA-98DD-435E-8CA5-082DA2D76F1F}"/>
    <cellStyle name="Normal 4 6 2 4 2 3" xfId="12436" xr:uid="{C3AE8009-A1A4-4643-8E64-A5FC1B7E7812}"/>
    <cellStyle name="Normal 4 6 2 4 2 3 2" xfId="31032" xr:uid="{F0B2FC2B-82BB-4C7E-BB28-CC891ABEDC0B}"/>
    <cellStyle name="Normal 4 6 2 4 2 4" xfId="21735" xr:uid="{1794551D-DF1A-45B0-9606-6B32078F30ED}"/>
    <cellStyle name="Normal 4 6 2 4 3" xfId="5182" xr:uid="{00000000-0005-0000-0000-000043160000}"/>
    <cellStyle name="Normal 4 6 2 4 3 2" xfId="14508" xr:uid="{A1E6B952-EC58-4CA9-A6DF-1ED3FD8F0032}"/>
    <cellStyle name="Normal 4 6 2 4 3 2 2" xfId="33104" xr:uid="{F00DA78D-17E0-4E16-AC7A-35CB313B783D}"/>
    <cellStyle name="Normal 4 6 2 4 3 3" xfId="23807" xr:uid="{60D5A00C-FC89-4C90-B706-A3908DEDFFEC}"/>
    <cellStyle name="Normal 4 6 2 4 4" xfId="9250" xr:uid="{CBBC9A51-5203-4C00-93C7-FE7C973DCDD1}"/>
    <cellStyle name="Normal 4 6 2 4 4 2" xfId="18565" xr:uid="{0910EC66-4B30-4268-B509-6DED68AAF2A2}"/>
    <cellStyle name="Normal 4 6 2 4 4 2 2" xfId="37159" xr:uid="{9443147F-A0F8-4A43-8B1C-62CAC8FA9F67}"/>
    <cellStyle name="Normal 4 6 2 4 4 3" xfId="27862" xr:uid="{5ECACE66-57BC-4C58-8A58-BC3EFDC906D3}"/>
    <cellStyle name="Normal 4 6 2 4 5" xfId="10291" xr:uid="{CFCF8919-746D-4A62-BD1C-B0FAE44FAD5B}"/>
    <cellStyle name="Normal 4 6 2 4 5 2" xfId="28887" xr:uid="{4D33F78B-EAE5-4839-8246-C7A521D6ED0F}"/>
    <cellStyle name="Normal 4 6 2 4 6" xfId="19590" xr:uid="{6B1599AD-CD2D-4452-B088-2C1A08CAE869}"/>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B7C91BA3-D1BC-4083-A4B5-3191B861C5E9}"/>
    <cellStyle name="Normal 4 6 2 5 2 2 2 2" xfId="35662" xr:uid="{5252AD17-BAF9-4A2C-A43D-FB69EEBE5787}"/>
    <cellStyle name="Normal 4 6 2 5 2 2 3" xfId="26365" xr:uid="{10CA5228-A646-4856-9F2D-B667D98D4D77}"/>
    <cellStyle name="Normal 4 6 2 5 2 3" xfId="12849" xr:uid="{6A9C2BAD-09FC-4499-9D14-3D2774D985A3}"/>
    <cellStyle name="Normal 4 6 2 5 2 3 2" xfId="31445" xr:uid="{0A95D9E0-F8C6-4DCC-8BF8-DF7EF2CDBB71}"/>
    <cellStyle name="Normal 4 6 2 5 2 4" xfId="22148" xr:uid="{122B2940-EBF9-4C7D-83F4-6329EE7359A0}"/>
    <cellStyle name="Normal 4 6 2 5 3" xfId="5595" xr:uid="{00000000-0005-0000-0000-000047160000}"/>
    <cellStyle name="Normal 4 6 2 5 3 2" xfId="14921" xr:uid="{A13E09D4-4FED-463C-A215-EF9ACF9143CA}"/>
    <cellStyle name="Normal 4 6 2 5 3 2 2" xfId="33517" xr:uid="{E2631394-EFCB-4B1B-9CC1-5DB04499677F}"/>
    <cellStyle name="Normal 4 6 2 5 3 3" xfId="24220" xr:uid="{9E52BA32-42AC-4DA0-B62B-0D1F107BD710}"/>
    <cellStyle name="Normal 4 6 2 5 4" xfId="10704" xr:uid="{18BF99CE-636E-4DD4-BA0D-FC93A20EAD78}"/>
    <cellStyle name="Normal 4 6 2 5 4 2" xfId="29300" xr:uid="{81B40EE9-05EC-4498-A13B-B528258C4850}"/>
    <cellStyle name="Normal 4 6 2 5 5" xfId="20003" xr:uid="{13DD6451-CB9C-45AA-B0FF-007DE64FC102}"/>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2286188C-216A-435B-8263-366A29071A04}"/>
    <cellStyle name="Normal 4 6 2 6 2 2 2 2" xfId="36075" xr:uid="{59B78388-79E7-4273-92B0-5367E65FAAD4}"/>
    <cellStyle name="Normal 4 6 2 6 2 2 3" xfId="26778" xr:uid="{686A6F7C-FFF1-4401-86D1-06F8147D9759}"/>
    <cellStyle name="Normal 4 6 2 6 2 3" xfId="13262" xr:uid="{E258F3E1-6DEA-4993-945B-90968C98B715}"/>
    <cellStyle name="Normal 4 6 2 6 2 3 2" xfId="31858" xr:uid="{E3A2EC45-F393-42F1-AD1E-6C6C7E58A34A}"/>
    <cellStyle name="Normal 4 6 2 6 2 4" xfId="22561" xr:uid="{0DF3AEB1-A09E-487D-AFA5-97975634D296}"/>
    <cellStyle name="Normal 4 6 2 6 3" xfId="6008" xr:uid="{00000000-0005-0000-0000-00004B160000}"/>
    <cellStyle name="Normal 4 6 2 6 3 2" xfId="15334" xr:uid="{F5FF4AB1-C3BE-4E3C-A888-1A3785E165C5}"/>
    <cellStyle name="Normal 4 6 2 6 3 2 2" xfId="33930" xr:uid="{BC8B39F6-152D-49FE-94D7-17C917482AD5}"/>
    <cellStyle name="Normal 4 6 2 6 3 3" xfId="24633" xr:uid="{DC32BB11-099B-4F10-AD48-386811919A6F}"/>
    <cellStyle name="Normal 4 6 2 6 4" xfId="11117" xr:uid="{4D09C7CF-9A0B-4AE4-A2B6-01D291329D6B}"/>
    <cellStyle name="Normal 4 6 2 6 4 2" xfId="29713" xr:uid="{7822C5E9-69DD-4E71-907D-7E8284CA6F77}"/>
    <cellStyle name="Normal 4 6 2 6 5" xfId="20416" xr:uid="{82232482-44A8-4770-8502-2610CCBA6F85}"/>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D77A9260-49A5-4D2D-BC32-C0ED8CD1B409}"/>
    <cellStyle name="Normal 4 6 2 7 2 2 2 2" xfId="36488" xr:uid="{69428BA5-25B3-47CB-8DCF-6C6D6C3B8CAA}"/>
    <cellStyle name="Normal 4 6 2 7 2 2 3" xfId="27191" xr:uid="{48AB07C1-8479-44C3-AEB9-DAE4BAC7DEE6}"/>
    <cellStyle name="Normal 4 6 2 7 2 3" xfId="13675" xr:uid="{0778E1F3-0205-46D0-A3DF-2DFB8D5FAEE2}"/>
    <cellStyle name="Normal 4 6 2 7 2 3 2" xfId="32271" xr:uid="{F627A681-AAC2-4C27-BC46-463BBF6C8867}"/>
    <cellStyle name="Normal 4 6 2 7 2 4" xfId="22974" xr:uid="{951E2A33-729B-45C2-A72E-62A0A92855D8}"/>
    <cellStyle name="Normal 4 6 2 7 3" xfId="6421" xr:uid="{00000000-0005-0000-0000-00004F160000}"/>
    <cellStyle name="Normal 4 6 2 7 3 2" xfId="15747" xr:uid="{EFC7D5DD-563A-4105-BA14-0F74C74A4EA6}"/>
    <cellStyle name="Normal 4 6 2 7 3 2 2" xfId="34343" xr:uid="{B58EC076-3799-4C3A-A87C-9CB17EAFC4BB}"/>
    <cellStyle name="Normal 4 6 2 7 3 3" xfId="25046" xr:uid="{BD3B91B9-D8F1-49D8-B0EB-12E9EA1AF184}"/>
    <cellStyle name="Normal 4 6 2 7 4" xfId="11530" xr:uid="{FC7DF7F9-70C5-43A7-A0DC-492C793DC343}"/>
    <cellStyle name="Normal 4 6 2 7 4 2" xfId="30126" xr:uid="{7C7E6E0D-9B5C-4113-BDEA-054188FB449E}"/>
    <cellStyle name="Normal 4 6 2 7 5" xfId="20829" xr:uid="{64E90FC7-D29B-4EC9-AB11-23B8062549AE}"/>
    <cellStyle name="Normal 4 6 2 8" xfId="2551" xr:uid="{00000000-0005-0000-0000-000050160000}"/>
    <cellStyle name="Normal 4 6 2 8 2" xfId="6834" xr:uid="{00000000-0005-0000-0000-000051160000}"/>
    <cellStyle name="Normal 4 6 2 8 2 2" xfId="16160" xr:uid="{13F41160-A0CA-4A28-9A02-175C5F172626}"/>
    <cellStyle name="Normal 4 6 2 8 2 2 2" xfId="34756" xr:uid="{9195ABAE-273D-44CB-BE33-2662254856BD}"/>
    <cellStyle name="Normal 4 6 2 8 2 3" xfId="25459" xr:uid="{208C8E3E-A625-4155-8354-C8B61B7D5B58}"/>
    <cellStyle name="Normal 4 6 2 8 3" xfId="11943" xr:uid="{23B7B956-BFE2-4430-8764-040EA3993B65}"/>
    <cellStyle name="Normal 4 6 2 8 3 2" xfId="30539" xr:uid="{995957A2-546C-4DBF-B6F7-61D5FA6982C9}"/>
    <cellStyle name="Normal 4 6 2 8 4" xfId="21242" xr:uid="{626F4688-56D1-49CF-8DA3-1769A4A72AFD}"/>
    <cellStyle name="Normal 4 6 2 9" xfId="4769" xr:uid="{00000000-0005-0000-0000-000052160000}"/>
    <cellStyle name="Normal 4 6 2 9 2" xfId="14095" xr:uid="{EFA88403-9E00-4302-9B3A-C42CBEE333D0}"/>
    <cellStyle name="Normal 4 6 2 9 2 2" xfId="32691" xr:uid="{3A6E6A9D-B652-48E1-9FCA-46FB25E7B822}"/>
    <cellStyle name="Normal 4 6 2 9 3" xfId="23394" xr:uid="{5CD92230-D4DA-4489-A266-31FBCD2DE405}"/>
    <cellStyle name="Normal 4 6 3" xfId="400" xr:uid="{00000000-0005-0000-0000-000053160000}"/>
    <cellStyle name="Normal 4 6 3 10" xfId="9882" xr:uid="{575F637A-2C3B-4CE3-8474-4E37A5BAF8F6}"/>
    <cellStyle name="Normal 4 6 3 10 2" xfId="28478" xr:uid="{5428CFE5-A4B4-443A-9C2A-65C0E20AC20F}"/>
    <cellStyle name="Normal 4 6 3 11" xfId="19181" xr:uid="{9B0BFCA8-95AF-444A-B1E1-191813BE6AE6}"/>
    <cellStyle name="Normal 4 6 3 2" xfId="401" xr:uid="{00000000-0005-0000-0000-000054160000}"/>
    <cellStyle name="Normal 4 6 3 2 10" xfId="19182" xr:uid="{E188BE3D-0411-4716-8C98-854B0179ACF2}"/>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EB021662-47C0-4E14-B82A-FDE59681D564}"/>
    <cellStyle name="Normal 4 6 3 2 2 2 2 2 2" xfId="35254" xr:uid="{76198169-4F2F-492C-A55C-931785D41D66}"/>
    <cellStyle name="Normal 4 6 3 2 2 2 2 3" xfId="25957" xr:uid="{DD8B02A7-5476-4557-8B3B-5A882340738A}"/>
    <cellStyle name="Normal 4 6 3 2 2 2 3" xfId="12441" xr:uid="{7E549021-4E2C-48B6-A146-E132DDEDD46E}"/>
    <cellStyle name="Normal 4 6 3 2 2 2 3 2" xfId="31037" xr:uid="{2160DBCF-9298-4876-AAD7-9E920553CEB6}"/>
    <cellStyle name="Normal 4 6 3 2 2 2 4" xfId="21740" xr:uid="{B22C1CFD-39BA-4CF6-A803-9135288D3303}"/>
    <cellStyle name="Normal 4 6 3 2 2 3" xfId="5187" xr:uid="{00000000-0005-0000-0000-000058160000}"/>
    <cellStyle name="Normal 4 6 3 2 2 3 2" xfId="14513" xr:uid="{9F2D870E-82DA-4F3C-A113-4100D7535055}"/>
    <cellStyle name="Normal 4 6 3 2 2 3 2 2" xfId="33109" xr:uid="{7219906F-E44E-481D-8236-B60AD16FACA9}"/>
    <cellStyle name="Normal 4 6 3 2 2 3 3" xfId="23812" xr:uid="{7228E9CE-24BA-4CEF-B11A-FF1F577198ED}"/>
    <cellStyle name="Normal 4 6 3 2 2 4" xfId="9507" xr:uid="{63E4C3EA-8BE6-4CDE-9E44-1D64049D4CF5}"/>
    <cellStyle name="Normal 4 6 3 2 2 4 2" xfId="18822" xr:uid="{C4F2180F-6079-42B4-8CAB-7FBE605AE92B}"/>
    <cellStyle name="Normal 4 6 3 2 2 4 2 2" xfId="37416" xr:uid="{1E5840FD-0B24-41E4-9210-0BC7743AD9FB}"/>
    <cellStyle name="Normal 4 6 3 2 2 4 3" xfId="28119" xr:uid="{AD0606A6-8AC4-4CB1-A43C-658A0953902D}"/>
    <cellStyle name="Normal 4 6 3 2 2 5" xfId="10296" xr:uid="{A8B7EB0B-ABE6-4249-BBB0-A3192EB239D2}"/>
    <cellStyle name="Normal 4 6 3 2 2 5 2" xfId="28892" xr:uid="{A63087D3-4FFF-40BF-8054-6F60CDCC97CE}"/>
    <cellStyle name="Normal 4 6 3 2 2 6" xfId="19595" xr:uid="{EA8C5155-A9BA-4204-9F38-A7532B5C4752}"/>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12F465F5-E31D-405E-A83F-6AF03205B9A5}"/>
    <cellStyle name="Normal 4 6 3 2 3 2 2 2 2" xfId="35667" xr:uid="{9B781B94-D0AD-4053-B692-89041A34ACDB}"/>
    <cellStyle name="Normal 4 6 3 2 3 2 2 3" xfId="26370" xr:uid="{C53351E3-62EF-40DE-91EA-C3D87A21CFB4}"/>
    <cellStyle name="Normal 4 6 3 2 3 2 3" xfId="12854" xr:uid="{6EBD3EFF-55C9-4E00-B2DF-455803D546FA}"/>
    <cellStyle name="Normal 4 6 3 2 3 2 3 2" xfId="31450" xr:uid="{6C3B435D-2E12-4E4B-8FBA-B519162005AF}"/>
    <cellStyle name="Normal 4 6 3 2 3 2 4" xfId="22153" xr:uid="{2D4C3EF8-1130-465B-8B85-896C2BD08402}"/>
    <cellStyle name="Normal 4 6 3 2 3 3" xfId="5600" xr:uid="{00000000-0005-0000-0000-00005C160000}"/>
    <cellStyle name="Normal 4 6 3 2 3 3 2" xfId="14926" xr:uid="{E635EC9F-5024-4BC8-8E1F-E8B72999FF64}"/>
    <cellStyle name="Normal 4 6 3 2 3 3 2 2" xfId="33522" xr:uid="{EA2AEAAA-F34A-4E3C-9943-4010A1AC822A}"/>
    <cellStyle name="Normal 4 6 3 2 3 3 3" xfId="24225" xr:uid="{1D322568-F6AB-461F-B0AA-EBBD824EBAEE}"/>
    <cellStyle name="Normal 4 6 3 2 3 4" xfId="10709" xr:uid="{92BC7C73-E39E-4D87-8301-E63F5BE1A9F8}"/>
    <cellStyle name="Normal 4 6 3 2 3 4 2" xfId="29305" xr:uid="{E1C99E84-0FF0-417C-9F31-F67CEDDF829F}"/>
    <cellStyle name="Normal 4 6 3 2 3 5" xfId="20008" xr:uid="{816474E3-DADC-42F0-9597-9622835E8E66}"/>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11AEC987-76D7-4814-B8F9-27D7465796E6}"/>
    <cellStyle name="Normal 4 6 3 2 4 2 2 2 2" xfId="36080" xr:uid="{2601A3E1-EAE3-4353-8816-4AA6F68B8D31}"/>
    <cellStyle name="Normal 4 6 3 2 4 2 2 3" xfId="26783" xr:uid="{AF427121-A259-4EEB-8991-DF8EE691A60D}"/>
    <cellStyle name="Normal 4 6 3 2 4 2 3" xfId="13267" xr:uid="{AACA1538-A56E-4239-81DC-BBF9A8D7839A}"/>
    <cellStyle name="Normal 4 6 3 2 4 2 3 2" xfId="31863" xr:uid="{C0EF3DB2-1CA9-4F7E-B493-470CDFE2424F}"/>
    <cellStyle name="Normal 4 6 3 2 4 2 4" xfId="22566" xr:uid="{10B51613-04B9-4E37-BC3F-23B81F26B01E}"/>
    <cellStyle name="Normal 4 6 3 2 4 3" xfId="6013" xr:uid="{00000000-0005-0000-0000-000060160000}"/>
    <cellStyle name="Normal 4 6 3 2 4 3 2" xfId="15339" xr:uid="{2EE7BE74-5AC4-4061-8FD5-3DB6D4F30D52}"/>
    <cellStyle name="Normal 4 6 3 2 4 3 2 2" xfId="33935" xr:uid="{0CDFC69D-3AE6-416E-8351-37AE606D95FC}"/>
    <cellStyle name="Normal 4 6 3 2 4 3 3" xfId="24638" xr:uid="{155E8B8B-5D61-46C3-8F76-B89D79F7F07D}"/>
    <cellStyle name="Normal 4 6 3 2 4 4" xfId="11122" xr:uid="{2F670892-C948-428E-A83B-294268F60E33}"/>
    <cellStyle name="Normal 4 6 3 2 4 4 2" xfId="29718" xr:uid="{CDB14A51-1B52-4407-8571-04C40D06F36E}"/>
    <cellStyle name="Normal 4 6 3 2 4 5" xfId="20421" xr:uid="{EB79E53D-7E87-4F34-A784-C9687D246FB8}"/>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1CB5AD54-03AE-4373-950A-E1A7EBA11F15}"/>
    <cellStyle name="Normal 4 6 3 2 5 2 2 2 2" xfId="36493" xr:uid="{1D9C48B9-EA7B-4698-9DB0-3773154D1CF8}"/>
    <cellStyle name="Normal 4 6 3 2 5 2 2 3" xfId="27196" xr:uid="{D944D5E0-D28E-4D44-A08C-519CE40DF801}"/>
    <cellStyle name="Normal 4 6 3 2 5 2 3" xfId="13680" xr:uid="{F58A709A-B9D2-4EE9-BB68-07AE17AB7CE9}"/>
    <cellStyle name="Normal 4 6 3 2 5 2 3 2" xfId="32276" xr:uid="{19ABC4CF-65C8-4898-A279-2ED76C89F16E}"/>
    <cellStyle name="Normal 4 6 3 2 5 2 4" xfId="22979" xr:uid="{9420F96E-D84F-467A-AB9E-E6D8544DC3B6}"/>
    <cellStyle name="Normal 4 6 3 2 5 3" xfId="6426" xr:uid="{00000000-0005-0000-0000-000064160000}"/>
    <cellStyle name="Normal 4 6 3 2 5 3 2" xfId="15752" xr:uid="{DC74FE86-FE22-471C-8E1D-6F34ED69A5BB}"/>
    <cellStyle name="Normal 4 6 3 2 5 3 2 2" xfId="34348" xr:uid="{F735AEAC-B6A6-4A4B-8621-2E779905D465}"/>
    <cellStyle name="Normal 4 6 3 2 5 3 3" xfId="25051" xr:uid="{5520D3B6-3FDC-45F6-9EFE-FF432F7A0CB9}"/>
    <cellStyle name="Normal 4 6 3 2 5 4" xfId="11535" xr:uid="{8D6A0C9E-BF2B-4E10-82EC-759D275E403C}"/>
    <cellStyle name="Normal 4 6 3 2 5 4 2" xfId="30131" xr:uid="{92E837AB-1503-4DF7-A039-BEA939B58262}"/>
    <cellStyle name="Normal 4 6 3 2 5 5" xfId="20834" xr:uid="{2F283D11-D87F-4FB7-8C51-460D1E80025A}"/>
    <cellStyle name="Normal 4 6 3 2 6" xfId="2556" xr:uid="{00000000-0005-0000-0000-000065160000}"/>
    <cellStyle name="Normal 4 6 3 2 6 2" xfId="6839" xr:uid="{00000000-0005-0000-0000-000066160000}"/>
    <cellStyle name="Normal 4 6 3 2 6 2 2" xfId="16165" xr:uid="{65DC03D8-F767-4DB6-A7C6-24222C89D70D}"/>
    <cellStyle name="Normal 4 6 3 2 6 2 2 2" xfId="34761" xr:uid="{012DE43C-FCCA-4148-8A5C-D2F94E76FBF6}"/>
    <cellStyle name="Normal 4 6 3 2 6 2 3" xfId="25464" xr:uid="{4F3C1F74-1621-4445-BAEF-4B515B87387E}"/>
    <cellStyle name="Normal 4 6 3 2 6 3" xfId="11948" xr:uid="{7B585E85-9E08-4599-B3F7-3524774B36BF}"/>
    <cellStyle name="Normal 4 6 3 2 6 3 2" xfId="30544" xr:uid="{EFC251B3-DF1F-49F7-89BE-D3C5ABECF375}"/>
    <cellStyle name="Normal 4 6 3 2 6 4" xfId="21247" xr:uid="{C61C9FFD-2363-490C-9971-FE11AE21A4E2}"/>
    <cellStyle name="Normal 4 6 3 2 7" xfId="4774" xr:uid="{00000000-0005-0000-0000-000067160000}"/>
    <cellStyle name="Normal 4 6 3 2 7 2" xfId="14100" xr:uid="{D5F7FE19-DF38-4183-AEFD-61C0B0C4BEE6}"/>
    <cellStyle name="Normal 4 6 3 2 7 2 2" xfId="32696" xr:uid="{51EDE33D-ABDB-4F4B-BE0B-61156EF1D555}"/>
    <cellStyle name="Normal 4 6 3 2 7 3" xfId="23399" xr:uid="{9EE5E670-F2DD-4F68-9F34-AD252D5DCCD4}"/>
    <cellStyle name="Normal 4 6 3 2 8" xfId="9082" xr:uid="{B272D1AE-3713-4AD0-AE3F-D1A7344AD432}"/>
    <cellStyle name="Normal 4 6 3 2 8 2" xfId="18406" xr:uid="{4759073B-65C2-4F31-83CF-6F2632534DB1}"/>
    <cellStyle name="Normal 4 6 3 2 8 2 2" xfId="37001" xr:uid="{3CD517B9-5774-4309-A3BF-206F6DBFF138}"/>
    <cellStyle name="Normal 4 6 3 2 8 3" xfId="27704" xr:uid="{1A13498C-76B1-4FFF-8956-4DB065B9844C}"/>
    <cellStyle name="Normal 4 6 3 2 9" xfId="9883" xr:uid="{E55A36E6-F54C-4A14-9523-E4102708F5E2}"/>
    <cellStyle name="Normal 4 6 3 2 9 2" xfId="28479" xr:uid="{D5605939-F3C3-4156-934E-283FA8BEF8E4}"/>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FBFBE4EF-3DC3-4AFB-BFBA-6E1D10C790C8}"/>
    <cellStyle name="Normal 4 6 3 3 2 2 2 2" xfId="35253" xr:uid="{FFDCA59D-7C24-4A70-942C-DDB2325D5FA4}"/>
    <cellStyle name="Normal 4 6 3 3 2 2 3" xfId="25956" xr:uid="{4E4F3879-CBAE-44B3-89B2-3B80D691BE93}"/>
    <cellStyle name="Normal 4 6 3 3 2 3" xfId="12440" xr:uid="{FF3CB653-E5AD-40C6-83D8-87CD66686A50}"/>
    <cellStyle name="Normal 4 6 3 3 2 3 2" xfId="31036" xr:uid="{F5BA0D35-9D10-42DC-B7BA-E63D943432B0}"/>
    <cellStyle name="Normal 4 6 3 3 2 4" xfId="21739" xr:uid="{4C610AE5-AEB7-41F2-AC4E-52E7F3511382}"/>
    <cellStyle name="Normal 4 6 3 3 3" xfId="5186" xr:uid="{00000000-0005-0000-0000-00006B160000}"/>
    <cellStyle name="Normal 4 6 3 3 3 2" xfId="14512" xr:uid="{062DB87B-69A0-41AA-9386-9C6F176C88D1}"/>
    <cellStyle name="Normal 4 6 3 3 3 2 2" xfId="33108" xr:uid="{DA66562D-23F7-4593-A72E-F8D1D3EDDE44}"/>
    <cellStyle name="Normal 4 6 3 3 3 3" xfId="23811" xr:uid="{B906F06C-4943-446B-A52D-45EE73FF0002}"/>
    <cellStyle name="Normal 4 6 3 3 4" xfId="9300" xr:uid="{955A2E97-C871-4115-A4F5-A642AE2D2C4B}"/>
    <cellStyle name="Normal 4 6 3 3 4 2" xfId="18615" xr:uid="{3309C927-F65C-4026-A50E-42AC64D604E0}"/>
    <cellStyle name="Normal 4 6 3 3 4 2 2" xfId="37209" xr:uid="{8D4CB88B-F76D-41AF-AFD5-7146E4C4A904}"/>
    <cellStyle name="Normal 4 6 3 3 4 3" xfId="27912" xr:uid="{15D07F05-2E0A-4DE3-8542-FE7E8ED14D5A}"/>
    <cellStyle name="Normal 4 6 3 3 5" xfId="10295" xr:uid="{D1106AD6-FBA3-42B2-95B0-D4908875AED8}"/>
    <cellStyle name="Normal 4 6 3 3 5 2" xfId="28891" xr:uid="{663ED2E2-9D46-41A5-9D28-DD0C4566E3B6}"/>
    <cellStyle name="Normal 4 6 3 3 6" xfId="19594" xr:uid="{72C7C760-2233-4663-B4B7-D18681CA669E}"/>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A20B2FC7-E3FD-45F8-B9BD-F036CE4AA955}"/>
    <cellStyle name="Normal 4 6 3 4 2 2 2 2" xfId="35666" xr:uid="{03B60744-C6C8-46A6-B1F6-833FE29C7796}"/>
    <cellStyle name="Normal 4 6 3 4 2 2 3" xfId="26369" xr:uid="{AC677089-14C6-400C-9CCB-1CF9149BDB6D}"/>
    <cellStyle name="Normal 4 6 3 4 2 3" xfId="12853" xr:uid="{727DFE91-7C32-49C1-9F6A-D5F7AC70310A}"/>
    <cellStyle name="Normal 4 6 3 4 2 3 2" xfId="31449" xr:uid="{A1F6C2F9-C25C-4A37-987E-DBDB2C75AF57}"/>
    <cellStyle name="Normal 4 6 3 4 2 4" xfId="22152" xr:uid="{C2B69729-0DB4-4F73-B37F-45E093DC7B3B}"/>
    <cellStyle name="Normal 4 6 3 4 3" xfId="5599" xr:uid="{00000000-0005-0000-0000-00006F160000}"/>
    <cellStyle name="Normal 4 6 3 4 3 2" xfId="14925" xr:uid="{7E0782D9-A524-4919-841A-5DC320D91847}"/>
    <cellStyle name="Normal 4 6 3 4 3 2 2" xfId="33521" xr:uid="{8ADE747A-C923-4580-997B-B32C298F6FE0}"/>
    <cellStyle name="Normal 4 6 3 4 3 3" xfId="24224" xr:uid="{0C6B3CF3-4742-4899-9F36-4E4DCCB1C861}"/>
    <cellStyle name="Normal 4 6 3 4 4" xfId="10708" xr:uid="{A78B2FE5-0D92-4B24-BFD7-EA30D25862FB}"/>
    <cellStyle name="Normal 4 6 3 4 4 2" xfId="29304" xr:uid="{42E37D23-09CD-4731-B134-7CE9A8DF4959}"/>
    <cellStyle name="Normal 4 6 3 4 5" xfId="20007" xr:uid="{FE293F03-832D-4D25-BA26-E8433ED451D0}"/>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2E800E6B-21F7-4BA8-8080-6FED00CD4E26}"/>
    <cellStyle name="Normal 4 6 3 5 2 2 2 2" xfId="36079" xr:uid="{E2105663-BF3C-4C8E-8557-8E022972C26C}"/>
    <cellStyle name="Normal 4 6 3 5 2 2 3" xfId="26782" xr:uid="{0635DB64-5713-4D4C-9957-B631A87F38E0}"/>
    <cellStyle name="Normal 4 6 3 5 2 3" xfId="13266" xr:uid="{0E161027-82C5-4221-AC8B-03752C12F414}"/>
    <cellStyle name="Normal 4 6 3 5 2 3 2" xfId="31862" xr:uid="{0D7B2CAC-EF37-49F5-9574-6CD66A86C4A8}"/>
    <cellStyle name="Normal 4 6 3 5 2 4" xfId="22565" xr:uid="{015BA75E-9257-442C-A642-AA62A10E141A}"/>
    <cellStyle name="Normal 4 6 3 5 3" xfId="6012" xr:uid="{00000000-0005-0000-0000-000073160000}"/>
    <cellStyle name="Normal 4 6 3 5 3 2" xfId="15338" xr:uid="{D781BE43-3ED9-4074-8EA9-0226FE3BE071}"/>
    <cellStyle name="Normal 4 6 3 5 3 2 2" xfId="33934" xr:uid="{DA15789B-085C-4BC6-B58A-9BDCE25CBEE4}"/>
    <cellStyle name="Normal 4 6 3 5 3 3" xfId="24637" xr:uid="{7D16BD46-A453-4A5C-8919-2C0F5BE2C86E}"/>
    <cellStyle name="Normal 4 6 3 5 4" xfId="11121" xr:uid="{8EB8D35A-9146-431C-8BA5-C7F3BC90EA1B}"/>
    <cellStyle name="Normal 4 6 3 5 4 2" xfId="29717" xr:uid="{727C6009-03C1-42AE-9149-9977669A1103}"/>
    <cellStyle name="Normal 4 6 3 5 5" xfId="20420" xr:uid="{DB08DCA9-58B5-45D4-9D41-00A9D3476AF4}"/>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D3A0935A-FAAA-4738-9F5C-589DCDB77D4E}"/>
    <cellStyle name="Normal 4 6 3 6 2 2 2 2" xfId="36492" xr:uid="{424A2FCD-9F45-4EF5-8AB2-7C1790EDD627}"/>
    <cellStyle name="Normal 4 6 3 6 2 2 3" xfId="27195" xr:uid="{539A6C66-7C69-438F-8E0F-BD2FD311EF20}"/>
    <cellStyle name="Normal 4 6 3 6 2 3" xfId="13679" xr:uid="{20D4805D-F957-4F6D-BE62-3C536DFD4E57}"/>
    <cellStyle name="Normal 4 6 3 6 2 3 2" xfId="32275" xr:uid="{BCDF7CC3-B13F-409C-9459-614D26180CEC}"/>
    <cellStyle name="Normal 4 6 3 6 2 4" xfId="22978" xr:uid="{566AC4B5-1739-44D4-9A9C-D15EB55C91C9}"/>
    <cellStyle name="Normal 4 6 3 6 3" xfId="6425" xr:uid="{00000000-0005-0000-0000-000077160000}"/>
    <cellStyle name="Normal 4 6 3 6 3 2" xfId="15751" xr:uid="{9BEA27D3-B746-4637-8275-F39110637C57}"/>
    <cellStyle name="Normal 4 6 3 6 3 2 2" xfId="34347" xr:uid="{2E5FFA39-4726-4DF1-8943-00CB94B6785B}"/>
    <cellStyle name="Normal 4 6 3 6 3 3" xfId="25050" xr:uid="{9DFC8046-A568-4573-AD27-902928C69CA0}"/>
    <cellStyle name="Normal 4 6 3 6 4" xfId="11534" xr:uid="{412951A2-0F87-4E67-8847-FB4B49241AB1}"/>
    <cellStyle name="Normal 4 6 3 6 4 2" xfId="30130" xr:uid="{96286DD7-1600-47BF-9E2D-B7C430903859}"/>
    <cellStyle name="Normal 4 6 3 6 5" xfId="20833" xr:uid="{053F61BF-FC82-4DF3-9FFA-E22EF36AC931}"/>
    <cellStyle name="Normal 4 6 3 7" xfId="2555" xr:uid="{00000000-0005-0000-0000-000078160000}"/>
    <cellStyle name="Normal 4 6 3 7 2" xfId="6838" xr:uid="{00000000-0005-0000-0000-000079160000}"/>
    <cellStyle name="Normal 4 6 3 7 2 2" xfId="16164" xr:uid="{E4293C0D-47F5-4BFA-B545-A854B68D93EB}"/>
    <cellStyle name="Normal 4 6 3 7 2 2 2" xfId="34760" xr:uid="{EDBDFF8E-B0A7-455C-824B-0878D405E963}"/>
    <cellStyle name="Normal 4 6 3 7 2 3" xfId="25463" xr:uid="{B93E5BCB-E2CB-45FC-A103-30CFBEAC0247}"/>
    <cellStyle name="Normal 4 6 3 7 3" xfId="11947" xr:uid="{9E91438A-BA85-4258-ABBE-088AFBA5908F}"/>
    <cellStyle name="Normal 4 6 3 7 3 2" xfId="30543" xr:uid="{CAF20C04-D668-4558-BC7F-1DE081711FD2}"/>
    <cellStyle name="Normal 4 6 3 7 4" xfId="21246" xr:uid="{9D199B2C-D539-470C-9E9A-2E9D33601948}"/>
    <cellStyle name="Normal 4 6 3 8" xfId="4773" xr:uid="{00000000-0005-0000-0000-00007A160000}"/>
    <cellStyle name="Normal 4 6 3 8 2" xfId="14099" xr:uid="{EFA8527E-CE7D-462A-91B0-5CE50F7678F8}"/>
    <cellStyle name="Normal 4 6 3 8 2 2" xfId="32695" xr:uid="{1E7FAAEB-7983-48A9-9320-04E68D74403A}"/>
    <cellStyle name="Normal 4 6 3 8 3" xfId="23398" xr:uid="{21E43A3C-68C5-4E01-95BB-8B3EDCF837DF}"/>
    <cellStyle name="Normal 4 6 3 9" xfId="8875" xr:uid="{DFD24C28-B729-444D-A0F6-B5522ED354D5}"/>
    <cellStyle name="Normal 4 6 3 9 2" xfId="18199" xr:uid="{4BA3A01F-CBFB-4D4B-B3F4-D7EA39847F22}"/>
    <cellStyle name="Normal 4 6 3 9 2 2" xfId="36794" xr:uid="{00DDE93E-4A9A-427B-AE85-CE603EDE37A5}"/>
    <cellStyle name="Normal 4 6 3 9 3" xfId="27497" xr:uid="{409CCAB6-E20A-4B69-BDF2-1EEF9F2711EC}"/>
    <cellStyle name="Normal 4 6 4" xfId="402" xr:uid="{00000000-0005-0000-0000-00007B160000}"/>
    <cellStyle name="Normal 4 6 4 10" xfId="19183" xr:uid="{F61EA19F-402E-42F1-9BB7-D075DAC7BB6D}"/>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C8B07BCF-36B4-456A-B716-D2DBDDD9F114}"/>
    <cellStyle name="Normal 4 6 4 2 2 2 2 2" xfId="35255" xr:uid="{A45C3050-0D1C-41FD-A47E-C0B46A1F4175}"/>
    <cellStyle name="Normal 4 6 4 2 2 2 3" xfId="25958" xr:uid="{43D3A32D-ECE5-457E-BE64-D39AF378C6CF}"/>
    <cellStyle name="Normal 4 6 4 2 2 3" xfId="12442" xr:uid="{C6F839E4-E39E-4D17-99DB-E9170980B1BA}"/>
    <cellStyle name="Normal 4 6 4 2 2 3 2" xfId="31038" xr:uid="{FB1CE8F2-B587-4AD8-BFF9-9256B1E7BB19}"/>
    <cellStyle name="Normal 4 6 4 2 2 4" xfId="21741" xr:uid="{1E752DCA-2D01-462D-8BDC-7D5A72809A0E}"/>
    <cellStyle name="Normal 4 6 4 2 3" xfId="5188" xr:uid="{00000000-0005-0000-0000-00007F160000}"/>
    <cellStyle name="Normal 4 6 4 2 3 2" xfId="14514" xr:uid="{C956F1DD-CABF-4B09-B081-069947476A72}"/>
    <cellStyle name="Normal 4 6 4 2 3 2 2" xfId="33110" xr:uid="{43A27A39-B9D9-4857-886D-0BBC3A4564A9}"/>
    <cellStyle name="Normal 4 6 4 2 3 3" xfId="23813" xr:uid="{25423125-38F3-467A-87FD-806AFC524BED}"/>
    <cellStyle name="Normal 4 6 4 2 4" xfId="9404" xr:uid="{D1BAB6D6-35EF-4C34-91EA-2EB17352CDF9}"/>
    <cellStyle name="Normal 4 6 4 2 4 2" xfId="18719" xr:uid="{4E68CAD2-5432-4E16-B2CB-1E40C16A343D}"/>
    <cellStyle name="Normal 4 6 4 2 4 2 2" xfId="37313" xr:uid="{5373B656-E704-47E9-B09B-1F59B780FDB3}"/>
    <cellStyle name="Normal 4 6 4 2 4 3" xfId="28016" xr:uid="{A69BEB24-A012-4700-83C4-39537B79CB21}"/>
    <cellStyle name="Normal 4 6 4 2 5" xfId="10297" xr:uid="{DAD0A31F-F37A-49C0-95F0-6CBDA193E28C}"/>
    <cellStyle name="Normal 4 6 4 2 5 2" xfId="28893" xr:uid="{3ACEA013-BA3C-4FFC-B308-3E4B1CCB0A68}"/>
    <cellStyle name="Normal 4 6 4 2 6" xfId="19596" xr:uid="{BF09AE08-9BCF-4301-A6A6-1CDE4F961940}"/>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A79AD12D-EAC9-4CA2-A7B7-5D4D60B4B7AF}"/>
    <cellStyle name="Normal 4 6 4 3 2 2 2 2" xfId="35668" xr:uid="{29CB7ECA-FE53-4CCB-B513-DCD06F8FE020}"/>
    <cellStyle name="Normal 4 6 4 3 2 2 3" xfId="26371" xr:uid="{F7F1955A-9206-4CC7-95D7-AFA150AA1A03}"/>
    <cellStyle name="Normal 4 6 4 3 2 3" xfId="12855" xr:uid="{87F1DFC6-3009-4810-A0EC-267F36D6E1BA}"/>
    <cellStyle name="Normal 4 6 4 3 2 3 2" xfId="31451" xr:uid="{8170B689-9887-4B5D-A44C-7F9CE57862CE}"/>
    <cellStyle name="Normal 4 6 4 3 2 4" xfId="22154" xr:uid="{576AB848-C563-452A-8C9A-1CBED15931B7}"/>
    <cellStyle name="Normal 4 6 4 3 3" xfId="5601" xr:uid="{00000000-0005-0000-0000-000083160000}"/>
    <cellStyle name="Normal 4 6 4 3 3 2" xfId="14927" xr:uid="{7FDBE38A-85E9-4FA6-B3B9-4DC03C40BAB5}"/>
    <cellStyle name="Normal 4 6 4 3 3 2 2" xfId="33523" xr:uid="{FB65254B-4115-45F5-AB69-85A15D75D73B}"/>
    <cellStyle name="Normal 4 6 4 3 3 3" xfId="24226" xr:uid="{F0AA82B6-219D-43EE-B0EE-E2B0F1A1C93F}"/>
    <cellStyle name="Normal 4 6 4 3 4" xfId="10710" xr:uid="{0A403ADD-9961-486E-8B44-48D653C202B0}"/>
    <cellStyle name="Normal 4 6 4 3 4 2" xfId="29306" xr:uid="{B47FA683-8F17-413A-B4D7-AB06FE90CF15}"/>
    <cellStyle name="Normal 4 6 4 3 5" xfId="20009" xr:uid="{B371064B-3ED1-4F10-9059-9CEEED32741B}"/>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A2F49BB9-858E-4F65-9343-7DE2200CEB95}"/>
    <cellStyle name="Normal 4 6 4 4 2 2 2 2" xfId="36081" xr:uid="{FFE1D7ED-5EAD-46F2-AF2A-C1841D9CF794}"/>
    <cellStyle name="Normal 4 6 4 4 2 2 3" xfId="26784" xr:uid="{4B27EC2F-DDE0-4A16-B149-290596B7CA7E}"/>
    <cellStyle name="Normal 4 6 4 4 2 3" xfId="13268" xr:uid="{7B452CF4-FCE1-4171-B27D-9D2C94670F39}"/>
    <cellStyle name="Normal 4 6 4 4 2 3 2" xfId="31864" xr:uid="{7FEF4642-EB33-4F6E-B92A-DA6F3FC82F91}"/>
    <cellStyle name="Normal 4 6 4 4 2 4" xfId="22567" xr:uid="{2E225094-FBF8-456C-B47B-DB2D3869CF30}"/>
    <cellStyle name="Normal 4 6 4 4 3" xfId="6014" xr:uid="{00000000-0005-0000-0000-000087160000}"/>
    <cellStyle name="Normal 4 6 4 4 3 2" xfId="15340" xr:uid="{7AA88D0B-9CD1-4B45-B2B8-FDF69178E274}"/>
    <cellStyle name="Normal 4 6 4 4 3 2 2" xfId="33936" xr:uid="{BF9090A1-4494-4F75-BB42-D3BECA62289D}"/>
    <cellStyle name="Normal 4 6 4 4 3 3" xfId="24639" xr:uid="{92A1C857-9CCD-4F1F-858C-F9F5B6EA3371}"/>
    <cellStyle name="Normal 4 6 4 4 4" xfId="11123" xr:uid="{F1DD7715-EE2E-4056-AFDA-94821E5604E7}"/>
    <cellStyle name="Normal 4 6 4 4 4 2" xfId="29719" xr:uid="{D33B5ACD-1605-45CD-86ED-7FD9250B2E22}"/>
    <cellStyle name="Normal 4 6 4 4 5" xfId="20422" xr:uid="{FF81C706-666F-44A1-8886-0F1B5B91CF71}"/>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926CB6EB-86C0-4217-B464-2C95CEBA4ABE}"/>
    <cellStyle name="Normal 4 6 4 5 2 2 2 2" xfId="36494" xr:uid="{9E9C4AE4-EABE-4929-A65F-1810EEE0D4E5}"/>
    <cellStyle name="Normal 4 6 4 5 2 2 3" xfId="27197" xr:uid="{233D786A-C8B8-49B5-BACD-AE1D78815B15}"/>
    <cellStyle name="Normal 4 6 4 5 2 3" xfId="13681" xr:uid="{88957BB0-0141-4204-8D77-990D597D34D0}"/>
    <cellStyle name="Normal 4 6 4 5 2 3 2" xfId="32277" xr:uid="{080AD528-2991-473A-9C9B-54946D1DD1B3}"/>
    <cellStyle name="Normal 4 6 4 5 2 4" xfId="22980" xr:uid="{93FD512F-6A17-437C-B0D0-94E39957392E}"/>
    <cellStyle name="Normal 4 6 4 5 3" xfId="6427" xr:uid="{00000000-0005-0000-0000-00008B160000}"/>
    <cellStyle name="Normal 4 6 4 5 3 2" xfId="15753" xr:uid="{04DFE64C-0A09-411B-A752-29DCBC836D2F}"/>
    <cellStyle name="Normal 4 6 4 5 3 2 2" xfId="34349" xr:uid="{53D6CABC-0F93-4A69-8AC6-433497403B40}"/>
    <cellStyle name="Normal 4 6 4 5 3 3" xfId="25052" xr:uid="{16F15FCA-F7D6-44D1-AA83-E85C2E578B0F}"/>
    <cellStyle name="Normal 4 6 4 5 4" xfId="11536" xr:uid="{0EE7216E-0F76-44A0-BB82-CE294AA28B9F}"/>
    <cellStyle name="Normal 4 6 4 5 4 2" xfId="30132" xr:uid="{B55109C0-9931-4701-9BEF-C19164382BE6}"/>
    <cellStyle name="Normal 4 6 4 5 5" xfId="20835" xr:uid="{A178BCB9-2D3C-46FC-BB0F-EBF94846D21F}"/>
    <cellStyle name="Normal 4 6 4 6" xfId="2557" xr:uid="{00000000-0005-0000-0000-00008C160000}"/>
    <cellStyle name="Normal 4 6 4 6 2" xfId="6840" xr:uid="{00000000-0005-0000-0000-00008D160000}"/>
    <cellStyle name="Normal 4 6 4 6 2 2" xfId="16166" xr:uid="{B7D3645A-32FA-4139-B6D0-2AB99B65D529}"/>
    <cellStyle name="Normal 4 6 4 6 2 2 2" xfId="34762" xr:uid="{D22AAA57-5BF8-4906-9B6A-6A6B5A4FAB70}"/>
    <cellStyle name="Normal 4 6 4 6 2 3" xfId="25465" xr:uid="{0E1F172F-D070-4E7A-A737-1C6B5C9E43E6}"/>
    <cellStyle name="Normal 4 6 4 6 3" xfId="11949" xr:uid="{0FE9B5D7-4F67-421A-8B8C-29339554E876}"/>
    <cellStyle name="Normal 4 6 4 6 3 2" xfId="30545" xr:uid="{98CA9765-AF38-465A-8CEA-741E505BD4C5}"/>
    <cellStyle name="Normal 4 6 4 6 4" xfId="21248" xr:uid="{8BB0B04F-1E18-475E-9145-F42E62A03010}"/>
    <cellStyle name="Normal 4 6 4 7" xfId="4775" xr:uid="{00000000-0005-0000-0000-00008E160000}"/>
    <cellStyle name="Normal 4 6 4 7 2" xfId="14101" xr:uid="{9DCB4F31-E641-47B1-8850-C8BE0480EAB2}"/>
    <cellStyle name="Normal 4 6 4 7 2 2" xfId="32697" xr:uid="{3374B8F9-8FF4-468E-B2D9-E40F5A290EA2}"/>
    <cellStyle name="Normal 4 6 4 7 3" xfId="23400" xr:uid="{52E405BE-2C13-45CC-895E-591FF233E226}"/>
    <cellStyle name="Normal 4 6 4 8" xfId="8979" xr:uid="{358D1440-F461-4509-8416-8F78F7D13FF4}"/>
    <cellStyle name="Normal 4 6 4 8 2" xfId="18303" xr:uid="{BF1FEA5D-120F-45D3-92B1-82B66BAB2E9A}"/>
    <cellStyle name="Normal 4 6 4 8 2 2" xfId="36898" xr:uid="{F93260CD-C495-4EDE-8125-66008D5EE0F2}"/>
    <cellStyle name="Normal 4 6 4 8 3" xfId="27601" xr:uid="{9145DA11-6772-4A65-AC3A-BD32E3239AF1}"/>
    <cellStyle name="Normal 4 6 4 9" xfId="9884" xr:uid="{89E43A8B-E3FD-4BAF-84CD-CF0ECF1A5167}"/>
    <cellStyle name="Normal 4 6 4 9 2" xfId="28480" xr:uid="{A311DEC6-BE6B-4CAF-AD3A-7D076AED81D3}"/>
    <cellStyle name="Normal 4 6 5" xfId="869" xr:uid="{00000000-0005-0000-0000-00008F160000}"/>
    <cellStyle name="Normal 4 6 5 2" xfId="3104" xr:uid="{00000000-0005-0000-0000-000090160000}"/>
    <cellStyle name="Normal 4 6 5 2 2" xfId="7326" xr:uid="{00000000-0005-0000-0000-000091160000}"/>
    <cellStyle name="Normal 4 6 5 2 2 2" xfId="16652" xr:uid="{D1579C3C-DD72-480D-A3B3-D1575BECB335}"/>
    <cellStyle name="Normal 4 6 5 2 2 2 2" xfId="35248" xr:uid="{AB03EE34-FF68-4564-B5E8-BB015E49A352}"/>
    <cellStyle name="Normal 4 6 5 2 2 3" xfId="25951" xr:uid="{322FD540-2C26-4F07-ADFF-D578A45B14F7}"/>
    <cellStyle name="Normal 4 6 5 2 3" xfId="12435" xr:uid="{4840E951-8C02-4BCA-8492-751B3699C3B3}"/>
    <cellStyle name="Normal 4 6 5 2 3 2" xfId="31031" xr:uid="{A29247FE-3769-4821-945B-7DE6A5709448}"/>
    <cellStyle name="Normal 4 6 5 2 4" xfId="21734" xr:uid="{06E26F3F-F940-4F97-A131-E2684A254982}"/>
    <cellStyle name="Normal 4 6 5 3" xfId="5181" xr:uid="{00000000-0005-0000-0000-000092160000}"/>
    <cellStyle name="Normal 4 6 5 3 2" xfId="14507" xr:uid="{BA01FA49-7486-422A-8808-85F38EC0F3AC}"/>
    <cellStyle name="Normal 4 6 5 3 2 2" xfId="33103" xr:uid="{7DAAC29C-3BCC-479B-ACB2-D7D7702E162D}"/>
    <cellStyle name="Normal 4 6 5 3 3" xfId="23806" xr:uid="{31C07C10-666F-4F80-AD0A-254F4AD8BA95}"/>
    <cellStyle name="Normal 4 6 5 4" xfId="9196" xr:uid="{8DF5D81E-BEC3-4373-A99C-2D9CDEEBBA3C}"/>
    <cellStyle name="Normal 4 6 5 4 2" xfId="18512" xr:uid="{4DBE502A-E862-4B5D-AEBE-89BA8BA08775}"/>
    <cellStyle name="Normal 4 6 5 4 2 2" xfId="37106" xr:uid="{10A581CB-7BD5-42C6-AD35-52E254EF0362}"/>
    <cellStyle name="Normal 4 6 5 4 3" xfId="27809" xr:uid="{AD9F623E-7868-4227-A295-B399253D37EB}"/>
    <cellStyle name="Normal 4 6 5 5" xfId="10290" xr:uid="{829886BD-4447-4988-A958-AD619EC3F84B}"/>
    <cellStyle name="Normal 4 6 5 5 2" xfId="28886" xr:uid="{2DDA7E16-F4E5-4825-AC7D-D253925F2CDA}"/>
    <cellStyle name="Normal 4 6 5 6" xfId="19589" xr:uid="{E9DADC34-DAF1-4368-A391-80FFB3B707EE}"/>
    <cellStyle name="Normal 4 6 6" xfId="1287" xr:uid="{00000000-0005-0000-0000-000093160000}"/>
    <cellStyle name="Normal 4 6 6 2" xfId="3517" xr:uid="{00000000-0005-0000-0000-000094160000}"/>
    <cellStyle name="Normal 4 6 6 2 2" xfId="7739" xr:uid="{00000000-0005-0000-0000-000095160000}"/>
    <cellStyle name="Normal 4 6 6 2 2 2" xfId="17065" xr:uid="{6BA02832-93B6-4A1A-9AB3-F18BB195B3A9}"/>
    <cellStyle name="Normal 4 6 6 2 2 2 2" xfId="35661" xr:uid="{A6146AF3-3443-4B98-8DE8-15C911BD8F2A}"/>
    <cellStyle name="Normal 4 6 6 2 2 3" xfId="26364" xr:uid="{A6D7B26D-F2DF-4F6D-B17D-E3061B352C3B}"/>
    <cellStyle name="Normal 4 6 6 2 3" xfId="12848" xr:uid="{3272C2BA-6C62-4DEA-8D43-2A07BB76518F}"/>
    <cellStyle name="Normal 4 6 6 2 3 2" xfId="31444" xr:uid="{66AC8BB8-174E-4DDB-B0CD-23D58DF3A52D}"/>
    <cellStyle name="Normal 4 6 6 2 4" xfId="22147" xr:uid="{A94D22A0-6207-4DF5-9ACD-C02CF9B7347E}"/>
    <cellStyle name="Normal 4 6 6 3" xfId="5594" xr:uid="{00000000-0005-0000-0000-000096160000}"/>
    <cellStyle name="Normal 4 6 6 3 2" xfId="14920" xr:uid="{A3D905DA-5269-4400-B3CA-C975CE0D7A89}"/>
    <cellStyle name="Normal 4 6 6 3 2 2" xfId="33516" xr:uid="{77CB28D7-2CF6-4E9E-9BC2-0BC049D5BE0C}"/>
    <cellStyle name="Normal 4 6 6 3 3" xfId="24219" xr:uid="{00A6D354-1C89-4341-BA1C-4B068A586592}"/>
    <cellStyle name="Normal 4 6 6 4" xfId="10703" xr:uid="{8CF78F36-4F7C-425B-9FD9-C63045AECEF0}"/>
    <cellStyle name="Normal 4 6 6 4 2" xfId="29299" xr:uid="{2926F3E9-7549-4858-BEEC-80117602A84D}"/>
    <cellStyle name="Normal 4 6 6 5" xfId="20002" xr:uid="{2C562B55-792D-43E5-8D47-F224E70DDD6D}"/>
    <cellStyle name="Normal 4 6 7" xfId="1700" xr:uid="{00000000-0005-0000-0000-000097160000}"/>
    <cellStyle name="Normal 4 6 7 2" xfId="3930" xr:uid="{00000000-0005-0000-0000-000098160000}"/>
    <cellStyle name="Normal 4 6 7 2 2" xfId="8152" xr:uid="{00000000-0005-0000-0000-000099160000}"/>
    <cellStyle name="Normal 4 6 7 2 2 2" xfId="17478" xr:uid="{B6A35175-685F-427A-B0FF-FB9C0F49E1C4}"/>
    <cellStyle name="Normal 4 6 7 2 2 2 2" xfId="36074" xr:uid="{078C3BB5-AF02-4FD0-A44B-7B2B133BFE27}"/>
    <cellStyle name="Normal 4 6 7 2 2 3" xfId="26777" xr:uid="{215FA309-3FD8-4AC3-BF72-82FF7BB40D11}"/>
    <cellStyle name="Normal 4 6 7 2 3" xfId="13261" xr:uid="{20923E63-A9AA-416E-8252-AA2C2E17ABF6}"/>
    <cellStyle name="Normal 4 6 7 2 3 2" xfId="31857" xr:uid="{65343CFF-116E-4EF0-BCFC-075B426DF1D5}"/>
    <cellStyle name="Normal 4 6 7 2 4" xfId="22560" xr:uid="{0154C857-8C49-4BC3-8B7A-86191D2C238F}"/>
    <cellStyle name="Normal 4 6 7 3" xfId="6007" xr:uid="{00000000-0005-0000-0000-00009A160000}"/>
    <cellStyle name="Normal 4 6 7 3 2" xfId="15333" xr:uid="{3B1A8B8A-0F28-4E19-B47D-613C363DC2D2}"/>
    <cellStyle name="Normal 4 6 7 3 2 2" xfId="33929" xr:uid="{7E33CCD0-0154-44B2-9432-FF7CD70E2841}"/>
    <cellStyle name="Normal 4 6 7 3 3" xfId="24632" xr:uid="{DB2D20EE-6917-4216-B87D-7647CFFCDE83}"/>
    <cellStyle name="Normal 4 6 7 4" xfId="11116" xr:uid="{1D49150A-32CD-4AE6-B038-746CAEB989A3}"/>
    <cellStyle name="Normal 4 6 7 4 2" xfId="29712" xr:uid="{227B2D20-5A35-46EB-8A3E-6F7BC11B9806}"/>
    <cellStyle name="Normal 4 6 7 5" xfId="20415" xr:uid="{6636C11B-FBDB-4D24-88B5-EA04A1D8E6AE}"/>
    <cellStyle name="Normal 4 6 8" xfId="2114" xr:uid="{00000000-0005-0000-0000-00009B160000}"/>
    <cellStyle name="Normal 4 6 8 2" xfId="4343" xr:uid="{00000000-0005-0000-0000-00009C160000}"/>
    <cellStyle name="Normal 4 6 8 2 2" xfId="8565" xr:uid="{00000000-0005-0000-0000-00009D160000}"/>
    <cellStyle name="Normal 4 6 8 2 2 2" xfId="17891" xr:uid="{7956C26A-C15C-44DA-873D-F828248649C2}"/>
    <cellStyle name="Normal 4 6 8 2 2 2 2" xfId="36487" xr:uid="{64E991E2-A695-4A25-81E2-C88B21D48ED7}"/>
    <cellStyle name="Normal 4 6 8 2 2 3" xfId="27190" xr:uid="{702C6573-B365-442F-AFF8-04646555BEEA}"/>
    <cellStyle name="Normal 4 6 8 2 3" xfId="13674" xr:uid="{B8795B83-F701-443C-AE58-7642D22C190A}"/>
    <cellStyle name="Normal 4 6 8 2 3 2" xfId="32270" xr:uid="{EDA3EC67-2F3A-4DD4-9CE3-5EA604B20320}"/>
    <cellStyle name="Normal 4 6 8 2 4" xfId="22973" xr:uid="{7B7DF930-F848-4D70-98A0-DFBCD45CEA0E}"/>
    <cellStyle name="Normal 4 6 8 3" xfId="6420" xr:uid="{00000000-0005-0000-0000-00009E160000}"/>
    <cellStyle name="Normal 4 6 8 3 2" xfId="15746" xr:uid="{368D4B97-E0B0-41E9-B24F-1FDD82B9B968}"/>
    <cellStyle name="Normal 4 6 8 3 2 2" xfId="34342" xr:uid="{DEC3A10D-6A7B-4D60-B0F3-4BBD915A20E9}"/>
    <cellStyle name="Normal 4 6 8 3 3" xfId="25045" xr:uid="{80902ED1-E486-46C8-90FB-97C20EC8BA1E}"/>
    <cellStyle name="Normal 4 6 8 4" xfId="11529" xr:uid="{3F9D20E3-C039-4D83-A800-5F1718DA425C}"/>
    <cellStyle name="Normal 4 6 8 4 2" xfId="30125" xr:uid="{E061EF65-3DBE-4AB9-B3F3-30381D3F6DE9}"/>
    <cellStyle name="Normal 4 6 8 5" xfId="20828" xr:uid="{B2C54D52-F18D-4022-8D15-15764FD73C16}"/>
    <cellStyle name="Normal 4 6 9" xfId="2550" xr:uid="{00000000-0005-0000-0000-00009F160000}"/>
    <cellStyle name="Normal 4 6 9 2" xfId="6833" xr:uid="{00000000-0005-0000-0000-0000A0160000}"/>
    <cellStyle name="Normal 4 6 9 2 2" xfId="16159" xr:uid="{CF2B9EF2-B0B2-4F10-ADE4-C598874FC645}"/>
    <cellStyle name="Normal 4 6 9 2 2 2" xfId="34755" xr:uid="{10257C14-DCB8-4040-B656-0922D4332266}"/>
    <cellStyle name="Normal 4 6 9 2 3" xfId="25458" xr:uid="{46BFECB4-3B1F-4A6B-9E34-CF2EB1D5026E}"/>
    <cellStyle name="Normal 4 6 9 3" xfId="11942" xr:uid="{73DDBD38-11CE-429A-B641-D144A611C0F6}"/>
    <cellStyle name="Normal 4 6 9 3 2" xfId="30538" xr:uid="{55E88F95-4490-48B8-9DBD-01CB8B2E4551}"/>
    <cellStyle name="Normal 4 6 9 4" xfId="21241" xr:uid="{4AD4871F-E7E6-41F5-A27C-B08C6675B1F1}"/>
    <cellStyle name="Normal 4 7" xfId="403" xr:uid="{00000000-0005-0000-0000-0000A1160000}"/>
    <cellStyle name="Normal 4 7 10" xfId="9885" xr:uid="{6E9BC5E5-F064-40D8-97E4-C0C37DCB0719}"/>
    <cellStyle name="Normal 4 7 10 2" xfId="28481" xr:uid="{DF346877-A7ED-450F-B3DD-E6387F6F0170}"/>
    <cellStyle name="Normal 4 7 11" xfId="19184" xr:uid="{06AA9C68-FEAD-4D48-A023-B0CD06E3F858}"/>
    <cellStyle name="Normal 4 7 2" xfId="404" xr:uid="{00000000-0005-0000-0000-0000A2160000}"/>
    <cellStyle name="Normal 4 7 2 10" xfId="19185" xr:uid="{8398E2C5-2F37-416E-9A4B-688E18A327F7}"/>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A3A195E6-E5B2-4D57-981A-3A486A6A757F}"/>
    <cellStyle name="Normal 4 7 2 2 2 2 2 2" xfId="35257" xr:uid="{3E548FC8-EAD8-44E0-915B-F67360E4FF7B}"/>
    <cellStyle name="Normal 4 7 2 2 2 2 3" xfId="25960" xr:uid="{2BB2B19A-0FB6-4EB1-AF0F-E709499FCC7B}"/>
    <cellStyle name="Normal 4 7 2 2 2 3" xfId="12444" xr:uid="{442C9EDB-D817-4BC8-9E62-E9355462CA09}"/>
    <cellStyle name="Normal 4 7 2 2 2 3 2" xfId="31040" xr:uid="{830B3DB6-EA4E-4D3E-A391-E2B72DD1F033}"/>
    <cellStyle name="Normal 4 7 2 2 2 4" xfId="21743" xr:uid="{A2A129D8-E985-40C6-B207-3CB50CB881E4}"/>
    <cellStyle name="Normal 4 7 2 2 3" xfId="5190" xr:uid="{00000000-0005-0000-0000-0000A6160000}"/>
    <cellStyle name="Normal 4 7 2 2 3 2" xfId="14516" xr:uid="{0CD6301D-EB37-45C6-A896-925E449E1BBF}"/>
    <cellStyle name="Normal 4 7 2 2 3 2 2" xfId="33112" xr:uid="{F7EA1240-047E-4800-8BEC-F6C5CE8985AA}"/>
    <cellStyle name="Normal 4 7 2 2 3 3" xfId="23815" xr:uid="{3C981CC5-74AC-4F15-9935-8538466911C4}"/>
    <cellStyle name="Normal 4 7 2 2 4" xfId="9475" xr:uid="{1E309EF6-7D7C-4A4D-B2F1-E00D0CF6E167}"/>
    <cellStyle name="Normal 4 7 2 2 4 2" xfId="18790" xr:uid="{EF7A31AD-EB14-46B2-8AEF-04D57D9FDBD2}"/>
    <cellStyle name="Normal 4 7 2 2 4 2 2" xfId="37384" xr:uid="{17BA5004-0C60-43C7-9B4E-9046F896F0AC}"/>
    <cellStyle name="Normal 4 7 2 2 4 3" xfId="28087" xr:uid="{B262F2EE-1E9B-4AD3-82B6-AFFF90425895}"/>
    <cellStyle name="Normal 4 7 2 2 5" xfId="10299" xr:uid="{549CDACB-18B5-472E-83EE-1F224A04F6A4}"/>
    <cellStyle name="Normal 4 7 2 2 5 2" xfId="28895" xr:uid="{2A3C2703-DF36-4DAB-962A-37AD103DC548}"/>
    <cellStyle name="Normal 4 7 2 2 6" xfId="19598" xr:uid="{238F871C-D8CB-4230-ACE9-5A7E0D40FE92}"/>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789C580D-DD47-46E0-893E-97EF58DF97B0}"/>
    <cellStyle name="Normal 4 7 2 3 2 2 2 2" xfId="35670" xr:uid="{A1C396CF-6757-4EAC-ACA1-7B71ABC239A2}"/>
    <cellStyle name="Normal 4 7 2 3 2 2 3" xfId="26373" xr:uid="{01FF4605-0A31-4710-AE34-DDB0E1A7D8B3}"/>
    <cellStyle name="Normal 4 7 2 3 2 3" xfId="12857" xr:uid="{9475A46C-949D-417C-8583-217D2685E140}"/>
    <cellStyle name="Normal 4 7 2 3 2 3 2" xfId="31453" xr:uid="{533058B2-5564-4994-BE9F-C0615AA960B3}"/>
    <cellStyle name="Normal 4 7 2 3 2 4" xfId="22156" xr:uid="{A86825FC-8A04-40D0-A4EC-0CABAFDA75A1}"/>
    <cellStyle name="Normal 4 7 2 3 3" xfId="5603" xr:uid="{00000000-0005-0000-0000-0000AA160000}"/>
    <cellStyle name="Normal 4 7 2 3 3 2" xfId="14929" xr:uid="{E415E3CF-4802-4465-9008-CEF9D0E27D9C}"/>
    <cellStyle name="Normal 4 7 2 3 3 2 2" xfId="33525" xr:uid="{C4590F41-4BB4-450D-AA08-623D966110B3}"/>
    <cellStyle name="Normal 4 7 2 3 3 3" xfId="24228" xr:uid="{72E5315E-9DA8-459E-9A46-ADAF8C1B8718}"/>
    <cellStyle name="Normal 4 7 2 3 4" xfId="10712" xr:uid="{AA7FB554-A085-47D0-B1F4-3189DC036801}"/>
    <cellStyle name="Normal 4 7 2 3 4 2" xfId="29308" xr:uid="{64F93EF2-EE1E-40C0-BBCD-487732C3305F}"/>
    <cellStyle name="Normal 4 7 2 3 5" xfId="20011" xr:uid="{189C0B5C-4D6E-4720-97C9-DBBF7FCC45A8}"/>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627A0D05-B55C-49B3-876A-EF1D8A29568F}"/>
    <cellStyle name="Normal 4 7 2 4 2 2 2 2" xfId="36083" xr:uid="{83DA3A42-8259-4FB5-B2F5-D731B8B5FEE3}"/>
    <cellStyle name="Normal 4 7 2 4 2 2 3" xfId="26786" xr:uid="{C3524312-05FD-4999-B8C0-2E8197529B1B}"/>
    <cellStyle name="Normal 4 7 2 4 2 3" xfId="13270" xr:uid="{3FAE2369-89C8-46FA-AF3B-67726A1A571C}"/>
    <cellStyle name="Normal 4 7 2 4 2 3 2" xfId="31866" xr:uid="{8F79F726-EAA5-4DA6-87D8-1040107C4BCB}"/>
    <cellStyle name="Normal 4 7 2 4 2 4" xfId="22569" xr:uid="{E3795DCA-F676-4CFD-8B0C-4DC51CCA1191}"/>
    <cellStyle name="Normal 4 7 2 4 3" xfId="6016" xr:uid="{00000000-0005-0000-0000-0000AE160000}"/>
    <cellStyle name="Normal 4 7 2 4 3 2" xfId="15342" xr:uid="{5BB992D4-F9CA-4A8F-8560-A345C3359FBC}"/>
    <cellStyle name="Normal 4 7 2 4 3 2 2" xfId="33938" xr:uid="{2664CF6F-E368-4132-843E-3C74F26FB486}"/>
    <cellStyle name="Normal 4 7 2 4 3 3" xfId="24641" xr:uid="{11586C51-DA3B-44EC-B938-BACA449BFBE6}"/>
    <cellStyle name="Normal 4 7 2 4 4" xfId="11125" xr:uid="{3639C4D1-1AA2-478A-B382-8C13296E70A5}"/>
    <cellStyle name="Normal 4 7 2 4 4 2" xfId="29721" xr:uid="{EE82D1C5-E3E6-4F08-8DB4-ADD3919332A9}"/>
    <cellStyle name="Normal 4 7 2 4 5" xfId="20424" xr:uid="{BD9099CD-AB0F-48E5-8011-CBB336284624}"/>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CCA8B485-0574-4CF3-B53E-CC2BC31F9B6A}"/>
    <cellStyle name="Normal 4 7 2 5 2 2 2 2" xfId="36496" xr:uid="{3497A9F8-049F-4A90-A055-DDC1C9F361BF}"/>
    <cellStyle name="Normal 4 7 2 5 2 2 3" xfId="27199" xr:uid="{A06B0BDF-1C72-4BB6-B26A-121D51A06A9E}"/>
    <cellStyle name="Normal 4 7 2 5 2 3" xfId="13683" xr:uid="{B7B5BEEF-D4F4-4874-981E-C01EE0D66C25}"/>
    <cellStyle name="Normal 4 7 2 5 2 3 2" xfId="32279" xr:uid="{FD1FC0BA-AFEF-4BA2-826E-28A53F4FDBCE}"/>
    <cellStyle name="Normal 4 7 2 5 2 4" xfId="22982" xr:uid="{4D21AF42-3FEE-4D8C-98E0-4A6D5291930A}"/>
    <cellStyle name="Normal 4 7 2 5 3" xfId="6429" xr:uid="{00000000-0005-0000-0000-0000B2160000}"/>
    <cellStyle name="Normal 4 7 2 5 3 2" xfId="15755" xr:uid="{74258FDC-7C2C-4A71-AF02-C08CCC65D7C0}"/>
    <cellStyle name="Normal 4 7 2 5 3 2 2" xfId="34351" xr:uid="{B325173B-5BC7-4252-9DCC-4466CBAE5F15}"/>
    <cellStyle name="Normal 4 7 2 5 3 3" xfId="25054" xr:uid="{2EF7E7B7-EE65-4847-9395-767B106EC9EF}"/>
    <cellStyle name="Normal 4 7 2 5 4" xfId="11538" xr:uid="{BD4D7D16-1120-4C9E-8442-EDBB3455D7F6}"/>
    <cellStyle name="Normal 4 7 2 5 4 2" xfId="30134" xr:uid="{E9368313-0E8E-4BE4-83B6-270EAC5B20D6}"/>
    <cellStyle name="Normal 4 7 2 5 5" xfId="20837" xr:uid="{87941B88-FE5C-4067-A20A-5A650C63D080}"/>
    <cellStyle name="Normal 4 7 2 6" xfId="2559" xr:uid="{00000000-0005-0000-0000-0000B3160000}"/>
    <cellStyle name="Normal 4 7 2 6 2" xfId="6842" xr:uid="{00000000-0005-0000-0000-0000B4160000}"/>
    <cellStyle name="Normal 4 7 2 6 2 2" xfId="16168" xr:uid="{71391007-D6E2-41D5-A550-C2740A7D28F2}"/>
    <cellStyle name="Normal 4 7 2 6 2 2 2" xfId="34764" xr:uid="{8520CA0F-A518-4912-8FF9-C2F9B7BD0816}"/>
    <cellStyle name="Normal 4 7 2 6 2 3" xfId="25467" xr:uid="{EB621BC4-AE67-4A8D-8523-85B5CD4764DD}"/>
    <cellStyle name="Normal 4 7 2 6 3" xfId="11951" xr:uid="{B9746E84-D3BA-41FE-8633-AD52DEAE6EE4}"/>
    <cellStyle name="Normal 4 7 2 6 3 2" xfId="30547" xr:uid="{A44905DD-3C58-43DD-9185-6BB84E8B24E6}"/>
    <cellStyle name="Normal 4 7 2 6 4" xfId="21250" xr:uid="{AC4B3C78-FAEC-44C4-9C24-C464C323B6A1}"/>
    <cellStyle name="Normal 4 7 2 7" xfId="4777" xr:uid="{00000000-0005-0000-0000-0000B5160000}"/>
    <cellStyle name="Normal 4 7 2 7 2" xfId="14103" xr:uid="{6F1FCD52-E130-445F-892E-7F386CDD28CC}"/>
    <cellStyle name="Normal 4 7 2 7 2 2" xfId="32699" xr:uid="{97998986-0B97-4028-900E-24DEB4FCFBC7}"/>
    <cellStyle name="Normal 4 7 2 7 3" xfId="23402" xr:uid="{B9D0CEC9-1D76-4971-A22E-42D5313827BE}"/>
    <cellStyle name="Normal 4 7 2 8" xfId="9050" xr:uid="{C18A0BCD-6C40-47C4-AC72-E06914F008F6}"/>
    <cellStyle name="Normal 4 7 2 8 2" xfId="18374" xr:uid="{8B0F4228-A71B-4674-86E2-4F6B21EF0C08}"/>
    <cellStyle name="Normal 4 7 2 8 2 2" xfId="36969" xr:uid="{230F27D8-AEF3-4EA7-8C8A-68CFAC449FE8}"/>
    <cellStyle name="Normal 4 7 2 8 3" xfId="27672" xr:uid="{350C1A8B-2AC5-4CDA-930F-6C5B9F1B548A}"/>
    <cellStyle name="Normal 4 7 2 9" xfId="9886" xr:uid="{4E98755E-0EDE-4AE0-AC70-68E373374032}"/>
    <cellStyle name="Normal 4 7 2 9 2" xfId="28482" xr:uid="{1507221F-C3FD-4292-A7DC-56813C51D9B9}"/>
    <cellStyle name="Normal 4 7 3" xfId="877" xr:uid="{00000000-0005-0000-0000-0000B6160000}"/>
    <cellStyle name="Normal 4 7 3 2" xfId="3112" xr:uid="{00000000-0005-0000-0000-0000B7160000}"/>
    <cellStyle name="Normal 4 7 3 2 2" xfId="7334" xr:uid="{00000000-0005-0000-0000-0000B8160000}"/>
    <cellStyle name="Normal 4 7 3 2 2 2" xfId="16660" xr:uid="{F3839E9E-14E9-4EC7-A3A4-75937B7988D6}"/>
    <cellStyle name="Normal 4 7 3 2 2 2 2" xfId="35256" xr:uid="{42631E8E-6F77-4BE6-95A9-098C2AB41565}"/>
    <cellStyle name="Normal 4 7 3 2 2 3" xfId="25959" xr:uid="{7E544CC2-5392-49F5-A7CA-282900537899}"/>
    <cellStyle name="Normal 4 7 3 2 3" xfId="12443" xr:uid="{CAB62DA2-C42C-4034-8635-30E34D09E47F}"/>
    <cellStyle name="Normal 4 7 3 2 3 2" xfId="31039" xr:uid="{4A694C64-9D4A-48A9-BEE3-322EB82753CC}"/>
    <cellStyle name="Normal 4 7 3 2 4" xfId="21742" xr:uid="{B064EC38-3637-4FF6-AEB1-168BEE5690D5}"/>
    <cellStyle name="Normal 4 7 3 3" xfId="5189" xr:uid="{00000000-0005-0000-0000-0000B9160000}"/>
    <cellStyle name="Normal 4 7 3 3 2" xfId="14515" xr:uid="{EB853E33-8725-4CF0-90C0-A2FA6A103C41}"/>
    <cellStyle name="Normal 4 7 3 3 2 2" xfId="33111" xr:uid="{BB93D4E0-9F7A-4E4C-A7E0-3FEF25229532}"/>
    <cellStyle name="Normal 4 7 3 3 3" xfId="23814" xr:uid="{2E94A9BC-5D68-4D50-9BE5-FE7BCBB0FCDE}"/>
    <cellStyle name="Normal 4 7 3 4" xfId="9268" xr:uid="{83DA99B2-5D77-4110-AEB9-304D3ECEF3EB}"/>
    <cellStyle name="Normal 4 7 3 4 2" xfId="18583" xr:uid="{A4BF2358-0FC2-40E4-9135-2B70132D2EF7}"/>
    <cellStyle name="Normal 4 7 3 4 2 2" xfId="37177" xr:uid="{19B5C6FA-AF02-4203-8207-2198BFDE8A9F}"/>
    <cellStyle name="Normal 4 7 3 4 3" xfId="27880" xr:uid="{76F826A5-6FDD-4B26-8823-25F5B3480379}"/>
    <cellStyle name="Normal 4 7 3 5" xfId="10298" xr:uid="{E0BEA092-5DAF-4486-AF55-B69D99FA50BF}"/>
    <cellStyle name="Normal 4 7 3 5 2" xfId="28894" xr:uid="{0E35EA63-3233-47E2-8735-4EA21AD4D5B1}"/>
    <cellStyle name="Normal 4 7 3 6" xfId="19597" xr:uid="{8FECFAAA-1034-4F6F-949B-A41AFF1D4880}"/>
    <cellStyle name="Normal 4 7 4" xfId="1295" xr:uid="{00000000-0005-0000-0000-0000BA160000}"/>
    <cellStyle name="Normal 4 7 4 2" xfId="3525" xr:uid="{00000000-0005-0000-0000-0000BB160000}"/>
    <cellStyle name="Normal 4 7 4 2 2" xfId="7747" xr:uid="{00000000-0005-0000-0000-0000BC160000}"/>
    <cellStyle name="Normal 4 7 4 2 2 2" xfId="17073" xr:uid="{6C4F409E-0658-4FC4-90DA-B20CC3CDB5BF}"/>
    <cellStyle name="Normal 4 7 4 2 2 2 2" xfId="35669" xr:uid="{9EC38CC3-3EFB-4D42-8A83-4E14F580C67E}"/>
    <cellStyle name="Normal 4 7 4 2 2 3" xfId="26372" xr:uid="{A0D97A33-7F62-4D28-B7F9-258863A91530}"/>
    <cellStyle name="Normal 4 7 4 2 3" xfId="12856" xr:uid="{E7C69F3E-8B2A-4EB8-9492-355BC32AC2AF}"/>
    <cellStyle name="Normal 4 7 4 2 3 2" xfId="31452" xr:uid="{6A5D3520-6239-4C1E-BD47-68E07AF02BB8}"/>
    <cellStyle name="Normal 4 7 4 2 4" xfId="22155" xr:uid="{DBBAE9F8-147F-47C0-8217-72590E99AFE9}"/>
    <cellStyle name="Normal 4 7 4 3" xfId="5602" xr:uid="{00000000-0005-0000-0000-0000BD160000}"/>
    <cellStyle name="Normal 4 7 4 3 2" xfId="14928" xr:uid="{3C5C3C75-E3E0-47E7-999F-AE4FD51CCA72}"/>
    <cellStyle name="Normal 4 7 4 3 2 2" xfId="33524" xr:uid="{0460CF9F-3A6A-4624-B8D3-21351B83B9AE}"/>
    <cellStyle name="Normal 4 7 4 3 3" xfId="24227" xr:uid="{DE8F0B79-2B36-4859-B6FC-68E4EA776D31}"/>
    <cellStyle name="Normal 4 7 4 4" xfId="10711" xr:uid="{2B04142B-56E7-4D83-A8F9-F3FEB9F6C791}"/>
    <cellStyle name="Normal 4 7 4 4 2" xfId="29307" xr:uid="{14B4A9E7-BE8D-4FD4-AC00-B9783A928E50}"/>
    <cellStyle name="Normal 4 7 4 5" xfId="20010" xr:uid="{C37A04D3-27C3-4155-B252-9B6F103F5B4A}"/>
    <cellStyle name="Normal 4 7 5" xfId="1708" xr:uid="{00000000-0005-0000-0000-0000BE160000}"/>
    <cellStyle name="Normal 4 7 5 2" xfId="3938" xr:uid="{00000000-0005-0000-0000-0000BF160000}"/>
    <cellStyle name="Normal 4 7 5 2 2" xfId="8160" xr:uid="{00000000-0005-0000-0000-0000C0160000}"/>
    <cellStyle name="Normal 4 7 5 2 2 2" xfId="17486" xr:uid="{59EEF397-0545-43C9-9A00-4C8EEEF85BD3}"/>
    <cellStyle name="Normal 4 7 5 2 2 2 2" xfId="36082" xr:uid="{688E2D48-E809-4015-8CF3-0BD9442FB15F}"/>
    <cellStyle name="Normal 4 7 5 2 2 3" xfId="26785" xr:uid="{E289D2A3-FB94-4C9F-9DFD-5A16D201F567}"/>
    <cellStyle name="Normal 4 7 5 2 3" xfId="13269" xr:uid="{DDA8A144-87AD-45F9-A515-F9DC2B0077FA}"/>
    <cellStyle name="Normal 4 7 5 2 3 2" xfId="31865" xr:uid="{CE31717C-FE64-4F3F-8BE0-46307219ED16}"/>
    <cellStyle name="Normal 4 7 5 2 4" xfId="22568" xr:uid="{6EEA05E9-8ED8-4A58-8879-EF0C72ACC1F4}"/>
    <cellStyle name="Normal 4 7 5 3" xfId="6015" xr:uid="{00000000-0005-0000-0000-0000C1160000}"/>
    <cellStyle name="Normal 4 7 5 3 2" xfId="15341" xr:uid="{736648E6-632F-44BD-B359-EB70752A0604}"/>
    <cellStyle name="Normal 4 7 5 3 2 2" xfId="33937" xr:uid="{F70252C1-08D8-447D-A17F-0065A11B48CC}"/>
    <cellStyle name="Normal 4 7 5 3 3" xfId="24640" xr:uid="{B605BA49-B708-4893-81A1-0542682A00D0}"/>
    <cellStyle name="Normal 4 7 5 4" xfId="11124" xr:uid="{1DA36EFE-AFA5-4CC0-8BCA-3E274F02CFC4}"/>
    <cellStyle name="Normal 4 7 5 4 2" xfId="29720" xr:uid="{68D6B024-5DB4-4C8F-8611-0E6CDF09C612}"/>
    <cellStyle name="Normal 4 7 5 5" xfId="20423" xr:uid="{EC573351-A513-4486-A303-81A67BF50651}"/>
    <cellStyle name="Normal 4 7 6" xfId="2122" xr:uid="{00000000-0005-0000-0000-0000C2160000}"/>
    <cellStyle name="Normal 4 7 6 2" xfId="4351" xr:uid="{00000000-0005-0000-0000-0000C3160000}"/>
    <cellStyle name="Normal 4 7 6 2 2" xfId="8573" xr:uid="{00000000-0005-0000-0000-0000C4160000}"/>
    <cellStyle name="Normal 4 7 6 2 2 2" xfId="17899" xr:uid="{981C16B3-5837-44E3-8FF5-E7F33A977536}"/>
    <cellStyle name="Normal 4 7 6 2 2 2 2" xfId="36495" xr:uid="{AC15553D-8CEA-4428-A053-C208FA72E988}"/>
    <cellStyle name="Normal 4 7 6 2 2 3" xfId="27198" xr:uid="{EB04396D-B7D5-4FB8-84D7-3141E70DDB8A}"/>
    <cellStyle name="Normal 4 7 6 2 3" xfId="13682" xr:uid="{329E67DC-242F-4825-9164-E6E8F93B8EB7}"/>
    <cellStyle name="Normal 4 7 6 2 3 2" xfId="32278" xr:uid="{E30B8E15-7316-4D7F-B84E-D84F5FDA21B6}"/>
    <cellStyle name="Normal 4 7 6 2 4" xfId="22981" xr:uid="{25ADE70C-9124-4B83-8D03-003379EDD4AA}"/>
    <cellStyle name="Normal 4 7 6 3" xfId="6428" xr:uid="{00000000-0005-0000-0000-0000C5160000}"/>
    <cellStyle name="Normal 4 7 6 3 2" xfId="15754" xr:uid="{BF0BC2E8-6244-48B1-AAD0-5D5D7BB3B277}"/>
    <cellStyle name="Normal 4 7 6 3 2 2" xfId="34350" xr:uid="{8B122AED-35F8-428D-937F-79258E6E6B5F}"/>
    <cellStyle name="Normal 4 7 6 3 3" xfId="25053" xr:uid="{883AD781-49B1-4A2F-9759-E98E49535CF1}"/>
    <cellStyle name="Normal 4 7 6 4" xfId="11537" xr:uid="{AAA4E011-7055-401D-A0B9-ACF79CE8F73D}"/>
    <cellStyle name="Normal 4 7 6 4 2" xfId="30133" xr:uid="{FF3BB965-DB0B-437F-971D-01197A0AFBCF}"/>
    <cellStyle name="Normal 4 7 6 5" xfId="20836" xr:uid="{D2F3B767-7BC8-43A3-A2E8-7EF830750668}"/>
    <cellStyle name="Normal 4 7 7" xfId="2558" xr:uid="{00000000-0005-0000-0000-0000C6160000}"/>
    <cellStyle name="Normal 4 7 7 2" xfId="6841" xr:uid="{00000000-0005-0000-0000-0000C7160000}"/>
    <cellStyle name="Normal 4 7 7 2 2" xfId="16167" xr:uid="{C96C364E-2493-4709-A6F4-C6C3FE4978B7}"/>
    <cellStyle name="Normal 4 7 7 2 2 2" xfId="34763" xr:uid="{62E37268-FFE9-472E-9434-A8BE26331FB0}"/>
    <cellStyle name="Normal 4 7 7 2 3" xfId="25466" xr:uid="{31E53455-B7DE-4968-8E11-EAEA04A2ED80}"/>
    <cellStyle name="Normal 4 7 7 3" xfId="11950" xr:uid="{3B7D9793-A0F8-4540-93E4-35CFE74B7D36}"/>
    <cellStyle name="Normal 4 7 7 3 2" xfId="30546" xr:uid="{1A775DE0-5368-4951-9AC0-83CA0C377E28}"/>
    <cellStyle name="Normal 4 7 7 4" xfId="21249" xr:uid="{1ABC1CEE-392C-4AD7-B85C-582020F6472A}"/>
    <cellStyle name="Normal 4 7 8" xfId="4776" xr:uid="{00000000-0005-0000-0000-0000C8160000}"/>
    <cellStyle name="Normal 4 7 8 2" xfId="14102" xr:uid="{14217AD9-E640-4D55-8F1A-0D1BFC7212BB}"/>
    <cellStyle name="Normal 4 7 8 2 2" xfId="32698" xr:uid="{E52114FF-1404-45E1-BFC1-A71997BFA8AA}"/>
    <cellStyle name="Normal 4 7 8 3" xfId="23401" xr:uid="{11734FD5-6B44-46FD-9C16-EE1F38CC4589}"/>
    <cellStyle name="Normal 4 7 9" xfId="8843" xr:uid="{092972D9-0015-4C5A-94A6-5AFD2026266B}"/>
    <cellStyle name="Normal 4 7 9 2" xfId="18167" xr:uid="{9296E454-31F3-4272-BB3C-121C01941012}"/>
    <cellStyle name="Normal 4 7 9 2 2" xfId="36762" xr:uid="{EAE62DE9-FB22-44DA-862E-D7ABE9547114}"/>
    <cellStyle name="Normal 4 7 9 3" xfId="27465" xr:uid="{18645DDE-23A6-4825-A08B-B741D381641F}"/>
    <cellStyle name="Normal 4 8" xfId="405" xr:uid="{00000000-0005-0000-0000-0000C9160000}"/>
    <cellStyle name="Normal 4 8 10" xfId="19186" xr:uid="{EEF2EC32-2A14-45D4-9D1B-1416DFA9F886}"/>
    <cellStyle name="Normal 4 8 2" xfId="879" xr:uid="{00000000-0005-0000-0000-0000CA160000}"/>
    <cellStyle name="Normal 4 8 2 2" xfId="3114" xr:uid="{00000000-0005-0000-0000-0000CB160000}"/>
    <cellStyle name="Normal 4 8 2 2 2" xfId="7336" xr:uid="{00000000-0005-0000-0000-0000CC160000}"/>
    <cellStyle name="Normal 4 8 2 2 2 2" xfId="16662" xr:uid="{0DA4DAC3-207E-469D-A32C-1CF59E79A064}"/>
    <cellStyle name="Normal 4 8 2 2 2 2 2" xfId="35258" xr:uid="{9FA86AFD-7DE9-4979-A243-142DE27802B1}"/>
    <cellStyle name="Normal 4 8 2 2 2 3" xfId="25961" xr:uid="{9167638B-EBE5-42BB-A557-9623FCF248E3}"/>
    <cellStyle name="Normal 4 8 2 2 3" xfId="12445" xr:uid="{76767461-09CC-42F8-8B80-B233B3E31584}"/>
    <cellStyle name="Normal 4 8 2 2 3 2" xfId="31041" xr:uid="{8685869D-984C-4767-8793-CA041F0ADC25}"/>
    <cellStyle name="Normal 4 8 2 2 4" xfId="21744" xr:uid="{4414E326-569A-4434-A731-B414AE3F43A3}"/>
    <cellStyle name="Normal 4 8 2 3" xfId="5191" xr:uid="{00000000-0005-0000-0000-0000CD160000}"/>
    <cellStyle name="Normal 4 8 2 3 2" xfId="14517" xr:uid="{C6715D56-991A-4941-B602-27F6232C1927}"/>
    <cellStyle name="Normal 4 8 2 3 2 2" xfId="33113" xr:uid="{41F2B153-1789-4659-A780-A1607797EE1B}"/>
    <cellStyle name="Normal 4 8 2 3 3" xfId="23816" xr:uid="{EDA13DE2-F9F3-47A5-AF56-6E41D6B1B881}"/>
    <cellStyle name="Normal 4 8 2 4" xfId="9384" xr:uid="{6351F1DA-E485-4044-8429-C0AE76E79EEE}"/>
    <cellStyle name="Normal 4 8 2 4 2" xfId="18699" xr:uid="{C73192BF-A6F1-4A77-A46C-7AE7A3E9E919}"/>
    <cellStyle name="Normal 4 8 2 4 2 2" xfId="37293" xr:uid="{EA441EC2-20A5-4328-ACAD-EDEEFDA0D305}"/>
    <cellStyle name="Normal 4 8 2 4 3" xfId="27996" xr:uid="{69477694-EAC6-47C1-9450-128C25B860A6}"/>
    <cellStyle name="Normal 4 8 2 5" xfId="10300" xr:uid="{E87E6DEC-337A-4567-9F99-36EA34DE9976}"/>
    <cellStyle name="Normal 4 8 2 5 2" xfId="28896" xr:uid="{F57C808B-5104-4ECC-8E8D-BE8F4B3EE9F7}"/>
    <cellStyle name="Normal 4 8 2 6" xfId="19599" xr:uid="{E9AB02F3-DB18-4C45-AE5F-114A4CB3814D}"/>
    <cellStyle name="Normal 4 8 3" xfId="1297" xr:uid="{00000000-0005-0000-0000-0000CE160000}"/>
    <cellStyle name="Normal 4 8 3 2" xfId="3527" xr:uid="{00000000-0005-0000-0000-0000CF160000}"/>
    <cellStyle name="Normal 4 8 3 2 2" xfId="7749" xr:uid="{00000000-0005-0000-0000-0000D0160000}"/>
    <cellStyle name="Normal 4 8 3 2 2 2" xfId="17075" xr:uid="{C4307D20-7FE7-4E5C-91EC-54DFE3915535}"/>
    <cellStyle name="Normal 4 8 3 2 2 2 2" xfId="35671" xr:uid="{3B600E0D-6E48-4EC7-B4A4-6AD867552677}"/>
    <cellStyle name="Normal 4 8 3 2 2 3" xfId="26374" xr:uid="{97F44369-8FEC-4DC1-8BBD-EB34690F628B}"/>
    <cellStyle name="Normal 4 8 3 2 3" xfId="12858" xr:uid="{941FD587-F9B8-4C56-A65E-D9A3C7266C89}"/>
    <cellStyle name="Normal 4 8 3 2 3 2" xfId="31454" xr:uid="{94B03960-8605-4F87-8595-0C9DDAFB2BA2}"/>
    <cellStyle name="Normal 4 8 3 2 4" xfId="22157" xr:uid="{9702F23B-846F-4FFC-AF78-AA0DB7D39FAB}"/>
    <cellStyle name="Normal 4 8 3 3" xfId="5604" xr:uid="{00000000-0005-0000-0000-0000D1160000}"/>
    <cellStyle name="Normal 4 8 3 3 2" xfId="14930" xr:uid="{B00E7F1C-CD1B-49A3-932E-633D7A623A4D}"/>
    <cellStyle name="Normal 4 8 3 3 2 2" xfId="33526" xr:uid="{324456D0-7C2E-4605-8344-217B00CA4BFE}"/>
    <cellStyle name="Normal 4 8 3 3 3" xfId="24229" xr:uid="{07A3BD81-A3EC-437D-AA0D-A38E823F3DC8}"/>
    <cellStyle name="Normal 4 8 3 4" xfId="10713" xr:uid="{6CF3D591-AAED-4819-9104-5A27AAAE8278}"/>
    <cellStyle name="Normal 4 8 3 4 2" xfId="29309" xr:uid="{BAC38A73-09F7-44BD-863A-72CF23B15F76}"/>
    <cellStyle name="Normal 4 8 3 5" xfId="20012" xr:uid="{34E96015-D1F0-4A4B-B574-E9D978E05A23}"/>
    <cellStyle name="Normal 4 8 4" xfId="1710" xr:uid="{00000000-0005-0000-0000-0000D2160000}"/>
    <cellStyle name="Normal 4 8 4 2" xfId="3940" xr:uid="{00000000-0005-0000-0000-0000D3160000}"/>
    <cellStyle name="Normal 4 8 4 2 2" xfId="8162" xr:uid="{00000000-0005-0000-0000-0000D4160000}"/>
    <cellStyle name="Normal 4 8 4 2 2 2" xfId="17488" xr:uid="{61B1243C-7247-4D0A-9B09-1E93F8669EC8}"/>
    <cellStyle name="Normal 4 8 4 2 2 2 2" xfId="36084" xr:uid="{019C382A-DB34-4EBC-9FEB-F7A353E9C821}"/>
    <cellStyle name="Normal 4 8 4 2 2 3" xfId="26787" xr:uid="{5672F803-A23F-4359-A8EE-079F16E1553C}"/>
    <cellStyle name="Normal 4 8 4 2 3" xfId="13271" xr:uid="{73811BC0-6109-4434-AD54-2874D7ECCFB9}"/>
    <cellStyle name="Normal 4 8 4 2 3 2" xfId="31867" xr:uid="{E65D345A-1C1B-468E-9EBD-C6EEAA46FD3D}"/>
    <cellStyle name="Normal 4 8 4 2 4" xfId="22570" xr:uid="{9F2D266F-F2DF-465F-BCB5-88EF694F767C}"/>
    <cellStyle name="Normal 4 8 4 3" xfId="6017" xr:uid="{00000000-0005-0000-0000-0000D5160000}"/>
    <cellStyle name="Normal 4 8 4 3 2" xfId="15343" xr:uid="{ABA0745B-A535-44C0-A985-424F24F19885}"/>
    <cellStyle name="Normal 4 8 4 3 2 2" xfId="33939" xr:uid="{1DB9BCA9-C9BE-4BAD-BF9D-368A17E4D189}"/>
    <cellStyle name="Normal 4 8 4 3 3" xfId="24642" xr:uid="{F2E7ED2B-DF75-4568-90D3-C538D14CB17F}"/>
    <cellStyle name="Normal 4 8 4 4" xfId="11126" xr:uid="{303C82E9-FC3C-45A6-9528-2FFC236900AC}"/>
    <cellStyle name="Normal 4 8 4 4 2" xfId="29722" xr:uid="{3306F77A-6963-4E12-BFEF-73A4BF140292}"/>
    <cellStyle name="Normal 4 8 4 5" xfId="20425" xr:uid="{5036BE88-40DB-4833-A83D-B5099D85C1F7}"/>
    <cellStyle name="Normal 4 8 5" xfId="2124" xr:uid="{00000000-0005-0000-0000-0000D6160000}"/>
    <cellStyle name="Normal 4 8 5 2" xfId="4353" xr:uid="{00000000-0005-0000-0000-0000D7160000}"/>
    <cellStyle name="Normal 4 8 5 2 2" xfId="8575" xr:uid="{00000000-0005-0000-0000-0000D8160000}"/>
    <cellStyle name="Normal 4 8 5 2 2 2" xfId="17901" xr:uid="{2C13C032-B884-4C9F-A28E-34A5480AB066}"/>
    <cellStyle name="Normal 4 8 5 2 2 2 2" xfId="36497" xr:uid="{973BA3A4-19DF-4C25-88D2-1A2CCAA0415B}"/>
    <cellStyle name="Normal 4 8 5 2 2 3" xfId="27200" xr:uid="{33608ABA-4117-421F-A227-9CD1F8689B2E}"/>
    <cellStyle name="Normal 4 8 5 2 3" xfId="13684" xr:uid="{69B7BB21-7B47-45B2-8EE7-6F1A1FD494AB}"/>
    <cellStyle name="Normal 4 8 5 2 3 2" xfId="32280" xr:uid="{8832DBC5-D027-400A-B276-4BFCF81CD23B}"/>
    <cellStyle name="Normal 4 8 5 2 4" xfId="22983" xr:uid="{A04EAECB-798B-499F-8646-F0F35AA658C9}"/>
    <cellStyle name="Normal 4 8 5 3" xfId="6430" xr:uid="{00000000-0005-0000-0000-0000D9160000}"/>
    <cellStyle name="Normal 4 8 5 3 2" xfId="15756" xr:uid="{31F4F599-C223-4CB7-8AE6-8E4DBDE73D56}"/>
    <cellStyle name="Normal 4 8 5 3 2 2" xfId="34352" xr:uid="{6AFEBED8-18D5-47FB-93F0-32AEA1D0C12F}"/>
    <cellStyle name="Normal 4 8 5 3 3" xfId="25055" xr:uid="{A7381644-804D-476D-9012-846F45B810D5}"/>
    <cellStyle name="Normal 4 8 5 4" xfId="11539" xr:uid="{6CC1597C-BCF5-4C90-B624-98CAC82D9E6C}"/>
    <cellStyle name="Normal 4 8 5 4 2" xfId="30135" xr:uid="{348CA75A-FA70-477C-877B-508764332EE8}"/>
    <cellStyle name="Normal 4 8 5 5" xfId="20838" xr:uid="{F7413B2C-DEB3-4F27-9369-BCBEC11AC08F}"/>
    <cellStyle name="Normal 4 8 6" xfId="2560" xr:uid="{00000000-0005-0000-0000-0000DA160000}"/>
    <cellStyle name="Normal 4 8 6 2" xfId="6843" xr:uid="{00000000-0005-0000-0000-0000DB160000}"/>
    <cellStyle name="Normal 4 8 6 2 2" xfId="16169" xr:uid="{2A388253-1936-461C-B7F6-71BAB9B2B79D}"/>
    <cellStyle name="Normal 4 8 6 2 2 2" xfId="34765" xr:uid="{E1271886-A9F9-470F-AFE2-62E2BF547365}"/>
    <cellStyle name="Normal 4 8 6 2 3" xfId="25468" xr:uid="{E0F66ED3-FB12-4C01-B20E-D096B3D94305}"/>
    <cellStyle name="Normal 4 8 6 3" xfId="11952" xr:uid="{C81BFA4A-2A69-4EA4-8FC7-A892C3194260}"/>
    <cellStyle name="Normal 4 8 6 3 2" xfId="30548" xr:uid="{1C05FA8C-4E2F-4982-89FD-FAAD98345141}"/>
    <cellStyle name="Normal 4 8 6 4" xfId="21251" xr:uid="{7DDF86E9-71A8-4F75-ACB2-1989145CF967}"/>
    <cellStyle name="Normal 4 8 7" xfId="4778" xr:uid="{00000000-0005-0000-0000-0000DC160000}"/>
    <cellStyle name="Normal 4 8 7 2" xfId="14104" xr:uid="{458C40CB-6044-4304-B58C-97AC35A5BAE4}"/>
    <cellStyle name="Normal 4 8 7 2 2" xfId="32700" xr:uid="{6FC6EDEC-5D57-4AC2-962A-F752B34396F1}"/>
    <cellStyle name="Normal 4 8 7 3" xfId="23403" xr:uid="{C307426D-1361-4847-A6DD-ECB88633ACA8}"/>
    <cellStyle name="Normal 4 8 8" xfId="8959" xr:uid="{E3216EF3-66EB-48FF-967C-A258B3C3F4FF}"/>
    <cellStyle name="Normal 4 8 8 2" xfId="18283" xr:uid="{9812D3B2-AF32-4340-B8F3-5E38D092F7DB}"/>
    <cellStyle name="Normal 4 8 8 2 2" xfId="36878" xr:uid="{7A0105A3-D61A-4A75-A28F-301D25BBF2FC}"/>
    <cellStyle name="Normal 4 8 8 3" xfId="27581" xr:uid="{80B4CF71-F5BF-445B-9302-EBE48989CA93}"/>
    <cellStyle name="Normal 4 8 9" xfId="9887" xr:uid="{FA29587D-F6A3-4C39-B86C-0E527665A17A}"/>
    <cellStyle name="Normal 4 8 9 2" xfId="28483" xr:uid="{2F3CEDE0-BB71-47A1-AE31-346353B0D701}"/>
    <cellStyle name="Normal 4 9" xfId="4715" xr:uid="{00000000-0005-0000-0000-0000DD160000}"/>
    <cellStyle name="Normal 4 9 2" xfId="9162" xr:uid="{BC355FAB-4557-4712-A03F-EB5522B29E6A}"/>
    <cellStyle name="Normal 4 9 2 2" xfId="18480" xr:uid="{0C99C5CF-70A6-4B94-820B-96956B3A642C}"/>
    <cellStyle name="Normal 4 9 2 2 2" xfId="37074" xr:uid="{5BD0C2DD-99B9-4C10-8E66-3DC6DE8A4CA0}"/>
    <cellStyle name="Normal 4 9 2 3" xfId="27777" xr:uid="{520C7232-0D06-46AC-8F9F-72825CF0EBE2}"/>
    <cellStyle name="Normal 4 9 3" xfId="14041" xr:uid="{1A8B78B3-73D5-47E4-B443-49E0A6746A3F}"/>
    <cellStyle name="Normal 4 9 3 2" xfId="32637" xr:uid="{F848917D-D317-431F-BB52-208CD937F60A}"/>
    <cellStyle name="Normal 4 9 4" xfId="23340" xr:uid="{1F9C9D1B-9834-44BD-B382-9E165F76BE99}"/>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52A125E3-1BBA-445F-86EB-1C8CE83E5850}"/>
    <cellStyle name="Normal 5 10 2 2 2 2" xfId="36085" xr:uid="{A1F56DDF-E142-44F9-8570-1F9C51017149}"/>
    <cellStyle name="Normal 5 10 2 2 3" xfId="26788" xr:uid="{91BA69C6-AA79-4E35-B804-D4BE5B58AEFE}"/>
    <cellStyle name="Normal 5 10 2 3" xfId="13272" xr:uid="{BAE48AE5-6791-4C94-A9B1-0520C50A3985}"/>
    <cellStyle name="Normal 5 10 2 3 2" xfId="31868" xr:uid="{7A7E73B8-7AA9-4726-A03D-EE4C35A8D04B}"/>
    <cellStyle name="Normal 5 10 2 4" xfId="22571" xr:uid="{100D081A-B673-45A4-898B-1DEFA59099ED}"/>
    <cellStyle name="Normal 5 10 3" xfId="6018" xr:uid="{00000000-0005-0000-0000-0000E2160000}"/>
    <cellStyle name="Normal 5 10 3 2" xfId="15344" xr:uid="{A45487C8-37F3-452F-B6EA-2FC6311AAF20}"/>
    <cellStyle name="Normal 5 10 3 2 2" xfId="33940" xr:uid="{C6C7B54E-819A-4181-99EB-4F5FCB47649C}"/>
    <cellStyle name="Normal 5 10 3 3" xfId="24643" xr:uid="{C7B75B1B-9367-4AF8-9B5A-ABD537D69914}"/>
    <cellStyle name="Normal 5 10 4" xfId="11127" xr:uid="{F1781E99-8D72-408B-A8A0-06CA8637E573}"/>
    <cellStyle name="Normal 5 10 4 2" xfId="29723" xr:uid="{7D579D1B-9048-45CF-AC0C-7F65E9F8D6C9}"/>
    <cellStyle name="Normal 5 10 5" xfId="20426" xr:uid="{0A7AA743-0745-4E74-8972-5906DAB9BAB8}"/>
    <cellStyle name="Normal 5 11" xfId="2125" xr:uid="{00000000-0005-0000-0000-0000E3160000}"/>
    <cellStyle name="Normal 5 11 2" xfId="4354" xr:uid="{00000000-0005-0000-0000-0000E4160000}"/>
    <cellStyle name="Normal 5 11 2 2" xfId="8576" xr:uid="{00000000-0005-0000-0000-0000E5160000}"/>
    <cellStyle name="Normal 5 11 2 2 2" xfId="17902" xr:uid="{58A8E0E5-5D60-4CA8-90D8-BAF45979A4F0}"/>
    <cellStyle name="Normal 5 11 2 2 2 2" xfId="36498" xr:uid="{323E0B2C-B47B-40D2-9C26-B5C44EBB4520}"/>
    <cellStyle name="Normal 5 11 2 2 3" xfId="27201" xr:uid="{571EA342-F295-40BB-AF5B-7C4E40C2969E}"/>
    <cellStyle name="Normal 5 11 2 3" xfId="13685" xr:uid="{C0D03D84-D101-4CBB-B68B-CCF9381A784A}"/>
    <cellStyle name="Normal 5 11 2 3 2" xfId="32281" xr:uid="{B2A2C8BB-A6D5-49E0-B04E-D9BA0D3E4D4A}"/>
    <cellStyle name="Normal 5 11 2 4" xfId="22984" xr:uid="{1B99DE65-1EA2-4AC7-BA6A-EEAF33076153}"/>
    <cellStyle name="Normal 5 11 3" xfId="6431" xr:uid="{00000000-0005-0000-0000-0000E6160000}"/>
    <cellStyle name="Normal 5 11 3 2" xfId="15757" xr:uid="{7FDBAAD4-C83D-45BD-B9A1-71D664204D39}"/>
    <cellStyle name="Normal 5 11 3 2 2" xfId="34353" xr:uid="{50913F40-F016-46DA-A2DF-A2C6382A10C2}"/>
    <cellStyle name="Normal 5 11 3 3" xfId="25056" xr:uid="{BC3CCB25-33F9-4481-9D51-AA8811654D2B}"/>
    <cellStyle name="Normal 5 11 4" xfId="11540" xr:uid="{CCB79256-ACA2-4605-AC4F-EC393DB76E66}"/>
    <cellStyle name="Normal 5 11 4 2" xfId="30136" xr:uid="{97DE6F92-F10F-4B35-A47F-7323BEC877BD}"/>
    <cellStyle name="Normal 5 11 5" xfId="20839" xr:uid="{8773FF0C-D36D-47A9-B9E0-449B534C5AAA}"/>
    <cellStyle name="Normal 5 12" xfId="2561" xr:uid="{00000000-0005-0000-0000-0000E7160000}"/>
    <cellStyle name="Normal 5 12 2" xfId="6844" xr:uid="{00000000-0005-0000-0000-0000E8160000}"/>
    <cellStyle name="Normal 5 12 2 2" xfId="16170" xr:uid="{FE1B6395-368A-4476-94D0-7DB34CA00EB6}"/>
    <cellStyle name="Normal 5 12 2 2 2" xfId="34766" xr:uid="{138A7B3C-5F67-4312-B99A-8949F1306196}"/>
    <cellStyle name="Normal 5 12 2 3" xfId="25469" xr:uid="{1D427FCD-674D-41C0-B44A-716331991BBC}"/>
    <cellStyle name="Normal 5 12 3" xfId="11953" xr:uid="{5D95C289-4448-4BA3-9156-B2E33531A739}"/>
    <cellStyle name="Normal 5 12 3 2" xfId="30549" xr:uid="{FA6B9503-8FB7-4F2B-9F4F-608ED969F5F2}"/>
    <cellStyle name="Normal 5 12 4" xfId="21252" xr:uid="{AB324366-79E2-4F39-B097-4B10B93CC8A1}"/>
    <cellStyle name="Normal 5 13" xfId="4779" xr:uid="{00000000-0005-0000-0000-0000E9160000}"/>
    <cellStyle name="Normal 5 13 2" xfId="14105" xr:uid="{01537F9F-7939-48FA-8C24-AEB89C2453F8}"/>
    <cellStyle name="Normal 5 13 2 2" xfId="32701" xr:uid="{534199A3-45E9-40E4-B29C-46527DD961DD}"/>
    <cellStyle name="Normal 5 13 3" xfId="23404" xr:uid="{581193B4-A2BE-422B-892F-09E5D2CA39F8}"/>
    <cellStyle name="Normal 5 14" xfId="8741" xr:uid="{6467398C-BC57-47BF-AF01-9B3356F8431F}"/>
    <cellStyle name="Normal 5 14 2" xfId="18065" xr:uid="{EA024C17-07AC-4692-8705-C98A256CE3A0}"/>
    <cellStyle name="Normal 5 14 2 2" xfId="36660" xr:uid="{296111B6-F57C-4D9E-B0F9-52045AAA2F92}"/>
    <cellStyle name="Normal 5 14 3" xfId="27363" xr:uid="{AD78D931-3B43-49B6-A9DB-3F377E81B6B1}"/>
    <cellStyle name="Normal 5 15" xfId="9888" xr:uid="{EE0BFAEB-492A-442F-A40F-8DEE59DAC921}"/>
    <cellStyle name="Normal 5 15 2" xfId="28484" xr:uid="{0AA27307-C69C-4DC1-BDE6-8AD99CCCDD44}"/>
    <cellStyle name="Normal 5 16" xfId="19187" xr:uid="{7B381A01-2BE5-4A14-9A83-8B23482A77BA}"/>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31D53857-58CC-4337-978D-D681FE73D5E3}"/>
    <cellStyle name="Normal 5 2 10 2 2 2 2" xfId="36499" xr:uid="{BAED276D-C44A-40C4-A769-139A384C67D3}"/>
    <cellStyle name="Normal 5 2 10 2 2 3" xfId="27202" xr:uid="{B7EAED00-9FE1-408D-875E-D2236E51DAF4}"/>
    <cellStyle name="Normal 5 2 10 2 3" xfId="13686" xr:uid="{4FDDAC3E-2430-432B-991A-EDD740D362D1}"/>
    <cellStyle name="Normal 5 2 10 2 3 2" xfId="32282" xr:uid="{E7D3F7BF-D886-4A1A-B2D6-3D7E784FFEBA}"/>
    <cellStyle name="Normal 5 2 10 2 4" xfId="22985" xr:uid="{B229B69C-6627-4355-8B2E-F4E6FAB256E1}"/>
    <cellStyle name="Normal 5 2 10 3" xfId="6432" xr:uid="{00000000-0005-0000-0000-0000EE160000}"/>
    <cellStyle name="Normal 5 2 10 3 2" xfId="15758" xr:uid="{C06097F5-67B9-4BD9-8366-16CADA6583AE}"/>
    <cellStyle name="Normal 5 2 10 3 2 2" xfId="34354" xr:uid="{2C623E18-02C8-4523-A98C-9856B818AB1A}"/>
    <cellStyle name="Normal 5 2 10 3 3" xfId="25057" xr:uid="{143E275F-5A91-4BA6-A3E7-A8824F990AAD}"/>
    <cellStyle name="Normal 5 2 10 4" xfId="11541" xr:uid="{E1107F76-A178-4C52-A876-6CACB93F0443}"/>
    <cellStyle name="Normal 5 2 10 4 2" xfId="30137" xr:uid="{225F9508-3380-4F6A-90E9-6E4907538AAE}"/>
    <cellStyle name="Normal 5 2 10 5" xfId="20840" xr:uid="{AA32A6EA-E943-4962-9160-5A22E5271648}"/>
    <cellStyle name="Normal 5 2 11" xfId="2562" xr:uid="{00000000-0005-0000-0000-0000EF160000}"/>
    <cellStyle name="Normal 5 2 11 2" xfId="6845" xr:uid="{00000000-0005-0000-0000-0000F0160000}"/>
    <cellStyle name="Normal 5 2 11 2 2" xfId="16171" xr:uid="{EAD2B00B-09A1-4463-A323-87DBABC274D7}"/>
    <cellStyle name="Normal 5 2 11 2 2 2" xfId="34767" xr:uid="{5C5F1D83-795F-4A79-8CE3-3745ED5004DF}"/>
    <cellStyle name="Normal 5 2 11 2 3" xfId="25470" xr:uid="{D94E12D6-2E2E-497B-AC7B-76D171B973D3}"/>
    <cellStyle name="Normal 5 2 11 3" xfId="11954" xr:uid="{BC52EAF6-E508-4030-827F-E3E139850A47}"/>
    <cellStyle name="Normal 5 2 11 3 2" xfId="30550" xr:uid="{23B64AC3-0C0E-4E86-90D7-DE2879356711}"/>
    <cellStyle name="Normal 5 2 11 4" xfId="21253" xr:uid="{2D41E887-492D-405C-9A53-5078A138B118}"/>
    <cellStyle name="Normal 5 2 12" xfId="4780" xr:uid="{00000000-0005-0000-0000-0000F1160000}"/>
    <cellStyle name="Normal 5 2 12 2" xfId="14106" xr:uid="{DC135108-8CAC-43D4-BE02-1714B80BA663}"/>
    <cellStyle name="Normal 5 2 12 2 2" xfId="32702" xr:uid="{06ABAF06-4070-4EF4-B370-F3AFA9B06D7C}"/>
    <cellStyle name="Normal 5 2 12 3" xfId="23405" xr:uid="{985F7BD4-ABCC-40D9-AEC1-3579A00F7707}"/>
    <cellStyle name="Normal 5 2 13" xfId="8744" xr:uid="{40D5DF2B-E9DF-4D52-AAE0-3E5A94050B59}"/>
    <cellStyle name="Normal 5 2 13 2" xfId="18068" xr:uid="{10DFD745-CB54-4E92-AC92-A2B9810BCC47}"/>
    <cellStyle name="Normal 5 2 13 2 2" xfId="36663" xr:uid="{3CFF6D36-281C-41F6-A7A1-2B3B060289E1}"/>
    <cellStyle name="Normal 5 2 13 3" xfId="27366" xr:uid="{29D25BAC-F661-4E2C-A2C6-AE2CC52A78D3}"/>
    <cellStyle name="Normal 5 2 14" xfId="9889" xr:uid="{43B8BBFA-0F0E-4FCD-967B-4BE29F5310D9}"/>
    <cellStyle name="Normal 5 2 14 2" xfId="28485" xr:uid="{921A5EF8-1DEC-4E07-98D8-1CDAF68B186E}"/>
    <cellStyle name="Normal 5 2 15" xfId="19188" xr:uid="{93331AEF-43A6-42D8-AC04-1231D2EE7F22}"/>
    <cellStyle name="Normal 5 2 2" xfId="408" xr:uid="{00000000-0005-0000-0000-0000F2160000}"/>
    <cellStyle name="Normal 5 2 2 10" xfId="2563" xr:uid="{00000000-0005-0000-0000-0000F3160000}"/>
    <cellStyle name="Normal 5 2 2 10 2" xfId="6846" xr:uid="{00000000-0005-0000-0000-0000F4160000}"/>
    <cellStyle name="Normal 5 2 2 10 2 2" xfId="16172" xr:uid="{E70573FB-1D93-4F84-89BA-1665527BC8A3}"/>
    <cellStyle name="Normal 5 2 2 10 2 2 2" xfId="34768" xr:uid="{8C4C80F3-9872-4A5F-8FB2-CC9EA5126BAB}"/>
    <cellStyle name="Normal 5 2 2 10 2 3" xfId="25471" xr:uid="{CA793899-ED9F-4238-9750-09ED7435CE39}"/>
    <cellStyle name="Normal 5 2 2 10 3" xfId="11955" xr:uid="{DD5AD921-5B1E-4494-AEE2-D0BDECC0AB97}"/>
    <cellStyle name="Normal 5 2 2 10 3 2" xfId="30551" xr:uid="{A119328C-1867-4DD4-941B-D62EED576CF5}"/>
    <cellStyle name="Normal 5 2 2 10 4" xfId="21254" xr:uid="{CF6A10E5-F1F1-49D0-8F32-9BD237772F41}"/>
    <cellStyle name="Normal 5 2 2 11" xfId="4781" xr:uid="{00000000-0005-0000-0000-0000F5160000}"/>
    <cellStyle name="Normal 5 2 2 11 2" xfId="14107" xr:uid="{5052D8C3-D641-4DB5-9629-B494F61A0487}"/>
    <cellStyle name="Normal 5 2 2 11 2 2" xfId="32703" xr:uid="{B2B86D87-3271-40FA-B44B-4D4A9971755E}"/>
    <cellStyle name="Normal 5 2 2 11 3" xfId="23406" xr:uid="{7BDBF41B-7D9E-4510-8618-61BD1F25ADE1}"/>
    <cellStyle name="Normal 5 2 2 12" xfId="8753" xr:uid="{96D04E2F-D92F-448D-9FDA-8261D8BEE094}"/>
    <cellStyle name="Normal 5 2 2 12 2" xfId="18077" xr:uid="{382DA316-1F3F-410E-8A55-3D37801AAD72}"/>
    <cellStyle name="Normal 5 2 2 12 2 2" xfId="36672" xr:uid="{8330DE7A-CD69-438D-8972-1569F3FA4BA6}"/>
    <cellStyle name="Normal 5 2 2 12 3" xfId="27375" xr:uid="{F65B3B14-6B4B-4F7B-BFB5-D6D2783C35B4}"/>
    <cellStyle name="Normal 5 2 2 13" xfId="9890" xr:uid="{D60C4445-31B1-4907-8FCB-F7B4A7327D0C}"/>
    <cellStyle name="Normal 5 2 2 13 2" xfId="28486" xr:uid="{9E9ABA60-92D3-49C4-BFF3-32433B3956A8}"/>
    <cellStyle name="Normal 5 2 2 14" xfId="19189" xr:uid="{EA393F33-1BB3-4809-8882-8652F1B88FBA}"/>
    <cellStyle name="Normal 5 2 2 2" xfId="409" xr:uid="{00000000-0005-0000-0000-0000F6160000}"/>
    <cellStyle name="Normal 5 2 2 2 10" xfId="4782" xr:uid="{00000000-0005-0000-0000-0000F7160000}"/>
    <cellStyle name="Normal 5 2 2 2 10 2" xfId="14108" xr:uid="{9829A5E0-47EE-46F1-A828-CA83943F33F0}"/>
    <cellStyle name="Normal 5 2 2 2 10 2 2" xfId="32704" xr:uid="{13EFFAF2-375F-4B87-8381-7B26447861D9}"/>
    <cellStyle name="Normal 5 2 2 2 10 3" xfId="23407" xr:uid="{F7DDF52A-ED13-4CB8-AE9F-EAA876ACD4BD}"/>
    <cellStyle name="Normal 5 2 2 2 11" xfId="8771" xr:uid="{0E58ED1C-12F1-4692-801F-170CA6F7CBDB}"/>
    <cellStyle name="Normal 5 2 2 2 11 2" xfId="18095" xr:uid="{A4370DD9-4442-44C2-8BC5-592D52FF67E1}"/>
    <cellStyle name="Normal 5 2 2 2 11 2 2" xfId="36690" xr:uid="{12083E3C-500F-4E75-918C-810C487A9F9C}"/>
    <cellStyle name="Normal 5 2 2 2 11 3" xfId="27393" xr:uid="{34EFF3A5-AA74-4A46-9E23-16010AF99524}"/>
    <cellStyle name="Normal 5 2 2 2 12" xfId="9891" xr:uid="{D570EC7A-FA88-4752-8F4D-83C4652B1170}"/>
    <cellStyle name="Normal 5 2 2 2 12 2" xfId="28487" xr:uid="{598FCF80-A2BF-4377-83B3-0B375746F31F}"/>
    <cellStyle name="Normal 5 2 2 2 13" xfId="19190" xr:uid="{9EDC284C-0760-49AD-AF7D-6E0BF87F4C6B}"/>
    <cellStyle name="Normal 5 2 2 2 2" xfId="410" xr:uid="{00000000-0005-0000-0000-0000F8160000}"/>
    <cellStyle name="Normal 5 2 2 2 2 10" xfId="8829" xr:uid="{AC161972-21E9-4E03-8D2E-9F95632CB08D}"/>
    <cellStyle name="Normal 5 2 2 2 2 10 2" xfId="18153" xr:uid="{32569E64-6259-42B3-BE02-A4046B175C17}"/>
    <cellStyle name="Normal 5 2 2 2 2 10 2 2" xfId="36748" xr:uid="{8AD83EFB-99F3-436B-B7C3-0312A096B18C}"/>
    <cellStyle name="Normal 5 2 2 2 2 10 3" xfId="27451" xr:uid="{D015EFDE-3C76-460B-B034-058850BFEFE5}"/>
    <cellStyle name="Normal 5 2 2 2 2 11" xfId="9892" xr:uid="{BD226AB2-B85C-4213-9946-6EC219A19F29}"/>
    <cellStyle name="Normal 5 2 2 2 2 11 2" xfId="28488" xr:uid="{1E970466-7AF4-4325-9F7D-3A2EFB05DE5B}"/>
    <cellStyle name="Normal 5 2 2 2 2 12" xfId="19191" xr:uid="{5DE1DB3D-CEC3-4E38-9034-68E382B49921}"/>
    <cellStyle name="Normal 5 2 2 2 2 2" xfId="411" xr:uid="{00000000-0005-0000-0000-0000F9160000}"/>
    <cellStyle name="Normal 5 2 2 2 2 2 10" xfId="9893" xr:uid="{72BB7045-3C53-44D6-92D9-D8E82251B0C1}"/>
    <cellStyle name="Normal 5 2 2 2 2 2 10 2" xfId="28489" xr:uid="{575220B9-686D-4B96-9A8E-A0D4B106A3B4}"/>
    <cellStyle name="Normal 5 2 2 2 2 2 11" xfId="19192" xr:uid="{E84ADDA7-185D-4143-89E8-85AC0CD0B4E8}"/>
    <cellStyle name="Normal 5 2 2 2 2 2 2" xfId="412" xr:uid="{00000000-0005-0000-0000-0000FA160000}"/>
    <cellStyle name="Normal 5 2 2 2 2 2 2 10" xfId="19193" xr:uid="{FAB058CF-E48C-4A29-8A3D-92414976E5BA}"/>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1C5FE494-6059-4C49-A14B-7458233D14B1}"/>
    <cellStyle name="Normal 5 2 2 2 2 2 2 2 2 2 2 2" xfId="35265" xr:uid="{A78913B0-543A-43C1-90D8-8974BD51A184}"/>
    <cellStyle name="Normal 5 2 2 2 2 2 2 2 2 2 3" xfId="25968" xr:uid="{E45F5CFA-2DE8-455E-B0CD-445BADB3017A}"/>
    <cellStyle name="Normal 5 2 2 2 2 2 2 2 2 3" xfId="12452" xr:uid="{536FA850-C982-4964-A0DB-B44F03010A90}"/>
    <cellStyle name="Normal 5 2 2 2 2 2 2 2 2 3 2" xfId="31048" xr:uid="{EC3559C5-20ED-4B39-A1CD-91EE67803F80}"/>
    <cellStyle name="Normal 5 2 2 2 2 2 2 2 2 4" xfId="21751" xr:uid="{6E8653D8-6F96-44D9-B642-D76062AED768}"/>
    <cellStyle name="Normal 5 2 2 2 2 2 2 2 3" xfId="5198" xr:uid="{00000000-0005-0000-0000-0000FE160000}"/>
    <cellStyle name="Normal 5 2 2 2 2 2 2 2 3 2" xfId="14524" xr:uid="{A97AECEC-A4FE-47DC-ABDC-593B5C61EC6E}"/>
    <cellStyle name="Normal 5 2 2 2 2 2 2 2 3 2 2" xfId="33120" xr:uid="{7C0B2E51-4D05-4C98-B61A-704AF378AF88}"/>
    <cellStyle name="Normal 5 2 2 2 2 2 2 2 3 3" xfId="23823" xr:uid="{AC76DFD0-0095-4D6F-9262-095DC4C4AFFC}"/>
    <cellStyle name="Normal 5 2 2 2 2 2 2 2 4" xfId="9564" xr:uid="{15884BE4-44C0-46E7-A184-FC102AAADEB4}"/>
    <cellStyle name="Normal 5 2 2 2 2 2 2 2 4 2" xfId="18879" xr:uid="{CCD294BC-C0DD-4DA4-8C35-E788C3558EDF}"/>
    <cellStyle name="Normal 5 2 2 2 2 2 2 2 4 2 2" xfId="37473" xr:uid="{DF74F1F7-7D37-4B5F-9083-8653F104B630}"/>
    <cellStyle name="Normal 5 2 2 2 2 2 2 2 4 3" xfId="28176" xr:uid="{37C48569-9EEF-4255-9715-914E39446C95}"/>
    <cellStyle name="Normal 5 2 2 2 2 2 2 2 5" xfId="10307" xr:uid="{EFC13B92-B006-4078-96AC-BFB4B45A6117}"/>
    <cellStyle name="Normal 5 2 2 2 2 2 2 2 5 2" xfId="28903" xr:uid="{358F14D0-7A8C-4CE1-AE0E-707BADAACAF5}"/>
    <cellStyle name="Normal 5 2 2 2 2 2 2 2 6" xfId="19606" xr:uid="{B91B2F6D-3C0C-4BEC-9C12-A211FF04487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42215B48-BE05-4DFD-BF35-E93A9F291C9A}"/>
    <cellStyle name="Normal 5 2 2 2 2 2 2 3 2 2 2 2" xfId="35678" xr:uid="{3C010335-B4C3-4D9B-ABD8-7C9CBCE2172D}"/>
    <cellStyle name="Normal 5 2 2 2 2 2 2 3 2 2 3" xfId="26381" xr:uid="{35E84C8D-0CBC-40B9-8A52-3A5B98D1408F}"/>
    <cellStyle name="Normal 5 2 2 2 2 2 2 3 2 3" xfId="12865" xr:uid="{609C03A9-9FD1-4CB2-B65F-5DFF82F0D001}"/>
    <cellStyle name="Normal 5 2 2 2 2 2 2 3 2 3 2" xfId="31461" xr:uid="{49B8EDBA-33C7-4ED6-A486-CC915177242C}"/>
    <cellStyle name="Normal 5 2 2 2 2 2 2 3 2 4" xfId="22164" xr:uid="{4D3D6C3C-0FAD-42B7-834A-3D5DB9CA40C6}"/>
    <cellStyle name="Normal 5 2 2 2 2 2 2 3 3" xfId="5611" xr:uid="{00000000-0005-0000-0000-000002170000}"/>
    <cellStyle name="Normal 5 2 2 2 2 2 2 3 3 2" xfId="14937" xr:uid="{32167925-09BF-4DDE-B095-648C8B1FFCFD}"/>
    <cellStyle name="Normal 5 2 2 2 2 2 2 3 3 2 2" xfId="33533" xr:uid="{AC4DBBFE-4866-4555-9577-5F1A19BB7BF9}"/>
    <cellStyle name="Normal 5 2 2 2 2 2 2 3 3 3" xfId="24236" xr:uid="{25451145-3A2D-4EF3-83F6-78027244EC21}"/>
    <cellStyle name="Normal 5 2 2 2 2 2 2 3 4" xfId="10720" xr:uid="{8932D8BF-B295-4DA8-AF3C-75203055689F}"/>
    <cellStyle name="Normal 5 2 2 2 2 2 2 3 4 2" xfId="29316" xr:uid="{58092750-48BE-435C-8F43-565C30F7787A}"/>
    <cellStyle name="Normal 5 2 2 2 2 2 2 3 5" xfId="20019" xr:uid="{918BC754-9EEC-49DA-A9FD-F9ABE919F024}"/>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46F32C75-B70D-436A-AABD-FA94A42D4861}"/>
    <cellStyle name="Normal 5 2 2 2 2 2 2 4 2 2 2 2" xfId="36091" xr:uid="{74B392DF-8C17-452F-A59E-A2A973CC37E0}"/>
    <cellStyle name="Normal 5 2 2 2 2 2 2 4 2 2 3" xfId="26794" xr:uid="{CAFB0088-D052-4658-94C6-5C2AED91D243}"/>
    <cellStyle name="Normal 5 2 2 2 2 2 2 4 2 3" xfId="13278" xr:uid="{95567CCC-B624-4542-AB75-F0C2805DA15F}"/>
    <cellStyle name="Normal 5 2 2 2 2 2 2 4 2 3 2" xfId="31874" xr:uid="{FC521F87-CDA6-4D65-B3E7-A4FF0C117E96}"/>
    <cellStyle name="Normal 5 2 2 2 2 2 2 4 2 4" xfId="22577" xr:uid="{E1E38EFC-C932-4B9B-8142-F9E126EE7345}"/>
    <cellStyle name="Normal 5 2 2 2 2 2 2 4 3" xfId="6024" xr:uid="{00000000-0005-0000-0000-000006170000}"/>
    <cellStyle name="Normal 5 2 2 2 2 2 2 4 3 2" xfId="15350" xr:uid="{849DAAE5-B396-41E5-84BF-4A7982D00805}"/>
    <cellStyle name="Normal 5 2 2 2 2 2 2 4 3 2 2" xfId="33946" xr:uid="{03D4C791-8403-4737-B139-E275ED381FD1}"/>
    <cellStyle name="Normal 5 2 2 2 2 2 2 4 3 3" xfId="24649" xr:uid="{B1A59D20-111B-4844-894C-988DD627406D}"/>
    <cellStyle name="Normal 5 2 2 2 2 2 2 4 4" xfId="11133" xr:uid="{D3DFDE6E-4A09-4B9F-8D45-66B0BCE27AFC}"/>
    <cellStyle name="Normal 5 2 2 2 2 2 2 4 4 2" xfId="29729" xr:uid="{167C2687-EFB4-434E-B237-AB6E87C54D5A}"/>
    <cellStyle name="Normal 5 2 2 2 2 2 2 4 5" xfId="20432" xr:uid="{DB427900-CF83-46DE-82B5-E4C9E4F128EA}"/>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0A271F11-92D9-45E7-B924-50569F33971C}"/>
    <cellStyle name="Normal 5 2 2 2 2 2 2 5 2 2 2 2" xfId="36504" xr:uid="{32C469D5-D249-4D59-92E2-32CA9F6E6FF4}"/>
    <cellStyle name="Normal 5 2 2 2 2 2 2 5 2 2 3" xfId="27207" xr:uid="{17E655C3-32F6-4799-A8A4-FB544CE4006C}"/>
    <cellStyle name="Normal 5 2 2 2 2 2 2 5 2 3" xfId="13691" xr:uid="{320B5AA5-8827-4E55-80A4-29CAC243AA75}"/>
    <cellStyle name="Normal 5 2 2 2 2 2 2 5 2 3 2" xfId="32287" xr:uid="{191AC74D-40E0-403F-94F7-76E5701A983A}"/>
    <cellStyle name="Normal 5 2 2 2 2 2 2 5 2 4" xfId="22990" xr:uid="{924313C6-BC7D-43B1-83D1-92214657751B}"/>
    <cellStyle name="Normal 5 2 2 2 2 2 2 5 3" xfId="6437" xr:uid="{00000000-0005-0000-0000-00000A170000}"/>
    <cellStyle name="Normal 5 2 2 2 2 2 2 5 3 2" xfId="15763" xr:uid="{0737A6DA-D891-4FA5-8860-E9270773424F}"/>
    <cellStyle name="Normal 5 2 2 2 2 2 2 5 3 2 2" xfId="34359" xr:uid="{15C81CEC-94F3-4B0C-8314-A205B0790186}"/>
    <cellStyle name="Normal 5 2 2 2 2 2 2 5 3 3" xfId="25062" xr:uid="{CEAD2E6B-F027-4F20-9F1F-700EB505CFCE}"/>
    <cellStyle name="Normal 5 2 2 2 2 2 2 5 4" xfId="11546" xr:uid="{4E5D8C65-DBE9-4A34-820D-80EBCA7553AB}"/>
    <cellStyle name="Normal 5 2 2 2 2 2 2 5 4 2" xfId="30142" xr:uid="{2B5435C6-EE8A-460E-897F-4C66E667C465}"/>
    <cellStyle name="Normal 5 2 2 2 2 2 2 5 5" xfId="20845" xr:uid="{D7BA1DA2-609A-4D85-A0AA-3AB01B339CC4}"/>
    <cellStyle name="Normal 5 2 2 2 2 2 2 6" xfId="2567" xr:uid="{00000000-0005-0000-0000-00000B170000}"/>
    <cellStyle name="Normal 5 2 2 2 2 2 2 6 2" xfId="6850" xr:uid="{00000000-0005-0000-0000-00000C170000}"/>
    <cellStyle name="Normal 5 2 2 2 2 2 2 6 2 2" xfId="16176" xr:uid="{6C768E5B-6219-4AFD-B7CF-369AC6AC9894}"/>
    <cellStyle name="Normal 5 2 2 2 2 2 2 6 2 2 2" xfId="34772" xr:uid="{D2799421-83A3-437B-8929-B749168A75F0}"/>
    <cellStyle name="Normal 5 2 2 2 2 2 2 6 2 3" xfId="25475" xr:uid="{2CED57ED-58BC-4D46-AB71-EAD8893965FD}"/>
    <cellStyle name="Normal 5 2 2 2 2 2 2 6 3" xfId="11959" xr:uid="{9C07A118-D19D-4800-B45A-CCE85902BF15}"/>
    <cellStyle name="Normal 5 2 2 2 2 2 2 6 3 2" xfId="30555" xr:uid="{354C9FCD-18C2-4931-8F90-F66CBA5247F7}"/>
    <cellStyle name="Normal 5 2 2 2 2 2 2 6 4" xfId="21258" xr:uid="{9B23F7FE-BD52-4871-8D7A-E2179CF9F6A8}"/>
    <cellStyle name="Normal 5 2 2 2 2 2 2 7" xfId="4785" xr:uid="{00000000-0005-0000-0000-00000D170000}"/>
    <cellStyle name="Normal 5 2 2 2 2 2 2 7 2" xfId="14111" xr:uid="{08428013-DC4B-43A7-B93C-7F60B10AF511}"/>
    <cellStyle name="Normal 5 2 2 2 2 2 2 7 2 2" xfId="32707" xr:uid="{274E8EAC-4ACD-450A-8F39-54DB22566AC8}"/>
    <cellStyle name="Normal 5 2 2 2 2 2 2 7 3" xfId="23410" xr:uid="{8D753780-9E63-4234-B0E3-134D8BC5F755}"/>
    <cellStyle name="Normal 5 2 2 2 2 2 2 8" xfId="9139" xr:uid="{CFCC7179-F81D-4929-81F2-C6E64655A093}"/>
    <cellStyle name="Normal 5 2 2 2 2 2 2 8 2" xfId="18463" xr:uid="{B175484F-0C1E-45A2-ADFF-6382810CC367}"/>
    <cellStyle name="Normal 5 2 2 2 2 2 2 8 2 2" xfId="37058" xr:uid="{3D9994A8-127A-4D5A-B38D-8AEA72F31DC0}"/>
    <cellStyle name="Normal 5 2 2 2 2 2 2 8 3" xfId="27761" xr:uid="{C5380340-CBA0-4461-92E9-DC608802B5C6}"/>
    <cellStyle name="Normal 5 2 2 2 2 2 2 9" xfId="9894" xr:uid="{FD7BEFD8-F14A-4213-921E-6C63B667DD32}"/>
    <cellStyle name="Normal 5 2 2 2 2 2 2 9 2" xfId="28490" xr:uid="{997783AB-1D52-4E09-9092-4FCD8FACB56B}"/>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43D632D5-5517-4488-94BF-9AE03A855E9B}"/>
    <cellStyle name="Normal 5 2 2 2 2 2 3 2 2 2 2" xfId="35264" xr:uid="{424146BF-AA20-4BCC-A128-270EA658DC78}"/>
    <cellStyle name="Normal 5 2 2 2 2 2 3 2 2 3" xfId="25967" xr:uid="{CCCCE90F-DBB3-4DF6-808C-866291B7E283}"/>
    <cellStyle name="Normal 5 2 2 2 2 2 3 2 3" xfId="12451" xr:uid="{E9BA51FE-E028-40B0-B85E-A9B816BAE5F2}"/>
    <cellStyle name="Normal 5 2 2 2 2 2 3 2 3 2" xfId="31047" xr:uid="{89835139-2CF2-4DC8-A505-3986ADB0C116}"/>
    <cellStyle name="Normal 5 2 2 2 2 2 3 2 4" xfId="21750" xr:uid="{6AFE87DE-53F1-4238-A123-9A508F96B4B7}"/>
    <cellStyle name="Normal 5 2 2 2 2 2 3 3" xfId="5197" xr:uid="{00000000-0005-0000-0000-000011170000}"/>
    <cellStyle name="Normal 5 2 2 2 2 2 3 3 2" xfId="14523" xr:uid="{3D1515D9-59BA-4317-8CD3-50A4F414B23C}"/>
    <cellStyle name="Normal 5 2 2 2 2 2 3 3 2 2" xfId="33119" xr:uid="{E7031DBD-2F7B-44B7-AE88-4E42E280D15C}"/>
    <cellStyle name="Normal 5 2 2 2 2 2 3 3 3" xfId="23822" xr:uid="{9124599C-B558-4A14-BA6E-766C52F44646}"/>
    <cellStyle name="Normal 5 2 2 2 2 2 3 4" xfId="9357" xr:uid="{1809EB60-9E69-4954-99A5-643CD830C5FB}"/>
    <cellStyle name="Normal 5 2 2 2 2 2 3 4 2" xfId="18672" xr:uid="{79093559-B235-46F3-A1AE-2DC53B30632D}"/>
    <cellStyle name="Normal 5 2 2 2 2 2 3 4 2 2" xfId="37266" xr:uid="{DB7F8286-9E73-40B9-911A-4BB4186DBD85}"/>
    <cellStyle name="Normal 5 2 2 2 2 2 3 4 3" xfId="27969" xr:uid="{FC28B47B-63DD-41D4-B4D8-8B841C392F46}"/>
    <cellStyle name="Normal 5 2 2 2 2 2 3 5" xfId="10306" xr:uid="{1BB549D5-FEDD-4FE3-BA7A-BB3F087DE5CA}"/>
    <cellStyle name="Normal 5 2 2 2 2 2 3 5 2" xfId="28902" xr:uid="{B63EB2AA-5145-4C6B-BAA9-03A87D7F6216}"/>
    <cellStyle name="Normal 5 2 2 2 2 2 3 6" xfId="19605" xr:uid="{495DDDBD-2E51-424A-9D6B-7BD09DBC20B9}"/>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12984D50-1FB3-4479-8B87-62064F7635EC}"/>
    <cellStyle name="Normal 5 2 2 2 2 2 4 2 2 2 2" xfId="35677" xr:uid="{EF025132-36AB-4CBE-A587-2ED1D138716A}"/>
    <cellStyle name="Normal 5 2 2 2 2 2 4 2 2 3" xfId="26380" xr:uid="{AC06CBE8-150B-4F84-B366-32E104AF8ADE}"/>
    <cellStyle name="Normal 5 2 2 2 2 2 4 2 3" xfId="12864" xr:uid="{A1793245-BE61-48C3-8CB7-5CCF0EC107F1}"/>
    <cellStyle name="Normal 5 2 2 2 2 2 4 2 3 2" xfId="31460" xr:uid="{81BD70B8-45D3-40D1-8323-9AD2D270FC79}"/>
    <cellStyle name="Normal 5 2 2 2 2 2 4 2 4" xfId="22163" xr:uid="{1059ADD3-C245-4F33-87C5-100728B5DB04}"/>
    <cellStyle name="Normal 5 2 2 2 2 2 4 3" xfId="5610" xr:uid="{00000000-0005-0000-0000-000015170000}"/>
    <cellStyle name="Normal 5 2 2 2 2 2 4 3 2" xfId="14936" xr:uid="{0C4A2CE4-4CBB-4285-A61B-1A85F67DC8C8}"/>
    <cellStyle name="Normal 5 2 2 2 2 2 4 3 2 2" xfId="33532" xr:uid="{30B8C31B-127E-4BE7-9FDA-F6A82EC428E4}"/>
    <cellStyle name="Normal 5 2 2 2 2 2 4 3 3" xfId="24235" xr:uid="{8FFB5635-26D3-4EF6-93F4-9B8922E67E2A}"/>
    <cellStyle name="Normal 5 2 2 2 2 2 4 4" xfId="10719" xr:uid="{97320EDF-2FAB-438A-862F-61C9D66A159B}"/>
    <cellStyle name="Normal 5 2 2 2 2 2 4 4 2" xfId="29315" xr:uid="{F4A23E10-EBE9-4377-B48A-8C6602EE138E}"/>
    <cellStyle name="Normal 5 2 2 2 2 2 4 5" xfId="20018" xr:uid="{759D779B-65EC-4D46-97E9-2B6802E1A7D3}"/>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AB54B93D-7E4A-41D2-B79B-66A9BF7AE4A8}"/>
    <cellStyle name="Normal 5 2 2 2 2 2 5 2 2 2 2" xfId="36090" xr:uid="{02F24C20-F14A-46BD-8440-82AA2C5D8C91}"/>
    <cellStyle name="Normal 5 2 2 2 2 2 5 2 2 3" xfId="26793" xr:uid="{C98145B2-8748-4E72-937A-C8490B128311}"/>
    <cellStyle name="Normal 5 2 2 2 2 2 5 2 3" xfId="13277" xr:uid="{FC833233-7434-4C58-84E8-BD3BEB41BC81}"/>
    <cellStyle name="Normal 5 2 2 2 2 2 5 2 3 2" xfId="31873" xr:uid="{7246E0F6-A598-42B0-9B4E-ABA36D79AECA}"/>
    <cellStyle name="Normal 5 2 2 2 2 2 5 2 4" xfId="22576" xr:uid="{5081EEE7-AE9D-4CD7-9EE8-E9BD8A478A09}"/>
    <cellStyle name="Normal 5 2 2 2 2 2 5 3" xfId="6023" xr:uid="{00000000-0005-0000-0000-000019170000}"/>
    <cellStyle name="Normal 5 2 2 2 2 2 5 3 2" xfId="15349" xr:uid="{C9D846BF-D8FC-42FF-A5FE-C0402D20B8A5}"/>
    <cellStyle name="Normal 5 2 2 2 2 2 5 3 2 2" xfId="33945" xr:uid="{51356F9E-D33F-4258-B14F-85F57A191522}"/>
    <cellStyle name="Normal 5 2 2 2 2 2 5 3 3" xfId="24648" xr:uid="{0B2F1D17-8FED-49BF-A6B6-39FD14AD3333}"/>
    <cellStyle name="Normal 5 2 2 2 2 2 5 4" xfId="11132" xr:uid="{D6A20367-701C-4723-B3B8-5B9540CCD9F6}"/>
    <cellStyle name="Normal 5 2 2 2 2 2 5 4 2" xfId="29728" xr:uid="{5BEAE777-B14C-404A-82B4-A6346AE819FD}"/>
    <cellStyle name="Normal 5 2 2 2 2 2 5 5" xfId="20431" xr:uid="{C8050C07-D966-4DF4-91CB-6FE9CA3833FD}"/>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37A4BB24-840A-40CA-991C-BFD49CE0DB2C}"/>
    <cellStyle name="Normal 5 2 2 2 2 2 6 2 2 2 2" xfId="36503" xr:uid="{2E5489E5-920C-46F4-BF2E-D0AF6E90644A}"/>
    <cellStyle name="Normal 5 2 2 2 2 2 6 2 2 3" xfId="27206" xr:uid="{8078002A-CD61-4372-9786-3A386CC23E1A}"/>
    <cellStyle name="Normal 5 2 2 2 2 2 6 2 3" xfId="13690" xr:uid="{BD593F85-831C-450D-8A4B-7F1934EEB968}"/>
    <cellStyle name="Normal 5 2 2 2 2 2 6 2 3 2" xfId="32286" xr:uid="{7FFCA54B-0E9C-4055-9A57-D8DE2E1B784E}"/>
    <cellStyle name="Normal 5 2 2 2 2 2 6 2 4" xfId="22989" xr:uid="{4699F8FE-C61A-4A40-BC4E-96BD498A7819}"/>
    <cellStyle name="Normal 5 2 2 2 2 2 6 3" xfId="6436" xr:uid="{00000000-0005-0000-0000-00001D170000}"/>
    <cellStyle name="Normal 5 2 2 2 2 2 6 3 2" xfId="15762" xr:uid="{A21E38EC-D7B0-4252-AB02-69F400829A64}"/>
    <cellStyle name="Normal 5 2 2 2 2 2 6 3 2 2" xfId="34358" xr:uid="{7BD2305A-DFAA-41C2-A2E2-3BD21544DB59}"/>
    <cellStyle name="Normal 5 2 2 2 2 2 6 3 3" xfId="25061" xr:uid="{ADCB2EB3-9B83-432E-BACA-A0A9467FE74F}"/>
    <cellStyle name="Normal 5 2 2 2 2 2 6 4" xfId="11545" xr:uid="{156FA063-7D4F-41BB-9E08-42905999AEBC}"/>
    <cellStyle name="Normal 5 2 2 2 2 2 6 4 2" xfId="30141" xr:uid="{F7D06CC4-6F72-4900-B4A6-7F5670466CD6}"/>
    <cellStyle name="Normal 5 2 2 2 2 2 6 5" xfId="20844" xr:uid="{415F9EDF-6025-4C44-B307-FD0EFF54DECF}"/>
    <cellStyle name="Normal 5 2 2 2 2 2 7" xfId="2566" xr:uid="{00000000-0005-0000-0000-00001E170000}"/>
    <cellStyle name="Normal 5 2 2 2 2 2 7 2" xfId="6849" xr:uid="{00000000-0005-0000-0000-00001F170000}"/>
    <cellStyle name="Normal 5 2 2 2 2 2 7 2 2" xfId="16175" xr:uid="{239E9989-4C06-4C01-99E6-E77C8DF79A58}"/>
    <cellStyle name="Normal 5 2 2 2 2 2 7 2 2 2" xfId="34771" xr:uid="{C415A4F5-2E4D-4D53-AA1A-B2B63BCAD4FB}"/>
    <cellStyle name="Normal 5 2 2 2 2 2 7 2 3" xfId="25474" xr:uid="{FFB27293-5950-4648-BF96-E5B7AD465739}"/>
    <cellStyle name="Normal 5 2 2 2 2 2 7 3" xfId="11958" xr:uid="{EC9AC9C2-3995-4102-9F70-123C86BEB208}"/>
    <cellStyle name="Normal 5 2 2 2 2 2 7 3 2" xfId="30554" xr:uid="{5114BA7D-126F-4AD2-BD82-4D687BAC528C}"/>
    <cellStyle name="Normal 5 2 2 2 2 2 7 4" xfId="21257" xr:uid="{43E9B561-5237-4BE0-8EB0-9BF7F49233EC}"/>
    <cellStyle name="Normal 5 2 2 2 2 2 8" xfId="4784" xr:uid="{00000000-0005-0000-0000-000020170000}"/>
    <cellStyle name="Normal 5 2 2 2 2 2 8 2" xfId="14110" xr:uid="{AADF766C-8600-4C89-A706-B1B54462BB7F}"/>
    <cellStyle name="Normal 5 2 2 2 2 2 8 2 2" xfId="32706" xr:uid="{0EA197C5-D19E-4DDD-B052-A048C3432EF5}"/>
    <cellStyle name="Normal 5 2 2 2 2 2 8 3" xfId="23409" xr:uid="{22C8A6BB-EEA5-4B75-A08F-F27F7E148B1A}"/>
    <cellStyle name="Normal 5 2 2 2 2 2 9" xfId="8932" xr:uid="{8A89D9DD-5FCE-4028-8D52-F4758EFA866E}"/>
    <cellStyle name="Normal 5 2 2 2 2 2 9 2" xfId="18256" xr:uid="{124F08F4-2AF6-41A1-AECB-85888B7B9B27}"/>
    <cellStyle name="Normal 5 2 2 2 2 2 9 2 2" xfId="36851" xr:uid="{A96C8821-A388-4CBE-8221-D59A1AE906BD}"/>
    <cellStyle name="Normal 5 2 2 2 2 2 9 3" xfId="27554" xr:uid="{06EF0532-F2F0-42F4-8A15-969C8AFA4C91}"/>
    <cellStyle name="Normal 5 2 2 2 2 3" xfId="413" xr:uid="{00000000-0005-0000-0000-000021170000}"/>
    <cellStyle name="Normal 5 2 2 2 2 3 10" xfId="19194" xr:uid="{DA661085-BE95-44DC-94BF-22361188FA98}"/>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FD618204-BCD9-4D21-9F05-345FE509F2BD}"/>
    <cellStyle name="Normal 5 2 2 2 2 3 2 2 2 2 2" xfId="35266" xr:uid="{2DF65890-2392-400F-89F3-1727FCEB3B28}"/>
    <cellStyle name="Normal 5 2 2 2 2 3 2 2 2 3" xfId="25969" xr:uid="{1235CD2D-3D21-42D6-A926-A936ACF05948}"/>
    <cellStyle name="Normal 5 2 2 2 2 3 2 2 3" xfId="12453" xr:uid="{15ACB20C-DA63-4AF3-81F1-FA7A6D82D6FB}"/>
    <cellStyle name="Normal 5 2 2 2 2 3 2 2 3 2" xfId="31049" xr:uid="{F93A7348-845E-4162-B66E-AB0D6D6EF50F}"/>
    <cellStyle name="Normal 5 2 2 2 2 3 2 2 4" xfId="21752" xr:uid="{EB459B96-7C70-4D93-8397-3A299A20DB2F}"/>
    <cellStyle name="Normal 5 2 2 2 2 3 2 3" xfId="5199" xr:uid="{00000000-0005-0000-0000-000025170000}"/>
    <cellStyle name="Normal 5 2 2 2 2 3 2 3 2" xfId="14525" xr:uid="{F9C04F61-1CD3-4B0C-98C4-7D59327B27A6}"/>
    <cellStyle name="Normal 5 2 2 2 2 3 2 3 2 2" xfId="33121" xr:uid="{363B7796-02DC-464D-A8EF-E4743FEA425A}"/>
    <cellStyle name="Normal 5 2 2 2 2 3 2 3 3" xfId="23824" xr:uid="{50141581-ED8B-42E9-A68F-95FB7D7BE63D}"/>
    <cellStyle name="Normal 5 2 2 2 2 3 2 4" xfId="9461" xr:uid="{815E4D9A-ED64-4B6C-A17A-F6D83CC40A47}"/>
    <cellStyle name="Normal 5 2 2 2 2 3 2 4 2" xfId="18776" xr:uid="{59F526A6-53D0-48E5-9354-D6999FC693C4}"/>
    <cellStyle name="Normal 5 2 2 2 2 3 2 4 2 2" xfId="37370" xr:uid="{3795DA89-B670-4FF4-9D71-A19040B137B5}"/>
    <cellStyle name="Normal 5 2 2 2 2 3 2 4 3" xfId="28073" xr:uid="{65431ED2-5B43-4D52-A271-F2704F32C84C}"/>
    <cellStyle name="Normal 5 2 2 2 2 3 2 5" xfId="10308" xr:uid="{91A2A7B4-5C89-47FE-ABE6-22979FE7DAB8}"/>
    <cellStyle name="Normal 5 2 2 2 2 3 2 5 2" xfId="28904" xr:uid="{4952BA25-8626-4D1A-911B-F6CD7C368BB7}"/>
    <cellStyle name="Normal 5 2 2 2 2 3 2 6" xfId="19607" xr:uid="{51B6A24F-03AA-47FD-A5D1-AFC9C1E89EC1}"/>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E2614C43-9820-407C-A83A-30A35FA99E31}"/>
    <cellStyle name="Normal 5 2 2 2 2 3 3 2 2 2 2" xfId="35679" xr:uid="{229C166B-923D-4F71-8EF2-71ED55BD2666}"/>
    <cellStyle name="Normal 5 2 2 2 2 3 3 2 2 3" xfId="26382" xr:uid="{355175F3-967F-4CE7-8A2E-B847403FF1F4}"/>
    <cellStyle name="Normal 5 2 2 2 2 3 3 2 3" xfId="12866" xr:uid="{B46E8177-CE29-4023-8E5F-D581835DAF63}"/>
    <cellStyle name="Normal 5 2 2 2 2 3 3 2 3 2" xfId="31462" xr:uid="{A5BAFAED-BBBF-46CE-8131-731249BC63DD}"/>
    <cellStyle name="Normal 5 2 2 2 2 3 3 2 4" xfId="22165" xr:uid="{DEDB60D6-7446-4940-9A08-199F81958E45}"/>
    <cellStyle name="Normal 5 2 2 2 2 3 3 3" xfId="5612" xr:uid="{00000000-0005-0000-0000-000029170000}"/>
    <cellStyle name="Normal 5 2 2 2 2 3 3 3 2" xfId="14938" xr:uid="{1B4108DA-C150-4421-B4F6-95640CA266B9}"/>
    <cellStyle name="Normal 5 2 2 2 2 3 3 3 2 2" xfId="33534" xr:uid="{BCD1638A-D0BE-4602-96E8-AD9CED74CBA6}"/>
    <cellStyle name="Normal 5 2 2 2 2 3 3 3 3" xfId="24237" xr:uid="{EAE4F00C-B0C1-47B4-BDF6-D18D3C22B667}"/>
    <cellStyle name="Normal 5 2 2 2 2 3 3 4" xfId="10721" xr:uid="{951C8B40-B4E1-476D-83EE-4B7998760A91}"/>
    <cellStyle name="Normal 5 2 2 2 2 3 3 4 2" xfId="29317" xr:uid="{8FB2D048-9CCA-4CDF-8C6F-BE4B760D62BE}"/>
    <cellStyle name="Normal 5 2 2 2 2 3 3 5" xfId="20020" xr:uid="{B6A1CBE3-438F-4D20-BF79-BF84AAD10362}"/>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358DE704-8C5C-4E0F-99D5-ADB5150D3ADE}"/>
    <cellStyle name="Normal 5 2 2 2 2 3 4 2 2 2 2" xfId="36092" xr:uid="{F3CB3EB5-BB20-4163-8554-A2E67AC8076E}"/>
    <cellStyle name="Normal 5 2 2 2 2 3 4 2 2 3" xfId="26795" xr:uid="{FB3781AD-5D59-434C-9AE7-B175E1646DC6}"/>
    <cellStyle name="Normal 5 2 2 2 2 3 4 2 3" xfId="13279" xr:uid="{A3579F98-0083-4BA8-992B-730CBF982B1F}"/>
    <cellStyle name="Normal 5 2 2 2 2 3 4 2 3 2" xfId="31875" xr:uid="{4BAEF6D0-E29D-46B8-BBBD-5C5B190EF962}"/>
    <cellStyle name="Normal 5 2 2 2 2 3 4 2 4" xfId="22578" xr:uid="{D753D922-3FD4-49C1-BA95-78AC618F1759}"/>
    <cellStyle name="Normal 5 2 2 2 2 3 4 3" xfId="6025" xr:uid="{00000000-0005-0000-0000-00002D170000}"/>
    <cellStyle name="Normal 5 2 2 2 2 3 4 3 2" xfId="15351" xr:uid="{65BEE9AE-FDA6-4265-A807-28E076986BDE}"/>
    <cellStyle name="Normal 5 2 2 2 2 3 4 3 2 2" xfId="33947" xr:uid="{ED7931C5-C2F0-4D30-A0CD-CDC897E7F02D}"/>
    <cellStyle name="Normal 5 2 2 2 2 3 4 3 3" xfId="24650" xr:uid="{64109CF7-F0FE-4819-80E9-A25C35D8C8E7}"/>
    <cellStyle name="Normal 5 2 2 2 2 3 4 4" xfId="11134" xr:uid="{C87AB849-0706-4574-AB5E-D72DB5F4123E}"/>
    <cellStyle name="Normal 5 2 2 2 2 3 4 4 2" xfId="29730" xr:uid="{68D0E53D-5BDE-4002-92C1-99407762C990}"/>
    <cellStyle name="Normal 5 2 2 2 2 3 4 5" xfId="20433" xr:uid="{183B8949-75D3-430E-BB5A-5942C68A78EA}"/>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64A3F124-D0E9-4F18-AAE4-F14D4E62AC23}"/>
    <cellStyle name="Normal 5 2 2 2 2 3 5 2 2 2 2" xfId="36505" xr:uid="{A8060D6A-1961-45E5-BA55-63F34FA00505}"/>
    <cellStyle name="Normal 5 2 2 2 2 3 5 2 2 3" xfId="27208" xr:uid="{8F14CA04-0B3D-4D06-9CF7-12DFD5FD9E73}"/>
    <cellStyle name="Normal 5 2 2 2 2 3 5 2 3" xfId="13692" xr:uid="{4112E23B-26C6-4303-9472-8E5E97EC8FEB}"/>
    <cellStyle name="Normal 5 2 2 2 2 3 5 2 3 2" xfId="32288" xr:uid="{E271AA75-D6DD-4BCC-9CB8-4D8E8C97E076}"/>
    <cellStyle name="Normal 5 2 2 2 2 3 5 2 4" xfId="22991" xr:uid="{AC6BC314-59F1-4164-8D68-7EEA7BC00A29}"/>
    <cellStyle name="Normal 5 2 2 2 2 3 5 3" xfId="6438" xr:uid="{00000000-0005-0000-0000-000031170000}"/>
    <cellStyle name="Normal 5 2 2 2 2 3 5 3 2" xfId="15764" xr:uid="{86EEA45F-BAD6-4869-955D-E21E5C51CC2B}"/>
    <cellStyle name="Normal 5 2 2 2 2 3 5 3 2 2" xfId="34360" xr:uid="{D87CC169-B31A-4CFB-9713-02ACCEFB186F}"/>
    <cellStyle name="Normal 5 2 2 2 2 3 5 3 3" xfId="25063" xr:uid="{66CB49B9-80A7-4223-91A3-EDD20C485A21}"/>
    <cellStyle name="Normal 5 2 2 2 2 3 5 4" xfId="11547" xr:uid="{ED51B627-7414-4199-BF20-2082DA6C54D8}"/>
    <cellStyle name="Normal 5 2 2 2 2 3 5 4 2" xfId="30143" xr:uid="{17C50B3D-EFB6-4382-A3B6-B7AE57597ED9}"/>
    <cellStyle name="Normal 5 2 2 2 2 3 5 5" xfId="20846" xr:uid="{FF5F611E-FFF4-41CC-857C-872F4AFD31EE}"/>
    <cellStyle name="Normal 5 2 2 2 2 3 6" xfId="2568" xr:uid="{00000000-0005-0000-0000-000032170000}"/>
    <cellStyle name="Normal 5 2 2 2 2 3 6 2" xfId="6851" xr:uid="{00000000-0005-0000-0000-000033170000}"/>
    <cellStyle name="Normal 5 2 2 2 2 3 6 2 2" xfId="16177" xr:uid="{45E74315-7A93-47D3-B117-5765A0B53059}"/>
    <cellStyle name="Normal 5 2 2 2 2 3 6 2 2 2" xfId="34773" xr:uid="{F22F40C3-CF73-40C0-8A9D-E3936A133FBB}"/>
    <cellStyle name="Normal 5 2 2 2 2 3 6 2 3" xfId="25476" xr:uid="{769A51C7-FB0D-4E98-84FF-660BA701167B}"/>
    <cellStyle name="Normal 5 2 2 2 2 3 6 3" xfId="11960" xr:uid="{B2ED19D4-6680-4E6B-8516-9806D22B23C6}"/>
    <cellStyle name="Normal 5 2 2 2 2 3 6 3 2" xfId="30556" xr:uid="{3239056B-F155-497B-90EE-5DBF20FF3215}"/>
    <cellStyle name="Normal 5 2 2 2 2 3 6 4" xfId="21259" xr:uid="{7796AAF2-076C-48C6-82FF-ED6589921EA6}"/>
    <cellStyle name="Normal 5 2 2 2 2 3 7" xfId="4786" xr:uid="{00000000-0005-0000-0000-000034170000}"/>
    <cellStyle name="Normal 5 2 2 2 2 3 7 2" xfId="14112" xr:uid="{1025D4F7-9E80-4737-88B7-D5B56B1FC549}"/>
    <cellStyle name="Normal 5 2 2 2 2 3 7 2 2" xfId="32708" xr:uid="{03BA52B2-8529-42FE-B88A-CC9B935D2D04}"/>
    <cellStyle name="Normal 5 2 2 2 2 3 7 3" xfId="23411" xr:uid="{27B399FE-3177-4F75-AFC3-468723C077BB}"/>
    <cellStyle name="Normal 5 2 2 2 2 3 8" xfId="9036" xr:uid="{2B9BC3AC-900A-42EE-A23F-E5574B6E75BC}"/>
    <cellStyle name="Normal 5 2 2 2 2 3 8 2" xfId="18360" xr:uid="{92094853-2656-4893-846B-EE3343D15EDB}"/>
    <cellStyle name="Normal 5 2 2 2 2 3 8 2 2" xfId="36955" xr:uid="{AE74804B-9A46-46AB-BEF7-44A591639FF5}"/>
    <cellStyle name="Normal 5 2 2 2 2 3 8 3" xfId="27658" xr:uid="{C685AFF0-3F58-4E2B-8911-6B19BBB1D929}"/>
    <cellStyle name="Normal 5 2 2 2 2 3 9" xfId="9895" xr:uid="{A4BF4795-74E1-4D3B-B818-05300DE3EE22}"/>
    <cellStyle name="Normal 5 2 2 2 2 3 9 2" xfId="28491" xr:uid="{B0DE8A90-D5A7-4718-9A92-846EFCEAB654}"/>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0C2FCB3D-9189-49A8-89B1-74C1A0670226}"/>
    <cellStyle name="Normal 5 2 2 2 2 4 2 2 2 2" xfId="35263" xr:uid="{705F9530-68B4-49A9-B0BC-EDB0975FB44A}"/>
    <cellStyle name="Normal 5 2 2 2 2 4 2 2 3" xfId="25966" xr:uid="{A614B4A6-FEC5-450A-8C26-EEAF3099270A}"/>
    <cellStyle name="Normal 5 2 2 2 2 4 2 3" xfId="12450" xr:uid="{AA12E549-92FE-41EB-9DAD-C282247F9837}"/>
    <cellStyle name="Normal 5 2 2 2 2 4 2 3 2" xfId="31046" xr:uid="{B1AD236A-78A7-4BAC-8D58-329C5FA44ED6}"/>
    <cellStyle name="Normal 5 2 2 2 2 4 2 4" xfId="21749" xr:uid="{B9BFB2B4-629E-469C-ACC4-46D2A4749918}"/>
    <cellStyle name="Normal 5 2 2 2 2 4 3" xfId="5196" xr:uid="{00000000-0005-0000-0000-000038170000}"/>
    <cellStyle name="Normal 5 2 2 2 2 4 3 2" xfId="14522" xr:uid="{0EA52365-9AFD-4685-885D-1533A61B4FB1}"/>
    <cellStyle name="Normal 5 2 2 2 2 4 3 2 2" xfId="33118" xr:uid="{2E3E48AD-5590-4F94-92B7-C8070CF72956}"/>
    <cellStyle name="Normal 5 2 2 2 2 4 3 3" xfId="23821" xr:uid="{80D5A450-1B8D-455E-AD12-9A58831E4BCB}"/>
    <cellStyle name="Normal 5 2 2 2 2 4 4" xfId="9254" xr:uid="{B0B4DA0D-4C0F-4712-8BF0-280C2A85D575}"/>
    <cellStyle name="Normal 5 2 2 2 2 4 4 2" xfId="18569" xr:uid="{FDE08D12-8C0B-4A63-928E-7132F779EA5F}"/>
    <cellStyle name="Normal 5 2 2 2 2 4 4 2 2" xfId="37163" xr:uid="{4783D0F9-0DAD-41A8-AB56-1293659F60CD}"/>
    <cellStyle name="Normal 5 2 2 2 2 4 4 3" xfId="27866" xr:uid="{3FA4BB05-7857-4553-AA88-9B4F781133B9}"/>
    <cellStyle name="Normal 5 2 2 2 2 4 5" xfId="10305" xr:uid="{FC919113-F284-4E1D-9956-B5D823343DF6}"/>
    <cellStyle name="Normal 5 2 2 2 2 4 5 2" xfId="28901" xr:uid="{4A4CBE6A-3DAA-4F45-B8FA-13CCAE6AB0DF}"/>
    <cellStyle name="Normal 5 2 2 2 2 4 6" xfId="19604" xr:uid="{49D2B82B-800F-4D9C-8DAB-BD4ED5D59523}"/>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1A1BA4F2-F7C5-464F-B4F3-0E2D19FCA2D3}"/>
    <cellStyle name="Normal 5 2 2 2 2 5 2 2 2 2" xfId="35676" xr:uid="{FD5BE57F-9EA0-43B2-8E5E-7D912C44E233}"/>
    <cellStyle name="Normal 5 2 2 2 2 5 2 2 3" xfId="26379" xr:uid="{1E55E755-083D-4C55-A93F-0752C2E5B767}"/>
    <cellStyle name="Normal 5 2 2 2 2 5 2 3" xfId="12863" xr:uid="{EE27C46C-E06C-4044-B8B9-EAA44D5321E6}"/>
    <cellStyle name="Normal 5 2 2 2 2 5 2 3 2" xfId="31459" xr:uid="{69C32E4A-996A-4440-B2C4-B2C97C7AA934}"/>
    <cellStyle name="Normal 5 2 2 2 2 5 2 4" xfId="22162" xr:uid="{47A204B9-BD18-4D38-A7DA-58C1F8E50386}"/>
    <cellStyle name="Normal 5 2 2 2 2 5 3" xfId="5609" xr:uid="{00000000-0005-0000-0000-00003C170000}"/>
    <cellStyle name="Normal 5 2 2 2 2 5 3 2" xfId="14935" xr:uid="{AC3D8A9C-DEE0-4D6D-AFBC-2F65295C725E}"/>
    <cellStyle name="Normal 5 2 2 2 2 5 3 2 2" xfId="33531" xr:uid="{919C91EE-10C7-4FAB-B005-63EAAB1E02D7}"/>
    <cellStyle name="Normal 5 2 2 2 2 5 3 3" xfId="24234" xr:uid="{7CF1C2EA-C0BE-4970-8BB6-F92F77E1E1EA}"/>
    <cellStyle name="Normal 5 2 2 2 2 5 4" xfId="10718" xr:uid="{D2B5854B-A40B-4E70-982C-EF2C712D9800}"/>
    <cellStyle name="Normal 5 2 2 2 2 5 4 2" xfId="29314" xr:uid="{92B0BCA9-872A-44AC-ABE6-BB3CC145B5FD}"/>
    <cellStyle name="Normal 5 2 2 2 2 5 5" xfId="20017" xr:uid="{C1EEEFF6-D66C-4CC4-ACBD-40C4FD30EC8C}"/>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F7DC3C70-5F79-487A-926A-E2E256EE21C5}"/>
    <cellStyle name="Normal 5 2 2 2 2 6 2 2 2 2" xfId="36089" xr:uid="{67D0A941-EF2E-4148-B1F2-64EFC9B9CDC7}"/>
    <cellStyle name="Normal 5 2 2 2 2 6 2 2 3" xfId="26792" xr:uid="{DB1F9F80-3D94-47EA-8F8E-0295942EA897}"/>
    <cellStyle name="Normal 5 2 2 2 2 6 2 3" xfId="13276" xr:uid="{F9EADB5B-6E9D-486C-A00F-31F3B85D62A3}"/>
    <cellStyle name="Normal 5 2 2 2 2 6 2 3 2" xfId="31872" xr:uid="{1117BC70-63CA-4E92-A1EF-54E5BC71E139}"/>
    <cellStyle name="Normal 5 2 2 2 2 6 2 4" xfId="22575" xr:uid="{E1CC50E6-2055-4B81-8D9B-28FF903FD3CD}"/>
    <cellStyle name="Normal 5 2 2 2 2 6 3" xfId="6022" xr:uid="{00000000-0005-0000-0000-000040170000}"/>
    <cellStyle name="Normal 5 2 2 2 2 6 3 2" xfId="15348" xr:uid="{AF22BBDD-4E38-42B2-8F17-F77012DB5F95}"/>
    <cellStyle name="Normal 5 2 2 2 2 6 3 2 2" xfId="33944" xr:uid="{1841A0D0-3E15-4E2D-ABA9-2896637EDA96}"/>
    <cellStyle name="Normal 5 2 2 2 2 6 3 3" xfId="24647" xr:uid="{F961890C-5752-4BDF-99D9-EC01BB295655}"/>
    <cellStyle name="Normal 5 2 2 2 2 6 4" xfId="11131" xr:uid="{6AF6DCF1-656A-4E32-AB3D-FDF98AE299A1}"/>
    <cellStyle name="Normal 5 2 2 2 2 6 4 2" xfId="29727" xr:uid="{591DE8F7-5467-42A6-9F3D-6A523F303103}"/>
    <cellStyle name="Normal 5 2 2 2 2 6 5" xfId="20430" xr:uid="{D5A51441-B23F-4117-9C71-E81BAA4FE1C6}"/>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008210F0-2275-44E5-9CF3-89959C1DF8FE}"/>
    <cellStyle name="Normal 5 2 2 2 2 7 2 2 2 2" xfId="36502" xr:uid="{61839F6A-85F8-4F1E-BF67-256055037B11}"/>
    <cellStyle name="Normal 5 2 2 2 2 7 2 2 3" xfId="27205" xr:uid="{EF683F3E-4EAB-49F0-8053-CA3413376D33}"/>
    <cellStyle name="Normal 5 2 2 2 2 7 2 3" xfId="13689" xr:uid="{021210B6-8994-4D91-B45F-E39810A2868E}"/>
    <cellStyle name="Normal 5 2 2 2 2 7 2 3 2" xfId="32285" xr:uid="{6AE0A0B7-8CD5-4BD0-9729-E41C7D00574B}"/>
    <cellStyle name="Normal 5 2 2 2 2 7 2 4" xfId="22988" xr:uid="{C5E2F649-5C38-4A13-9D55-D0389CB749F5}"/>
    <cellStyle name="Normal 5 2 2 2 2 7 3" xfId="6435" xr:uid="{00000000-0005-0000-0000-000044170000}"/>
    <cellStyle name="Normal 5 2 2 2 2 7 3 2" xfId="15761" xr:uid="{53990372-020A-452C-AD3B-B5BEA4F9817A}"/>
    <cellStyle name="Normal 5 2 2 2 2 7 3 2 2" xfId="34357" xr:uid="{D01FA542-03DB-4091-9F25-93AD8E68D7A4}"/>
    <cellStyle name="Normal 5 2 2 2 2 7 3 3" xfId="25060" xr:uid="{D0873519-5FDE-4503-B89D-46EBE11874E0}"/>
    <cellStyle name="Normal 5 2 2 2 2 7 4" xfId="11544" xr:uid="{DABE7EE2-9172-485F-B0C4-0A6777956FAD}"/>
    <cellStyle name="Normal 5 2 2 2 2 7 4 2" xfId="30140" xr:uid="{59A08949-5A37-42E3-AF9F-4B0F9E105D91}"/>
    <cellStyle name="Normal 5 2 2 2 2 7 5" xfId="20843" xr:uid="{2169BFDA-7140-4444-83F4-2A659DC61F26}"/>
    <cellStyle name="Normal 5 2 2 2 2 8" xfId="2565" xr:uid="{00000000-0005-0000-0000-000045170000}"/>
    <cellStyle name="Normal 5 2 2 2 2 8 2" xfId="6848" xr:uid="{00000000-0005-0000-0000-000046170000}"/>
    <cellStyle name="Normal 5 2 2 2 2 8 2 2" xfId="16174" xr:uid="{635E9FDC-EBC6-45CA-9840-8E42F7405DF5}"/>
    <cellStyle name="Normal 5 2 2 2 2 8 2 2 2" xfId="34770" xr:uid="{4C877669-1805-415B-BB3D-FD5C8FC13C0C}"/>
    <cellStyle name="Normal 5 2 2 2 2 8 2 3" xfId="25473" xr:uid="{9AD4FAFB-692E-4169-AC64-298B39B4D16A}"/>
    <cellStyle name="Normal 5 2 2 2 2 8 3" xfId="11957" xr:uid="{24D5A830-C936-4CDB-821C-780B4F0E8A11}"/>
    <cellStyle name="Normal 5 2 2 2 2 8 3 2" xfId="30553" xr:uid="{94D60A85-2798-458E-B5F7-795C5CD92C84}"/>
    <cellStyle name="Normal 5 2 2 2 2 8 4" xfId="21256" xr:uid="{5054A818-A16C-443C-8BB8-7A28777569E7}"/>
    <cellStyle name="Normal 5 2 2 2 2 9" xfId="4783" xr:uid="{00000000-0005-0000-0000-000047170000}"/>
    <cellStyle name="Normal 5 2 2 2 2 9 2" xfId="14109" xr:uid="{97A3DD1D-0747-422B-8C62-048A66626BD4}"/>
    <cellStyle name="Normal 5 2 2 2 2 9 2 2" xfId="32705" xr:uid="{A5383EE5-2F07-4580-996C-031E214A6847}"/>
    <cellStyle name="Normal 5 2 2 2 2 9 3" xfId="23408" xr:uid="{59EF16F9-679B-41CC-AD17-702AC11A7C8D}"/>
    <cellStyle name="Normal 5 2 2 2 3" xfId="414" xr:uid="{00000000-0005-0000-0000-000048170000}"/>
    <cellStyle name="Normal 5 2 2 2 3 10" xfId="9896" xr:uid="{1A1B07AF-28C4-4614-8946-3E68B94AD8AE}"/>
    <cellStyle name="Normal 5 2 2 2 3 10 2" xfId="28492" xr:uid="{38601914-0DF6-41E2-9DDB-AC8FD348D6E3}"/>
    <cellStyle name="Normal 5 2 2 2 3 11" xfId="19195" xr:uid="{288A48CB-DD4B-4302-BB83-94581338EDBE}"/>
    <cellStyle name="Normal 5 2 2 2 3 2" xfId="415" xr:uid="{00000000-0005-0000-0000-000049170000}"/>
    <cellStyle name="Normal 5 2 2 2 3 2 10" xfId="19196" xr:uid="{266CFDE2-44A7-42F2-BD6C-7B625658802C}"/>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F023E081-880C-4258-95D5-D4822B439040}"/>
    <cellStyle name="Normal 5 2 2 2 3 2 2 2 2 2 2" xfId="35268" xr:uid="{031E870E-650B-40FA-9274-31921D40E97C}"/>
    <cellStyle name="Normal 5 2 2 2 3 2 2 2 2 3" xfId="25971" xr:uid="{09023984-30D1-4B39-B592-D1836A836CB5}"/>
    <cellStyle name="Normal 5 2 2 2 3 2 2 2 3" xfId="12455" xr:uid="{1804DDA5-A974-4908-B703-6B812F1A0917}"/>
    <cellStyle name="Normal 5 2 2 2 3 2 2 2 3 2" xfId="31051" xr:uid="{B57BE451-E692-4040-AD1D-7CFECFC2404E}"/>
    <cellStyle name="Normal 5 2 2 2 3 2 2 2 4" xfId="21754" xr:uid="{37C44B9C-C5DF-435D-9183-FA3A4309CA71}"/>
    <cellStyle name="Normal 5 2 2 2 3 2 2 3" xfId="5201" xr:uid="{00000000-0005-0000-0000-00004D170000}"/>
    <cellStyle name="Normal 5 2 2 2 3 2 2 3 2" xfId="14527" xr:uid="{F8AFE4AE-7239-4CE6-9621-C0D85C41A613}"/>
    <cellStyle name="Normal 5 2 2 2 3 2 2 3 2 2" xfId="33123" xr:uid="{9BFF9CE1-AA0E-4CAA-8414-CC9143B2D724}"/>
    <cellStyle name="Normal 5 2 2 2 3 2 2 3 3" xfId="23826" xr:uid="{FF0A077E-3540-4B74-8C59-8850E047C283}"/>
    <cellStyle name="Normal 5 2 2 2 3 2 2 4" xfId="9506" xr:uid="{65E8E1F9-5B62-47C9-8131-412DF42F5268}"/>
    <cellStyle name="Normal 5 2 2 2 3 2 2 4 2" xfId="18821" xr:uid="{B2BE5D20-5A14-4C87-9EC3-59DCD6712571}"/>
    <cellStyle name="Normal 5 2 2 2 3 2 2 4 2 2" xfId="37415" xr:uid="{F8F475B9-6D92-4CCC-A758-EF6F79DA3F9C}"/>
    <cellStyle name="Normal 5 2 2 2 3 2 2 4 3" xfId="28118" xr:uid="{79344601-E6FD-47B6-BD38-64F93A9F21EE}"/>
    <cellStyle name="Normal 5 2 2 2 3 2 2 5" xfId="10310" xr:uid="{DBB9E7F7-1C97-4AA6-999D-E4A8B271A5F6}"/>
    <cellStyle name="Normal 5 2 2 2 3 2 2 5 2" xfId="28906" xr:uid="{40804D6C-DB52-44D4-ABBB-0DBFE7ACA6F9}"/>
    <cellStyle name="Normal 5 2 2 2 3 2 2 6" xfId="19609" xr:uid="{B7C7A56D-81C1-4E83-8104-6449980063BB}"/>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5DB589F5-69D0-469B-B6AE-E1B96DC9E8F5}"/>
    <cellStyle name="Normal 5 2 2 2 3 2 3 2 2 2 2" xfId="35681" xr:uid="{A20FABD4-7BF5-4D98-813E-BC8D94557B8B}"/>
    <cellStyle name="Normal 5 2 2 2 3 2 3 2 2 3" xfId="26384" xr:uid="{7492100E-C795-4770-90B8-76E9AD3B1B2A}"/>
    <cellStyle name="Normal 5 2 2 2 3 2 3 2 3" xfId="12868" xr:uid="{30E3F7EB-F411-4EFC-B0BB-98F587688A49}"/>
    <cellStyle name="Normal 5 2 2 2 3 2 3 2 3 2" xfId="31464" xr:uid="{47CF4CE5-9D3C-48C6-B094-E26A515CB846}"/>
    <cellStyle name="Normal 5 2 2 2 3 2 3 2 4" xfId="22167" xr:uid="{327C19BF-66ED-4854-AC79-C5318A8A0576}"/>
    <cellStyle name="Normal 5 2 2 2 3 2 3 3" xfId="5614" xr:uid="{00000000-0005-0000-0000-000051170000}"/>
    <cellStyle name="Normal 5 2 2 2 3 2 3 3 2" xfId="14940" xr:uid="{2F8EB69E-A08E-417F-802A-EF7B6792D84A}"/>
    <cellStyle name="Normal 5 2 2 2 3 2 3 3 2 2" xfId="33536" xr:uid="{7850384C-F30F-424B-A4F7-76A6D213F255}"/>
    <cellStyle name="Normal 5 2 2 2 3 2 3 3 3" xfId="24239" xr:uid="{281E09C7-A53D-4927-8E61-22E4E59C1037}"/>
    <cellStyle name="Normal 5 2 2 2 3 2 3 4" xfId="10723" xr:uid="{C5C18EA6-EC3B-495C-B5A9-77A114856129}"/>
    <cellStyle name="Normal 5 2 2 2 3 2 3 4 2" xfId="29319" xr:uid="{CB182936-DDBF-4B3F-8B61-6BB88E22AF7C}"/>
    <cellStyle name="Normal 5 2 2 2 3 2 3 5" xfId="20022" xr:uid="{522A1EBB-F884-4AF2-A111-8EEB7E469DD2}"/>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FB006689-FA30-40A7-A5BA-644CA0759B48}"/>
    <cellStyle name="Normal 5 2 2 2 3 2 4 2 2 2 2" xfId="36094" xr:uid="{702E0817-B474-4029-A05D-438C5F011C0E}"/>
    <cellStyle name="Normal 5 2 2 2 3 2 4 2 2 3" xfId="26797" xr:uid="{A46BF207-3F62-4885-84B4-63707C29CAF1}"/>
    <cellStyle name="Normal 5 2 2 2 3 2 4 2 3" xfId="13281" xr:uid="{E4DB4447-691C-4DFC-823D-FC6DF1411F09}"/>
    <cellStyle name="Normal 5 2 2 2 3 2 4 2 3 2" xfId="31877" xr:uid="{EDB2B9B5-6C65-45B8-92B4-1689C38723AC}"/>
    <cellStyle name="Normal 5 2 2 2 3 2 4 2 4" xfId="22580" xr:uid="{C66C898E-9925-4423-B33B-78EE5527CE45}"/>
    <cellStyle name="Normal 5 2 2 2 3 2 4 3" xfId="6027" xr:uid="{00000000-0005-0000-0000-000055170000}"/>
    <cellStyle name="Normal 5 2 2 2 3 2 4 3 2" xfId="15353" xr:uid="{9DF56748-4005-4F3A-8C3B-5799A7DCBDE9}"/>
    <cellStyle name="Normal 5 2 2 2 3 2 4 3 2 2" xfId="33949" xr:uid="{A88937AD-B1A1-47B5-9C5A-110A75DC9414}"/>
    <cellStyle name="Normal 5 2 2 2 3 2 4 3 3" xfId="24652" xr:uid="{BE7B898D-9ADA-4D41-B61C-A90F8D841284}"/>
    <cellStyle name="Normal 5 2 2 2 3 2 4 4" xfId="11136" xr:uid="{87D61856-364B-4CFB-B053-5E57959C674A}"/>
    <cellStyle name="Normal 5 2 2 2 3 2 4 4 2" xfId="29732" xr:uid="{730BD3E7-FD20-4338-964C-809ECAD5DAD9}"/>
    <cellStyle name="Normal 5 2 2 2 3 2 4 5" xfId="20435" xr:uid="{AF5D3105-858A-4F7A-85E4-8E8CC5D39317}"/>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74ED8D77-9D22-405C-B7EC-6798E6691A9B}"/>
    <cellStyle name="Normal 5 2 2 2 3 2 5 2 2 2 2" xfId="36507" xr:uid="{F2725312-02C8-4B08-8651-076892BAC9E9}"/>
    <cellStyle name="Normal 5 2 2 2 3 2 5 2 2 3" xfId="27210" xr:uid="{3BF7FB38-A655-4E2F-8AF3-1E5BE56285CE}"/>
    <cellStyle name="Normal 5 2 2 2 3 2 5 2 3" xfId="13694" xr:uid="{8EDD6BD6-2057-48B3-9EF2-2BD9C1443D44}"/>
    <cellStyle name="Normal 5 2 2 2 3 2 5 2 3 2" xfId="32290" xr:uid="{E7A32D68-0235-432C-9D03-288C7D55DD87}"/>
    <cellStyle name="Normal 5 2 2 2 3 2 5 2 4" xfId="22993" xr:uid="{4A900499-C024-4584-8A2D-8F8527E0E148}"/>
    <cellStyle name="Normal 5 2 2 2 3 2 5 3" xfId="6440" xr:uid="{00000000-0005-0000-0000-000059170000}"/>
    <cellStyle name="Normal 5 2 2 2 3 2 5 3 2" xfId="15766" xr:uid="{83B1C7F8-7C41-4416-A8EB-DD622A29459C}"/>
    <cellStyle name="Normal 5 2 2 2 3 2 5 3 2 2" xfId="34362" xr:uid="{DDB9D0A0-2641-46DB-A5EF-8E91717952D1}"/>
    <cellStyle name="Normal 5 2 2 2 3 2 5 3 3" xfId="25065" xr:uid="{F52991A2-8E81-4F5F-917C-35E6C4823DDA}"/>
    <cellStyle name="Normal 5 2 2 2 3 2 5 4" xfId="11549" xr:uid="{6DD97F6D-6341-4322-9DC0-A2E0B5F2DD89}"/>
    <cellStyle name="Normal 5 2 2 2 3 2 5 4 2" xfId="30145" xr:uid="{1878BCEE-1176-4D38-A8AF-C23133ABC873}"/>
    <cellStyle name="Normal 5 2 2 2 3 2 5 5" xfId="20848" xr:uid="{F1A7C76C-97DA-4A5C-856A-AFA3A152C7AD}"/>
    <cellStyle name="Normal 5 2 2 2 3 2 6" xfId="2570" xr:uid="{00000000-0005-0000-0000-00005A170000}"/>
    <cellStyle name="Normal 5 2 2 2 3 2 6 2" xfId="6853" xr:uid="{00000000-0005-0000-0000-00005B170000}"/>
    <cellStyle name="Normal 5 2 2 2 3 2 6 2 2" xfId="16179" xr:uid="{705E0432-CB3B-4EDD-B3C3-9A59E68174FD}"/>
    <cellStyle name="Normal 5 2 2 2 3 2 6 2 2 2" xfId="34775" xr:uid="{A8E356F6-33A0-461F-B2FE-2BDDA12E6DB6}"/>
    <cellStyle name="Normal 5 2 2 2 3 2 6 2 3" xfId="25478" xr:uid="{73174B6B-1EC5-4092-A7F4-88EC02470A27}"/>
    <cellStyle name="Normal 5 2 2 2 3 2 6 3" xfId="11962" xr:uid="{1C7D4F60-055B-4279-B8E5-D729D86F62D5}"/>
    <cellStyle name="Normal 5 2 2 2 3 2 6 3 2" xfId="30558" xr:uid="{402C0AA5-15F3-4FC8-96F3-CB95AE4E41E0}"/>
    <cellStyle name="Normal 5 2 2 2 3 2 6 4" xfId="21261" xr:uid="{3B00D96D-0DFE-4E69-8EFF-ECF1DBADA7EF}"/>
    <cellStyle name="Normal 5 2 2 2 3 2 7" xfId="4788" xr:uid="{00000000-0005-0000-0000-00005C170000}"/>
    <cellStyle name="Normal 5 2 2 2 3 2 7 2" xfId="14114" xr:uid="{37B0BA4E-8B69-4E80-A70A-221955F8A28D}"/>
    <cellStyle name="Normal 5 2 2 2 3 2 7 2 2" xfId="32710" xr:uid="{63B90DF9-52DD-4895-A01F-3FA4F5FCE29D}"/>
    <cellStyle name="Normal 5 2 2 2 3 2 7 3" xfId="23413" xr:uid="{66F4EAC8-4E24-4C9A-AAC8-B1ED1D8D4897}"/>
    <cellStyle name="Normal 5 2 2 2 3 2 8" xfId="9081" xr:uid="{B0400C6D-4400-4F06-9092-2DCAD3324CF1}"/>
    <cellStyle name="Normal 5 2 2 2 3 2 8 2" xfId="18405" xr:uid="{EFC2BE00-2B2A-4231-8E51-730D58EBDFE7}"/>
    <cellStyle name="Normal 5 2 2 2 3 2 8 2 2" xfId="37000" xr:uid="{8F8CDD65-3F07-4C6B-A8EA-E2A52B3D0763}"/>
    <cellStyle name="Normal 5 2 2 2 3 2 8 3" xfId="27703" xr:uid="{FBB0B976-C351-4144-B8CF-0F9861E74254}"/>
    <cellStyle name="Normal 5 2 2 2 3 2 9" xfId="9897" xr:uid="{F2D160CA-B3BA-4852-AA0C-53DBF55D6A8B}"/>
    <cellStyle name="Normal 5 2 2 2 3 2 9 2" xfId="28493" xr:uid="{49A09F85-7FA4-4C9D-8697-94AE648D42B5}"/>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06011599-33A8-4EA9-ADE1-47071C4F42DA}"/>
    <cellStyle name="Normal 5 2 2 2 3 3 2 2 2 2" xfId="35267" xr:uid="{83832ACE-4B40-4F5F-A2D8-E5C3BCA25714}"/>
    <cellStyle name="Normal 5 2 2 2 3 3 2 2 3" xfId="25970" xr:uid="{0110759F-1F33-4446-8950-96032F9405B8}"/>
    <cellStyle name="Normal 5 2 2 2 3 3 2 3" xfId="12454" xr:uid="{4101A9CC-73F1-4CFF-8EDD-1D7AED80BAB0}"/>
    <cellStyle name="Normal 5 2 2 2 3 3 2 3 2" xfId="31050" xr:uid="{B898E319-CE5C-428F-8C54-04725E713B3A}"/>
    <cellStyle name="Normal 5 2 2 2 3 3 2 4" xfId="21753" xr:uid="{DDF82DFF-EF62-4F3C-BEDA-0CBD1A39928C}"/>
    <cellStyle name="Normal 5 2 2 2 3 3 3" xfId="5200" xr:uid="{00000000-0005-0000-0000-000060170000}"/>
    <cellStyle name="Normal 5 2 2 2 3 3 3 2" xfId="14526" xr:uid="{B1950756-4C7A-418D-BFE4-103449D81B6F}"/>
    <cellStyle name="Normal 5 2 2 2 3 3 3 2 2" xfId="33122" xr:uid="{D692DD9F-5FBA-4724-B73A-FB2CED0C8256}"/>
    <cellStyle name="Normal 5 2 2 2 3 3 3 3" xfId="23825" xr:uid="{71DB4CB9-3125-4E13-8F23-7AC6C23559DB}"/>
    <cellStyle name="Normal 5 2 2 2 3 3 4" xfId="9299" xr:uid="{85780536-A38F-4D86-8846-D9FA6BB2D61D}"/>
    <cellStyle name="Normal 5 2 2 2 3 3 4 2" xfId="18614" xr:uid="{6CCB0ACF-0B58-4DB8-8AF5-D3933C41B471}"/>
    <cellStyle name="Normal 5 2 2 2 3 3 4 2 2" xfId="37208" xr:uid="{6FEE20B5-4B61-4BB4-A25C-9C1E4673BD1D}"/>
    <cellStyle name="Normal 5 2 2 2 3 3 4 3" xfId="27911" xr:uid="{8421C59C-97A5-4DC2-90CF-51BA3F811040}"/>
    <cellStyle name="Normal 5 2 2 2 3 3 5" xfId="10309" xr:uid="{6F2184F0-964B-4C86-B1EC-7D739CC91CC0}"/>
    <cellStyle name="Normal 5 2 2 2 3 3 5 2" xfId="28905" xr:uid="{B8E1DEF2-AA20-4026-9C8C-DF5D422D5525}"/>
    <cellStyle name="Normal 5 2 2 2 3 3 6" xfId="19608" xr:uid="{3A88803E-33A7-4F4A-986A-BF7B07829724}"/>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C68D9C96-4CE2-41E4-87FE-982402E212EC}"/>
    <cellStyle name="Normal 5 2 2 2 3 4 2 2 2 2" xfId="35680" xr:uid="{7CF0C017-3F73-4D15-B310-E8F170986E55}"/>
    <cellStyle name="Normal 5 2 2 2 3 4 2 2 3" xfId="26383" xr:uid="{CF2F9607-3025-4F0A-A70F-ED153003CCF9}"/>
    <cellStyle name="Normal 5 2 2 2 3 4 2 3" xfId="12867" xr:uid="{24C7A1F1-4986-414A-BE9A-477BF0D30965}"/>
    <cellStyle name="Normal 5 2 2 2 3 4 2 3 2" xfId="31463" xr:uid="{EBCECCF2-645A-4F62-A345-E39D5DED96CF}"/>
    <cellStyle name="Normal 5 2 2 2 3 4 2 4" xfId="22166" xr:uid="{B7C7156E-0D71-4B6B-937F-DCD964AB93ED}"/>
    <cellStyle name="Normal 5 2 2 2 3 4 3" xfId="5613" xr:uid="{00000000-0005-0000-0000-000064170000}"/>
    <cellStyle name="Normal 5 2 2 2 3 4 3 2" xfId="14939" xr:uid="{A5EE938E-8933-4977-A61D-3F7C7E03E497}"/>
    <cellStyle name="Normal 5 2 2 2 3 4 3 2 2" xfId="33535" xr:uid="{90CEB33B-1814-4CE7-A567-FA8B7C10B379}"/>
    <cellStyle name="Normal 5 2 2 2 3 4 3 3" xfId="24238" xr:uid="{A12FC429-C719-402D-983B-5B22915687F0}"/>
    <cellStyle name="Normal 5 2 2 2 3 4 4" xfId="10722" xr:uid="{EFCC79D1-FEA8-4E33-86D8-FC6F17014D27}"/>
    <cellStyle name="Normal 5 2 2 2 3 4 4 2" xfId="29318" xr:uid="{DECF3DCA-6A81-49AE-AC4A-CB8E80748D02}"/>
    <cellStyle name="Normal 5 2 2 2 3 4 5" xfId="20021" xr:uid="{00CBD64C-E0F7-4898-9513-64779FB4ED24}"/>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AE6999C7-A4AB-4C45-9A7E-93CC2A8C3D15}"/>
    <cellStyle name="Normal 5 2 2 2 3 5 2 2 2 2" xfId="36093" xr:uid="{28DF51D8-4850-4584-AA31-D2CC78FFB708}"/>
    <cellStyle name="Normal 5 2 2 2 3 5 2 2 3" xfId="26796" xr:uid="{6FB5AABC-7B14-4B6F-9FB1-80661B74539A}"/>
    <cellStyle name="Normal 5 2 2 2 3 5 2 3" xfId="13280" xr:uid="{54200033-76EA-4A4E-8A3D-800F48BF42E6}"/>
    <cellStyle name="Normal 5 2 2 2 3 5 2 3 2" xfId="31876" xr:uid="{DB8EE4EE-5496-42BF-BFE2-EEA2FB946569}"/>
    <cellStyle name="Normal 5 2 2 2 3 5 2 4" xfId="22579" xr:uid="{554055A7-02F9-4CE5-91FD-E1C827633F06}"/>
    <cellStyle name="Normal 5 2 2 2 3 5 3" xfId="6026" xr:uid="{00000000-0005-0000-0000-000068170000}"/>
    <cellStyle name="Normal 5 2 2 2 3 5 3 2" xfId="15352" xr:uid="{137BBE12-51AC-470A-8178-1B402E5A2229}"/>
    <cellStyle name="Normal 5 2 2 2 3 5 3 2 2" xfId="33948" xr:uid="{0B481D3D-3248-47BA-A229-7BDC022C5F1B}"/>
    <cellStyle name="Normal 5 2 2 2 3 5 3 3" xfId="24651" xr:uid="{4B4041AE-C669-45B3-95BE-E48EE7EF921F}"/>
    <cellStyle name="Normal 5 2 2 2 3 5 4" xfId="11135" xr:uid="{6812BC88-CF5E-44F9-B30F-73FFBAF9F685}"/>
    <cellStyle name="Normal 5 2 2 2 3 5 4 2" xfId="29731" xr:uid="{E4B433F5-5201-4AC1-8271-15AA5B05C8AD}"/>
    <cellStyle name="Normal 5 2 2 2 3 5 5" xfId="20434" xr:uid="{B2055CD9-0182-4E73-8F73-C018E09F2DA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35EDC44E-2A4C-492B-B7FC-20E108E3D484}"/>
    <cellStyle name="Normal 5 2 2 2 3 6 2 2 2 2" xfId="36506" xr:uid="{D9DC29B3-EECD-4501-9E6F-289E158890AB}"/>
    <cellStyle name="Normal 5 2 2 2 3 6 2 2 3" xfId="27209" xr:uid="{61339290-E619-4A97-B16C-1F906B4B4E8F}"/>
    <cellStyle name="Normal 5 2 2 2 3 6 2 3" xfId="13693" xr:uid="{9DCA0FBA-6CD5-45F4-8056-115DCEFE1AE6}"/>
    <cellStyle name="Normal 5 2 2 2 3 6 2 3 2" xfId="32289" xr:uid="{B3087EC5-F750-45F2-830A-33C3373EDB5E}"/>
    <cellStyle name="Normal 5 2 2 2 3 6 2 4" xfId="22992" xr:uid="{5D569E02-F22B-4B9E-B143-5ABD053D11D4}"/>
    <cellStyle name="Normal 5 2 2 2 3 6 3" xfId="6439" xr:uid="{00000000-0005-0000-0000-00006C170000}"/>
    <cellStyle name="Normal 5 2 2 2 3 6 3 2" xfId="15765" xr:uid="{74CD8F65-FA0B-42B2-B77D-06C71853BFF9}"/>
    <cellStyle name="Normal 5 2 2 2 3 6 3 2 2" xfId="34361" xr:uid="{8C13EB77-BD9D-4061-9E43-A79174145F1A}"/>
    <cellStyle name="Normal 5 2 2 2 3 6 3 3" xfId="25064" xr:uid="{BDED9663-8D2A-4903-8855-6F7F24870550}"/>
    <cellStyle name="Normal 5 2 2 2 3 6 4" xfId="11548" xr:uid="{1D5BD778-0F63-40F3-B182-3146F4F919DD}"/>
    <cellStyle name="Normal 5 2 2 2 3 6 4 2" xfId="30144" xr:uid="{E46341F5-46D5-40CA-BFD6-FEB916E31D34}"/>
    <cellStyle name="Normal 5 2 2 2 3 6 5" xfId="20847" xr:uid="{8BC2E1C6-AE53-4BE1-9FCB-9D1745396312}"/>
    <cellStyle name="Normal 5 2 2 2 3 7" xfId="2569" xr:uid="{00000000-0005-0000-0000-00006D170000}"/>
    <cellStyle name="Normal 5 2 2 2 3 7 2" xfId="6852" xr:uid="{00000000-0005-0000-0000-00006E170000}"/>
    <cellStyle name="Normal 5 2 2 2 3 7 2 2" xfId="16178" xr:uid="{28A1904B-FCEC-4CD3-A952-96657BE2D6FB}"/>
    <cellStyle name="Normal 5 2 2 2 3 7 2 2 2" xfId="34774" xr:uid="{AFE75DA6-26D0-49B3-8399-B1CDC81DDD31}"/>
    <cellStyle name="Normal 5 2 2 2 3 7 2 3" xfId="25477" xr:uid="{5FCFE439-4C83-4946-BA0B-BAD490FFB7B7}"/>
    <cellStyle name="Normal 5 2 2 2 3 7 3" xfId="11961" xr:uid="{0943C255-AB5D-46B4-89E4-0ECD7454279B}"/>
    <cellStyle name="Normal 5 2 2 2 3 7 3 2" xfId="30557" xr:uid="{023F0952-3D0F-4587-993E-D720FBDE575B}"/>
    <cellStyle name="Normal 5 2 2 2 3 7 4" xfId="21260" xr:uid="{5E5CBD2D-61C9-4C69-8B98-8BD6FEC2BD2C}"/>
    <cellStyle name="Normal 5 2 2 2 3 8" xfId="4787" xr:uid="{00000000-0005-0000-0000-00006F170000}"/>
    <cellStyle name="Normal 5 2 2 2 3 8 2" xfId="14113" xr:uid="{E1C871A1-1717-43E4-B8E1-1A5D162D68F8}"/>
    <cellStyle name="Normal 5 2 2 2 3 8 2 2" xfId="32709" xr:uid="{C0B8837D-EA24-4E1F-8A50-FA98A55E7823}"/>
    <cellStyle name="Normal 5 2 2 2 3 8 3" xfId="23412" xr:uid="{6C5EF1FE-7425-47AD-860A-7B54A32F2D81}"/>
    <cellStyle name="Normal 5 2 2 2 3 9" xfId="8874" xr:uid="{D7CEB9F3-DFA5-483F-B08A-C4A582DD7FE8}"/>
    <cellStyle name="Normal 5 2 2 2 3 9 2" xfId="18198" xr:uid="{37F39747-2A93-4129-83F6-0C380B7D7A93}"/>
    <cellStyle name="Normal 5 2 2 2 3 9 2 2" xfId="36793" xr:uid="{B29F2EAA-698B-4009-A28A-12B1EDC4735B}"/>
    <cellStyle name="Normal 5 2 2 2 3 9 3" xfId="27496" xr:uid="{5E321470-401A-41C8-B65B-6F7348B0A06B}"/>
    <cellStyle name="Normal 5 2 2 2 4" xfId="416" xr:uid="{00000000-0005-0000-0000-000070170000}"/>
    <cellStyle name="Normal 5 2 2 2 4 10" xfId="19197" xr:uid="{E3F509CC-6F94-413A-BFD0-EC0A1A5C84EB}"/>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86798D2B-31C7-4416-9334-3D2773B7CC2D}"/>
    <cellStyle name="Normal 5 2 2 2 4 2 2 2 2 2" xfId="35269" xr:uid="{FACC2AFE-3CE2-4849-9642-FB7039C8A892}"/>
    <cellStyle name="Normal 5 2 2 2 4 2 2 2 3" xfId="25972" xr:uid="{C41BFFA3-60F3-4399-AC92-1E740FA75562}"/>
    <cellStyle name="Normal 5 2 2 2 4 2 2 3" xfId="12456" xr:uid="{362723F8-9672-4511-A2F8-E1BB717C3F2B}"/>
    <cellStyle name="Normal 5 2 2 2 4 2 2 3 2" xfId="31052" xr:uid="{A192172A-DF95-4813-9B02-B458032BE8AC}"/>
    <cellStyle name="Normal 5 2 2 2 4 2 2 4" xfId="21755" xr:uid="{3CCB5D21-69BB-4D44-9DA5-7EA536469238}"/>
    <cellStyle name="Normal 5 2 2 2 4 2 3" xfId="5202" xr:uid="{00000000-0005-0000-0000-000074170000}"/>
    <cellStyle name="Normal 5 2 2 2 4 2 3 2" xfId="14528" xr:uid="{41272871-975F-4BC2-8745-CD31DECFDFFF}"/>
    <cellStyle name="Normal 5 2 2 2 4 2 3 2 2" xfId="33124" xr:uid="{4A680437-3F88-4F3C-86C7-9B7CF8B04B2C}"/>
    <cellStyle name="Normal 5 2 2 2 4 2 3 3" xfId="23827" xr:uid="{27E427BB-3131-465C-AA39-5A424FFDDD67}"/>
    <cellStyle name="Normal 5 2 2 2 4 2 4" xfId="9403" xr:uid="{DDA7C497-662A-4A76-A324-A27E6A0A2B3D}"/>
    <cellStyle name="Normal 5 2 2 2 4 2 4 2" xfId="18718" xr:uid="{417EAC43-43E2-470B-8759-A48BE499E858}"/>
    <cellStyle name="Normal 5 2 2 2 4 2 4 2 2" xfId="37312" xr:uid="{4CBBA3B7-54F1-4298-98BC-0557D2CD6CE4}"/>
    <cellStyle name="Normal 5 2 2 2 4 2 4 3" xfId="28015" xr:uid="{E246A0A6-BBC2-43B5-BA92-630668057B8A}"/>
    <cellStyle name="Normal 5 2 2 2 4 2 5" xfId="10311" xr:uid="{FC69112E-53BE-47C9-97D5-5BFFE196C4E2}"/>
    <cellStyle name="Normal 5 2 2 2 4 2 5 2" xfId="28907" xr:uid="{CA8BF3A0-A350-4EE7-ACAE-12625BD4C497}"/>
    <cellStyle name="Normal 5 2 2 2 4 2 6" xfId="19610" xr:uid="{92372347-69D1-48B1-A611-0F0DB2910B4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AC519A8D-C447-48A5-95F2-B96B6FCA94E6}"/>
    <cellStyle name="Normal 5 2 2 2 4 3 2 2 2 2" xfId="35682" xr:uid="{719A3F0F-FE3C-4BC9-B519-F2482C7380D7}"/>
    <cellStyle name="Normal 5 2 2 2 4 3 2 2 3" xfId="26385" xr:uid="{64773A81-0849-4BE8-A118-270E19752306}"/>
    <cellStyle name="Normal 5 2 2 2 4 3 2 3" xfId="12869" xr:uid="{AF3A5678-0F66-4C64-B56E-FFA7A2E8CBC3}"/>
    <cellStyle name="Normal 5 2 2 2 4 3 2 3 2" xfId="31465" xr:uid="{D53DC015-B8CC-4064-8FCB-4FE3F6CB7310}"/>
    <cellStyle name="Normal 5 2 2 2 4 3 2 4" xfId="22168" xr:uid="{18463CDA-E92E-4D7A-86DE-F59FE517A575}"/>
    <cellStyle name="Normal 5 2 2 2 4 3 3" xfId="5615" xr:uid="{00000000-0005-0000-0000-000078170000}"/>
    <cellStyle name="Normal 5 2 2 2 4 3 3 2" xfId="14941" xr:uid="{83F79AD1-9D58-421F-ABB2-C8314FCF3E01}"/>
    <cellStyle name="Normal 5 2 2 2 4 3 3 2 2" xfId="33537" xr:uid="{4FFF6E99-96BA-487E-AB41-6B8DF7CF9DEC}"/>
    <cellStyle name="Normal 5 2 2 2 4 3 3 3" xfId="24240" xr:uid="{84949D59-0A7D-4FF8-8254-00AAEB535EDD}"/>
    <cellStyle name="Normal 5 2 2 2 4 3 4" xfId="10724" xr:uid="{1D92256B-FE6C-4045-8020-E1C9AFE6601A}"/>
    <cellStyle name="Normal 5 2 2 2 4 3 4 2" xfId="29320" xr:uid="{DB749D4D-0D57-4088-B6D1-0AD48939B978}"/>
    <cellStyle name="Normal 5 2 2 2 4 3 5" xfId="20023" xr:uid="{688F28D5-88F7-43C7-9B6E-698E6EFE3BCE}"/>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BC5EA095-DB20-44D4-A8DC-4C6C56438AD2}"/>
    <cellStyle name="Normal 5 2 2 2 4 4 2 2 2 2" xfId="36095" xr:uid="{BD251C61-F249-4D31-AB41-B04952319877}"/>
    <cellStyle name="Normal 5 2 2 2 4 4 2 2 3" xfId="26798" xr:uid="{5C6926A4-4849-476A-ADA9-9E341159A9B5}"/>
    <cellStyle name="Normal 5 2 2 2 4 4 2 3" xfId="13282" xr:uid="{2E393B38-CC82-4A26-947D-F74CC1A3ECF2}"/>
    <cellStyle name="Normal 5 2 2 2 4 4 2 3 2" xfId="31878" xr:uid="{9A47D7A8-2489-4408-BDF2-D04A4598633A}"/>
    <cellStyle name="Normal 5 2 2 2 4 4 2 4" xfId="22581" xr:uid="{C857799A-81B2-4646-81F2-5E1234BCB79B}"/>
    <cellStyle name="Normal 5 2 2 2 4 4 3" xfId="6028" xr:uid="{00000000-0005-0000-0000-00007C170000}"/>
    <cellStyle name="Normal 5 2 2 2 4 4 3 2" xfId="15354" xr:uid="{9544A36F-BB28-41FD-A5E4-CE9CA84F3915}"/>
    <cellStyle name="Normal 5 2 2 2 4 4 3 2 2" xfId="33950" xr:uid="{B2B58AE4-928B-4C0C-8D1B-F726F05900EC}"/>
    <cellStyle name="Normal 5 2 2 2 4 4 3 3" xfId="24653" xr:uid="{CB838DF2-74C0-4970-8F8B-553850773E08}"/>
    <cellStyle name="Normal 5 2 2 2 4 4 4" xfId="11137" xr:uid="{D8FBBCEB-E03F-453F-BC74-1E76BAE2D3C7}"/>
    <cellStyle name="Normal 5 2 2 2 4 4 4 2" xfId="29733" xr:uid="{7B32C0B5-DA9F-4866-BB89-77011D01321F}"/>
    <cellStyle name="Normal 5 2 2 2 4 4 5" xfId="20436" xr:uid="{6D6F68C9-05C0-46DE-B918-660E0F8EF587}"/>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C2BB23A7-A1C0-4D0B-B56F-0CEEF968874A}"/>
    <cellStyle name="Normal 5 2 2 2 4 5 2 2 2 2" xfId="36508" xr:uid="{E6F94EBF-1E14-4542-B8AA-83008693A3DB}"/>
    <cellStyle name="Normal 5 2 2 2 4 5 2 2 3" xfId="27211" xr:uid="{7B50C834-8B02-4C89-8E58-0806A600F77D}"/>
    <cellStyle name="Normal 5 2 2 2 4 5 2 3" xfId="13695" xr:uid="{83112789-9215-4DAC-906B-A93A7F01DB66}"/>
    <cellStyle name="Normal 5 2 2 2 4 5 2 3 2" xfId="32291" xr:uid="{DF8792E0-5C8F-41AB-8A31-7954CE7738E9}"/>
    <cellStyle name="Normal 5 2 2 2 4 5 2 4" xfId="22994" xr:uid="{9BDED212-5805-40E4-98FE-826FBE502FFA}"/>
    <cellStyle name="Normal 5 2 2 2 4 5 3" xfId="6441" xr:uid="{00000000-0005-0000-0000-000080170000}"/>
    <cellStyle name="Normal 5 2 2 2 4 5 3 2" xfId="15767" xr:uid="{59592F89-1550-44B2-8249-A7FA4ECEAB93}"/>
    <cellStyle name="Normal 5 2 2 2 4 5 3 2 2" xfId="34363" xr:uid="{F199AF19-E0E3-4493-B145-72B59757FBFB}"/>
    <cellStyle name="Normal 5 2 2 2 4 5 3 3" xfId="25066" xr:uid="{F34CB1DD-C21C-4EAE-9C66-DEDD28443BEC}"/>
    <cellStyle name="Normal 5 2 2 2 4 5 4" xfId="11550" xr:uid="{FA2E0BF5-50A4-4B6B-98B5-C86FE16A0541}"/>
    <cellStyle name="Normal 5 2 2 2 4 5 4 2" xfId="30146" xr:uid="{8D71C93C-2824-4E59-8D13-CA80C6EB54E4}"/>
    <cellStyle name="Normal 5 2 2 2 4 5 5" xfId="20849" xr:uid="{A2A501E5-AC0F-4755-AC7B-E11B8CDC2171}"/>
    <cellStyle name="Normal 5 2 2 2 4 6" xfId="2571" xr:uid="{00000000-0005-0000-0000-000081170000}"/>
    <cellStyle name="Normal 5 2 2 2 4 6 2" xfId="6854" xr:uid="{00000000-0005-0000-0000-000082170000}"/>
    <cellStyle name="Normal 5 2 2 2 4 6 2 2" xfId="16180" xr:uid="{09333216-12C0-4405-86C4-B0B57F16BB20}"/>
    <cellStyle name="Normal 5 2 2 2 4 6 2 2 2" xfId="34776" xr:uid="{904CC91F-B7F1-4608-805B-3617581306AC}"/>
    <cellStyle name="Normal 5 2 2 2 4 6 2 3" xfId="25479" xr:uid="{DDF50F64-52B0-4579-8465-FC2A68221E80}"/>
    <cellStyle name="Normal 5 2 2 2 4 6 3" xfId="11963" xr:uid="{339C55E9-061B-4BC5-BD12-B651A4282F4C}"/>
    <cellStyle name="Normal 5 2 2 2 4 6 3 2" xfId="30559" xr:uid="{7B559887-4BB1-4720-85D6-2AA3EEE0A1A7}"/>
    <cellStyle name="Normal 5 2 2 2 4 6 4" xfId="21262" xr:uid="{8FC72DD6-2577-44CA-ADF6-CB6F27D85864}"/>
    <cellStyle name="Normal 5 2 2 2 4 7" xfId="4789" xr:uid="{00000000-0005-0000-0000-000083170000}"/>
    <cellStyle name="Normal 5 2 2 2 4 7 2" xfId="14115" xr:uid="{6A1E59F2-072A-46C6-A526-271BC1AC76CE}"/>
    <cellStyle name="Normal 5 2 2 2 4 7 2 2" xfId="32711" xr:uid="{EE28BE9D-7152-42FF-8705-416A9636D0FF}"/>
    <cellStyle name="Normal 5 2 2 2 4 7 3" xfId="23414" xr:uid="{9F2F559F-1BFE-449A-AAF4-3CF6BD682894}"/>
    <cellStyle name="Normal 5 2 2 2 4 8" xfId="8978" xr:uid="{5B5F86B4-BA0F-43A7-920A-E466FD014739}"/>
    <cellStyle name="Normal 5 2 2 2 4 8 2" xfId="18302" xr:uid="{E21328C6-5CE8-406C-84D1-AF38B2A4BE56}"/>
    <cellStyle name="Normal 5 2 2 2 4 8 2 2" xfId="36897" xr:uid="{AD3BB51B-6325-4D03-AD06-7D009D5F25F0}"/>
    <cellStyle name="Normal 5 2 2 2 4 8 3" xfId="27600" xr:uid="{F0A4AE5E-0187-46AB-9D8F-2B92A82826FE}"/>
    <cellStyle name="Normal 5 2 2 2 4 9" xfId="9898" xr:uid="{7F015F8F-0E76-41BB-B7F7-0393F6BE0CAC}"/>
    <cellStyle name="Normal 5 2 2 2 4 9 2" xfId="28494" xr:uid="{08755703-C879-4406-B85B-2C034CA7C1E8}"/>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4E79DC0B-EB8D-48EE-99E6-5578E6D86846}"/>
    <cellStyle name="Normal 5 2 2 2 5 2 2 2 2" xfId="35262" xr:uid="{7DF6324E-661E-41EC-A11D-68A466722FD0}"/>
    <cellStyle name="Normal 5 2 2 2 5 2 2 3" xfId="25965" xr:uid="{3352B4D8-5F18-4642-B6B2-4A980E2AFCE9}"/>
    <cellStyle name="Normal 5 2 2 2 5 2 3" xfId="12449" xr:uid="{4DCB9D0A-C7B4-4B60-BC60-862ECAF1BBCB}"/>
    <cellStyle name="Normal 5 2 2 2 5 2 3 2" xfId="31045" xr:uid="{E6497D36-A117-4571-9C58-0F92A3216581}"/>
    <cellStyle name="Normal 5 2 2 2 5 2 4" xfId="21748" xr:uid="{657F78A4-7BAE-4C65-A9AB-344683E644E5}"/>
    <cellStyle name="Normal 5 2 2 2 5 3" xfId="5195" xr:uid="{00000000-0005-0000-0000-000087170000}"/>
    <cellStyle name="Normal 5 2 2 2 5 3 2" xfId="14521" xr:uid="{CAEFF0BC-B9F8-4F7C-855C-D0FE05BFA6CF}"/>
    <cellStyle name="Normal 5 2 2 2 5 3 2 2" xfId="33117" xr:uid="{BFAD7114-2E6F-4F79-8846-7B43DD6990C7}"/>
    <cellStyle name="Normal 5 2 2 2 5 3 3" xfId="23820" xr:uid="{282996B5-DDD7-4B3E-B636-C238B9217141}"/>
    <cellStyle name="Normal 5 2 2 2 5 4" xfId="9195" xr:uid="{A7E71EA0-2CA4-4918-870E-A32EEF45C61A}"/>
    <cellStyle name="Normal 5 2 2 2 5 4 2" xfId="18511" xr:uid="{9E2B46E0-F55C-4B95-B346-6020551C6D7F}"/>
    <cellStyle name="Normal 5 2 2 2 5 4 2 2" xfId="37105" xr:uid="{208F4948-4D93-4E72-BE8C-64AA43BDBC67}"/>
    <cellStyle name="Normal 5 2 2 2 5 4 3" xfId="27808" xr:uid="{CA397130-5F94-4CCD-A63F-AF5469E73DB2}"/>
    <cellStyle name="Normal 5 2 2 2 5 5" xfId="10304" xr:uid="{4C714CAA-60B6-42FA-8C43-4DAF112C2D27}"/>
    <cellStyle name="Normal 5 2 2 2 5 5 2" xfId="28900" xr:uid="{80FEAC05-E554-44EA-8006-8F9BF4410724}"/>
    <cellStyle name="Normal 5 2 2 2 5 6" xfId="19603" xr:uid="{2821553C-D551-4AFE-B40B-00E1C0C6746B}"/>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A3DA6A31-8A80-4450-BF2F-7B510102248D}"/>
    <cellStyle name="Normal 5 2 2 2 6 2 2 2 2" xfId="35675" xr:uid="{FF07B74F-9351-4F1F-9139-77663F709921}"/>
    <cellStyle name="Normal 5 2 2 2 6 2 2 3" xfId="26378" xr:uid="{AB9F9F0B-CF2E-4CBA-A686-91695FA7CAAF}"/>
    <cellStyle name="Normal 5 2 2 2 6 2 3" xfId="12862" xr:uid="{7C9028C3-78D5-46CD-A684-B707931102D3}"/>
    <cellStyle name="Normal 5 2 2 2 6 2 3 2" xfId="31458" xr:uid="{62A952F2-E89E-47C3-B74C-77C7F70E5A77}"/>
    <cellStyle name="Normal 5 2 2 2 6 2 4" xfId="22161" xr:uid="{A457F564-73D1-4B63-A7BA-8090A16C6234}"/>
    <cellStyle name="Normal 5 2 2 2 6 3" xfId="5608" xr:uid="{00000000-0005-0000-0000-00008B170000}"/>
    <cellStyle name="Normal 5 2 2 2 6 3 2" xfId="14934" xr:uid="{2ECD67F2-E11D-4C4C-8D8D-88B11EA9B13C}"/>
    <cellStyle name="Normal 5 2 2 2 6 3 2 2" xfId="33530" xr:uid="{723A795F-C95E-490D-89CD-C35F781F86B7}"/>
    <cellStyle name="Normal 5 2 2 2 6 3 3" xfId="24233" xr:uid="{9A17703E-EE2C-45C2-A9A7-11A2BB79BF2F}"/>
    <cellStyle name="Normal 5 2 2 2 6 4" xfId="10717" xr:uid="{1D88E292-B5DE-4CD2-B5B0-D4CA0F4B4A00}"/>
    <cellStyle name="Normal 5 2 2 2 6 4 2" xfId="29313" xr:uid="{C97DB69D-45BE-41C7-AD3C-AFC6A6BD6818}"/>
    <cellStyle name="Normal 5 2 2 2 6 5" xfId="20016" xr:uid="{F1C1B3CF-03D6-4B5E-B008-74D22B6B2F9B}"/>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8522B72D-150A-4695-8596-8EA1905BF94B}"/>
    <cellStyle name="Normal 5 2 2 2 7 2 2 2 2" xfId="36088" xr:uid="{66537EF4-4E2E-40FB-8402-3290EBBAAC69}"/>
    <cellStyle name="Normal 5 2 2 2 7 2 2 3" xfId="26791" xr:uid="{223145FF-D6AC-4EE2-833D-294CE9A5B244}"/>
    <cellStyle name="Normal 5 2 2 2 7 2 3" xfId="13275" xr:uid="{DA8EBC20-3FAA-461A-BE49-0875B26ECE9C}"/>
    <cellStyle name="Normal 5 2 2 2 7 2 3 2" xfId="31871" xr:uid="{54584EBA-3CDD-4D26-950F-CC761042FD56}"/>
    <cellStyle name="Normal 5 2 2 2 7 2 4" xfId="22574" xr:uid="{F650EC4F-5351-4D45-A031-19D04EF42354}"/>
    <cellStyle name="Normal 5 2 2 2 7 3" xfId="6021" xr:uid="{00000000-0005-0000-0000-00008F170000}"/>
    <cellStyle name="Normal 5 2 2 2 7 3 2" xfId="15347" xr:uid="{429B35ED-B7D7-411E-B914-30FC15BA3E69}"/>
    <cellStyle name="Normal 5 2 2 2 7 3 2 2" xfId="33943" xr:uid="{DB6D31D1-B7A4-48AD-8DF6-956E231E471A}"/>
    <cellStyle name="Normal 5 2 2 2 7 3 3" xfId="24646" xr:uid="{68D91111-3A4D-4CF7-A832-19D6F4CF1F1F}"/>
    <cellStyle name="Normal 5 2 2 2 7 4" xfId="11130" xr:uid="{244CBE0E-4605-471B-9F62-5058B5DC8FB9}"/>
    <cellStyle name="Normal 5 2 2 2 7 4 2" xfId="29726" xr:uid="{62E59B6B-7ABC-4B6D-808B-54271C09EE3E}"/>
    <cellStyle name="Normal 5 2 2 2 7 5" xfId="20429" xr:uid="{826E0626-2F21-49D7-B892-3E3FC75B5B58}"/>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AFD154F4-B01E-4639-AFD6-84934130943B}"/>
    <cellStyle name="Normal 5 2 2 2 8 2 2 2 2" xfId="36501" xr:uid="{25B0E9AD-3BC4-4785-AB21-6F2BA69586C2}"/>
    <cellStyle name="Normal 5 2 2 2 8 2 2 3" xfId="27204" xr:uid="{272E84A7-DF94-45A1-82A7-BDE65A60B688}"/>
    <cellStyle name="Normal 5 2 2 2 8 2 3" xfId="13688" xr:uid="{C8805854-2020-4953-BE10-409E19F7EBF2}"/>
    <cellStyle name="Normal 5 2 2 2 8 2 3 2" xfId="32284" xr:uid="{3D3D60E8-5C61-4CEF-B6B0-314786E279B2}"/>
    <cellStyle name="Normal 5 2 2 2 8 2 4" xfId="22987" xr:uid="{17CEB291-77DF-4565-92CE-FBC3FC0997B2}"/>
    <cellStyle name="Normal 5 2 2 2 8 3" xfId="6434" xr:uid="{00000000-0005-0000-0000-000093170000}"/>
    <cellStyle name="Normal 5 2 2 2 8 3 2" xfId="15760" xr:uid="{A60A53D0-CF9B-49D2-8067-5AE36827C1F6}"/>
    <cellStyle name="Normal 5 2 2 2 8 3 2 2" xfId="34356" xr:uid="{699CA55C-2126-46D7-99CB-C622C560CBB7}"/>
    <cellStyle name="Normal 5 2 2 2 8 3 3" xfId="25059" xr:uid="{28B6CA68-F45A-4202-9E66-2453B17C0C47}"/>
    <cellStyle name="Normal 5 2 2 2 8 4" xfId="11543" xr:uid="{50B92F07-428B-4303-8FED-C2F9BEEBBD3C}"/>
    <cellStyle name="Normal 5 2 2 2 8 4 2" xfId="30139" xr:uid="{D5C5178A-2529-4B7D-8893-D9B4700943B8}"/>
    <cellStyle name="Normal 5 2 2 2 8 5" xfId="20842" xr:uid="{01B62C89-F0F9-4C6B-BBC2-742CD77888F3}"/>
    <cellStyle name="Normal 5 2 2 2 9" xfId="2564" xr:uid="{00000000-0005-0000-0000-000094170000}"/>
    <cellStyle name="Normal 5 2 2 2 9 2" xfId="6847" xr:uid="{00000000-0005-0000-0000-000095170000}"/>
    <cellStyle name="Normal 5 2 2 2 9 2 2" xfId="16173" xr:uid="{57912985-596F-4EB9-812A-451D594FE704}"/>
    <cellStyle name="Normal 5 2 2 2 9 2 2 2" xfId="34769" xr:uid="{B17D8BFB-2BAA-447C-BE04-8FB40EA42B4E}"/>
    <cellStyle name="Normal 5 2 2 2 9 2 3" xfId="25472" xr:uid="{EEAE686A-59FC-45C5-AA35-F5E7D9DEBA4E}"/>
    <cellStyle name="Normal 5 2 2 2 9 3" xfId="11956" xr:uid="{39A2208F-FDB4-4C6A-9C5C-2AAE5D13E953}"/>
    <cellStyle name="Normal 5 2 2 2 9 3 2" xfId="30552" xr:uid="{08DD0350-041F-4004-AFD3-260AFDF34AE5}"/>
    <cellStyle name="Normal 5 2 2 2 9 4" xfId="21255" xr:uid="{6DB137BA-A011-421A-9F94-5E0E768E6ABE}"/>
    <cellStyle name="Normal 5 2 2 3" xfId="417" xr:uid="{00000000-0005-0000-0000-000096170000}"/>
    <cellStyle name="Normal 5 2 2 3 10" xfId="8828" xr:uid="{5CED8211-F967-469B-812B-9DF6FC250177}"/>
    <cellStyle name="Normal 5 2 2 3 10 2" xfId="18152" xr:uid="{EF0E6519-7403-41F5-8239-BC865E235CC3}"/>
    <cellStyle name="Normal 5 2 2 3 10 2 2" xfId="36747" xr:uid="{227D12ED-C1D5-4596-9592-BA3A87C49445}"/>
    <cellStyle name="Normal 5 2 2 3 10 3" xfId="27450" xr:uid="{EB6BB53C-E0D5-496F-B1C2-05DAF3C31496}"/>
    <cellStyle name="Normal 5 2 2 3 11" xfId="9899" xr:uid="{A3657377-A869-405E-83F3-BC8CEFF4F997}"/>
    <cellStyle name="Normal 5 2 2 3 11 2" xfId="28495" xr:uid="{1BC193A5-A1D0-4933-83C1-5BCFD213948D}"/>
    <cellStyle name="Normal 5 2 2 3 12" xfId="19198" xr:uid="{23D18768-4FEC-4D08-AAFC-0D64BE3E4E5A}"/>
    <cellStyle name="Normal 5 2 2 3 2" xfId="418" xr:uid="{00000000-0005-0000-0000-000097170000}"/>
    <cellStyle name="Normal 5 2 2 3 2 10" xfId="9900" xr:uid="{B66F6E90-E15D-4566-BF67-0E62358D0557}"/>
    <cellStyle name="Normal 5 2 2 3 2 10 2" xfId="28496" xr:uid="{0E044260-CF6A-4B75-AE00-304E692E100B}"/>
    <cellStyle name="Normal 5 2 2 3 2 11" xfId="19199" xr:uid="{EE455985-5B9B-4460-8814-29A6055BDE29}"/>
    <cellStyle name="Normal 5 2 2 3 2 2" xfId="419" xr:uid="{00000000-0005-0000-0000-000098170000}"/>
    <cellStyle name="Normal 5 2 2 3 2 2 10" xfId="19200" xr:uid="{B897F8CF-F078-47AC-8265-1CE87D67F772}"/>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6B701108-9952-4DC6-9B2D-F5BA3B6E906C}"/>
    <cellStyle name="Normal 5 2 2 3 2 2 2 2 2 2 2" xfId="35272" xr:uid="{DCCEEF2F-9DB6-4786-96AB-A85D0D87A5A0}"/>
    <cellStyle name="Normal 5 2 2 3 2 2 2 2 2 3" xfId="25975" xr:uid="{F74B512C-3EE3-4C0C-A70C-D82D0F5C8DF2}"/>
    <cellStyle name="Normal 5 2 2 3 2 2 2 2 3" xfId="12459" xr:uid="{8D89BFA6-89BC-458B-A771-C2E4674D5511}"/>
    <cellStyle name="Normal 5 2 2 3 2 2 2 2 3 2" xfId="31055" xr:uid="{E01C6A17-B6F3-47C1-8071-1E762B12419D}"/>
    <cellStyle name="Normal 5 2 2 3 2 2 2 2 4" xfId="21758" xr:uid="{1755A3D4-8B60-4C28-B76A-75654933491A}"/>
    <cellStyle name="Normal 5 2 2 3 2 2 2 3" xfId="5205" xr:uid="{00000000-0005-0000-0000-00009C170000}"/>
    <cellStyle name="Normal 5 2 2 3 2 2 2 3 2" xfId="14531" xr:uid="{CA3586B2-1769-4024-93BB-0E40A1A4377D}"/>
    <cellStyle name="Normal 5 2 2 3 2 2 2 3 2 2" xfId="33127" xr:uid="{116EDC21-4895-4D6C-9A22-032DE80E7D1B}"/>
    <cellStyle name="Normal 5 2 2 3 2 2 2 3 3" xfId="23830" xr:uid="{6D7C2A6C-7FE3-4F39-B2D9-40686CD807BA}"/>
    <cellStyle name="Normal 5 2 2 3 2 2 2 4" xfId="9563" xr:uid="{804E641C-B5FA-46A3-B805-C1D4AF390C28}"/>
    <cellStyle name="Normal 5 2 2 3 2 2 2 4 2" xfId="18878" xr:uid="{39981741-8F4E-4AA2-9F1A-FA01655BDEAA}"/>
    <cellStyle name="Normal 5 2 2 3 2 2 2 4 2 2" xfId="37472" xr:uid="{BEA06A1C-A1B6-40D5-B72E-40CC5377B9BD}"/>
    <cellStyle name="Normal 5 2 2 3 2 2 2 4 3" xfId="28175" xr:uid="{D7E9DCE4-4C7C-4B86-BD1C-AC9CE8238B0D}"/>
    <cellStyle name="Normal 5 2 2 3 2 2 2 5" xfId="10314" xr:uid="{14C3A335-CA59-4E68-B39A-B3B0FD0454E9}"/>
    <cellStyle name="Normal 5 2 2 3 2 2 2 5 2" xfId="28910" xr:uid="{B3A9263F-ED37-43F9-B150-4E9385D6593E}"/>
    <cellStyle name="Normal 5 2 2 3 2 2 2 6" xfId="19613" xr:uid="{D2546A2E-E848-49B3-BE68-E3350060642E}"/>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C038440A-3ADC-4A14-A354-EBD115021982}"/>
    <cellStyle name="Normal 5 2 2 3 2 2 3 2 2 2 2" xfId="35685" xr:uid="{D2B26EE1-9CD0-4B4D-A50C-B3B050282665}"/>
    <cellStyle name="Normal 5 2 2 3 2 2 3 2 2 3" xfId="26388" xr:uid="{17648BF7-2E69-4226-8F2A-670929D60F92}"/>
    <cellStyle name="Normal 5 2 2 3 2 2 3 2 3" xfId="12872" xr:uid="{76C2431F-594E-4448-8286-49B06C08CFB6}"/>
    <cellStyle name="Normal 5 2 2 3 2 2 3 2 3 2" xfId="31468" xr:uid="{BC03CF8A-4EBD-4956-9E05-987FBD58C66A}"/>
    <cellStyle name="Normal 5 2 2 3 2 2 3 2 4" xfId="22171" xr:uid="{45027F36-AB59-49B0-B962-4DC816BBF772}"/>
    <cellStyle name="Normal 5 2 2 3 2 2 3 3" xfId="5618" xr:uid="{00000000-0005-0000-0000-0000A0170000}"/>
    <cellStyle name="Normal 5 2 2 3 2 2 3 3 2" xfId="14944" xr:uid="{CFE2355A-47C5-4302-8BC8-5AB66090E101}"/>
    <cellStyle name="Normal 5 2 2 3 2 2 3 3 2 2" xfId="33540" xr:uid="{C3F0B167-433B-462A-B39E-753BEAF97943}"/>
    <cellStyle name="Normal 5 2 2 3 2 2 3 3 3" xfId="24243" xr:uid="{DD5AEC1C-6AEB-470A-9FF3-E565941E62EB}"/>
    <cellStyle name="Normal 5 2 2 3 2 2 3 4" xfId="10727" xr:uid="{EDDCB937-1FF4-45D2-AC01-23F15606E593}"/>
    <cellStyle name="Normal 5 2 2 3 2 2 3 4 2" xfId="29323" xr:uid="{D23E9B50-A3F8-4918-81A6-693F217423E9}"/>
    <cellStyle name="Normal 5 2 2 3 2 2 3 5" xfId="20026" xr:uid="{8DC1211D-7030-4985-8C82-51F8AFA0585F}"/>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C7A73C6E-881F-4074-A188-5553CC7AC8F8}"/>
    <cellStyle name="Normal 5 2 2 3 2 2 4 2 2 2 2" xfId="36098" xr:uid="{501EA61A-4673-4D41-B0D7-3DBADF303878}"/>
    <cellStyle name="Normal 5 2 2 3 2 2 4 2 2 3" xfId="26801" xr:uid="{B7E51AC2-A09B-432D-98B9-DEF0CAE1728D}"/>
    <cellStyle name="Normal 5 2 2 3 2 2 4 2 3" xfId="13285" xr:uid="{65849539-9BB3-42F2-BD5F-97199BC0E7DA}"/>
    <cellStyle name="Normal 5 2 2 3 2 2 4 2 3 2" xfId="31881" xr:uid="{F557F559-428E-433D-84F8-931E1EECBCF9}"/>
    <cellStyle name="Normal 5 2 2 3 2 2 4 2 4" xfId="22584" xr:uid="{44FEC816-B580-4D62-BA05-2336F339AC58}"/>
    <cellStyle name="Normal 5 2 2 3 2 2 4 3" xfId="6031" xr:uid="{00000000-0005-0000-0000-0000A4170000}"/>
    <cellStyle name="Normal 5 2 2 3 2 2 4 3 2" xfId="15357" xr:uid="{4389B81A-F3C1-41AC-B116-E77A4CFDFE1C}"/>
    <cellStyle name="Normal 5 2 2 3 2 2 4 3 2 2" xfId="33953" xr:uid="{9092D83C-24B0-45F6-B2FF-95147C207CC5}"/>
    <cellStyle name="Normal 5 2 2 3 2 2 4 3 3" xfId="24656" xr:uid="{6D57F57C-1FF5-442E-BFF3-1C52F47DE300}"/>
    <cellStyle name="Normal 5 2 2 3 2 2 4 4" xfId="11140" xr:uid="{5D9DE5B9-1371-4AE4-AC63-905AC7488A51}"/>
    <cellStyle name="Normal 5 2 2 3 2 2 4 4 2" xfId="29736" xr:uid="{B3CCABAD-1CFB-4EE9-92C1-A5AC3FEA6244}"/>
    <cellStyle name="Normal 5 2 2 3 2 2 4 5" xfId="20439" xr:uid="{D0C5AB5C-0B0C-489D-8EF3-7D0F723A5AA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2AAE2EC4-5239-42DF-A271-58D8391F41F2}"/>
    <cellStyle name="Normal 5 2 2 3 2 2 5 2 2 2 2" xfId="36511" xr:uid="{69CE7036-7305-4A79-9F54-94E0AEB042B0}"/>
    <cellStyle name="Normal 5 2 2 3 2 2 5 2 2 3" xfId="27214" xr:uid="{83E266E8-DA2E-4653-A96F-44B59A26EC64}"/>
    <cellStyle name="Normal 5 2 2 3 2 2 5 2 3" xfId="13698" xr:uid="{3A845EAD-8390-4F86-99A7-4B400DF03FE4}"/>
    <cellStyle name="Normal 5 2 2 3 2 2 5 2 3 2" xfId="32294" xr:uid="{68D5E283-A331-4D36-B20F-2F4BDE57F191}"/>
    <cellStyle name="Normal 5 2 2 3 2 2 5 2 4" xfId="22997" xr:uid="{B00A162F-075D-4485-9C24-01898AC54792}"/>
    <cellStyle name="Normal 5 2 2 3 2 2 5 3" xfId="6444" xr:uid="{00000000-0005-0000-0000-0000A8170000}"/>
    <cellStyle name="Normal 5 2 2 3 2 2 5 3 2" xfId="15770" xr:uid="{2D903C2C-B1E3-4449-8B0F-187404EE5712}"/>
    <cellStyle name="Normal 5 2 2 3 2 2 5 3 2 2" xfId="34366" xr:uid="{8206FE61-418E-41D7-A106-A9E3956245DE}"/>
    <cellStyle name="Normal 5 2 2 3 2 2 5 3 3" xfId="25069" xr:uid="{0B737373-6FD0-471D-BF4A-A6A6C9A4D73B}"/>
    <cellStyle name="Normal 5 2 2 3 2 2 5 4" xfId="11553" xr:uid="{127A1ED4-DE06-458A-84A4-62FC9431BAA5}"/>
    <cellStyle name="Normal 5 2 2 3 2 2 5 4 2" xfId="30149" xr:uid="{D80F8090-C1EB-48B9-A9A2-5DA07CF5067A}"/>
    <cellStyle name="Normal 5 2 2 3 2 2 5 5" xfId="20852" xr:uid="{65ECBB45-EA93-4A59-8D1F-F2B55701015F}"/>
    <cellStyle name="Normal 5 2 2 3 2 2 6" xfId="2574" xr:uid="{00000000-0005-0000-0000-0000A9170000}"/>
    <cellStyle name="Normal 5 2 2 3 2 2 6 2" xfId="6857" xr:uid="{00000000-0005-0000-0000-0000AA170000}"/>
    <cellStyle name="Normal 5 2 2 3 2 2 6 2 2" xfId="16183" xr:uid="{3E59AE16-DE6F-4AD0-B5DF-FF22A4BE841F}"/>
    <cellStyle name="Normal 5 2 2 3 2 2 6 2 2 2" xfId="34779" xr:uid="{C483592C-D11F-4862-8E30-99EB90537FE7}"/>
    <cellStyle name="Normal 5 2 2 3 2 2 6 2 3" xfId="25482" xr:uid="{590B405D-BCDE-490A-A5A3-210416874436}"/>
    <cellStyle name="Normal 5 2 2 3 2 2 6 3" xfId="11966" xr:uid="{ED1326B8-6B56-405F-B30F-1559121C5F5F}"/>
    <cellStyle name="Normal 5 2 2 3 2 2 6 3 2" xfId="30562" xr:uid="{61199A59-E112-467B-9708-02B63167F296}"/>
    <cellStyle name="Normal 5 2 2 3 2 2 6 4" xfId="21265" xr:uid="{7BD47638-596D-4CBC-8E9F-CBE1138296EB}"/>
    <cellStyle name="Normal 5 2 2 3 2 2 7" xfId="4792" xr:uid="{00000000-0005-0000-0000-0000AB170000}"/>
    <cellStyle name="Normal 5 2 2 3 2 2 7 2" xfId="14118" xr:uid="{BA523676-AA89-4244-8497-FDDE824F923E}"/>
    <cellStyle name="Normal 5 2 2 3 2 2 7 2 2" xfId="32714" xr:uid="{3A5730D7-0B1A-4471-B079-9E23427D81F7}"/>
    <cellStyle name="Normal 5 2 2 3 2 2 7 3" xfId="23417" xr:uid="{CF21A079-9E50-44A5-9E9F-F7344087669C}"/>
    <cellStyle name="Normal 5 2 2 3 2 2 8" xfId="9138" xr:uid="{BE73D583-3CAB-48A9-8A6F-E88EE69D1D1D}"/>
    <cellStyle name="Normal 5 2 2 3 2 2 8 2" xfId="18462" xr:uid="{4D05DCA9-4B38-48BE-A363-3B1BF0DE68CE}"/>
    <cellStyle name="Normal 5 2 2 3 2 2 8 2 2" xfId="37057" xr:uid="{6B9AB6A2-8BC3-43B7-BA48-5E8E393F0CC2}"/>
    <cellStyle name="Normal 5 2 2 3 2 2 8 3" xfId="27760" xr:uid="{4D1B2161-1560-4220-A24A-63C7263E2E22}"/>
    <cellStyle name="Normal 5 2 2 3 2 2 9" xfId="9901" xr:uid="{8CD0D9C0-E928-4724-B282-EA93742DCC24}"/>
    <cellStyle name="Normal 5 2 2 3 2 2 9 2" xfId="28497" xr:uid="{93EB77BE-8038-4B32-BE07-A9C5087ADA81}"/>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85B45A6D-6AB5-46AA-9B04-A0C78218DB25}"/>
    <cellStyle name="Normal 5 2 2 3 2 3 2 2 2 2" xfId="35271" xr:uid="{F07A5D64-AF8C-45F1-BC5A-89074716437D}"/>
    <cellStyle name="Normal 5 2 2 3 2 3 2 2 3" xfId="25974" xr:uid="{41FE4CAB-DE33-4B4B-A13A-A59527FEF4C8}"/>
    <cellStyle name="Normal 5 2 2 3 2 3 2 3" xfId="12458" xr:uid="{AEF5BD88-B8E7-4CC0-973A-5CE7FAA7A803}"/>
    <cellStyle name="Normal 5 2 2 3 2 3 2 3 2" xfId="31054" xr:uid="{A20FFB03-B2D4-4719-83D2-045955F8C61D}"/>
    <cellStyle name="Normal 5 2 2 3 2 3 2 4" xfId="21757" xr:uid="{99D6EEEF-B026-4F1E-ACB5-4894FCA08A0F}"/>
    <cellStyle name="Normal 5 2 2 3 2 3 3" xfId="5204" xr:uid="{00000000-0005-0000-0000-0000AF170000}"/>
    <cellStyle name="Normal 5 2 2 3 2 3 3 2" xfId="14530" xr:uid="{EF78BDA3-45B7-4D27-AE04-10A9F2C63164}"/>
    <cellStyle name="Normal 5 2 2 3 2 3 3 2 2" xfId="33126" xr:uid="{75AC1552-6D2D-46D4-896A-1250261ED3FF}"/>
    <cellStyle name="Normal 5 2 2 3 2 3 3 3" xfId="23829" xr:uid="{EDFB4333-347F-4DCA-853D-849D992CE156}"/>
    <cellStyle name="Normal 5 2 2 3 2 3 4" xfId="9356" xr:uid="{58BAA3B3-A7A2-4F6F-9929-D8BE9F0A557D}"/>
    <cellStyle name="Normal 5 2 2 3 2 3 4 2" xfId="18671" xr:uid="{7D360E6B-D2B2-4A67-B5EA-17E84DC5F451}"/>
    <cellStyle name="Normal 5 2 2 3 2 3 4 2 2" xfId="37265" xr:uid="{CAEB12B5-A9C7-4637-B1CB-FC748482B6BA}"/>
    <cellStyle name="Normal 5 2 2 3 2 3 4 3" xfId="27968" xr:uid="{7CC3F6D8-9B84-4B03-9F90-6DCDB6D95485}"/>
    <cellStyle name="Normal 5 2 2 3 2 3 5" xfId="10313" xr:uid="{D7E93160-BCB6-4076-AAAD-ABB76B4B70BF}"/>
    <cellStyle name="Normal 5 2 2 3 2 3 5 2" xfId="28909" xr:uid="{71751A12-4D9D-4052-B4BE-01003BEDB092}"/>
    <cellStyle name="Normal 5 2 2 3 2 3 6" xfId="19612" xr:uid="{75E39C7E-AC72-41BF-AE19-1C4962AE5351}"/>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F2F9AFD8-3722-4888-B661-7DACB19E83F3}"/>
    <cellStyle name="Normal 5 2 2 3 2 4 2 2 2 2" xfId="35684" xr:uid="{64023882-D3B1-4499-98E7-EF6FF2F4F06B}"/>
    <cellStyle name="Normal 5 2 2 3 2 4 2 2 3" xfId="26387" xr:uid="{511C3004-2B99-49BE-B226-9D4D9841C667}"/>
    <cellStyle name="Normal 5 2 2 3 2 4 2 3" xfId="12871" xr:uid="{E877705D-B607-4378-A029-BA8664936A18}"/>
    <cellStyle name="Normal 5 2 2 3 2 4 2 3 2" xfId="31467" xr:uid="{EA1F8E92-D48D-49EB-8964-D4FABC2BE005}"/>
    <cellStyle name="Normal 5 2 2 3 2 4 2 4" xfId="22170" xr:uid="{7512A64B-F2FE-405F-A0DA-54967971D6AB}"/>
    <cellStyle name="Normal 5 2 2 3 2 4 3" xfId="5617" xr:uid="{00000000-0005-0000-0000-0000B3170000}"/>
    <cellStyle name="Normal 5 2 2 3 2 4 3 2" xfId="14943" xr:uid="{F2B7F10B-B48F-471F-9A26-F0CE75D9E446}"/>
    <cellStyle name="Normal 5 2 2 3 2 4 3 2 2" xfId="33539" xr:uid="{D2A6B19C-EDA0-49A5-9600-AEE27F6B9528}"/>
    <cellStyle name="Normal 5 2 2 3 2 4 3 3" xfId="24242" xr:uid="{1840A230-69D7-4D37-9958-A71F9AA38F56}"/>
    <cellStyle name="Normal 5 2 2 3 2 4 4" xfId="10726" xr:uid="{7C3D47AF-4FD8-4D04-B6D7-3AABEEBAAA9F}"/>
    <cellStyle name="Normal 5 2 2 3 2 4 4 2" xfId="29322" xr:uid="{21265CC1-6FF1-4245-9219-9CB9BBCBD3FD}"/>
    <cellStyle name="Normal 5 2 2 3 2 4 5" xfId="20025" xr:uid="{7024F963-5355-40F9-A472-9A053029419B}"/>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9E50BD31-BBAF-458B-87AA-438EBABB1766}"/>
    <cellStyle name="Normal 5 2 2 3 2 5 2 2 2 2" xfId="36097" xr:uid="{681C69C5-5E9B-4776-B913-7265A4311A93}"/>
    <cellStyle name="Normal 5 2 2 3 2 5 2 2 3" xfId="26800" xr:uid="{81BD6532-6760-434C-938C-FF94B911287F}"/>
    <cellStyle name="Normal 5 2 2 3 2 5 2 3" xfId="13284" xr:uid="{882A3097-31ED-4715-B03E-5C8A57DC7054}"/>
    <cellStyle name="Normal 5 2 2 3 2 5 2 3 2" xfId="31880" xr:uid="{1F333379-F9D0-4909-AE01-F7C4EB885F4B}"/>
    <cellStyle name="Normal 5 2 2 3 2 5 2 4" xfId="22583" xr:uid="{564F5C0B-0F9A-44AA-88A2-F55D5D8B75F8}"/>
    <cellStyle name="Normal 5 2 2 3 2 5 3" xfId="6030" xr:uid="{00000000-0005-0000-0000-0000B7170000}"/>
    <cellStyle name="Normal 5 2 2 3 2 5 3 2" xfId="15356" xr:uid="{44A76CB6-86DF-4BB0-B288-4965BBFD1F18}"/>
    <cellStyle name="Normal 5 2 2 3 2 5 3 2 2" xfId="33952" xr:uid="{AEFF4EE4-7CFB-42DE-A024-4217A5F8D860}"/>
    <cellStyle name="Normal 5 2 2 3 2 5 3 3" xfId="24655" xr:uid="{049E3B04-CC99-4A97-96DD-6099697250B4}"/>
    <cellStyle name="Normal 5 2 2 3 2 5 4" xfId="11139" xr:uid="{44857B02-1CF1-4FA9-9445-79DC261696DC}"/>
    <cellStyle name="Normal 5 2 2 3 2 5 4 2" xfId="29735" xr:uid="{E572B418-CCB7-43A4-929B-D6D3921D1A34}"/>
    <cellStyle name="Normal 5 2 2 3 2 5 5" xfId="20438" xr:uid="{439790C0-EFEB-4A2A-BB6F-10DDF0D265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D461C9AE-590D-44EB-BECE-0822416E3918}"/>
    <cellStyle name="Normal 5 2 2 3 2 6 2 2 2 2" xfId="36510" xr:uid="{3D4F2C53-B897-4E41-BFE6-33291F0581B7}"/>
    <cellStyle name="Normal 5 2 2 3 2 6 2 2 3" xfId="27213" xr:uid="{698383EB-99BF-4ABB-ABE8-121A0F908F64}"/>
    <cellStyle name="Normal 5 2 2 3 2 6 2 3" xfId="13697" xr:uid="{C3724590-E376-4694-8095-869865E91DCC}"/>
    <cellStyle name="Normal 5 2 2 3 2 6 2 3 2" xfId="32293" xr:uid="{6DD19A86-622F-4E00-8279-0ECE87515D32}"/>
    <cellStyle name="Normal 5 2 2 3 2 6 2 4" xfId="22996" xr:uid="{67655FE8-989F-4E26-93EF-6F699F42F376}"/>
    <cellStyle name="Normal 5 2 2 3 2 6 3" xfId="6443" xr:uid="{00000000-0005-0000-0000-0000BB170000}"/>
    <cellStyle name="Normal 5 2 2 3 2 6 3 2" xfId="15769" xr:uid="{BCA89078-2C03-432A-9898-AC0B6ED0DEF9}"/>
    <cellStyle name="Normal 5 2 2 3 2 6 3 2 2" xfId="34365" xr:uid="{25E8E5F5-64DB-4202-98A1-98F94DBC5EF6}"/>
    <cellStyle name="Normal 5 2 2 3 2 6 3 3" xfId="25068" xr:uid="{0143EA00-D60C-499C-9895-6FF706D2DA1E}"/>
    <cellStyle name="Normal 5 2 2 3 2 6 4" xfId="11552" xr:uid="{5F4298B6-2D77-4603-A102-17BC56A041FE}"/>
    <cellStyle name="Normal 5 2 2 3 2 6 4 2" xfId="30148" xr:uid="{32A7FD43-F6C4-4081-8F57-682D659CEEE2}"/>
    <cellStyle name="Normal 5 2 2 3 2 6 5" xfId="20851" xr:uid="{46E59F3B-E820-487A-8FE2-1DBD31D564F9}"/>
    <cellStyle name="Normal 5 2 2 3 2 7" xfId="2573" xr:uid="{00000000-0005-0000-0000-0000BC170000}"/>
    <cellStyle name="Normal 5 2 2 3 2 7 2" xfId="6856" xr:uid="{00000000-0005-0000-0000-0000BD170000}"/>
    <cellStyle name="Normal 5 2 2 3 2 7 2 2" xfId="16182" xr:uid="{420ABE78-F0C3-465E-98BF-3A68DE8A8139}"/>
    <cellStyle name="Normal 5 2 2 3 2 7 2 2 2" xfId="34778" xr:uid="{99E10480-37CE-460B-A5F6-096F39273770}"/>
    <cellStyle name="Normal 5 2 2 3 2 7 2 3" xfId="25481" xr:uid="{3F4CA936-CCDB-449D-80D0-8177227292C4}"/>
    <cellStyle name="Normal 5 2 2 3 2 7 3" xfId="11965" xr:uid="{00C4FCE5-E569-4D1C-B68D-F3F2F54A8F3B}"/>
    <cellStyle name="Normal 5 2 2 3 2 7 3 2" xfId="30561" xr:uid="{D0022DE8-B022-4104-9531-CD9C305A1ADD}"/>
    <cellStyle name="Normal 5 2 2 3 2 7 4" xfId="21264" xr:uid="{CCEF9932-486C-4911-84CF-6A8D3FE74BFA}"/>
    <cellStyle name="Normal 5 2 2 3 2 8" xfId="4791" xr:uid="{00000000-0005-0000-0000-0000BE170000}"/>
    <cellStyle name="Normal 5 2 2 3 2 8 2" xfId="14117" xr:uid="{CCB5F234-4D79-4FD5-A4F4-37B6F6720D62}"/>
    <cellStyle name="Normal 5 2 2 3 2 8 2 2" xfId="32713" xr:uid="{C9C506E7-33EF-4916-BF81-5E98691B4FE0}"/>
    <cellStyle name="Normal 5 2 2 3 2 8 3" xfId="23416" xr:uid="{B3FA8680-50CE-4E11-8587-DF2ECD4EF072}"/>
    <cellStyle name="Normal 5 2 2 3 2 9" xfId="8931" xr:uid="{E27E09D3-2564-4B82-8EA4-A27330B6B436}"/>
    <cellStyle name="Normal 5 2 2 3 2 9 2" xfId="18255" xr:uid="{15B5D996-1AC3-4BE2-9136-F73161444264}"/>
    <cellStyle name="Normal 5 2 2 3 2 9 2 2" xfId="36850" xr:uid="{148A0AD2-1691-4A2F-AE93-93546667DD3A}"/>
    <cellStyle name="Normal 5 2 2 3 2 9 3" xfId="27553" xr:uid="{9C73784D-BBBA-4DF5-AD1E-EEE9A720D6C7}"/>
    <cellStyle name="Normal 5 2 2 3 3" xfId="420" xr:uid="{00000000-0005-0000-0000-0000BF170000}"/>
    <cellStyle name="Normal 5 2 2 3 3 10" xfId="19201" xr:uid="{D9F71E9F-FF5C-442E-9E02-9DB7A4A425C1}"/>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DA52E098-B4BB-413B-BCE7-0344CA07A656}"/>
    <cellStyle name="Normal 5 2 2 3 3 2 2 2 2 2" xfId="35273" xr:uid="{D272FBC6-4FA9-4C66-A78F-C1814FD8B74A}"/>
    <cellStyle name="Normal 5 2 2 3 3 2 2 2 3" xfId="25976" xr:uid="{A8553891-9C01-4239-8695-AA3AAB089F93}"/>
    <cellStyle name="Normal 5 2 2 3 3 2 2 3" xfId="12460" xr:uid="{5E2F4543-AD0B-4658-AD53-CC7DABB264DF}"/>
    <cellStyle name="Normal 5 2 2 3 3 2 2 3 2" xfId="31056" xr:uid="{B127F474-C66C-4642-BA89-426867740F00}"/>
    <cellStyle name="Normal 5 2 2 3 3 2 2 4" xfId="21759" xr:uid="{374EA9F4-289E-45C2-9FDE-5CF1FA83AFD7}"/>
    <cellStyle name="Normal 5 2 2 3 3 2 3" xfId="5206" xr:uid="{00000000-0005-0000-0000-0000C3170000}"/>
    <cellStyle name="Normal 5 2 2 3 3 2 3 2" xfId="14532" xr:uid="{95E09B02-CC7E-4AFB-86BC-A3D4AF21430F}"/>
    <cellStyle name="Normal 5 2 2 3 3 2 3 2 2" xfId="33128" xr:uid="{CA8FCC7E-E2FA-4662-B2DA-B4A573285134}"/>
    <cellStyle name="Normal 5 2 2 3 3 2 3 3" xfId="23831" xr:uid="{922EE6EA-03DF-4365-99FF-0690BBEE343E}"/>
    <cellStyle name="Normal 5 2 2 3 3 2 4" xfId="9460" xr:uid="{423E0BE9-24F3-4EF0-8962-2565594BF831}"/>
    <cellStyle name="Normal 5 2 2 3 3 2 4 2" xfId="18775" xr:uid="{06A2BE51-A0F3-4FE6-A432-6B58F2260144}"/>
    <cellStyle name="Normal 5 2 2 3 3 2 4 2 2" xfId="37369" xr:uid="{905CFF6C-7460-4676-B8D5-1F00FDDF848D}"/>
    <cellStyle name="Normal 5 2 2 3 3 2 4 3" xfId="28072" xr:uid="{D406F8AD-7488-4AB0-83AA-0C08AD1CB2F4}"/>
    <cellStyle name="Normal 5 2 2 3 3 2 5" xfId="10315" xr:uid="{6C780AB1-D3F6-41CB-83C6-E89BAAAA3F98}"/>
    <cellStyle name="Normal 5 2 2 3 3 2 5 2" xfId="28911" xr:uid="{3C7248A1-0110-4F35-A548-22B2389D5C10}"/>
    <cellStyle name="Normal 5 2 2 3 3 2 6" xfId="19614" xr:uid="{35D66AA1-1699-40A6-89FF-A5337C15E114}"/>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9F84A455-2E55-4DC5-BD0F-DAA5CD2D2874}"/>
    <cellStyle name="Normal 5 2 2 3 3 3 2 2 2 2" xfId="35686" xr:uid="{AF788C79-CEF5-4721-B715-5ED8FAF3C469}"/>
    <cellStyle name="Normal 5 2 2 3 3 3 2 2 3" xfId="26389" xr:uid="{D63549B2-6F79-49B8-8F4C-CE0B504809D6}"/>
    <cellStyle name="Normal 5 2 2 3 3 3 2 3" xfId="12873" xr:uid="{C16A5136-246F-4FCC-AEBE-E703985C109D}"/>
    <cellStyle name="Normal 5 2 2 3 3 3 2 3 2" xfId="31469" xr:uid="{70C358B3-FEFD-49B7-93C8-68FB9307467F}"/>
    <cellStyle name="Normal 5 2 2 3 3 3 2 4" xfId="22172" xr:uid="{670D509F-58DD-4AA8-A413-AB6FB62750C1}"/>
    <cellStyle name="Normal 5 2 2 3 3 3 3" xfId="5619" xr:uid="{00000000-0005-0000-0000-0000C7170000}"/>
    <cellStyle name="Normal 5 2 2 3 3 3 3 2" xfId="14945" xr:uid="{9D752A59-F268-4D60-B1B9-C2C810C949AB}"/>
    <cellStyle name="Normal 5 2 2 3 3 3 3 2 2" xfId="33541" xr:uid="{F7184615-B142-4A0D-8D70-276EFCFDBF26}"/>
    <cellStyle name="Normal 5 2 2 3 3 3 3 3" xfId="24244" xr:uid="{5C323C76-6187-4491-A481-F86394425D0E}"/>
    <cellStyle name="Normal 5 2 2 3 3 3 4" xfId="10728" xr:uid="{263A80C1-009A-46F9-8E6D-550FD8567419}"/>
    <cellStyle name="Normal 5 2 2 3 3 3 4 2" xfId="29324" xr:uid="{8A4ACCFC-8C94-4E62-87E2-9D9BF08CD214}"/>
    <cellStyle name="Normal 5 2 2 3 3 3 5" xfId="20027" xr:uid="{DDB4E594-3805-404F-8195-FCEBCF4DC991}"/>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DB2F5F7A-6BD6-4608-B6D7-CA2AC76CC4AB}"/>
    <cellStyle name="Normal 5 2 2 3 3 4 2 2 2 2" xfId="36099" xr:uid="{A7CF6E12-2EEC-4130-A31B-0FC7A0080FD9}"/>
    <cellStyle name="Normal 5 2 2 3 3 4 2 2 3" xfId="26802" xr:uid="{308BD775-8311-4CB2-9516-EEDF2443878C}"/>
    <cellStyle name="Normal 5 2 2 3 3 4 2 3" xfId="13286" xr:uid="{A517AEFB-FCC0-4EFE-85DD-C8F6FAAE26D5}"/>
    <cellStyle name="Normal 5 2 2 3 3 4 2 3 2" xfId="31882" xr:uid="{0A61798E-34CD-433C-BD1F-E2220B129AE5}"/>
    <cellStyle name="Normal 5 2 2 3 3 4 2 4" xfId="22585" xr:uid="{37FB19D1-C953-4425-87E9-05602F3910DA}"/>
    <cellStyle name="Normal 5 2 2 3 3 4 3" xfId="6032" xr:uid="{00000000-0005-0000-0000-0000CB170000}"/>
    <cellStyle name="Normal 5 2 2 3 3 4 3 2" xfId="15358" xr:uid="{403B575C-7BAB-4E47-BF03-7DA8F7F5F989}"/>
    <cellStyle name="Normal 5 2 2 3 3 4 3 2 2" xfId="33954" xr:uid="{5CA3CA4B-47F1-49AB-912A-ACC248E3D736}"/>
    <cellStyle name="Normal 5 2 2 3 3 4 3 3" xfId="24657" xr:uid="{6D3DA4E6-0D4F-430C-82DB-9EF9E44B4B58}"/>
    <cellStyle name="Normal 5 2 2 3 3 4 4" xfId="11141" xr:uid="{77489EB3-FA4E-4061-AD8C-2B3AE1A4D47B}"/>
    <cellStyle name="Normal 5 2 2 3 3 4 4 2" xfId="29737" xr:uid="{EA2FE356-D74D-4F40-866D-C111912E291B}"/>
    <cellStyle name="Normal 5 2 2 3 3 4 5" xfId="20440" xr:uid="{D38996B3-B7B9-41AB-974F-AA871074620C}"/>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BCD1A123-033A-4CDE-9DFF-44AF1CEEF4F7}"/>
    <cellStyle name="Normal 5 2 2 3 3 5 2 2 2 2" xfId="36512" xr:uid="{458BFF36-5958-42A6-855E-AA1648982BDE}"/>
    <cellStyle name="Normal 5 2 2 3 3 5 2 2 3" xfId="27215" xr:uid="{09B611C3-9350-4E35-BD1A-9F50E0C45DCB}"/>
    <cellStyle name="Normal 5 2 2 3 3 5 2 3" xfId="13699" xr:uid="{BE4D417E-5362-4FAC-9ADC-BCF6C6EE4F03}"/>
    <cellStyle name="Normal 5 2 2 3 3 5 2 3 2" xfId="32295" xr:uid="{05FF1D74-D109-46C5-B9B4-69CEDFF4ACA1}"/>
    <cellStyle name="Normal 5 2 2 3 3 5 2 4" xfId="22998" xr:uid="{63ADAEA5-6856-4368-BC78-5D1FD2DF093A}"/>
    <cellStyle name="Normal 5 2 2 3 3 5 3" xfId="6445" xr:uid="{00000000-0005-0000-0000-0000CF170000}"/>
    <cellStyle name="Normal 5 2 2 3 3 5 3 2" xfId="15771" xr:uid="{6CD5C04F-6345-4750-A2E0-EB11CD6504E5}"/>
    <cellStyle name="Normal 5 2 2 3 3 5 3 2 2" xfId="34367" xr:uid="{A7022E90-23E6-44F7-BF31-8C43E5193A5E}"/>
    <cellStyle name="Normal 5 2 2 3 3 5 3 3" xfId="25070" xr:uid="{885CD79E-EA4B-422E-9549-78574F9AED19}"/>
    <cellStyle name="Normal 5 2 2 3 3 5 4" xfId="11554" xr:uid="{6FB2F1F4-4A10-4BB8-9A6F-AADF97A69504}"/>
    <cellStyle name="Normal 5 2 2 3 3 5 4 2" xfId="30150" xr:uid="{629EC09B-3AE7-4BA2-8177-581FA8361CA9}"/>
    <cellStyle name="Normal 5 2 2 3 3 5 5" xfId="20853" xr:uid="{78D6FBA6-A82D-45C2-A789-A25474CF403D}"/>
    <cellStyle name="Normal 5 2 2 3 3 6" xfId="2575" xr:uid="{00000000-0005-0000-0000-0000D0170000}"/>
    <cellStyle name="Normal 5 2 2 3 3 6 2" xfId="6858" xr:uid="{00000000-0005-0000-0000-0000D1170000}"/>
    <cellStyle name="Normal 5 2 2 3 3 6 2 2" xfId="16184" xr:uid="{F2939965-9F38-4EB0-B968-07E362678C4C}"/>
    <cellStyle name="Normal 5 2 2 3 3 6 2 2 2" xfId="34780" xr:uid="{6396A0FC-0632-4A00-8EC3-ACF2E7071C1A}"/>
    <cellStyle name="Normal 5 2 2 3 3 6 2 3" xfId="25483" xr:uid="{93584E14-9E2F-488D-B335-2A0732D52A8F}"/>
    <cellStyle name="Normal 5 2 2 3 3 6 3" xfId="11967" xr:uid="{269966EA-58FA-4E7D-9F83-4D88C3C747AB}"/>
    <cellStyle name="Normal 5 2 2 3 3 6 3 2" xfId="30563" xr:uid="{AE0E6A03-0F4A-40DB-BA1F-1BD2B1EFC575}"/>
    <cellStyle name="Normal 5 2 2 3 3 6 4" xfId="21266" xr:uid="{3553D0FD-9660-4D32-9A2F-79AC7E9662F3}"/>
    <cellStyle name="Normal 5 2 2 3 3 7" xfId="4793" xr:uid="{00000000-0005-0000-0000-0000D2170000}"/>
    <cellStyle name="Normal 5 2 2 3 3 7 2" xfId="14119" xr:uid="{199F4157-2C18-42FD-86DC-D19E6A2E55AF}"/>
    <cellStyle name="Normal 5 2 2 3 3 7 2 2" xfId="32715" xr:uid="{0DCDE670-B1E8-4E37-B544-E81F8F5994AF}"/>
    <cellStyle name="Normal 5 2 2 3 3 7 3" xfId="23418" xr:uid="{40048268-6BA8-4F69-AE1F-A9263E1021B5}"/>
    <cellStyle name="Normal 5 2 2 3 3 8" xfId="9035" xr:uid="{6AC57173-16AF-4847-A277-E4254AACDA36}"/>
    <cellStyle name="Normal 5 2 2 3 3 8 2" xfId="18359" xr:uid="{5E11D3AC-7270-40B0-B1E4-14E11FD3A929}"/>
    <cellStyle name="Normal 5 2 2 3 3 8 2 2" xfId="36954" xr:uid="{A71BB027-AFA7-44CB-B823-69F7A2CA4DBC}"/>
    <cellStyle name="Normal 5 2 2 3 3 8 3" xfId="27657" xr:uid="{F22D875B-D401-42A5-ABFD-53B31C0911EF}"/>
    <cellStyle name="Normal 5 2 2 3 3 9" xfId="9902" xr:uid="{E5080AD6-F27B-4CDF-841E-B270A0FFD98B}"/>
    <cellStyle name="Normal 5 2 2 3 3 9 2" xfId="28498" xr:uid="{30D998CB-D0BB-4704-8934-BCCD6791C64F}"/>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A9470DFE-E08D-4B06-864C-295D593AB5B0}"/>
    <cellStyle name="Normal 5 2 2 3 4 2 2 2 2" xfId="35270" xr:uid="{34D1D1AF-67DB-4B34-B1C2-DB7826686BC6}"/>
    <cellStyle name="Normal 5 2 2 3 4 2 2 3" xfId="25973" xr:uid="{DED64061-02C9-48D7-9BAA-CE4F10E1F937}"/>
    <cellStyle name="Normal 5 2 2 3 4 2 3" xfId="12457" xr:uid="{1FA137B7-5C9B-4573-9ED9-8BB7F40D675C}"/>
    <cellStyle name="Normal 5 2 2 3 4 2 3 2" xfId="31053" xr:uid="{4D32849F-C9D6-49E2-8EA2-151C0D618F34}"/>
    <cellStyle name="Normal 5 2 2 3 4 2 4" xfId="21756" xr:uid="{21A6A733-1EA3-4449-AF89-B2EF22AF13D2}"/>
    <cellStyle name="Normal 5 2 2 3 4 3" xfId="5203" xr:uid="{00000000-0005-0000-0000-0000D6170000}"/>
    <cellStyle name="Normal 5 2 2 3 4 3 2" xfId="14529" xr:uid="{4B1FA388-F155-4BE0-964C-ECA5B781EBC6}"/>
    <cellStyle name="Normal 5 2 2 3 4 3 2 2" xfId="33125" xr:uid="{962353B9-FC59-4BBD-A8BA-9C359A606229}"/>
    <cellStyle name="Normal 5 2 2 3 4 3 3" xfId="23828" xr:uid="{C1EF3FCA-39AA-4C1F-95DF-B23FA49AD4E2}"/>
    <cellStyle name="Normal 5 2 2 3 4 4" xfId="9253" xr:uid="{A5C3AAF9-67DD-41B1-A0BF-05B69F588F71}"/>
    <cellStyle name="Normal 5 2 2 3 4 4 2" xfId="18568" xr:uid="{E82D91AC-4130-437C-AAF8-95685FF1BF45}"/>
    <cellStyle name="Normal 5 2 2 3 4 4 2 2" xfId="37162" xr:uid="{9590CCD0-3E5C-4102-96C7-C947CABC7A86}"/>
    <cellStyle name="Normal 5 2 2 3 4 4 3" xfId="27865" xr:uid="{BCE1396C-DDB4-4DFC-9A70-260044A4D21A}"/>
    <cellStyle name="Normal 5 2 2 3 4 5" xfId="10312" xr:uid="{CC95196F-9DF1-468B-B236-C16D8C209195}"/>
    <cellStyle name="Normal 5 2 2 3 4 5 2" xfId="28908" xr:uid="{4E75CC4E-675C-4A8C-B970-61BD285E5BC8}"/>
    <cellStyle name="Normal 5 2 2 3 4 6" xfId="19611" xr:uid="{5D155F81-2137-4095-A429-04C657F3E2F0}"/>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81D71D82-39DC-410A-92E2-DE43D110E261}"/>
    <cellStyle name="Normal 5 2 2 3 5 2 2 2 2" xfId="35683" xr:uid="{118F2B60-3925-43C7-ABC6-AB06B6796557}"/>
    <cellStyle name="Normal 5 2 2 3 5 2 2 3" xfId="26386" xr:uid="{99E3BDDD-C4A3-4DA5-88F8-D419DBEAD0D7}"/>
    <cellStyle name="Normal 5 2 2 3 5 2 3" xfId="12870" xr:uid="{841BE276-306F-45A3-A119-0B12479261C0}"/>
    <cellStyle name="Normal 5 2 2 3 5 2 3 2" xfId="31466" xr:uid="{78B37CC7-AE20-489D-91B8-0AD7262C6BBC}"/>
    <cellStyle name="Normal 5 2 2 3 5 2 4" xfId="22169" xr:uid="{D01D4082-5224-4805-AAF9-34523B94A453}"/>
    <cellStyle name="Normal 5 2 2 3 5 3" xfId="5616" xr:uid="{00000000-0005-0000-0000-0000DA170000}"/>
    <cellStyle name="Normal 5 2 2 3 5 3 2" xfId="14942" xr:uid="{E4964FB0-71CE-42EB-A58A-C5A096A24BB5}"/>
    <cellStyle name="Normal 5 2 2 3 5 3 2 2" xfId="33538" xr:uid="{302CAA7B-EAE2-4938-AC3F-FBD4138FF646}"/>
    <cellStyle name="Normal 5 2 2 3 5 3 3" xfId="24241" xr:uid="{13B9F409-2202-436E-9D2F-4FCDF0AD6EA3}"/>
    <cellStyle name="Normal 5 2 2 3 5 4" xfId="10725" xr:uid="{9EDD6643-F50F-4C4A-AFD1-774AC9B23BB8}"/>
    <cellStyle name="Normal 5 2 2 3 5 4 2" xfId="29321" xr:uid="{41E4A95B-D604-4811-A97E-58811356D8CB}"/>
    <cellStyle name="Normal 5 2 2 3 5 5" xfId="20024" xr:uid="{DE188013-1679-4B86-939B-A6366EB990A1}"/>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8E270338-B447-4958-9E8D-B24D2EA2102F}"/>
    <cellStyle name="Normal 5 2 2 3 6 2 2 2 2" xfId="36096" xr:uid="{A284CEE4-F38B-446B-9E80-50828A671FF1}"/>
    <cellStyle name="Normal 5 2 2 3 6 2 2 3" xfId="26799" xr:uid="{DC0E9D84-FDEE-4C19-910C-28FBC6268004}"/>
    <cellStyle name="Normal 5 2 2 3 6 2 3" xfId="13283" xr:uid="{7B8D95C4-3CC4-42C3-8A8C-D1DA81196E5D}"/>
    <cellStyle name="Normal 5 2 2 3 6 2 3 2" xfId="31879" xr:uid="{E74C0B37-A3B8-4F22-8FCB-49B90E8DDD85}"/>
    <cellStyle name="Normal 5 2 2 3 6 2 4" xfId="22582" xr:uid="{AAAB7A20-3B34-4D26-BF0D-50D3E5AD8F5E}"/>
    <cellStyle name="Normal 5 2 2 3 6 3" xfId="6029" xr:uid="{00000000-0005-0000-0000-0000DE170000}"/>
    <cellStyle name="Normal 5 2 2 3 6 3 2" xfId="15355" xr:uid="{7EAD99FC-1601-4A4A-B8CA-5FDA20A8AD6D}"/>
    <cellStyle name="Normal 5 2 2 3 6 3 2 2" xfId="33951" xr:uid="{40C91120-E9C9-43F8-B351-68A2EAE0F083}"/>
    <cellStyle name="Normal 5 2 2 3 6 3 3" xfId="24654" xr:uid="{589E03FE-CD65-404F-8F51-4CCD23D2D0A6}"/>
    <cellStyle name="Normal 5 2 2 3 6 4" xfId="11138" xr:uid="{8AF8E38F-7BEE-4DA2-9937-2F3421EC2988}"/>
    <cellStyle name="Normal 5 2 2 3 6 4 2" xfId="29734" xr:uid="{8EA09883-D8E1-4C4B-82C9-BF59A1C27C28}"/>
    <cellStyle name="Normal 5 2 2 3 6 5" xfId="20437" xr:uid="{1B5D1ABB-0642-4172-BE41-85D4921C01FE}"/>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CD686816-1D35-498F-B2BA-E027362B4791}"/>
    <cellStyle name="Normal 5 2 2 3 7 2 2 2 2" xfId="36509" xr:uid="{805FB2A2-DAA0-4527-BB40-9A773E317AFD}"/>
    <cellStyle name="Normal 5 2 2 3 7 2 2 3" xfId="27212" xr:uid="{E41A13EF-26BD-4649-B7B4-A2F53F715E38}"/>
    <cellStyle name="Normal 5 2 2 3 7 2 3" xfId="13696" xr:uid="{4F0CCD99-39AD-42D6-A329-4CB8A5E07075}"/>
    <cellStyle name="Normal 5 2 2 3 7 2 3 2" xfId="32292" xr:uid="{EA758AAF-D0DD-4C6B-9C61-7DD3D024C13C}"/>
    <cellStyle name="Normal 5 2 2 3 7 2 4" xfId="22995" xr:uid="{5A438586-4406-4810-B427-3809AA1907A8}"/>
    <cellStyle name="Normal 5 2 2 3 7 3" xfId="6442" xr:uid="{00000000-0005-0000-0000-0000E2170000}"/>
    <cellStyle name="Normal 5 2 2 3 7 3 2" xfId="15768" xr:uid="{8D855ABA-EC74-47E2-A6E7-32D332B5B16E}"/>
    <cellStyle name="Normal 5 2 2 3 7 3 2 2" xfId="34364" xr:uid="{F5CC9F70-0BB0-4729-923D-852DE81F4D68}"/>
    <cellStyle name="Normal 5 2 2 3 7 3 3" xfId="25067" xr:uid="{4B48C415-0020-4E26-8DB0-1B3A3E994FF1}"/>
    <cellStyle name="Normal 5 2 2 3 7 4" xfId="11551" xr:uid="{60FE0B15-2A6D-481E-8EBE-3F4EFA83E0A6}"/>
    <cellStyle name="Normal 5 2 2 3 7 4 2" xfId="30147" xr:uid="{29AC7FCD-7743-4192-8B31-1A72C39DEB87}"/>
    <cellStyle name="Normal 5 2 2 3 7 5" xfId="20850" xr:uid="{B3D6F599-E265-4BA0-8B5B-E89D4B36CABB}"/>
    <cellStyle name="Normal 5 2 2 3 8" xfId="2572" xr:uid="{00000000-0005-0000-0000-0000E3170000}"/>
    <cellStyle name="Normal 5 2 2 3 8 2" xfId="6855" xr:uid="{00000000-0005-0000-0000-0000E4170000}"/>
    <cellStyle name="Normal 5 2 2 3 8 2 2" xfId="16181" xr:uid="{4D929B93-C141-433A-8CAC-17ACB5C61E47}"/>
    <cellStyle name="Normal 5 2 2 3 8 2 2 2" xfId="34777" xr:uid="{64CC03F4-C68B-4700-BCBF-D4A729FBB02C}"/>
    <cellStyle name="Normal 5 2 2 3 8 2 3" xfId="25480" xr:uid="{1ACF9FC6-C076-4336-A449-514058F7AA96}"/>
    <cellStyle name="Normal 5 2 2 3 8 3" xfId="11964" xr:uid="{A08BDE74-67F4-413D-A7A5-BAEF07CEE4C0}"/>
    <cellStyle name="Normal 5 2 2 3 8 3 2" xfId="30560" xr:uid="{E616ED26-A123-4AAE-87B6-AC708181328A}"/>
    <cellStyle name="Normal 5 2 2 3 8 4" xfId="21263" xr:uid="{F03A406B-7075-4479-86C4-69783497998F}"/>
    <cellStyle name="Normal 5 2 2 3 9" xfId="4790" xr:uid="{00000000-0005-0000-0000-0000E5170000}"/>
    <cellStyle name="Normal 5 2 2 3 9 2" xfId="14116" xr:uid="{502FE179-ADC3-4704-8B12-A81DF2788966}"/>
    <cellStyle name="Normal 5 2 2 3 9 2 2" xfId="32712" xr:uid="{A4F0D47A-89F2-4FBC-AEE8-52502170E3E6}"/>
    <cellStyle name="Normal 5 2 2 3 9 3" xfId="23415" xr:uid="{83F1C27E-4F4C-461B-B571-E094E2919EC3}"/>
    <cellStyle name="Normal 5 2 2 4" xfId="421" xr:uid="{00000000-0005-0000-0000-0000E6170000}"/>
    <cellStyle name="Normal 5 2 2 4 10" xfId="9903" xr:uid="{2F942312-3849-4B6A-8847-8AC8D0D242AC}"/>
    <cellStyle name="Normal 5 2 2 4 10 2" xfId="28499" xr:uid="{CD92B853-EA22-42C6-9430-49C01ED9A1AC}"/>
    <cellStyle name="Normal 5 2 2 4 11" xfId="19202" xr:uid="{65369347-7181-452D-87CF-CC20604744D6}"/>
    <cellStyle name="Normal 5 2 2 4 2" xfId="422" xr:uid="{00000000-0005-0000-0000-0000E7170000}"/>
    <cellStyle name="Normal 5 2 2 4 2 10" xfId="19203" xr:uid="{2C3720EC-54DA-49C6-B7D2-6ACFB110DB92}"/>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9814F93A-965D-4F6A-9E8A-25540D998737}"/>
    <cellStyle name="Normal 5 2 2 4 2 2 2 2 2 2" xfId="35275" xr:uid="{0E61A821-8EE8-44B2-8534-3F9C22E434FC}"/>
    <cellStyle name="Normal 5 2 2 4 2 2 2 2 3" xfId="25978" xr:uid="{9436C53A-0D46-4A49-8BAF-394A055BDA94}"/>
    <cellStyle name="Normal 5 2 2 4 2 2 2 3" xfId="12462" xr:uid="{F2B7B3F0-E528-4A27-BF48-F1CED0F403C3}"/>
    <cellStyle name="Normal 5 2 2 4 2 2 2 3 2" xfId="31058" xr:uid="{8F4B67FF-85BF-41F9-9A5F-6562C674C34C}"/>
    <cellStyle name="Normal 5 2 2 4 2 2 2 4" xfId="21761" xr:uid="{66DC0233-D2CF-48F1-B982-57D10C0108C3}"/>
    <cellStyle name="Normal 5 2 2 4 2 2 3" xfId="5208" xr:uid="{00000000-0005-0000-0000-0000EB170000}"/>
    <cellStyle name="Normal 5 2 2 4 2 2 3 2" xfId="14534" xr:uid="{430DBA22-AA1A-4A68-A1A7-0678EF7AF2FE}"/>
    <cellStyle name="Normal 5 2 2 4 2 2 3 2 2" xfId="33130" xr:uid="{8B967A87-C6D0-4FB4-894E-0ECF9CE19DC6}"/>
    <cellStyle name="Normal 5 2 2 4 2 2 3 3" xfId="23833" xr:uid="{637F6781-3FA1-4A32-8C51-5E22D110E73D}"/>
    <cellStyle name="Normal 5 2 2 4 2 2 4" xfId="9488" xr:uid="{2997B11D-E810-48A4-BD3C-4498479B295E}"/>
    <cellStyle name="Normal 5 2 2 4 2 2 4 2" xfId="18803" xr:uid="{EB82E8EB-BF81-462C-BE85-148F9884DD50}"/>
    <cellStyle name="Normal 5 2 2 4 2 2 4 2 2" xfId="37397" xr:uid="{E8611A88-252B-4D8A-8F84-F48CCC9EF11D}"/>
    <cellStyle name="Normal 5 2 2 4 2 2 4 3" xfId="28100" xr:uid="{56137DF6-8776-4519-A1BE-C17B3C809C99}"/>
    <cellStyle name="Normal 5 2 2 4 2 2 5" xfId="10317" xr:uid="{31FFCE4B-3300-4221-8EF9-B07DF21C8E05}"/>
    <cellStyle name="Normal 5 2 2 4 2 2 5 2" xfId="28913" xr:uid="{22510C60-6DB9-4769-A91F-1B647CAFADF2}"/>
    <cellStyle name="Normal 5 2 2 4 2 2 6" xfId="19616" xr:uid="{E93485A6-FACE-4C22-9CAA-4E0F3D1D222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76C87C69-FFD1-4999-9447-459C91A15A6B}"/>
    <cellStyle name="Normal 5 2 2 4 2 3 2 2 2 2" xfId="35688" xr:uid="{FC39D76C-F540-4EBF-A4C6-89DB502412AD}"/>
    <cellStyle name="Normal 5 2 2 4 2 3 2 2 3" xfId="26391" xr:uid="{5D218911-1AB4-4BFC-913C-23DD3CA1D248}"/>
    <cellStyle name="Normal 5 2 2 4 2 3 2 3" xfId="12875" xr:uid="{666BD33F-E596-41BB-B97C-5B9CD72AC303}"/>
    <cellStyle name="Normal 5 2 2 4 2 3 2 3 2" xfId="31471" xr:uid="{6F89ADFC-8EC0-4F4D-A64B-DFBE50DDF0A3}"/>
    <cellStyle name="Normal 5 2 2 4 2 3 2 4" xfId="22174" xr:uid="{C9500811-DD52-40CF-B466-9B126DF29EDE}"/>
    <cellStyle name="Normal 5 2 2 4 2 3 3" xfId="5621" xr:uid="{00000000-0005-0000-0000-0000EF170000}"/>
    <cellStyle name="Normal 5 2 2 4 2 3 3 2" xfId="14947" xr:uid="{03DC1B82-F586-4AD2-A198-4DE27EB700A7}"/>
    <cellStyle name="Normal 5 2 2 4 2 3 3 2 2" xfId="33543" xr:uid="{73D2F57E-2E92-4B27-9A94-E7525FFB414D}"/>
    <cellStyle name="Normal 5 2 2 4 2 3 3 3" xfId="24246" xr:uid="{3DDA9F12-FF34-4EEA-B178-E1EBD351DA5E}"/>
    <cellStyle name="Normal 5 2 2 4 2 3 4" xfId="10730" xr:uid="{E8E863C9-04FB-4EBF-BAB0-DB16C374C71E}"/>
    <cellStyle name="Normal 5 2 2 4 2 3 4 2" xfId="29326" xr:uid="{CB762C02-9472-4F68-A8F1-EE4C79196F68}"/>
    <cellStyle name="Normal 5 2 2 4 2 3 5" xfId="20029" xr:uid="{5BBDA4A5-685F-4031-A217-8E23622AD208}"/>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66726F06-6A87-4B85-9B00-AF2D32C17DC2}"/>
    <cellStyle name="Normal 5 2 2 4 2 4 2 2 2 2" xfId="36101" xr:uid="{4A03D675-A356-45CD-8531-7BD84851D231}"/>
    <cellStyle name="Normal 5 2 2 4 2 4 2 2 3" xfId="26804" xr:uid="{B0C1F7F7-45B3-4E83-8A22-780B0C486AAE}"/>
    <cellStyle name="Normal 5 2 2 4 2 4 2 3" xfId="13288" xr:uid="{599B56A0-2C39-4C9C-850F-8D0BA3708A4C}"/>
    <cellStyle name="Normal 5 2 2 4 2 4 2 3 2" xfId="31884" xr:uid="{D4EFCE3E-06A7-4AE0-9C49-22BEE7205914}"/>
    <cellStyle name="Normal 5 2 2 4 2 4 2 4" xfId="22587" xr:uid="{BE3087B6-EB68-4F98-AF30-285C4124E68A}"/>
    <cellStyle name="Normal 5 2 2 4 2 4 3" xfId="6034" xr:uid="{00000000-0005-0000-0000-0000F3170000}"/>
    <cellStyle name="Normal 5 2 2 4 2 4 3 2" xfId="15360" xr:uid="{CF6C63E3-8E42-4911-B567-58CF3DBEA216}"/>
    <cellStyle name="Normal 5 2 2 4 2 4 3 2 2" xfId="33956" xr:uid="{9C794AE0-ACD4-4300-B794-50FD17C9EEDD}"/>
    <cellStyle name="Normal 5 2 2 4 2 4 3 3" xfId="24659" xr:uid="{941C983F-21BA-4E6E-8F6B-5C18CE85EA37}"/>
    <cellStyle name="Normal 5 2 2 4 2 4 4" xfId="11143" xr:uid="{8D560519-D2E0-4AA9-8792-78EBE90BB4B1}"/>
    <cellStyle name="Normal 5 2 2 4 2 4 4 2" xfId="29739" xr:uid="{F6950248-F0D0-41BF-9B89-93A24A4E542E}"/>
    <cellStyle name="Normal 5 2 2 4 2 4 5" xfId="20442" xr:uid="{22209F43-9471-4178-BABB-83FF631B6E76}"/>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AE5EF46E-202B-4FE1-B8A2-4CDD91AB9CBE}"/>
    <cellStyle name="Normal 5 2 2 4 2 5 2 2 2 2" xfId="36514" xr:uid="{C1553DFB-9F03-4113-A76B-41DDC978DBD3}"/>
    <cellStyle name="Normal 5 2 2 4 2 5 2 2 3" xfId="27217" xr:uid="{6B21DFC9-3025-469F-94E7-D275A71AE855}"/>
    <cellStyle name="Normal 5 2 2 4 2 5 2 3" xfId="13701" xr:uid="{5E372C1B-1FB3-4E20-AF28-3A3DC5C63CA2}"/>
    <cellStyle name="Normal 5 2 2 4 2 5 2 3 2" xfId="32297" xr:uid="{3BBE13D6-35DF-4DF5-AE25-8EF6E339A008}"/>
    <cellStyle name="Normal 5 2 2 4 2 5 2 4" xfId="23000" xr:uid="{9636ECCA-EA98-4911-BB32-FE4C5EF0BB1A}"/>
    <cellStyle name="Normal 5 2 2 4 2 5 3" xfId="6447" xr:uid="{00000000-0005-0000-0000-0000F7170000}"/>
    <cellStyle name="Normal 5 2 2 4 2 5 3 2" xfId="15773" xr:uid="{B79E2577-AFBC-4E05-991E-DD0612F3A64F}"/>
    <cellStyle name="Normal 5 2 2 4 2 5 3 2 2" xfId="34369" xr:uid="{A76B79C2-483F-4AC8-BC75-AE08D2A1D888}"/>
    <cellStyle name="Normal 5 2 2 4 2 5 3 3" xfId="25072" xr:uid="{EC02673B-04A1-4E05-A908-7556321E79C3}"/>
    <cellStyle name="Normal 5 2 2 4 2 5 4" xfId="11556" xr:uid="{E46B2F3E-9C99-4D08-BF44-3B874E94DF10}"/>
    <cellStyle name="Normal 5 2 2 4 2 5 4 2" xfId="30152" xr:uid="{AEF6279E-0689-40D7-8716-E3441EB1F792}"/>
    <cellStyle name="Normal 5 2 2 4 2 5 5" xfId="20855" xr:uid="{A84F0020-1E66-41C6-9C3B-E4DD8ED42513}"/>
    <cellStyle name="Normal 5 2 2 4 2 6" xfId="2577" xr:uid="{00000000-0005-0000-0000-0000F8170000}"/>
    <cellStyle name="Normal 5 2 2 4 2 6 2" xfId="6860" xr:uid="{00000000-0005-0000-0000-0000F9170000}"/>
    <cellStyle name="Normal 5 2 2 4 2 6 2 2" xfId="16186" xr:uid="{A1F56065-C611-44A7-8C45-3A677247D8F2}"/>
    <cellStyle name="Normal 5 2 2 4 2 6 2 2 2" xfId="34782" xr:uid="{AF6089A4-2A78-437E-9D4B-E7F4B4E1786B}"/>
    <cellStyle name="Normal 5 2 2 4 2 6 2 3" xfId="25485" xr:uid="{AF32C8E2-B905-43E8-8C38-CACE3BF3911D}"/>
    <cellStyle name="Normal 5 2 2 4 2 6 3" xfId="11969" xr:uid="{0CA2B63E-DC09-4132-8DF7-7D28A4D0A40C}"/>
    <cellStyle name="Normal 5 2 2 4 2 6 3 2" xfId="30565" xr:uid="{B8F13AB1-E9BD-4362-921E-140C7D97E63E}"/>
    <cellStyle name="Normal 5 2 2 4 2 6 4" xfId="21268" xr:uid="{35BD30AD-29AC-44DB-940F-6450705CDF20}"/>
    <cellStyle name="Normal 5 2 2 4 2 7" xfId="4795" xr:uid="{00000000-0005-0000-0000-0000FA170000}"/>
    <cellStyle name="Normal 5 2 2 4 2 7 2" xfId="14121" xr:uid="{1AD7B326-CEAC-419A-BC7F-5C5E55F3519A}"/>
    <cellStyle name="Normal 5 2 2 4 2 7 2 2" xfId="32717" xr:uid="{58070898-8E4E-4BA7-9340-7342C71D54F4}"/>
    <cellStyle name="Normal 5 2 2 4 2 7 3" xfId="23420" xr:uid="{31DF33A0-8D74-4D2E-9FF6-7B7A6DA13226}"/>
    <cellStyle name="Normal 5 2 2 4 2 8" xfId="9063" xr:uid="{3B1AA107-8D7F-4938-A60C-EED41E9B9A2A}"/>
    <cellStyle name="Normal 5 2 2 4 2 8 2" xfId="18387" xr:uid="{812C0978-F373-4D36-B692-C100C95D8AFC}"/>
    <cellStyle name="Normal 5 2 2 4 2 8 2 2" xfId="36982" xr:uid="{CF5049B3-86C9-4511-8CF7-07735030E34F}"/>
    <cellStyle name="Normal 5 2 2 4 2 8 3" xfId="27685" xr:uid="{E9102CB3-E552-4BAC-8173-E8C911FBC5C0}"/>
    <cellStyle name="Normal 5 2 2 4 2 9" xfId="9904" xr:uid="{6C1919C7-2C53-47D4-8909-B29886E22068}"/>
    <cellStyle name="Normal 5 2 2 4 2 9 2" xfId="28500" xr:uid="{D96B99AE-7A51-405E-A149-E75FCD70FF33}"/>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3B626863-9A38-4108-964F-8D20B79DE08B}"/>
    <cellStyle name="Normal 5 2 2 4 3 2 2 2 2" xfId="35274" xr:uid="{8EDCCA5E-8FEF-458A-BAA6-655FC05D4516}"/>
    <cellStyle name="Normal 5 2 2 4 3 2 2 3" xfId="25977" xr:uid="{AE1F4F99-EEC5-48CA-973D-471F0C2F0E0B}"/>
    <cellStyle name="Normal 5 2 2 4 3 2 3" xfId="12461" xr:uid="{3AF301E8-838E-41AD-B0A0-6552642F3D4F}"/>
    <cellStyle name="Normal 5 2 2 4 3 2 3 2" xfId="31057" xr:uid="{56DFDB6C-A575-4D89-9C7E-87BD6C661E6D}"/>
    <cellStyle name="Normal 5 2 2 4 3 2 4" xfId="21760" xr:uid="{FF807813-0749-4AE6-B67E-69EC2B183BA1}"/>
    <cellStyle name="Normal 5 2 2 4 3 3" xfId="5207" xr:uid="{00000000-0005-0000-0000-0000FE170000}"/>
    <cellStyle name="Normal 5 2 2 4 3 3 2" xfId="14533" xr:uid="{9A611000-8ECE-4618-AA8C-9407147A3ACE}"/>
    <cellStyle name="Normal 5 2 2 4 3 3 2 2" xfId="33129" xr:uid="{CE46E090-845C-4CF1-A7A6-40DAEAB8A3F9}"/>
    <cellStyle name="Normal 5 2 2 4 3 3 3" xfId="23832" xr:uid="{4299C98C-80C4-41A3-91C5-D2145BC7D0AA}"/>
    <cellStyle name="Normal 5 2 2 4 3 4" xfId="9281" xr:uid="{9304050F-95A7-4BE3-AD21-FEBB7D0875B2}"/>
    <cellStyle name="Normal 5 2 2 4 3 4 2" xfId="18596" xr:uid="{B0AB882A-711F-441A-8C97-DFC6DCD78308}"/>
    <cellStyle name="Normal 5 2 2 4 3 4 2 2" xfId="37190" xr:uid="{41529753-5279-4D7F-9430-E3712BC42699}"/>
    <cellStyle name="Normal 5 2 2 4 3 4 3" xfId="27893" xr:uid="{61C3F0F4-84C0-400B-A0B8-C3C6677D1032}"/>
    <cellStyle name="Normal 5 2 2 4 3 5" xfId="10316" xr:uid="{61C3B8E2-8743-44B6-8A6F-BD9801D8D1B6}"/>
    <cellStyle name="Normal 5 2 2 4 3 5 2" xfId="28912" xr:uid="{0C7A56F2-9B6E-4F77-B7F6-3AE7F34572A5}"/>
    <cellStyle name="Normal 5 2 2 4 3 6" xfId="19615" xr:uid="{0AD45351-5BC7-4C81-87F4-8CB33C33FCC4}"/>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F3CEF3AC-5BDF-4EDB-B9DC-086A8C556EC1}"/>
    <cellStyle name="Normal 5 2 2 4 4 2 2 2 2" xfId="35687" xr:uid="{44E53FC6-7BF0-4900-B80D-F3E197D1C466}"/>
    <cellStyle name="Normal 5 2 2 4 4 2 2 3" xfId="26390" xr:uid="{5B2391E6-B551-4F0D-91D3-155507DF8108}"/>
    <cellStyle name="Normal 5 2 2 4 4 2 3" xfId="12874" xr:uid="{F2FB22E6-FD17-4982-934A-B867A764F6AA}"/>
    <cellStyle name="Normal 5 2 2 4 4 2 3 2" xfId="31470" xr:uid="{0F6E87AE-1BA7-4557-9AF6-174627AC39AF}"/>
    <cellStyle name="Normal 5 2 2 4 4 2 4" xfId="22173" xr:uid="{50B89E7B-DA66-4031-98F8-25D644DABC09}"/>
    <cellStyle name="Normal 5 2 2 4 4 3" xfId="5620" xr:uid="{00000000-0005-0000-0000-000002180000}"/>
    <cellStyle name="Normal 5 2 2 4 4 3 2" xfId="14946" xr:uid="{943FEB27-F8EF-469E-8238-C1602E2B79D5}"/>
    <cellStyle name="Normal 5 2 2 4 4 3 2 2" xfId="33542" xr:uid="{8DB099D5-9F9D-4850-BFFA-20F5C11AA041}"/>
    <cellStyle name="Normal 5 2 2 4 4 3 3" xfId="24245" xr:uid="{3905F89E-1D54-4F9F-A434-3CAE0BFE460E}"/>
    <cellStyle name="Normal 5 2 2 4 4 4" xfId="10729" xr:uid="{7565730E-06A7-4606-9B7B-78099C7D5481}"/>
    <cellStyle name="Normal 5 2 2 4 4 4 2" xfId="29325" xr:uid="{15CC70A0-89D0-4C06-9D06-CB3FE104D78A}"/>
    <cellStyle name="Normal 5 2 2 4 4 5" xfId="20028" xr:uid="{2A392384-ED39-4833-B1A5-2C6B909A960C}"/>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AAF54FD1-1EE1-4C12-96DC-C31C9F556093}"/>
    <cellStyle name="Normal 5 2 2 4 5 2 2 2 2" xfId="36100" xr:uid="{637B8F74-6234-40BC-B317-3D7B6BEF9E74}"/>
    <cellStyle name="Normal 5 2 2 4 5 2 2 3" xfId="26803" xr:uid="{3A8F46F7-FE9A-4918-B6EB-8539054C632D}"/>
    <cellStyle name="Normal 5 2 2 4 5 2 3" xfId="13287" xr:uid="{03999FDC-7027-40EF-8015-33120F01DE92}"/>
    <cellStyle name="Normal 5 2 2 4 5 2 3 2" xfId="31883" xr:uid="{317F575B-8F9F-4260-8FBC-04D2CB86EEBB}"/>
    <cellStyle name="Normal 5 2 2 4 5 2 4" xfId="22586" xr:uid="{D46ED59E-5890-4064-9681-11802CB2589D}"/>
    <cellStyle name="Normal 5 2 2 4 5 3" xfId="6033" xr:uid="{00000000-0005-0000-0000-000006180000}"/>
    <cellStyle name="Normal 5 2 2 4 5 3 2" xfId="15359" xr:uid="{67581E81-F106-4521-8DEC-43D54AF29FBF}"/>
    <cellStyle name="Normal 5 2 2 4 5 3 2 2" xfId="33955" xr:uid="{87BDF5E5-1444-431F-A27E-81FB12CF8157}"/>
    <cellStyle name="Normal 5 2 2 4 5 3 3" xfId="24658" xr:uid="{58840831-3707-41A7-B9A6-50B742A708C5}"/>
    <cellStyle name="Normal 5 2 2 4 5 4" xfId="11142" xr:uid="{CBC9147C-9EAF-49BA-AC69-4E033F3FDBD4}"/>
    <cellStyle name="Normal 5 2 2 4 5 4 2" xfId="29738" xr:uid="{4C0D0E70-5D8D-4D78-B5E2-B379877351A4}"/>
    <cellStyle name="Normal 5 2 2 4 5 5" xfId="20441" xr:uid="{C114F4A0-64AA-4A5F-9CB5-B0882D9EDE42}"/>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DE40EFD0-E446-4C39-96AA-1052B32CCF99}"/>
    <cellStyle name="Normal 5 2 2 4 6 2 2 2 2" xfId="36513" xr:uid="{AD6B181A-CEA8-4FE4-B42A-3A941890CCA8}"/>
    <cellStyle name="Normal 5 2 2 4 6 2 2 3" xfId="27216" xr:uid="{17E2DF8A-6206-462A-BC45-2CA78BE6AFA1}"/>
    <cellStyle name="Normal 5 2 2 4 6 2 3" xfId="13700" xr:uid="{820E4A38-D414-4368-BC8A-B221F8A27E96}"/>
    <cellStyle name="Normal 5 2 2 4 6 2 3 2" xfId="32296" xr:uid="{020E3F82-6831-49E2-B91A-A99792B47A73}"/>
    <cellStyle name="Normal 5 2 2 4 6 2 4" xfId="22999" xr:uid="{18A9BF4B-9258-4134-82BA-F10D584593B7}"/>
    <cellStyle name="Normal 5 2 2 4 6 3" xfId="6446" xr:uid="{00000000-0005-0000-0000-00000A180000}"/>
    <cellStyle name="Normal 5 2 2 4 6 3 2" xfId="15772" xr:uid="{EE2E47EA-C156-491A-8D76-42241D9A8A5F}"/>
    <cellStyle name="Normal 5 2 2 4 6 3 2 2" xfId="34368" xr:uid="{8D319A8D-91EA-4016-A747-C6DACA95D13E}"/>
    <cellStyle name="Normal 5 2 2 4 6 3 3" xfId="25071" xr:uid="{E92A1537-F424-4320-B6D6-F1AEEC8C1BD9}"/>
    <cellStyle name="Normal 5 2 2 4 6 4" xfId="11555" xr:uid="{9985D402-C54C-478A-B85A-C4B98CBBFD52}"/>
    <cellStyle name="Normal 5 2 2 4 6 4 2" xfId="30151" xr:uid="{88286A48-5EAD-43D8-A5EA-F2318A861C93}"/>
    <cellStyle name="Normal 5 2 2 4 6 5" xfId="20854" xr:uid="{71531775-FB74-4A50-AC90-6EDD5E7D23D8}"/>
    <cellStyle name="Normal 5 2 2 4 7" xfId="2576" xr:uid="{00000000-0005-0000-0000-00000B180000}"/>
    <cellStyle name="Normal 5 2 2 4 7 2" xfId="6859" xr:uid="{00000000-0005-0000-0000-00000C180000}"/>
    <cellStyle name="Normal 5 2 2 4 7 2 2" xfId="16185" xr:uid="{037C53E5-5044-418D-B786-0619A7A9E02A}"/>
    <cellStyle name="Normal 5 2 2 4 7 2 2 2" xfId="34781" xr:uid="{C8C3C0AC-942F-4274-90D0-ACAD235FF2A7}"/>
    <cellStyle name="Normal 5 2 2 4 7 2 3" xfId="25484" xr:uid="{2C9586E5-44E1-4C43-96A0-2C985BB5F485}"/>
    <cellStyle name="Normal 5 2 2 4 7 3" xfId="11968" xr:uid="{4717BB9D-F743-4D6E-8C1C-3BE865D3C8EF}"/>
    <cellStyle name="Normal 5 2 2 4 7 3 2" xfId="30564" xr:uid="{2926D36A-9B45-4EE3-B94D-B6401AE390C1}"/>
    <cellStyle name="Normal 5 2 2 4 7 4" xfId="21267" xr:uid="{EB8AE272-C390-4570-9261-2EBAE9E433FA}"/>
    <cellStyle name="Normal 5 2 2 4 8" xfId="4794" xr:uid="{00000000-0005-0000-0000-00000D180000}"/>
    <cellStyle name="Normal 5 2 2 4 8 2" xfId="14120" xr:uid="{A481D283-3F50-49F4-BBBF-1EBAC73C5D3E}"/>
    <cellStyle name="Normal 5 2 2 4 8 2 2" xfId="32716" xr:uid="{253A82B9-813F-4A72-879A-58D8747211E7}"/>
    <cellStyle name="Normal 5 2 2 4 8 3" xfId="23419" xr:uid="{674AE9E8-7571-47DE-8ED8-5CC490958595}"/>
    <cellStyle name="Normal 5 2 2 4 9" xfId="8856" xr:uid="{8A537EF5-BE1D-4B82-9546-B2DC1F74308F}"/>
    <cellStyle name="Normal 5 2 2 4 9 2" xfId="18180" xr:uid="{F4E0D2A3-334E-4976-9423-FC3D0C8A7B06}"/>
    <cellStyle name="Normal 5 2 2 4 9 2 2" xfId="36775" xr:uid="{11D64D3C-CE74-4788-AF72-D1221C25E328}"/>
    <cellStyle name="Normal 5 2 2 4 9 3" xfId="27478" xr:uid="{D07AF066-1396-4621-9579-5BD00ECE5730}"/>
    <cellStyle name="Normal 5 2 2 5" xfId="423" xr:uid="{00000000-0005-0000-0000-00000E180000}"/>
    <cellStyle name="Normal 5 2 2 5 10" xfId="19204" xr:uid="{67A1DFB2-3F61-4398-A795-5DE508CFA2B5}"/>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70036794-E9F2-417E-B809-D9476CD61284}"/>
    <cellStyle name="Normal 5 2 2 5 2 2 2 2 2" xfId="35276" xr:uid="{97CDD0EE-EF5B-4657-99A9-B0E27A30078E}"/>
    <cellStyle name="Normal 5 2 2 5 2 2 2 3" xfId="25979" xr:uid="{FD34379E-0179-4EEF-B331-C9294E53FAAB}"/>
    <cellStyle name="Normal 5 2 2 5 2 2 3" xfId="12463" xr:uid="{01C1BD59-79F3-4105-9B79-3E39948CC330}"/>
    <cellStyle name="Normal 5 2 2 5 2 2 3 2" xfId="31059" xr:uid="{4EE67C42-78EA-4BF2-B6FE-E1495CAC6EE5}"/>
    <cellStyle name="Normal 5 2 2 5 2 2 4" xfId="21762" xr:uid="{1926867C-944A-452E-8B97-223521504712}"/>
    <cellStyle name="Normal 5 2 2 5 2 3" xfId="5209" xr:uid="{00000000-0005-0000-0000-000012180000}"/>
    <cellStyle name="Normal 5 2 2 5 2 3 2" xfId="14535" xr:uid="{2DE56DB3-1829-4AA4-A24A-24203184926A}"/>
    <cellStyle name="Normal 5 2 2 5 2 3 2 2" xfId="33131" xr:uid="{FB70C414-5C01-4D57-877E-CEE08760F393}"/>
    <cellStyle name="Normal 5 2 2 5 2 3 3" xfId="23834" xr:uid="{F30C7ABE-F8CF-4CDE-90D6-A37413670691}"/>
    <cellStyle name="Normal 5 2 2 5 2 4" xfId="9397" xr:uid="{3CB0B9A4-F907-4F52-ACFC-7970F7AF9B13}"/>
    <cellStyle name="Normal 5 2 2 5 2 4 2" xfId="18712" xr:uid="{9BEAA80D-8373-4758-9D00-E5B5D3133382}"/>
    <cellStyle name="Normal 5 2 2 5 2 4 2 2" xfId="37306" xr:uid="{1D61A68F-9769-4ADE-ABF8-47B0F70D162B}"/>
    <cellStyle name="Normal 5 2 2 5 2 4 3" xfId="28009" xr:uid="{FADEAB9E-A554-44A9-A1FA-C4DABED1B750}"/>
    <cellStyle name="Normal 5 2 2 5 2 5" xfId="10318" xr:uid="{43BD0865-BC58-45A2-86D7-AD98BF7DE0DC}"/>
    <cellStyle name="Normal 5 2 2 5 2 5 2" xfId="28914" xr:uid="{475E1BC9-E096-4231-9CF2-585DA4BCC795}"/>
    <cellStyle name="Normal 5 2 2 5 2 6" xfId="19617" xr:uid="{3B52E60B-A8C3-4224-965B-B66F52642829}"/>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96FC7EDD-AF48-4618-945B-1F2D946EFA5B}"/>
    <cellStyle name="Normal 5 2 2 5 3 2 2 2 2" xfId="35689" xr:uid="{84884F4B-FCF9-4EDA-ACA6-C3B664BBD345}"/>
    <cellStyle name="Normal 5 2 2 5 3 2 2 3" xfId="26392" xr:uid="{A02CCD48-6A15-4A82-B5CB-20653EE274F1}"/>
    <cellStyle name="Normal 5 2 2 5 3 2 3" xfId="12876" xr:uid="{F449B899-325B-4412-9320-EFB8BD572867}"/>
    <cellStyle name="Normal 5 2 2 5 3 2 3 2" xfId="31472" xr:uid="{8F8F9FFD-83FC-4E57-99F2-73727F468E21}"/>
    <cellStyle name="Normal 5 2 2 5 3 2 4" xfId="22175" xr:uid="{F6FCA9F0-F0E0-4EFC-A388-A2BB5E2CA248}"/>
    <cellStyle name="Normal 5 2 2 5 3 3" xfId="5622" xr:uid="{00000000-0005-0000-0000-000016180000}"/>
    <cellStyle name="Normal 5 2 2 5 3 3 2" xfId="14948" xr:uid="{7A3CC214-BA67-4C37-B071-7D16E85CC82C}"/>
    <cellStyle name="Normal 5 2 2 5 3 3 2 2" xfId="33544" xr:uid="{107E9196-4ED1-439F-B149-18883A840A7F}"/>
    <cellStyle name="Normal 5 2 2 5 3 3 3" xfId="24247" xr:uid="{ADD39CE2-AF65-4618-ABF5-A10A8B8BC1C1}"/>
    <cellStyle name="Normal 5 2 2 5 3 4" xfId="10731" xr:uid="{167866F7-E255-4ACC-9C1B-E71D46A08294}"/>
    <cellStyle name="Normal 5 2 2 5 3 4 2" xfId="29327" xr:uid="{3FA73BA8-52E1-4C3E-B4EC-3047D6A333A6}"/>
    <cellStyle name="Normal 5 2 2 5 3 5" xfId="20030" xr:uid="{C8AA639B-9E78-4049-BDED-2A4742D9B354}"/>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7019FF80-E676-4A3C-A0F6-19D11C534C4F}"/>
    <cellStyle name="Normal 5 2 2 5 4 2 2 2 2" xfId="36102" xr:uid="{12184B1C-1D2C-4DA4-8A1F-861C03A54E8E}"/>
    <cellStyle name="Normal 5 2 2 5 4 2 2 3" xfId="26805" xr:uid="{B41EE30B-F22E-40F1-B8E1-3C41C525D008}"/>
    <cellStyle name="Normal 5 2 2 5 4 2 3" xfId="13289" xr:uid="{38C5186F-E10D-4821-ABC7-6FD806E4C185}"/>
    <cellStyle name="Normal 5 2 2 5 4 2 3 2" xfId="31885" xr:uid="{4778ACA2-F83A-4DD9-B2DA-C712C3535495}"/>
    <cellStyle name="Normal 5 2 2 5 4 2 4" xfId="22588" xr:uid="{772BF61A-3E4A-4D14-A726-D4E62B051456}"/>
    <cellStyle name="Normal 5 2 2 5 4 3" xfId="6035" xr:uid="{00000000-0005-0000-0000-00001A180000}"/>
    <cellStyle name="Normal 5 2 2 5 4 3 2" xfId="15361" xr:uid="{1D05DC07-487F-416A-9282-49F04851EF1D}"/>
    <cellStyle name="Normal 5 2 2 5 4 3 2 2" xfId="33957" xr:uid="{558BB5FA-90E8-4D73-8FDD-A8B7141153E1}"/>
    <cellStyle name="Normal 5 2 2 5 4 3 3" xfId="24660" xr:uid="{61C948E1-5034-4AF9-B008-B4FFB14AC24C}"/>
    <cellStyle name="Normal 5 2 2 5 4 4" xfId="11144" xr:uid="{BB19100C-9A9C-4DDE-849A-FDFC7BCDCB4E}"/>
    <cellStyle name="Normal 5 2 2 5 4 4 2" xfId="29740" xr:uid="{18A79B9E-6350-4A3B-AF5C-7261FFD8442F}"/>
    <cellStyle name="Normal 5 2 2 5 4 5" xfId="20443" xr:uid="{5308CC19-5FFC-4B57-9E45-1BDFEAA5CD72}"/>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C48C7C0A-69B0-4719-BB8F-FAA3D2206324}"/>
    <cellStyle name="Normal 5 2 2 5 5 2 2 2 2" xfId="36515" xr:uid="{B2DA8C79-F9D8-4E0B-AE8C-E892B556E040}"/>
    <cellStyle name="Normal 5 2 2 5 5 2 2 3" xfId="27218" xr:uid="{14486CEA-0D4C-4EE1-BB2F-A95D2B735832}"/>
    <cellStyle name="Normal 5 2 2 5 5 2 3" xfId="13702" xr:uid="{D669CB45-2511-4E18-851A-ACA8257C2E2B}"/>
    <cellStyle name="Normal 5 2 2 5 5 2 3 2" xfId="32298" xr:uid="{B3A7F94C-1745-4167-888B-8948E2415F5B}"/>
    <cellStyle name="Normal 5 2 2 5 5 2 4" xfId="23001" xr:uid="{9ED86A84-C4B0-42BD-B8ED-0805DD053100}"/>
    <cellStyle name="Normal 5 2 2 5 5 3" xfId="6448" xr:uid="{00000000-0005-0000-0000-00001E180000}"/>
    <cellStyle name="Normal 5 2 2 5 5 3 2" xfId="15774" xr:uid="{AB6E82E4-D72F-44CB-891D-59F9599F3DBD}"/>
    <cellStyle name="Normal 5 2 2 5 5 3 2 2" xfId="34370" xr:uid="{CE2BCDB9-1D92-44C5-9F0E-F9076B4E9DF5}"/>
    <cellStyle name="Normal 5 2 2 5 5 3 3" xfId="25073" xr:uid="{22B13788-08A0-4A29-A614-6C1809B8E5B1}"/>
    <cellStyle name="Normal 5 2 2 5 5 4" xfId="11557" xr:uid="{8BC8F4E5-35D1-4B59-A38E-8DE7495C064E}"/>
    <cellStyle name="Normal 5 2 2 5 5 4 2" xfId="30153" xr:uid="{5DE0E422-EBF4-47E8-A0BF-C34DE3D08BFF}"/>
    <cellStyle name="Normal 5 2 2 5 5 5" xfId="20856" xr:uid="{AC8FA379-B27C-45AF-B0F7-38D677CB0338}"/>
    <cellStyle name="Normal 5 2 2 5 6" xfId="2578" xr:uid="{00000000-0005-0000-0000-00001F180000}"/>
    <cellStyle name="Normal 5 2 2 5 6 2" xfId="6861" xr:uid="{00000000-0005-0000-0000-000020180000}"/>
    <cellStyle name="Normal 5 2 2 5 6 2 2" xfId="16187" xr:uid="{93E421E3-8E6F-40A1-8810-030F3574FC94}"/>
    <cellStyle name="Normal 5 2 2 5 6 2 2 2" xfId="34783" xr:uid="{C76E51AE-2761-418B-A707-33696C05CED5}"/>
    <cellStyle name="Normal 5 2 2 5 6 2 3" xfId="25486" xr:uid="{0AF430A1-B798-4B2D-819E-A132C7A4D520}"/>
    <cellStyle name="Normal 5 2 2 5 6 3" xfId="11970" xr:uid="{110BDE9F-017D-4F59-BF4D-CC8ADE74AFB7}"/>
    <cellStyle name="Normal 5 2 2 5 6 3 2" xfId="30566" xr:uid="{38F1F803-42F7-4DC0-BF2D-57E268377BA3}"/>
    <cellStyle name="Normal 5 2 2 5 6 4" xfId="21269" xr:uid="{3D3FDCC1-F8C1-454C-8C56-60CEB82B01A4}"/>
    <cellStyle name="Normal 5 2 2 5 7" xfId="4796" xr:uid="{00000000-0005-0000-0000-000021180000}"/>
    <cellStyle name="Normal 5 2 2 5 7 2" xfId="14122" xr:uid="{C24C629E-5A36-4966-AEFB-C6C8FA3476F5}"/>
    <cellStyle name="Normal 5 2 2 5 7 2 2" xfId="32718" xr:uid="{F39C2D25-1FE6-4B7C-90A5-41FD6353A547}"/>
    <cellStyle name="Normal 5 2 2 5 7 3" xfId="23421" xr:uid="{957F8808-C637-4B38-867E-0AA2E4761B25}"/>
    <cellStyle name="Normal 5 2 2 5 8" xfId="8972" xr:uid="{3CCC8856-6464-4309-A4F9-43F74A48C503}"/>
    <cellStyle name="Normal 5 2 2 5 8 2" xfId="18296" xr:uid="{FE88D8CE-9E55-4C33-B9E6-AE74D4791BCF}"/>
    <cellStyle name="Normal 5 2 2 5 8 2 2" xfId="36891" xr:uid="{D19BAAE4-9543-450F-A502-53B58336481F}"/>
    <cellStyle name="Normal 5 2 2 5 8 3" xfId="27594" xr:uid="{440B2B58-3326-40F9-96F2-C510B824619B}"/>
    <cellStyle name="Normal 5 2 2 5 9" xfId="9905" xr:uid="{FF9646CC-B314-4E56-8C6B-3448F49E3EEE}"/>
    <cellStyle name="Normal 5 2 2 5 9 2" xfId="28501" xr:uid="{96E397BA-0713-447C-9688-1D7496AC842A}"/>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A8AF28E0-63A9-4CD7-9A5A-1813B5E7074B}"/>
    <cellStyle name="Normal 5 2 2 6 2 2 2 2" xfId="35261" xr:uid="{D75A9D88-7839-4ECA-9F80-5C1EF00DCFAB}"/>
    <cellStyle name="Normal 5 2 2 6 2 2 3" xfId="25964" xr:uid="{6F2B6F7E-A7DF-4200-8BEC-E07DF67A729A}"/>
    <cellStyle name="Normal 5 2 2 6 2 3" xfId="12448" xr:uid="{F9472EE4-7D5E-4F5A-8A49-5CD297EACCE8}"/>
    <cellStyle name="Normal 5 2 2 6 2 3 2" xfId="31044" xr:uid="{587A33FC-7233-40F1-8B5C-1070AEE63F88}"/>
    <cellStyle name="Normal 5 2 2 6 2 4" xfId="21747" xr:uid="{E0C97621-4F1A-4770-9CF6-0E75A85873C2}"/>
    <cellStyle name="Normal 5 2 2 6 3" xfId="5194" xr:uid="{00000000-0005-0000-0000-000025180000}"/>
    <cellStyle name="Normal 5 2 2 6 3 2" xfId="14520" xr:uid="{5E3ED534-01AB-4E19-938D-E9B44445C666}"/>
    <cellStyle name="Normal 5 2 2 6 3 2 2" xfId="33116" xr:uid="{94C49222-BA3A-45B8-A3AA-E4731016283D}"/>
    <cellStyle name="Normal 5 2 2 6 3 3" xfId="23819" xr:uid="{AEC0CD47-00BC-4688-9C04-1A92A377E8F9}"/>
    <cellStyle name="Normal 5 2 2 6 4" xfId="9175" xr:uid="{A0BC076A-DB75-4963-A17E-57836FA6391D}"/>
    <cellStyle name="Normal 5 2 2 6 4 2" xfId="18493" xr:uid="{E11C27D5-529F-4B59-B090-E79638DF5CDD}"/>
    <cellStyle name="Normal 5 2 2 6 4 2 2" xfId="37087" xr:uid="{D4907FB1-49A1-4AB3-BC58-70E724850FB2}"/>
    <cellStyle name="Normal 5 2 2 6 4 3" xfId="27790" xr:uid="{B6FE48F0-768C-4BD1-870C-F8C4C3A11581}"/>
    <cellStyle name="Normal 5 2 2 6 5" xfId="10303" xr:uid="{EF1759CD-8442-45F6-82E9-E268F3E752F9}"/>
    <cellStyle name="Normal 5 2 2 6 5 2" xfId="28899" xr:uid="{18D5BDDA-7336-4E64-B8A9-A30C362C3A33}"/>
    <cellStyle name="Normal 5 2 2 6 6" xfId="19602" xr:uid="{C623F868-69D1-4C07-82D2-E812F313C102}"/>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FCF8CC10-CB60-4564-87CA-B5D436249236}"/>
    <cellStyle name="Normal 5 2 2 7 2 2 2 2" xfId="35674" xr:uid="{C965D0CA-BB80-4D21-9EA9-3F36B0CF7B27}"/>
    <cellStyle name="Normal 5 2 2 7 2 2 3" xfId="26377" xr:uid="{D1018362-DC42-4779-A568-7DD27C3CE3ED}"/>
    <cellStyle name="Normal 5 2 2 7 2 3" xfId="12861" xr:uid="{89D11A0E-2C13-456A-836C-34EA66E656FB}"/>
    <cellStyle name="Normal 5 2 2 7 2 3 2" xfId="31457" xr:uid="{8A42BF6E-4A7D-4CE3-82A5-57432C787C13}"/>
    <cellStyle name="Normal 5 2 2 7 2 4" xfId="22160" xr:uid="{657A4D26-1DDD-45BC-A65C-19E9FB312AEC}"/>
    <cellStyle name="Normal 5 2 2 7 3" xfId="5607" xr:uid="{00000000-0005-0000-0000-000029180000}"/>
    <cellStyle name="Normal 5 2 2 7 3 2" xfId="14933" xr:uid="{3E32730B-100D-4323-A4CE-B3E471F679B6}"/>
    <cellStyle name="Normal 5 2 2 7 3 2 2" xfId="33529" xr:uid="{F5DC95B1-BCE1-4642-B285-783900B86559}"/>
    <cellStyle name="Normal 5 2 2 7 3 3" xfId="24232" xr:uid="{DDEFE9E5-251D-4E35-80E4-416C1F7A47D8}"/>
    <cellStyle name="Normal 5 2 2 7 4" xfId="10716" xr:uid="{FC3A0456-9DB6-4108-A926-7C1A5E8BB2A8}"/>
    <cellStyle name="Normal 5 2 2 7 4 2" xfId="29312" xr:uid="{9190E651-80F6-4506-A3D2-6061FE7F0189}"/>
    <cellStyle name="Normal 5 2 2 7 5" xfId="20015" xr:uid="{E27319AE-0F22-47D7-AC36-6A6C8A7C24DB}"/>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3EF0FA5E-4E8A-4BD7-A56E-22C80FFDF9D9}"/>
    <cellStyle name="Normal 5 2 2 8 2 2 2 2" xfId="36087" xr:uid="{74D1B3A5-15DB-4676-BCE8-39F2CF898CFC}"/>
    <cellStyle name="Normal 5 2 2 8 2 2 3" xfId="26790" xr:uid="{EB51829B-8778-453D-82F4-3D8A487E94A2}"/>
    <cellStyle name="Normal 5 2 2 8 2 3" xfId="13274" xr:uid="{29AA0477-3563-4682-B2BA-6C985CB40D57}"/>
    <cellStyle name="Normal 5 2 2 8 2 3 2" xfId="31870" xr:uid="{355A199E-B102-41F2-9FD3-BF30CB3C3E08}"/>
    <cellStyle name="Normal 5 2 2 8 2 4" xfId="22573" xr:uid="{E73B744F-9E35-4706-8097-5EE30E51F328}"/>
    <cellStyle name="Normal 5 2 2 8 3" xfId="6020" xr:uid="{00000000-0005-0000-0000-00002D180000}"/>
    <cellStyle name="Normal 5 2 2 8 3 2" xfId="15346" xr:uid="{51FEFA15-9419-4B59-B461-6C15224A7C77}"/>
    <cellStyle name="Normal 5 2 2 8 3 2 2" xfId="33942" xr:uid="{A6E27A28-F65E-4BBD-B744-D4AF56A66296}"/>
    <cellStyle name="Normal 5 2 2 8 3 3" xfId="24645" xr:uid="{5429BA76-0292-44F2-89F6-629B98A6383A}"/>
    <cellStyle name="Normal 5 2 2 8 4" xfId="11129" xr:uid="{2A96B087-4AB8-4DAB-BDA2-724014790279}"/>
    <cellStyle name="Normal 5 2 2 8 4 2" xfId="29725" xr:uid="{4B93560E-50C5-4AA5-9624-81E3AFA97287}"/>
    <cellStyle name="Normal 5 2 2 8 5" xfId="20428" xr:uid="{DB66AAD1-C719-433F-8D65-6CC0185D5A15}"/>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BBCDD14B-89F9-4ABD-BBC4-0FCBB762463A}"/>
    <cellStyle name="Normal 5 2 2 9 2 2 2 2" xfId="36500" xr:uid="{ED88B05C-71D2-4909-A130-73C7E046317D}"/>
    <cellStyle name="Normal 5 2 2 9 2 2 3" xfId="27203" xr:uid="{315DDF44-DF3E-4D54-B2DB-698871D9D48D}"/>
    <cellStyle name="Normal 5 2 2 9 2 3" xfId="13687" xr:uid="{5224445D-387F-4314-A753-F82415D9A7A2}"/>
    <cellStyle name="Normal 5 2 2 9 2 3 2" xfId="32283" xr:uid="{C5DEAE68-6CED-46A5-A59A-7C53AA36F996}"/>
    <cellStyle name="Normal 5 2 2 9 2 4" xfId="22986" xr:uid="{3322CEF8-8423-4F7F-A693-FBCED5E73D8A}"/>
    <cellStyle name="Normal 5 2 2 9 3" xfId="6433" xr:uid="{00000000-0005-0000-0000-000031180000}"/>
    <cellStyle name="Normal 5 2 2 9 3 2" xfId="15759" xr:uid="{38AB8E0B-9785-4163-8E2D-6FBD61A21428}"/>
    <cellStyle name="Normal 5 2 2 9 3 2 2" xfId="34355" xr:uid="{9511FFCF-7380-4EAA-885E-099A54448AF5}"/>
    <cellStyle name="Normal 5 2 2 9 3 3" xfId="25058" xr:uid="{0B5AC834-1603-4F65-9D86-3D532AA57B47}"/>
    <cellStyle name="Normal 5 2 2 9 4" xfId="11542" xr:uid="{7F728D95-A6B2-420B-BD2F-B07B9F18F750}"/>
    <cellStyle name="Normal 5 2 2 9 4 2" xfId="30138" xr:uid="{7C6CF99A-3947-4EC0-9712-30921D19902A}"/>
    <cellStyle name="Normal 5 2 2 9 5" xfId="20841" xr:uid="{A25F4BC1-3840-461A-A731-84AE853EBAC4}"/>
    <cellStyle name="Normal 5 2 3" xfId="424" xr:uid="{00000000-0005-0000-0000-000032180000}"/>
    <cellStyle name="Normal 5 2 3 10" xfId="4797" xr:uid="{00000000-0005-0000-0000-000033180000}"/>
    <cellStyle name="Normal 5 2 3 10 2" xfId="14123" xr:uid="{67FEB586-8D63-4B92-802B-4A6BCA965A01}"/>
    <cellStyle name="Normal 5 2 3 10 2 2" xfId="32719" xr:uid="{02AA7DC1-F9DC-4DA9-83F5-0691BA56BD4B}"/>
    <cellStyle name="Normal 5 2 3 10 3" xfId="23422" xr:uid="{69454150-E553-44DA-AAAA-5D78FC051565}"/>
    <cellStyle name="Normal 5 2 3 11" xfId="8776" xr:uid="{883173D2-CE3E-48F3-8E13-32EAEF7B08C3}"/>
    <cellStyle name="Normal 5 2 3 11 2" xfId="18100" xr:uid="{C10D3422-24F1-486B-AF62-8D3F7B3E7C87}"/>
    <cellStyle name="Normal 5 2 3 11 2 2" xfId="36695" xr:uid="{CE128BB9-7A44-4884-A141-84F3966BC622}"/>
    <cellStyle name="Normal 5 2 3 11 3" xfId="27398" xr:uid="{FF9191D1-B811-4AE7-B30D-AB6A521B9ED1}"/>
    <cellStyle name="Normal 5 2 3 12" xfId="9906" xr:uid="{910B1A9D-0DD9-446B-84DB-021BBD8CB1EB}"/>
    <cellStyle name="Normal 5 2 3 12 2" xfId="28502" xr:uid="{5BCE9125-B549-4A84-87F8-0F3FC02B51DB}"/>
    <cellStyle name="Normal 5 2 3 13" xfId="19205" xr:uid="{906E874B-AD97-476F-8D7E-0BE7945EE1AA}"/>
    <cellStyle name="Normal 5 2 3 2" xfId="425" xr:uid="{00000000-0005-0000-0000-000034180000}"/>
    <cellStyle name="Normal 5 2 3 2 10" xfId="8830" xr:uid="{287E15F2-6F23-4B3E-B8AA-9DE92D950FBA}"/>
    <cellStyle name="Normal 5 2 3 2 10 2" xfId="18154" xr:uid="{0ACDD666-B0E7-457D-B688-807A1489E957}"/>
    <cellStyle name="Normal 5 2 3 2 10 2 2" xfId="36749" xr:uid="{E4F7B000-00DA-4E6B-871B-F821B0E8F87E}"/>
    <cellStyle name="Normal 5 2 3 2 10 3" xfId="27452" xr:uid="{900CF99B-354B-4917-A434-3F90298EB342}"/>
    <cellStyle name="Normal 5 2 3 2 11" xfId="9907" xr:uid="{142C497D-7E95-41F0-AD1B-6897EBFC8726}"/>
    <cellStyle name="Normal 5 2 3 2 11 2" xfId="28503" xr:uid="{79D66E81-79D6-44F6-BA1B-51BAB5820619}"/>
    <cellStyle name="Normal 5 2 3 2 12" xfId="19206" xr:uid="{B68E60C1-359F-43A6-B520-400EAA47BB16}"/>
    <cellStyle name="Normal 5 2 3 2 2" xfId="426" xr:uid="{00000000-0005-0000-0000-000035180000}"/>
    <cellStyle name="Normal 5 2 3 2 2 10" xfId="9908" xr:uid="{BE798462-8B99-4853-BB39-5E0E17F45602}"/>
    <cellStyle name="Normal 5 2 3 2 2 10 2" xfId="28504" xr:uid="{86B22F37-5D04-4ACF-A069-6FAEAAC3A01F}"/>
    <cellStyle name="Normal 5 2 3 2 2 11" xfId="19207" xr:uid="{BD109037-9159-4516-881C-D115CB64CD70}"/>
    <cellStyle name="Normal 5 2 3 2 2 2" xfId="427" xr:uid="{00000000-0005-0000-0000-000036180000}"/>
    <cellStyle name="Normal 5 2 3 2 2 2 10" xfId="19208" xr:uid="{4BDCB299-C8A7-4A54-845E-83B2F2742093}"/>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8F397921-C134-4400-911C-0991224C7A81}"/>
    <cellStyle name="Normal 5 2 3 2 2 2 2 2 2 2 2" xfId="35280" xr:uid="{991D0669-7F41-40CB-A730-9FF8900B4F25}"/>
    <cellStyle name="Normal 5 2 3 2 2 2 2 2 2 3" xfId="25983" xr:uid="{76231C09-5706-41E4-9B2D-5ABEC5EC3C57}"/>
    <cellStyle name="Normal 5 2 3 2 2 2 2 2 3" xfId="12467" xr:uid="{32AEAAC1-751E-4479-B796-763151C68906}"/>
    <cellStyle name="Normal 5 2 3 2 2 2 2 2 3 2" xfId="31063" xr:uid="{51D858CF-B4F7-46D0-B5FC-C243ABA273E7}"/>
    <cellStyle name="Normal 5 2 3 2 2 2 2 2 4" xfId="21766" xr:uid="{D14CD524-B4FE-40B1-A340-AD88195B969F}"/>
    <cellStyle name="Normal 5 2 3 2 2 2 2 3" xfId="5213" xr:uid="{00000000-0005-0000-0000-00003A180000}"/>
    <cellStyle name="Normal 5 2 3 2 2 2 2 3 2" xfId="14539" xr:uid="{CF0B7FD6-8ECC-478A-8008-1ACA1A91985E}"/>
    <cellStyle name="Normal 5 2 3 2 2 2 2 3 2 2" xfId="33135" xr:uid="{4A2317BA-C3AA-4ED8-9A73-B21329E47D39}"/>
    <cellStyle name="Normal 5 2 3 2 2 2 2 3 3" xfId="23838" xr:uid="{B47780E3-3855-4584-9EE5-D6D2E49080ED}"/>
    <cellStyle name="Normal 5 2 3 2 2 2 2 4" xfId="9565" xr:uid="{B33C5ECB-02D9-4BAF-B467-F38E8EEB7F6E}"/>
    <cellStyle name="Normal 5 2 3 2 2 2 2 4 2" xfId="18880" xr:uid="{7B4E185A-E0DB-4CE1-A757-668C42D08854}"/>
    <cellStyle name="Normal 5 2 3 2 2 2 2 4 2 2" xfId="37474" xr:uid="{09B41E63-5605-4815-B7C1-785785C3D438}"/>
    <cellStyle name="Normal 5 2 3 2 2 2 2 4 3" xfId="28177" xr:uid="{14D10ACB-27D7-4948-86F5-9E039FF97D4A}"/>
    <cellStyle name="Normal 5 2 3 2 2 2 2 5" xfId="10322" xr:uid="{BEFF2594-2CDA-41B5-9FD7-2DC50FF5ADF3}"/>
    <cellStyle name="Normal 5 2 3 2 2 2 2 5 2" xfId="28918" xr:uid="{8431D805-2D1A-45DF-B0AD-236EEC02D799}"/>
    <cellStyle name="Normal 5 2 3 2 2 2 2 6" xfId="19621" xr:uid="{638B3A94-54BC-46DA-96E1-17A356AE62FB}"/>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B5B9CE80-0C84-438B-B019-33FBB8183319}"/>
    <cellStyle name="Normal 5 2 3 2 2 2 3 2 2 2 2" xfId="35693" xr:uid="{171717DF-4B56-46C8-BFBB-DC6BD38CC7CF}"/>
    <cellStyle name="Normal 5 2 3 2 2 2 3 2 2 3" xfId="26396" xr:uid="{59DB473E-C53D-4C42-9136-F6B8EFA45F4A}"/>
    <cellStyle name="Normal 5 2 3 2 2 2 3 2 3" xfId="12880" xr:uid="{7213B570-57A8-48D8-8C08-BD340DA582DF}"/>
    <cellStyle name="Normal 5 2 3 2 2 2 3 2 3 2" xfId="31476" xr:uid="{0A1DDD8C-C9B7-4C12-85BB-1FB376904CB5}"/>
    <cellStyle name="Normal 5 2 3 2 2 2 3 2 4" xfId="22179" xr:uid="{A50514F5-FEDD-4AF1-94D7-7882E5DACFA8}"/>
    <cellStyle name="Normal 5 2 3 2 2 2 3 3" xfId="5626" xr:uid="{00000000-0005-0000-0000-00003E180000}"/>
    <cellStyle name="Normal 5 2 3 2 2 2 3 3 2" xfId="14952" xr:uid="{D2557B0D-0D8F-437E-B876-68FFD99280C1}"/>
    <cellStyle name="Normal 5 2 3 2 2 2 3 3 2 2" xfId="33548" xr:uid="{00C42367-7471-4EBE-9441-D55385243EA3}"/>
    <cellStyle name="Normal 5 2 3 2 2 2 3 3 3" xfId="24251" xr:uid="{4A270E3A-AE87-4B8A-9932-C3F1DDE5575F}"/>
    <cellStyle name="Normal 5 2 3 2 2 2 3 4" xfId="10735" xr:uid="{06CDAD63-C1A7-4E5F-B306-53391C8A96DA}"/>
    <cellStyle name="Normal 5 2 3 2 2 2 3 4 2" xfId="29331" xr:uid="{DA9F34F6-2BF1-4F0E-8E76-00DDC231D4D3}"/>
    <cellStyle name="Normal 5 2 3 2 2 2 3 5" xfId="20034" xr:uid="{E9C8573E-D418-46EE-B62C-0DC0A60BC916}"/>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AC80FD28-0456-4AB8-84FC-C4F58B8D201D}"/>
    <cellStyle name="Normal 5 2 3 2 2 2 4 2 2 2 2" xfId="36106" xr:uid="{52CE3722-0DA8-4EBE-9BBD-C71905AD94CF}"/>
    <cellStyle name="Normal 5 2 3 2 2 2 4 2 2 3" xfId="26809" xr:uid="{FDBB2AC1-35D9-4057-90E6-85CC71BEEDBD}"/>
    <cellStyle name="Normal 5 2 3 2 2 2 4 2 3" xfId="13293" xr:uid="{4022079A-2293-45CE-8E3D-3053A1D3B644}"/>
    <cellStyle name="Normal 5 2 3 2 2 2 4 2 3 2" xfId="31889" xr:uid="{2349D74D-F1AA-4F04-9185-DFE2440A6566}"/>
    <cellStyle name="Normal 5 2 3 2 2 2 4 2 4" xfId="22592" xr:uid="{F8DC43C3-5C53-4033-972C-E6F1A8476D67}"/>
    <cellStyle name="Normal 5 2 3 2 2 2 4 3" xfId="6039" xr:uid="{00000000-0005-0000-0000-000042180000}"/>
    <cellStyle name="Normal 5 2 3 2 2 2 4 3 2" xfId="15365" xr:uid="{E2859566-4547-411A-8CD6-F548B4059A7A}"/>
    <cellStyle name="Normal 5 2 3 2 2 2 4 3 2 2" xfId="33961" xr:uid="{9A8B648E-CB25-439D-8184-7F49C230549E}"/>
    <cellStyle name="Normal 5 2 3 2 2 2 4 3 3" xfId="24664" xr:uid="{9D139BC3-1920-41DF-824D-496D2FF5EEC9}"/>
    <cellStyle name="Normal 5 2 3 2 2 2 4 4" xfId="11148" xr:uid="{F7B36558-86C3-4BA1-9D0E-38E5713ADB3E}"/>
    <cellStyle name="Normal 5 2 3 2 2 2 4 4 2" xfId="29744" xr:uid="{15E2B7E9-412B-4AEF-9F28-1C0CD9598C27}"/>
    <cellStyle name="Normal 5 2 3 2 2 2 4 5" xfId="20447" xr:uid="{BA514F2C-F056-4208-804A-BBA283C18283}"/>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58F85D2C-1A7C-419C-AB89-29A2115B370C}"/>
    <cellStyle name="Normal 5 2 3 2 2 2 5 2 2 2 2" xfId="36519" xr:uid="{0F27118C-6F73-48BD-B232-CAB067E36DFB}"/>
    <cellStyle name="Normal 5 2 3 2 2 2 5 2 2 3" xfId="27222" xr:uid="{E53B3DB6-F2AD-4FEA-B46B-52C666E6D37E}"/>
    <cellStyle name="Normal 5 2 3 2 2 2 5 2 3" xfId="13706" xr:uid="{AD22D8A2-2D36-48D5-845E-E65E9AA3F386}"/>
    <cellStyle name="Normal 5 2 3 2 2 2 5 2 3 2" xfId="32302" xr:uid="{480E3A63-CDDC-4366-8B83-2FCC9213707A}"/>
    <cellStyle name="Normal 5 2 3 2 2 2 5 2 4" xfId="23005" xr:uid="{611DB4E8-ED37-4877-B786-75F4D76C592E}"/>
    <cellStyle name="Normal 5 2 3 2 2 2 5 3" xfId="6452" xr:uid="{00000000-0005-0000-0000-000046180000}"/>
    <cellStyle name="Normal 5 2 3 2 2 2 5 3 2" xfId="15778" xr:uid="{2EECD3EA-F6F0-44DC-8706-AD790F899232}"/>
    <cellStyle name="Normal 5 2 3 2 2 2 5 3 2 2" xfId="34374" xr:uid="{2DE6338A-31A2-4356-866A-100D32EF6C70}"/>
    <cellStyle name="Normal 5 2 3 2 2 2 5 3 3" xfId="25077" xr:uid="{FDF0FFC9-FECB-45A9-9611-1B9444246816}"/>
    <cellStyle name="Normal 5 2 3 2 2 2 5 4" xfId="11561" xr:uid="{43917AEF-9D34-4135-BF16-C943A72A4AF8}"/>
    <cellStyle name="Normal 5 2 3 2 2 2 5 4 2" xfId="30157" xr:uid="{D131D1C4-D88B-45BA-A470-09AC2B657A44}"/>
    <cellStyle name="Normal 5 2 3 2 2 2 5 5" xfId="20860" xr:uid="{435B1E85-ECE2-4323-A7CD-1E444393C927}"/>
    <cellStyle name="Normal 5 2 3 2 2 2 6" xfId="2582" xr:uid="{00000000-0005-0000-0000-000047180000}"/>
    <cellStyle name="Normal 5 2 3 2 2 2 6 2" xfId="6865" xr:uid="{00000000-0005-0000-0000-000048180000}"/>
    <cellStyle name="Normal 5 2 3 2 2 2 6 2 2" xfId="16191" xr:uid="{A7CC55EB-80C7-4135-98A5-309BF776B932}"/>
    <cellStyle name="Normal 5 2 3 2 2 2 6 2 2 2" xfId="34787" xr:uid="{5486EEAA-FB72-4BA3-A62B-4E92798119DE}"/>
    <cellStyle name="Normal 5 2 3 2 2 2 6 2 3" xfId="25490" xr:uid="{BFD070BF-5249-432A-91A9-147FAF3653EB}"/>
    <cellStyle name="Normal 5 2 3 2 2 2 6 3" xfId="11974" xr:uid="{ED6B35EE-7223-4E20-A832-A49EC53D6770}"/>
    <cellStyle name="Normal 5 2 3 2 2 2 6 3 2" xfId="30570" xr:uid="{08093B4A-A257-411C-B2A0-9424D5A70EBB}"/>
    <cellStyle name="Normal 5 2 3 2 2 2 6 4" xfId="21273" xr:uid="{D28CE5B1-EEBD-4673-9A1E-4AD5FE82456A}"/>
    <cellStyle name="Normal 5 2 3 2 2 2 7" xfId="4800" xr:uid="{00000000-0005-0000-0000-000049180000}"/>
    <cellStyle name="Normal 5 2 3 2 2 2 7 2" xfId="14126" xr:uid="{A6A8E69E-7382-4BEB-AA25-861DA3B193C0}"/>
    <cellStyle name="Normal 5 2 3 2 2 2 7 2 2" xfId="32722" xr:uid="{62FE0E8E-E2B6-4923-82E0-ADDFCA1C02A8}"/>
    <cellStyle name="Normal 5 2 3 2 2 2 7 3" xfId="23425" xr:uid="{3431F0BA-B0BE-4874-AC39-8B08776E17D9}"/>
    <cellStyle name="Normal 5 2 3 2 2 2 8" xfId="9140" xr:uid="{175A16DB-BA54-4083-AB68-1FA46DB27A86}"/>
    <cellStyle name="Normal 5 2 3 2 2 2 8 2" xfId="18464" xr:uid="{4006D273-50BF-4275-AFA8-335F31E48EFE}"/>
    <cellStyle name="Normal 5 2 3 2 2 2 8 2 2" xfId="37059" xr:uid="{57CD632C-74FC-4121-87B9-23C7FE3BB450}"/>
    <cellStyle name="Normal 5 2 3 2 2 2 8 3" xfId="27762" xr:uid="{491B4206-5516-4D9E-B12B-F9A859F8F3EE}"/>
    <cellStyle name="Normal 5 2 3 2 2 2 9" xfId="9909" xr:uid="{FB18FE38-0904-4553-80D3-8DDEE254DE4A}"/>
    <cellStyle name="Normal 5 2 3 2 2 2 9 2" xfId="28505" xr:uid="{E874BE49-BF9D-4347-8BD8-7A35B1A8059F}"/>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2ECA9644-C7ED-47AF-BB9A-3CC474A2F7DC}"/>
    <cellStyle name="Normal 5 2 3 2 2 3 2 2 2 2" xfId="35279" xr:uid="{895125ED-2A85-424C-9B0F-5E42801D5DD5}"/>
    <cellStyle name="Normal 5 2 3 2 2 3 2 2 3" xfId="25982" xr:uid="{C0C29B6A-F6B0-4C05-A0F7-1C6C2BA3E1B1}"/>
    <cellStyle name="Normal 5 2 3 2 2 3 2 3" xfId="12466" xr:uid="{100FD2EF-5249-4329-B33F-7D270EED6796}"/>
    <cellStyle name="Normal 5 2 3 2 2 3 2 3 2" xfId="31062" xr:uid="{2091ABBD-290F-4568-A85F-088ACB4BD698}"/>
    <cellStyle name="Normal 5 2 3 2 2 3 2 4" xfId="21765" xr:uid="{FC38533A-4D5C-4B48-9DB9-7267C91AB149}"/>
    <cellStyle name="Normal 5 2 3 2 2 3 3" xfId="5212" xr:uid="{00000000-0005-0000-0000-00004D180000}"/>
    <cellStyle name="Normal 5 2 3 2 2 3 3 2" xfId="14538" xr:uid="{5DB18090-D601-4E87-981E-3B9B80F5EA86}"/>
    <cellStyle name="Normal 5 2 3 2 2 3 3 2 2" xfId="33134" xr:uid="{CB41F42C-6DB3-4110-8BBB-2027A4858388}"/>
    <cellStyle name="Normal 5 2 3 2 2 3 3 3" xfId="23837" xr:uid="{14CE900B-C13C-4A14-884C-02B6A236FB5A}"/>
    <cellStyle name="Normal 5 2 3 2 2 3 4" xfId="9358" xr:uid="{5B196E7D-8DD9-4C59-A83C-7626B0E60040}"/>
    <cellStyle name="Normal 5 2 3 2 2 3 4 2" xfId="18673" xr:uid="{D16752D2-3D81-4400-8806-8377AECE2C3D}"/>
    <cellStyle name="Normal 5 2 3 2 2 3 4 2 2" xfId="37267" xr:uid="{A11AFF86-0B7D-446C-A623-D18C8FDF0596}"/>
    <cellStyle name="Normal 5 2 3 2 2 3 4 3" xfId="27970" xr:uid="{A270AA98-D0FF-438C-9ACA-3EE683F2D9B9}"/>
    <cellStyle name="Normal 5 2 3 2 2 3 5" xfId="10321" xr:uid="{0DF2876D-EDD8-452F-9337-50C0422EE206}"/>
    <cellStyle name="Normal 5 2 3 2 2 3 5 2" xfId="28917" xr:uid="{D4963618-9EC6-4037-94A1-2AE5EA616393}"/>
    <cellStyle name="Normal 5 2 3 2 2 3 6" xfId="19620" xr:uid="{4B181E21-A2D9-4DCD-9A71-A1A40DE65031}"/>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4DD2A1D8-0A8A-4701-BAA3-E99390ACFDF2}"/>
    <cellStyle name="Normal 5 2 3 2 2 4 2 2 2 2" xfId="35692" xr:uid="{8DF90DD6-BD32-40C0-952C-FE5373B34162}"/>
    <cellStyle name="Normal 5 2 3 2 2 4 2 2 3" xfId="26395" xr:uid="{93491B26-1004-4C80-B5A0-71F4F1E4F1FF}"/>
    <cellStyle name="Normal 5 2 3 2 2 4 2 3" xfId="12879" xr:uid="{3BAB2D21-D041-4841-954A-BA7F67D6884C}"/>
    <cellStyle name="Normal 5 2 3 2 2 4 2 3 2" xfId="31475" xr:uid="{CBEEEE1B-4B05-46C6-B4A6-88E82626E85F}"/>
    <cellStyle name="Normal 5 2 3 2 2 4 2 4" xfId="22178" xr:uid="{34794C84-1894-4EA2-9D0A-03880C37FCD0}"/>
    <cellStyle name="Normal 5 2 3 2 2 4 3" xfId="5625" xr:uid="{00000000-0005-0000-0000-000051180000}"/>
    <cellStyle name="Normal 5 2 3 2 2 4 3 2" xfId="14951" xr:uid="{82E829C9-262F-4B5A-AC1B-84EB85E938A9}"/>
    <cellStyle name="Normal 5 2 3 2 2 4 3 2 2" xfId="33547" xr:uid="{2AF9282F-D269-447F-A865-B5FAC2493223}"/>
    <cellStyle name="Normal 5 2 3 2 2 4 3 3" xfId="24250" xr:uid="{2FC3F74E-9806-44C9-BDC5-8DFA15776F7C}"/>
    <cellStyle name="Normal 5 2 3 2 2 4 4" xfId="10734" xr:uid="{46AB2CEC-3B06-424A-989F-0BF48279FA7B}"/>
    <cellStyle name="Normal 5 2 3 2 2 4 4 2" xfId="29330" xr:uid="{02F1CE0E-ED60-416F-8F98-21DD04AA7E10}"/>
    <cellStyle name="Normal 5 2 3 2 2 4 5" xfId="20033" xr:uid="{947C37C6-598D-4243-8B9F-6A015C562955}"/>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A18EF39B-EFDF-46C3-B842-2128358ECF12}"/>
    <cellStyle name="Normal 5 2 3 2 2 5 2 2 2 2" xfId="36105" xr:uid="{E9DF17C5-C484-49AD-95F2-C0936D33E774}"/>
    <cellStyle name="Normal 5 2 3 2 2 5 2 2 3" xfId="26808" xr:uid="{823B26C8-6329-4605-A7AC-15D515A17D62}"/>
    <cellStyle name="Normal 5 2 3 2 2 5 2 3" xfId="13292" xr:uid="{373868F5-4F73-4849-842A-63F84BABFDB3}"/>
    <cellStyle name="Normal 5 2 3 2 2 5 2 3 2" xfId="31888" xr:uid="{4073D9EE-0501-48FA-AB40-4D21F8FFC60C}"/>
    <cellStyle name="Normal 5 2 3 2 2 5 2 4" xfId="22591" xr:uid="{8396EBAE-EA4A-412A-BEE1-29053B72C331}"/>
    <cellStyle name="Normal 5 2 3 2 2 5 3" xfId="6038" xr:uid="{00000000-0005-0000-0000-000055180000}"/>
    <cellStyle name="Normal 5 2 3 2 2 5 3 2" xfId="15364" xr:uid="{FBA24198-EBDB-4136-931A-4B31D175F5F1}"/>
    <cellStyle name="Normal 5 2 3 2 2 5 3 2 2" xfId="33960" xr:uid="{B7452B6C-4D01-4F62-83BA-211F34621971}"/>
    <cellStyle name="Normal 5 2 3 2 2 5 3 3" xfId="24663" xr:uid="{EE50423C-1CEE-444A-A6FC-40E304D8F0BE}"/>
    <cellStyle name="Normal 5 2 3 2 2 5 4" xfId="11147" xr:uid="{CA8119D3-CE0A-4B91-B805-E54E7998132B}"/>
    <cellStyle name="Normal 5 2 3 2 2 5 4 2" xfId="29743" xr:uid="{9276D221-B851-462B-96F9-AC706AF41205}"/>
    <cellStyle name="Normal 5 2 3 2 2 5 5" xfId="20446" xr:uid="{EA834E68-9D5D-4669-ABDB-462C433FFF09}"/>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8BA732AD-5985-473E-807F-4D098887E87A}"/>
    <cellStyle name="Normal 5 2 3 2 2 6 2 2 2 2" xfId="36518" xr:uid="{280C7FB0-E83F-477C-A436-C11158A55FF5}"/>
    <cellStyle name="Normal 5 2 3 2 2 6 2 2 3" xfId="27221" xr:uid="{66247F15-A879-4EC5-BE16-1871F6BD954D}"/>
    <cellStyle name="Normal 5 2 3 2 2 6 2 3" xfId="13705" xr:uid="{0135958C-D872-4EEB-A699-EBCB522DD116}"/>
    <cellStyle name="Normal 5 2 3 2 2 6 2 3 2" xfId="32301" xr:uid="{AE2D72BB-821A-4D29-8637-32970AD36AA6}"/>
    <cellStyle name="Normal 5 2 3 2 2 6 2 4" xfId="23004" xr:uid="{9866B34B-229F-4A2B-A077-0E1D10C75B33}"/>
    <cellStyle name="Normal 5 2 3 2 2 6 3" xfId="6451" xr:uid="{00000000-0005-0000-0000-000059180000}"/>
    <cellStyle name="Normal 5 2 3 2 2 6 3 2" xfId="15777" xr:uid="{29B50DA2-EC09-4C44-A74A-7F1E1411D666}"/>
    <cellStyle name="Normal 5 2 3 2 2 6 3 2 2" xfId="34373" xr:uid="{5DD51ECD-31B8-4075-AE37-7A8522703065}"/>
    <cellStyle name="Normal 5 2 3 2 2 6 3 3" xfId="25076" xr:uid="{A72795F1-F933-4F76-98F2-DFBDABE9B601}"/>
    <cellStyle name="Normal 5 2 3 2 2 6 4" xfId="11560" xr:uid="{7CE1E5A1-39CE-477A-994C-3BA0434D15EB}"/>
    <cellStyle name="Normal 5 2 3 2 2 6 4 2" xfId="30156" xr:uid="{F298C1BD-28F0-44AB-AA6D-956B502FFCF7}"/>
    <cellStyle name="Normal 5 2 3 2 2 6 5" xfId="20859" xr:uid="{2A0665C3-615C-4390-A060-CD11A5E5585A}"/>
    <cellStyle name="Normal 5 2 3 2 2 7" xfId="2581" xr:uid="{00000000-0005-0000-0000-00005A180000}"/>
    <cellStyle name="Normal 5 2 3 2 2 7 2" xfId="6864" xr:uid="{00000000-0005-0000-0000-00005B180000}"/>
    <cellStyle name="Normal 5 2 3 2 2 7 2 2" xfId="16190" xr:uid="{5FC1E321-5204-4E8A-A3F3-B30F878D7B86}"/>
    <cellStyle name="Normal 5 2 3 2 2 7 2 2 2" xfId="34786" xr:uid="{8AC727D4-3873-4E0B-BB1A-D3E808DEA443}"/>
    <cellStyle name="Normal 5 2 3 2 2 7 2 3" xfId="25489" xr:uid="{7F9B729D-2C24-4E9E-AC07-7C7E9B7111D5}"/>
    <cellStyle name="Normal 5 2 3 2 2 7 3" xfId="11973" xr:uid="{C4FA3E6D-129E-4BDB-9A1F-1CCBC60B81F2}"/>
    <cellStyle name="Normal 5 2 3 2 2 7 3 2" xfId="30569" xr:uid="{2D7AD531-EE03-4C62-9632-54174BF3891C}"/>
    <cellStyle name="Normal 5 2 3 2 2 7 4" xfId="21272" xr:uid="{CC029502-D065-4ED6-8BEA-AEA8820963C7}"/>
    <cellStyle name="Normal 5 2 3 2 2 8" xfId="4799" xr:uid="{00000000-0005-0000-0000-00005C180000}"/>
    <cellStyle name="Normal 5 2 3 2 2 8 2" xfId="14125" xr:uid="{783CEBFF-2295-4A60-951B-382939057E53}"/>
    <cellStyle name="Normal 5 2 3 2 2 8 2 2" xfId="32721" xr:uid="{F91756B3-8CC0-4D75-81B5-C0B165248651}"/>
    <cellStyle name="Normal 5 2 3 2 2 8 3" xfId="23424" xr:uid="{3D8ABB6C-6FBF-47E9-BA74-E1EFEFFF88EC}"/>
    <cellStyle name="Normal 5 2 3 2 2 9" xfId="8933" xr:uid="{2228AC18-CB51-4AF4-A227-403A8409C6C2}"/>
    <cellStyle name="Normal 5 2 3 2 2 9 2" xfId="18257" xr:uid="{C40DCF98-3DED-47A7-A69C-FBF00DF4E9EF}"/>
    <cellStyle name="Normal 5 2 3 2 2 9 2 2" xfId="36852" xr:uid="{56FE8F52-E811-4CE1-A0E0-3BE6040C75A1}"/>
    <cellStyle name="Normal 5 2 3 2 2 9 3" xfId="27555" xr:uid="{233A6BE5-CEC6-43FC-AC53-D658D183B975}"/>
    <cellStyle name="Normal 5 2 3 2 3" xfId="428" xr:uid="{00000000-0005-0000-0000-00005D180000}"/>
    <cellStyle name="Normal 5 2 3 2 3 10" xfId="19209" xr:uid="{AF7A63FF-50D3-4732-99C2-2F35DC89025B}"/>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EC93E678-5F74-447F-B185-0774596F9255}"/>
    <cellStyle name="Normal 5 2 3 2 3 2 2 2 2 2" xfId="35281" xr:uid="{20E50BE0-C274-4D7C-B709-A6871104CFFD}"/>
    <cellStyle name="Normal 5 2 3 2 3 2 2 2 3" xfId="25984" xr:uid="{AD756903-FC17-4AAE-BAA2-7A55D5735040}"/>
    <cellStyle name="Normal 5 2 3 2 3 2 2 3" xfId="12468" xr:uid="{A5BF6983-570F-4CB8-AE06-AB109314F158}"/>
    <cellStyle name="Normal 5 2 3 2 3 2 2 3 2" xfId="31064" xr:uid="{D9916ACF-3DEC-4F27-96C0-83663F86ABF5}"/>
    <cellStyle name="Normal 5 2 3 2 3 2 2 4" xfId="21767" xr:uid="{253B4DA8-58EE-4AE0-AEA3-DA5832CA93B8}"/>
    <cellStyle name="Normal 5 2 3 2 3 2 3" xfId="5214" xr:uid="{00000000-0005-0000-0000-000061180000}"/>
    <cellStyle name="Normal 5 2 3 2 3 2 3 2" xfId="14540" xr:uid="{B86CC729-7817-42FA-95EC-CBF6F18C38DD}"/>
    <cellStyle name="Normal 5 2 3 2 3 2 3 2 2" xfId="33136" xr:uid="{A2C8B487-8FD0-413E-8A3F-4CED7C2EBEEA}"/>
    <cellStyle name="Normal 5 2 3 2 3 2 3 3" xfId="23839" xr:uid="{EB2E508B-31A2-46FB-B842-45C690FC8B86}"/>
    <cellStyle name="Normal 5 2 3 2 3 2 4" xfId="9462" xr:uid="{B4C14F1A-A88A-428F-A7F8-BAFD7E5CD045}"/>
    <cellStyle name="Normal 5 2 3 2 3 2 4 2" xfId="18777" xr:uid="{B1E92AA8-3919-4BDB-90B3-3F644135FC47}"/>
    <cellStyle name="Normal 5 2 3 2 3 2 4 2 2" xfId="37371" xr:uid="{87F78484-C82A-4E2C-BD68-CD1A58A21076}"/>
    <cellStyle name="Normal 5 2 3 2 3 2 4 3" xfId="28074" xr:uid="{FF8D175A-4E72-4018-A5E3-59F4EE3EC0C2}"/>
    <cellStyle name="Normal 5 2 3 2 3 2 5" xfId="10323" xr:uid="{92A44577-1F50-4781-8D08-2F485F8908E0}"/>
    <cellStyle name="Normal 5 2 3 2 3 2 5 2" xfId="28919" xr:uid="{89DE957D-51EB-4E1B-A90C-BF95F1F0255D}"/>
    <cellStyle name="Normal 5 2 3 2 3 2 6" xfId="19622" xr:uid="{6B29199C-6089-4187-B576-AC9439616B6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9F6C0C6A-A37C-41E5-8B65-CB4EF447C5A1}"/>
    <cellStyle name="Normal 5 2 3 2 3 3 2 2 2 2" xfId="35694" xr:uid="{25BF4C1D-9BB0-49B0-BBAA-85B2A8662D9F}"/>
    <cellStyle name="Normal 5 2 3 2 3 3 2 2 3" xfId="26397" xr:uid="{7E5B7F52-48C0-4331-B930-B33E626E90AF}"/>
    <cellStyle name="Normal 5 2 3 2 3 3 2 3" xfId="12881" xr:uid="{19734396-4C22-4120-A841-AC4214AF016E}"/>
    <cellStyle name="Normal 5 2 3 2 3 3 2 3 2" xfId="31477" xr:uid="{4BA3B179-52A9-4268-9E73-6E79B4EB266E}"/>
    <cellStyle name="Normal 5 2 3 2 3 3 2 4" xfId="22180" xr:uid="{54F0AC5F-7B7A-4B49-9593-C26DBA3BC11A}"/>
    <cellStyle name="Normal 5 2 3 2 3 3 3" xfId="5627" xr:uid="{00000000-0005-0000-0000-000065180000}"/>
    <cellStyle name="Normal 5 2 3 2 3 3 3 2" xfId="14953" xr:uid="{BD0C8635-85B5-4E88-B0B0-A8F327D4B59B}"/>
    <cellStyle name="Normal 5 2 3 2 3 3 3 2 2" xfId="33549" xr:uid="{C2A9ACCC-DCA0-4DD7-9494-1589445EEC5A}"/>
    <cellStyle name="Normal 5 2 3 2 3 3 3 3" xfId="24252" xr:uid="{CBB7044D-8B92-4A1E-960E-B52504038F60}"/>
    <cellStyle name="Normal 5 2 3 2 3 3 4" xfId="10736" xr:uid="{F5D8CB80-5451-4054-ADE3-7E0965BDB8FD}"/>
    <cellStyle name="Normal 5 2 3 2 3 3 4 2" xfId="29332" xr:uid="{3E6E83FF-51C1-4A96-89D7-2A221D0D9A27}"/>
    <cellStyle name="Normal 5 2 3 2 3 3 5" xfId="20035" xr:uid="{EEA0A875-3FD8-4010-867F-B474BAA0B5BF}"/>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753A948D-525B-44D8-8BE7-3A1641D0BBCF}"/>
    <cellStyle name="Normal 5 2 3 2 3 4 2 2 2 2" xfId="36107" xr:uid="{A9F55FC9-A70B-4D9F-B242-022208B5CB99}"/>
    <cellStyle name="Normal 5 2 3 2 3 4 2 2 3" xfId="26810" xr:uid="{A34088F0-4200-49CD-8031-6991D6147CCD}"/>
    <cellStyle name="Normal 5 2 3 2 3 4 2 3" xfId="13294" xr:uid="{131DF110-8445-4D6A-A223-922EB840DB2A}"/>
    <cellStyle name="Normal 5 2 3 2 3 4 2 3 2" xfId="31890" xr:uid="{A6365803-761D-4722-8BF4-4581BC7339E1}"/>
    <cellStyle name="Normal 5 2 3 2 3 4 2 4" xfId="22593" xr:uid="{5CCDA757-5F86-42A0-81E2-F08991296C87}"/>
    <cellStyle name="Normal 5 2 3 2 3 4 3" xfId="6040" xr:uid="{00000000-0005-0000-0000-000069180000}"/>
    <cellStyle name="Normal 5 2 3 2 3 4 3 2" xfId="15366" xr:uid="{07C2C8F3-516C-4918-9403-CFBCC047C484}"/>
    <cellStyle name="Normal 5 2 3 2 3 4 3 2 2" xfId="33962" xr:uid="{314B15EE-3BAD-45C1-B811-F81031585E56}"/>
    <cellStyle name="Normal 5 2 3 2 3 4 3 3" xfId="24665" xr:uid="{617EB50F-9987-4509-A8A3-69DF5CF515F3}"/>
    <cellStyle name="Normal 5 2 3 2 3 4 4" xfId="11149" xr:uid="{64378102-25FF-4208-9D3B-0B5CB27D80C1}"/>
    <cellStyle name="Normal 5 2 3 2 3 4 4 2" xfId="29745" xr:uid="{F0252064-BE37-46E2-B88E-818F61656C55}"/>
    <cellStyle name="Normal 5 2 3 2 3 4 5" xfId="20448" xr:uid="{5D90AFEC-C89A-4DCE-ABD0-1B2961C2437D}"/>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6076CBF0-167C-4781-839F-765061D1B5A4}"/>
    <cellStyle name="Normal 5 2 3 2 3 5 2 2 2 2" xfId="36520" xr:uid="{5345CA61-4798-46B1-9A42-19E3FA0A217B}"/>
    <cellStyle name="Normal 5 2 3 2 3 5 2 2 3" xfId="27223" xr:uid="{C62FA1D7-8E07-417F-8B82-C30FDDEA211C}"/>
    <cellStyle name="Normal 5 2 3 2 3 5 2 3" xfId="13707" xr:uid="{5074F994-BDDD-4DF1-B1BF-3D00EC7C6154}"/>
    <cellStyle name="Normal 5 2 3 2 3 5 2 3 2" xfId="32303" xr:uid="{F17591A4-763D-4815-9600-68FB860D3C4C}"/>
    <cellStyle name="Normal 5 2 3 2 3 5 2 4" xfId="23006" xr:uid="{63E7A62E-8FCD-4B15-AF27-D5F90A0E95AE}"/>
    <cellStyle name="Normal 5 2 3 2 3 5 3" xfId="6453" xr:uid="{00000000-0005-0000-0000-00006D180000}"/>
    <cellStyle name="Normal 5 2 3 2 3 5 3 2" xfId="15779" xr:uid="{3A823952-89EC-4F38-A416-567FCF24464B}"/>
    <cellStyle name="Normal 5 2 3 2 3 5 3 2 2" xfId="34375" xr:uid="{EF1FF53E-D305-412B-89AB-97E1ABAD7AD3}"/>
    <cellStyle name="Normal 5 2 3 2 3 5 3 3" xfId="25078" xr:uid="{A4F0A334-F4D3-4119-8488-E76B15E28232}"/>
    <cellStyle name="Normal 5 2 3 2 3 5 4" xfId="11562" xr:uid="{C9C69EE5-2095-4AAE-A4D1-554372466ABB}"/>
    <cellStyle name="Normal 5 2 3 2 3 5 4 2" xfId="30158" xr:uid="{E09F5902-7D7A-4185-B3F1-C783B70AA022}"/>
    <cellStyle name="Normal 5 2 3 2 3 5 5" xfId="20861" xr:uid="{D7EB0594-D3CB-47BD-B96B-527DB6C6A3E7}"/>
    <cellStyle name="Normal 5 2 3 2 3 6" xfId="2583" xr:uid="{00000000-0005-0000-0000-00006E180000}"/>
    <cellStyle name="Normal 5 2 3 2 3 6 2" xfId="6866" xr:uid="{00000000-0005-0000-0000-00006F180000}"/>
    <cellStyle name="Normal 5 2 3 2 3 6 2 2" xfId="16192" xr:uid="{C1CB1444-8E6A-4AF5-9073-D622A9D9D155}"/>
    <cellStyle name="Normal 5 2 3 2 3 6 2 2 2" xfId="34788" xr:uid="{9312EBA1-956D-48C2-98FC-4D6D40CE7181}"/>
    <cellStyle name="Normal 5 2 3 2 3 6 2 3" xfId="25491" xr:uid="{28F93F5C-D5BE-4189-986B-E164E74FCBF0}"/>
    <cellStyle name="Normal 5 2 3 2 3 6 3" xfId="11975" xr:uid="{A79869CE-6095-4672-B66D-F1BA2EAEC549}"/>
    <cellStyle name="Normal 5 2 3 2 3 6 3 2" xfId="30571" xr:uid="{3E0B2AFE-0F95-427F-B7A8-A8D92FFF79AB}"/>
    <cellStyle name="Normal 5 2 3 2 3 6 4" xfId="21274" xr:uid="{26C62BAB-C27D-45C4-AE77-99493C4CD6EE}"/>
    <cellStyle name="Normal 5 2 3 2 3 7" xfId="4801" xr:uid="{00000000-0005-0000-0000-000070180000}"/>
    <cellStyle name="Normal 5 2 3 2 3 7 2" xfId="14127" xr:uid="{7BD8D804-D735-4E73-9583-21DC4FA316FF}"/>
    <cellStyle name="Normal 5 2 3 2 3 7 2 2" xfId="32723" xr:uid="{FE9DCDE7-F934-4A52-9180-CF1E2048AF9D}"/>
    <cellStyle name="Normal 5 2 3 2 3 7 3" xfId="23426" xr:uid="{66D10F04-62E9-4CC8-BD17-A38DD6C8A108}"/>
    <cellStyle name="Normal 5 2 3 2 3 8" xfId="9037" xr:uid="{EED46D7F-EFCD-4AC1-931D-AB06B694E7BE}"/>
    <cellStyle name="Normal 5 2 3 2 3 8 2" xfId="18361" xr:uid="{E0AF0618-1040-4221-98D2-BFBFAEF6FD6C}"/>
    <cellStyle name="Normal 5 2 3 2 3 8 2 2" xfId="36956" xr:uid="{F96F1914-B9A1-416B-9A46-A865C0F7C7DF}"/>
    <cellStyle name="Normal 5 2 3 2 3 8 3" xfId="27659" xr:uid="{154930FC-799F-4AB8-B65D-F4B0D2A648B6}"/>
    <cellStyle name="Normal 5 2 3 2 3 9" xfId="9910" xr:uid="{0F472652-DADC-4FDC-B397-CA644FAFA978}"/>
    <cellStyle name="Normal 5 2 3 2 3 9 2" xfId="28506" xr:uid="{B046ABE0-EED6-4EF3-AD54-84E03E9ABBB6}"/>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255C710C-11D4-4523-A196-125D1ED9B18A}"/>
    <cellStyle name="Normal 5 2 3 2 4 2 2 2 2" xfId="35278" xr:uid="{EEC35638-225E-4D34-A080-AC664052FB31}"/>
    <cellStyle name="Normal 5 2 3 2 4 2 2 3" xfId="25981" xr:uid="{632553E0-4D61-449A-A50D-1E9509244A28}"/>
    <cellStyle name="Normal 5 2 3 2 4 2 3" xfId="12465" xr:uid="{603E7024-3C3A-4F94-9FF7-AD6630C02526}"/>
    <cellStyle name="Normal 5 2 3 2 4 2 3 2" xfId="31061" xr:uid="{715EE21E-D2CC-4D84-8FB0-518D05FE42D2}"/>
    <cellStyle name="Normal 5 2 3 2 4 2 4" xfId="21764" xr:uid="{A9F9D2E1-5892-4DBC-A0B0-6E25F790EE28}"/>
    <cellStyle name="Normal 5 2 3 2 4 3" xfId="5211" xr:uid="{00000000-0005-0000-0000-000074180000}"/>
    <cellStyle name="Normal 5 2 3 2 4 3 2" xfId="14537" xr:uid="{B0CD8E43-9B54-4F8B-BF1D-6B0690DB9A6D}"/>
    <cellStyle name="Normal 5 2 3 2 4 3 2 2" xfId="33133" xr:uid="{CE541F55-D74B-46C1-B4E6-E891CA844FAE}"/>
    <cellStyle name="Normal 5 2 3 2 4 3 3" xfId="23836" xr:uid="{8345595C-8268-465F-9CE3-80573584447A}"/>
    <cellStyle name="Normal 5 2 3 2 4 4" xfId="9255" xr:uid="{C5A161BB-6C4F-4A9D-BBA7-7500B0B26A70}"/>
    <cellStyle name="Normal 5 2 3 2 4 4 2" xfId="18570" xr:uid="{B9847951-E200-4906-BDB4-132314CFE94F}"/>
    <cellStyle name="Normal 5 2 3 2 4 4 2 2" xfId="37164" xr:uid="{28E855FB-D09B-4B74-A24D-843FCB9BECED}"/>
    <cellStyle name="Normal 5 2 3 2 4 4 3" xfId="27867" xr:uid="{61CE939A-57D3-411F-9A45-900C16D60E4C}"/>
    <cellStyle name="Normal 5 2 3 2 4 5" xfId="10320" xr:uid="{9B9E8A16-1294-4C45-9DE2-BEE9BFDE10FC}"/>
    <cellStyle name="Normal 5 2 3 2 4 5 2" xfId="28916" xr:uid="{BBB01759-727D-41C6-A692-7EE105C7BF3C}"/>
    <cellStyle name="Normal 5 2 3 2 4 6" xfId="19619" xr:uid="{CE110FF0-CDEB-49A8-958A-494AD91DAE71}"/>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758C1308-60B3-4755-8F3D-F12CA6802F40}"/>
    <cellStyle name="Normal 5 2 3 2 5 2 2 2 2" xfId="35691" xr:uid="{141FD610-F1B4-4736-95E8-7AEB3547E24F}"/>
    <cellStyle name="Normal 5 2 3 2 5 2 2 3" xfId="26394" xr:uid="{24D683F3-36C2-4BCA-A4C7-D1D312E06416}"/>
    <cellStyle name="Normal 5 2 3 2 5 2 3" xfId="12878" xr:uid="{DD3A64C4-C766-4143-9287-44CAE1BAF06F}"/>
    <cellStyle name="Normal 5 2 3 2 5 2 3 2" xfId="31474" xr:uid="{4AE31174-730B-415D-AB27-B46A8A8D6A0F}"/>
    <cellStyle name="Normal 5 2 3 2 5 2 4" xfId="22177" xr:uid="{53E0F101-C80D-40CA-960C-C37C29BEE3A7}"/>
    <cellStyle name="Normal 5 2 3 2 5 3" xfId="5624" xr:uid="{00000000-0005-0000-0000-000078180000}"/>
    <cellStyle name="Normal 5 2 3 2 5 3 2" xfId="14950" xr:uid="{4BA4D763-6F02-45AC-A066-26F5285C0439}"/>
    <cellStyle name="Normal 5 2 3 2 5 3 2 2" xfId="33546" xr:uid="{9C4892BF-DEE3-4E55-A1AE-4E5B3819EA8A}"/>
    <cellStyle name="Normal 5 2 3 2 5 3 3" xfId="24249" xr:uid="{60C60634-A066-4B62-9A51-07A027324D64}"/>
    <cellStyle name="Normal 5 2 3 2 5 4" xfId="10733" xr:uid="{D0CB659C-026A-48AD-8B01-729BE9207944}"/>
    <cellStyle name="Normal 5 2 3 2 5 4 2" xfId="29329" xr:uid="{28B52D5A-1BF5-42B4-B21C-53A14A2A485A}"/>
    <cellStyle name="Normal 5 2 3 2 5 5" xfId="20032" xr:uid="{2B78CE5F-1B2B-4ED7-B610-B424F6D3780F}"/>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C4957DAB-12EB-4963-B8DE-1FA8D7312412}"/>
    <cellStyle name="Normal 5 2 3 2 6 2 2 2 2" xfId="36104" xr:uid="{DF548611-41E3-4497-8B02-5D403AFDE059}"/>
    <cellStyle name="Normal 5 2 3 2 6 2 2 3" xfId="26807" xr:uid="{39DF4D0F-6605-4063-AAEF-AF2F61064FA5}"/>
    <cellStyle name="Normal 5 2 3 2 6 2 3" xfId="13291" xr:uid="{157577DA-E665-44BA-9011-4748CAFED51D}"/>
    <cellStyle name="Normal 5 2 3 2 6 2 3 2" xfId="31887" xr:uid="{9EB22161-BD37-4DF4-B6BA-8AA6587E2300}"/>
    <cellStyle name="Normal 5 2 3 2 6 2 4" xfId="22590" xr:uid="{C7A251B1-B7CC-4460-9E07-6D55D56CFBD4}"/>
    <cellStyle name="Normal 5 2 3 2 6 3" xfId="6037" xr:uid="{00000000-0005-0000-0000-00007C180000}"/>
    <cellStyle name="Normal 5 2 3 2 6 3 2" xfId="15363" xr:uid="{00ABE57E-5A6B-4DAA-B88F-6B41998F273E}"/>
    <cellStyle name="Normal 5 2 3 2 6 3 2 2" xfId="33959" xr:uid="{5F044F88-6D50-4366-BAD6-32BC035A8932}"/>
    <cellStyle name="Normal 5 2 3 2 6 3 3" xfId="24662" xr:uid="{6300E455-276E-4B01-9FC0-42C86DC54F7B}"/>
    <cellStyle name="Normal 5 2 3 2 6 4" xfId="11146" xr:uid="{06DA1156-D570-49E1-BA13-9B67D88A86B1}"/>
    <cellStyle name="Normal 5 2 3 2 6 4 2" xfId="29742" xr:uid="{1D0F72E3-8374-496C-BF49-DE6C2DA92F8D}"/>
    <cellStyle name="Normal 5 2 3 2 6 5" xfId="20445" xr:uid="{86FDE5EE-6067-482D-A33E-924D49186472}"/>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E0213D68-88C5-4B5C-92AB-5FAB1731A52F}"/>
    <cellStyle name="Normal 5 2 3 2 7 2 2 2 2" xfId="36517" xr:uid="{473BE0A1-4607-4E6C-98D7-BE17DE72665F}"/>
    <cellStyle name="Normal 5 2 3 2 7 2 2 3" xfId="27220" xr:uid="{F9451FA8-FD80-4F12-9B19-8724C99DEDA6}"/>
    <cellStyle name="Normal 5 2 3 2 7 2 3" xfId="13704" xr:uid="{DAD13312-C560-4F5B-A079-AE7537177A13}"/>
    <cellStyle name="Normal 5 2 3 2 7 2 3 2" xfId="32300" xr:uid="{CB3DBF42-AA99-4131-895A-FD1A981E96D8}"/>
    <cellStyle name="Normal 5 2 3 2 7 2 4" xfId="23003" xr:uid="{3E78984D-86CB-49A3-A510-8A009C72B7DA}"/>
    <cellStyle name="Normal 5 2 3 2 7 3" xfId="6450" xr:uid="{00000000-0005-0000-0000-000080180000}"/>
    <cellStyle name="Normal 5 2 3 2 7 3 2" xfId="15776" xr:uid="{0736A3A3-4656-410E-ADE8-F0E8E811FD50}"/>
    <cellStyle name="Normal 5 2 3 2 7 3 2 2" xfId="34372" xr:uid="{C3A18284-A038-432E-96E8-4F84BD5EDF4A}"/>
    <cellStyle name="Normal 5 2 3 2 7 3 3" xfId="25075" xr:uid="{7C78B621-384E-4C82-9C45-8E4301C06A8A}"/>
    <cellStyle name="Normal 5 2 3 2 7 4" xfId="11559" xr:uid="{B0CA2984-A017-49C3-B53F-E313FC4987AD}"/>
    <cellStyle name="Normal 5 2 3 2 7 4 2" xfId="30155" xr:uid="{68BDDD3F-0D5C-45ED-8D03-2FF9EFAA1ACB}"/>
    <cellStyle name="Normal 5 2 3 2 7 5" xfId="20858" xr:uid="{310D4D95-2FDA-42BE-9140-4498E2CDECF5}"/>
    <cellStyle name="Normal 5 2 3 2 8" xfId="2580" xr:uid="{00000000-0005-0000-0000-000081180000}"/>
    <cellStyle name="Normal 5 2 3 2 8 2" xfId="6863" xr:uid="{00000000-0005-0000-0000-000082180000}"/>
    <cellStyle name="Normal 5 2 3 2 8 2 2" xfId="16189" xr:uid="{DA8A800D-5740-4742-9671-CFB825BFDBE3}"/>
    <cellStyle name="Normal 5 2 3 2 8 2 2 2" xfId="34785" xr:uid="{DA562573-C4F3-444F-A472-560DDDD77723}"/>
    <cellStyle name="Normal 5 2 3 2 8 2 3" xfId="25488" xr:uid="{3C7ECC44-1A4B-4429-A649-CB3CF5864AFF}"/>
    <cellStyle name="Normal 5 2 3 2 8 3" xfId="11972" xr:uid="{C41C22D2-7CBA-41AE-8890-5B55BDE20C15}"/>
    <cellStyle name="Normal 5 2 3 2 8 3 2" xfId="30568" xr:uid="{E2067A72-053E-4118-96C9-1CA41EFA2D1F}"/>
    <cellStyle name="Normal 5 2 3 2 8 4" xfId="21271" xr:uid="{CE24BD50-D607-407E-AF2D-FA1C37FC3833}"/>
    <cellStyle name="Normal 5 2 3 2 9" xfId="4798" xr:uid="{00000000-0005-0000-0000-000083180000}"/>
    <cellStyle name="Normal 5 2 3 2 9 2" xfId="14124" xr:uid="{EFB98672-3DCE-4E2A-AFC0-596B545ED77B}"/>
    <cellStyle name="Normal 5 2 3 2 9 2 2" xfId="32720" xr:uid="{DAEFBD55-F57F-4873-885B-0500A41AE1AB}"/>
    <cellStyle name="Normal 5 2 3 2 9 3" xfId="23423" xr:uid="{8EABAC38-BB9B-4B94-96A4-69E522EC568F}"/>
    <cellStyle name="Normal 5 2 3 3" xfId="429" xr:uid="{00000000-0005-0000-0000-000084180000}"/>
    <cellStyle name="Normal 5 2 3 3 10" xfId="9911" xr:uid="{20987786-E2AA-4F6A-BC8A-02064B0C7D6E}"/>
    <cellStyle name="Normal 5 2 3 3 10 2" xfId="28507" xr:uid="{7FBB6DA5-BB23-4394-BE2F-0FA933823D1E}"/>
    <cellStyle name="Normal 5 2 3 3 11" xfId="19210" xr:uid="{73B11AC0-EB12-43BF-AB11-B04183B08DDD}"/>
    <cellStyle name="Normal 5 2 3 3 2" xfId="430" xr:uid="{00000000-0005-0000-0000-000085180000}"/>
    <cellStyle name="Normal 5 2 3 3 2 10" xfId="19211" xr:uid="{9E313946-5D93-4F27-B233-EA85BA553D3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68E8A494-BDE1-4F7E-B96D-51EF89214D76}"/>
    <cellStyle name="Normal 5 2 3 3 2 2 2 2 2 2" xfId="35283" xr:uid="{631B636D-4C84-4ADB-A99E-5F7D0C5A63B6}"/>
    <cellStyle name="Normal 5 2 3 3 2 2 2 2 3" xfId="25986" xr:uid="{C12CB599-B2C4-4ED1-A078-2F7BF345BD57}"/>
    <cellStyle name="Normal 5 2 3 3 2 2 2 3" xfId="12470" xr:uid="{22ED7164-1B15-4BBA-BEF1-259C18EEFAC2}"/>
    <cellStyle name="Normal 5 2 3 3 2 2 2 3 2" xfId="31066" xr:uid="{693E9E18-EFAB-4C50-BDCF-907B8D407A0D}"/>
    <cellStyle name="Normal 5 2 3 3 2 2 2 4" xfId="21769" xr:uid="{6C5E4000-D8F0-48AC-92FF-34F115336FF2}"/>
    <cellStyle name="Normal 5 2 3 3 2 2 3" xfId="5216" xr:uid="{00000000-0005-0000-0000-000089180000}"/>
    <cellStyle name="Normal 5 2 3 3 2 2 3 2" xfId="14542" xr:uid="{2C463BD0-FA68-40CD-85DE-73CF150DC77E}"/>
    <cellStyle name="Normal 5 2 3 3 2 2 3 2 2" xfId="33138" xr:uid="{2D23E9AC-A57C-4BDD-BBB5-5E1B3978CF1D}"/>
    <cellStyle name="Normal 5 2 3 3 2 2 3 3" xfId="23841" xr:uid="{686538D1-B16D-436C-B785-9E522743BB8A}"/>
    <cellStyle name="Normal 5 2 3 3 2 2 4" xfId="9511" xr:uid="{75EF02F8-0397-4B30-A858-343ADCA7C08D}"/>
    <cellStyle name="Normal 5 2 3 3 2 2 4 2" xfId="18826" xr:uid="{40BB82E0-A482-482C-BB1B-C9A10FD7EB2D}"/>
    <cellStyle name="Normal 5 2 3 3 2 2 4 2 2" xfId="37420" xr:uid="{6091AAD6-BC56-43CD-AAFA-CC14B07141BC}"/>
    <cellStyle name="Normal 5 2 3 3 2 2 4 3" xfId="28123" xr:uid="{BF4A1F23-367C-4AC6-AC65-4D56E56B4903}"/>
    <cellStyle name="Normal 5 2 3 3 2 2 5" xfId="10325" xr:uid="{23B436BE-DB90-44BE-897C-E13BCBCAC375}"/>
    <cellStyle name="Normal 5 2 3 3 2 2 5 2" xfId="28921" xr:uid="{16E46575-B643-4B37-9A7F-62976464839D}"/>
    <cellStyle name="Normal 5 2 3 3 2 2 6" xfId="19624" xr:uid="{6EDEB47A-E2EC-438A-B637-3581EB8D7005}"/>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D6161B7C-AB0A-41CA-9387-4828C1004356}"/>
    <cellStyle name="Normal 5 2 3 3 2 3 2 2 2 2" xfId="35696" xr:uid="{7094689D-F62B-4159-A6A5-FEF201E4892A}"/>
    <cellStyle name="Normal 5 2 3 3 2 3 2 2 3" xfId="26399" xr:uid="{5FC7B9EA-8E0D-4BCC-850A-E79777241BC5}"/>
    <cellStyle name="Normal 5 2 3 3 2 3 2 3" xfId="12883" xr:uid="{346D0F15-9DBB-421F-A99D-D7A69A04B418}"/>
    <cellStyle name="Normal 5 2 3 3 2 3 2 3 2" xfId="31479" xr:uid="{CDD544F0-F231-4296-A923-145EB3A751B5}"/>
    <cellStyle name="Normal 5 2 3 3 2 3 2 4" xfId="22182" xr:uid="{21A70CF2-2F58-4725-8B33-DCB070FE3DB0}"/>
    <cellStyle name="Normal 5 2 3 3 2 3 3" xfId="5629" xr:uid="{00000000-0005-0000-0000-00008D180000}"/>
    <cellStyle name="Normal 5 2 3 3 2 3 3 2" xfId="14955" xr:uid="{EA7E0DEF-7205-4582-812C-BA788FB58063}"/>
    <cellStyle name="Normal 5 2 3 3 2 3 3 2 2" xfId="33551" xr:uid="{A01ADD1C-4A33-4A2A-962F-E68E02453A39}"/>
    <cellStyle name="Normal 5 2 3 3 2 3 3 3" xfId="24254" xr:uid="{8D69E5A1-B719-4DC1-AF63-40FA4F1E0192}"/>
    <cellStyle name="Normal 5 2 3 3 2 3 4" xfId="10738" xr:uid="{74B32C17-6A5D-4764-B8EE-457882E731A3}"/>
    <cellStyle name="Normal 5 2 3 3 2 3 4 2" xfId="29334" xr:uid="{6CDEF03D-C809-45D1-A994-DD587C515FF4}"/>
    <cellStyle name="Normal 5 2 3 3 2 3 5" xfId="20037" xr:uid="{920B2AB6-612A-4E7B-9251-08E890C65DAC}"/>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01D217E5-9C4D-4C7D-9ED9-F1CEB78F10BA}"/>
    <cellStyle name="Normal 5 2 3 3 2 4 2 2 2 2" xfId="36109" xr:uid="{E9350296-6575-40A1-B25E-7B9EC8B02409}"/>
    <cellStyle name="Normal 5 2 3 3 2 4 2 2 3" xfId="26812" xr:uid="{03C90786-2A76-47F8-9001-9C57E5B13879}"/>
    <cellStyle name="Normal 5 2 3 3 2 4 2 3" xfId="13296" xr:uid="{B6F8B8E4-805E-4890-BFB1-B80E03DD155E}"/>
    <cellStyle name="Normal 5 2 3 3 2 4 2 3 2" xfId="31892" xr:uid="{FA11BE94-1F98-44C0-AA88-2E0AEAD07762}"/>
    <cellStyle name="Normal 5 2 3 3 2 4 2 4" xfId="22595" xr:uid="{F46ADA1D-A95F-4C89-B59E-781609B61EBB}"/>
    <cellStyle name="Normal 5 2 3 3 2 4 3" xfId="6042" xr:uid="{00000000-0005-0000-0000-000091180000}"/>
    <cellStyle name="Normal 5 2 3 3 2 4 3 2" xfId="15368" xr:uid="{DD009417-7292-40A6-9C3E-F49F208D68FE}"/>
    <cellStyle name="Normal 5 2 3 3 2 4 3 2 2" xfId="33964" xr:uid="{830B8D4B-F015-42F5-AFD4-31A20E05BC2B}"/>
    <cellStyle name="Normal 5 2 3 3 2 4 3 3" xfId="24667" xr:uid="{5247D9EA-C961-4E66-8F1C-65982F0402B9}"/>
    <cellStyle name="Normal 5 2 3 3 2 4 4" xfId="11151" xr:uid="{A880C645-9DB3-4654-AC93-921EA6AB8CBC}"/>
    <cellStyle name="Normal 5 2 3 3 2 4 4 2" xfId="29747" xr:uid="{74552788-DEA1-441B-8859-8BDDE0DE22F1}"/>
    <cellStyle name="Normal 5 2 3 3 2 4 5" xfId="20450" xr:uid="{4BD6FD29-FF2F-44DA-9551-C63E790DBCF7}"/>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E6BF4E17-2F6E-4CAB-B093-E96E270251B7}"/>
    <cellStyle name="Normal 5 2 3 3 2 5 2 2 2 2" xfId="36522" xr:uid="{12CC1E3D-8B82-4A2D-BFDC-E4B2268CC9D6}"/>
    <cellStyle name="Normal 5 2 3 3 2 5 2 2 3" xfId="27225" xr:uid="{462F9912-86F9-4464-A079-DDBA53895C71}"/>
    <cellStyle name="Normal 5 2 3 3 2 5 2 3" xfId="13709" xr:uid="{E6323CEE-A844-425E-994F-D70B1F2C037D}"/>
    <cellStyle name="Normal 5 2 3 3 2 5 2 3 2" xfId="32305" xr:uid="{06BDA707-7B4F-4C43-A567-9C5A65C89988}"/>
    <cellStyle name="Normal 5 2 3 3 2 5 2 4" xfId="23008" xr:uid="{73EF48FA-D548-4526-9D21-AE7914B67667}"/>
    <cellStyle name="Normal 5 2 3 3 2 5 3" xfId="6455" xr:uid="{00000000-0005-0000-0000-000095180000}"/>
    <cellStyle name="Normal 5 2 3 3 2 5 3 2" xfId="15781" xr:uid="{A4112850-BC09-4222-8177-A87584B6C041}"/>
    <cellStyle name="Normal 5 2 3 3 2 5 3 2 2" xfId="34377" xr:uid="{D5877E77-1B8D-4244-AE3D-037C287FEE50}"/>
    <cellStyle name="Normal 5 2 3 3 2 5 3 3" xfId="25080" xr:uid="{283B7E0B-AF5E-4F28-AF8F-AAC10988ECA8}"/>
    <cellStyle name="Normal 5 2 3 3 2 5 4" xfId="11564" xr:uid="{ED29980C-008C-4AE5-830F-F4B989666711}"/>
    <cellStyle name="Normal 5 2 3 3 2 5 4 2" xfId="30160" xr:uid="{7FDBD362-1517-455C-A6DD-5A81603C7261}"/>
    <cellStyle name="Normal 5 2 3 3 2 5 5" xfId="20863" xr:uid="{E69A84B6-14A6-43FB-82EE-602D90BD5C8D}"/>
    <cellStyle name="Normal 5 2 3 3 2 6" xfId="2585" xr:uid="{00000000-0005-0000-0000-000096180000}"/>
    <cellStyle name="Normal 5 2 3 3 2 6 2" xfId="6868" xr:uid="{00000000-0005-0000-0000-000097180000}"/>
    <cellStyle name="Normal 5 2 3 3 2 6 2 2" xfId="16194" xr:uid="{162A3931-CC34-4959-97F9-F44C575E7B3D}"/>
    <cellStyle name="Normal 5 2 3 3 2 6 2 2 2" xfId="34790" xr:uid="{839FC3C0-3344-4819-AF7F-3AB2C3696647}"/>
    <cellStyle name="Normal 5 2 3 3 2 6 2 3" xfId="25493" xr:uid="{C663603A-68E8-4B7F-B3B6-82E4E440D6D9}"/>
    <cellStyle name="Normal 5 2 3 3 2 6 3" xfId="11977" xr:uid="{EDE8A1AB-545B-4AF7-9C2E-B9ECC0C0A543}"/>
    <cellStyle name="Normal 5 2 3 3 2 6 3 2" xfId="30573" xr:uid="{ABEDDE1D-0452-4D85-906E-9BB8D57D3A10}"/>
    <cellStyle name="Normal 5 2 3 3 2 6 4" xfId="21276" xr:uid="{F502E4BA-50C4-4440-B258-692CE684EE2C}"/>
    <cellStyle name="Normal 5 2 3 3 2 7" xfId="4803" xr:uid="{00000000-0005-0000-0000-000098180000}"/>
    <cellStyle name="Normal 5 2 3 3 2 7 2" xfId="14129" xr:uid="{366E2FA5-7523-4F59-8B8C-0C4B665B6EAD}"/>
    <cellStyle name="Normal 5 2 3 3 2 7 2 2" xfId="32725" xr:uid="{EF4E7A32-E965-4C36-BBD0-4AD7662E11DC}"/>
    <cellStyle name="Normal 5 2 3 3 2 7 3" xfId="23428" xr:uid="{6A2F34AC-6ECC-425E-BA90-E0A6FBFFD0E5}"/>
    <cellStyle name="Normal 5 2 3 3 2 8" xfId="9086" xr:uid="{442E5F61-F00C-4774-822F-4985AB3E1CB7}"/>
    <cellStyle name="Normal 5 2 3 3 2 8 2" xfId="18410" xr:uid="{1690F9B5-6476-4845-997F-CD069CAC5B4C}"/>
    <cellStyle name="Normal 5 2 3 3 2 8 2 2" xfId="37005" xr:uid="{7445D193-BAE6-4A29-8E29-E87465C03B20}"/>
    <cellStyle name="Normal 5 2 3 3 2 8 3" xfId="27708" xr:uid="{5F4AE6DF-37CF-463B-8040-12185035BAA3}"/>
    <cellStyle name="Normal 5 2 3 3 2 9" xfId="9912" xr:uid="{0C5D287D-163E-4BA6-A842-BC08629A3C42}"/>
    <cellStyle name="Normal 5 2 3 3 2 9 2" xfId="28508" xr:uid="{EB1E8DA3-21CD-46A3-A342-788EC6B2E436}"/>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40AB39D1-BD79-4144-97E4-0AC693CB9DC7}"/>
    <cellStyle name="Normal 5 2 3 3 3 2 2 2 2" xfId="35282" xr:uid="{293D82FA-DCF6-4418-968E-EF0A17C570F4}"/>
    <cellStyle name="Normal 5 2 3 3 3 2 2 3" xfId="25985" xr:uid="{094BDCB5-D0B0-42D2-B7B4-3271470A95C8}"/>
    <cellStyle name="Normal 5 2 3 3 3 2 3" xfId="12469" xr:uid="{EE55161A-46CB-46C4-BCD2-535D882FEBD3}"/>
    <cellStyle name="Normal 5 2 3 3 3 2 3 2" xfId="31065" xr:uid="{1D9C1A79-A17B-427C-B89F-442564B0EA0B}"/>
    <cellStyle name="Normal 5 2 3 3 3 2 4" xfId="21768" xr:uid="{CBCA9E94-E033-4799-BE60-E833EBB5E643}"/>
    <cellStyle name="Normal 5 2 3 3 3 3" xfId="5215" xr:uid="{00000000-0005-0000-0000-00009C180000}"/>
    <cellStyle name="Normal 5 2 3 3 3 3 2" xfId="14541" xr:uid="{EE67A2FF-6D87-4B11-ABFF-FE0844879AED}"/>
    <cellStyle name="Normal 5 2 3 3 3 3 2 2" xfId="33137" xr:uid="{BD7B7536-80EC-4E82-927C-E7C7C250E4E7}"/>
    <cellStyle name="Normal 5 2 3 3 3 3 3" xfId="23840" xr:uid="{F623BF55-D118-44F9-92F9-C202FCBDB90B}"/>
    <cellStyle name="Normal 5 2 3 3 3 4" xfId="9304" xr:uid="{2C783A77-F32A-4E64-807E-062B95DB0310}"/>
    <cellStyle name="Normal 5 2 3 3 3 4 2" xfId="18619" xr:uid="{16962926-C755-4634-B2FA-D4C7C890F10E}"/>
    <cellStyle name="Normal 5 2 3 3 3 4 2 2" xfId="37213" xr:uid="{1FF038E6-9DC7-4EE9-A59D-C1D1C64C46B6}"/>
    <cellStyle name="Normal 5 2 3 3 3 4 3" xfId="27916" xr:uid="{B0DA53F0-4436-4FE3-B2C3-CF89CDF9AB68}"/>
    <cellStyle name="Normal 5 2 3 3 3 5" xfId="10324" xr:uid="{0870DF12-BA8B-4F55-80C5-2FD0A0684D1E}"/>
    <cellStyle name="Normal 5 2 3 3 3 5 2" xfId="28920" xr:uid="{88AA734A-1A49-4014-B7C1-777CC6EF91A3}"/>
    <cellStyle name="Normal 5 2 3 3 3 6" xfId="19623" xr:uid="{37234126-7819-49E7-8FB7-6FC575F3CB68}"/>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4F843FB7-D0FC-48DE-B6E1-48E9C1083982}"/>
    <cellStyle name="Normal 5 2 3 3 4 2 2 2 2" xfId="35695" xr:uid="{0D24AF7A-1380-46EE-A1A3-C6700968786B}"/>
    <cellStyle name="Normal 5 2 3 3 4 2 2 3" xfId="26398" xr:uid="{1AA593CB-583D-4606-B940-B1E665B3BBE1}"/>
    <cellStyle name="Normal 5 2 3 3 4 2 3" xfId="12882" xr:uid="{B0C3764B-8CD2-417A-A900-2B28E5FC16E0}"/>
    <cellStyle name="Normal 5 2 3 3 4 2 3 2" xfId="31478" xr:uid="{CF09BA5F-754F-456F-A68B-52E088BE262B}"/>
    <cellStyle name="Normal 5 2 3 3 4 2 4" xfId="22181" xr:uid="{23C6545F-702E-421E-AC91-46C31A7C4CAC}"/>
    <cellStyle name="Normal 5 2 3 3 4 3" xfId="5628" xr:uid="{00000000-0005-0000-0000-0000A0180000}"/>
    <cellStyle name="Normal 5 2 3 3 4 3 2" xfId="14954" xr:uid="{EE961008-F1D4-4033-B0A3-70D5E1CDE39C}"/>
    <cellStyle name="Normal 5 2 3 3 4 3 2 2" xfId="33550" xr:uid="{F693F5A6-BB7B-4365-9313-54C90DEC8354}"/>
    <cellStyle name="Normal 5 2 3 3 4 3 3" xfId="24253" xr:uid="{E2E1AE07-1CFD-47D9-A5B8-976FFFE90BCE}"/>
    <cellStyle name="Normal 5 2 3 3 4 4" xfId="10737" xr:uid="{12A563F7-D1D1-4B9B-B209-0BA4C7B3D2C6}"/>
    <cellStyle name="Normal 5 2 3 3 4 4 2" xfId="29333" xr:uid="{485BEDF5-3F9C-4A84-9272-ACFB78D5B4AD}"/>
    <cellStyle name="Normal 5 2 3 3 4 5" xfId="20036" xr:uid="{AC20479A-DDE8-4119-A3BA-0FFBE677C354}"/>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DAB837B4-C6BF-4538-81EC-4CCE75B3FB74}"/>
    <cellStyle name="Normal 5 2 3 3 5 2 2 2 2" xfId="36108" xr:uid="{6C660459-2A74-4F4B-8D9D-8FEF6ED06F6A}"/>
    <cellStyle name="Normal 5 2 3 3 5 2 2 3" xfId="26811" xr:uid="{96321345-F47B-4540-849B-85C4CB20DAB0}"/>
    <cellStyle name="Normal 5 2 3 3 5 2 3" xfId="13295" xr:uid="{FF3B22F5-8A9C-4319-907E-FADCE96517D7}"/>
    <cellStyle name="Normal 5 2 3 3 5 2 3 2" xfId="31891" xr:uid="{6D024B65-D8A8-46FF-8C07-AF9F3F8210C9}"/>
    <cellStyle name="Normal 5 2 3 3 5 2 4" xfId="22594" xr:uid="{90A2D140-444E-45E3-92DD-55412C02EEA9}"/>
    <cellStyle name="Normal 5 2 3 3 5 3" xfId="6041" xr:uid="{00000000-0005-0000-0000-0000A4180000}"/>
    <cellStyle name="Normal 5 2 3 3 5 3 2" xfId="15367" xr:uid="{02D53E3C-DCAA-43A5-85D9-ED5BEE4DA089}"/>
    <cellStyle name="Normal 5 2 3 3 5 3 2 2" xfId="33963" xr:uid="{F043F96D-7A78-4D26-B6E5-845483250E6E}"/>
    <cellStyle name="Normal 5 2 3 3 5 3 3" xfId="24666" xr:uid="{22261B83-90E2-4954-97AF-E201C85BEFCE}"/>
    <cellStyle name="Normal 5 2 3 3 5 4" xfId="11150" xr:uid="{062ABE3F-4CBD-44D3-ACE7-2DB083849006}"/>
    <cellStyle name="Normal 5 2 3 3 5 4 2" xfId="29746" xr:uid="{99155100-103F-46F4-8266-44F7F4942A0A}"/>
    <cellStyle name="Normal 5 2 3 3 5 5" xfId="20449" xr:uid="{C84AF5DA-E5F3-469C-A8FE-C5CA0D842D47}"/>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DC67134C-1A14-4643-9457-9AEB1518F018}"/>
    <cellStyle name="Normal 5 2 3 3 6 2 2 2 2" xfId="36521" xr:uid="{4B5F3B02-568D-4625-A4F8-2F1EE89C441F}"/>
    <cellStyle name="Normal 5 2 3 3 6 2 2 3" xfId="27224" xr:uid="{B3729B26-DB9C-4DF0-8007-70F5780BBAF7}"/>
    <cellStyle name="Normal 5 2 3 3 6 2 3" xfId="13708" xr:uid="{FDE67609-2458-4C58-A537-18864B32D8F9}"/>
    <cellStyle name="Normal 5 2 3 3 6 2 3 2" xfId="32304" xr:uid="{BDC9DE7E-5B08-4141-B4BD-CCDBE43EC71D}"/>
    <cellStyle name="Normal 5 2 3 3 6 2 4" xfId="23007" xr:uid="{C1B59EBA-7799-4203-93CC-8E08CE74A4FF}"/>
    <cellStyle name="Normal 5 2 3 3 6 3" xfId="6454" xr:uid="{00000000-0005-0000-0000-0000A8180000}"/>
    <cellStyle name="Normal 5 2 3 3 6 3 2" xfId="15780" xr:uid="{C44EE141-DF3D-4300-937A-A5DA70DFB306}"/>
    <cellStyle name="Normal 5 2 3 3 6 3 2 2" xfId="34376" xr:uid="{36B28E19-3F4E-40B2-91CD-BF5D2A82777F}"/>
    <cellStyle name="Normal 5 2 3 3 6 3 3" xfId="25079" xr:uid="{98310950-81E3-4C17-93FF-C85DD896EC6B}"/>
    <cellStyle name="Normal 5 2 3 3 6 4" xfId="11563" xr:uid="{D8C0EB72-2017-4AD0-8809-23F3A7DEF882}"/>
    <cellStyle name="Normal 5 2 3 3 6 4 2" xfId="30159" xr:uid="{80B74492-E2BF-4DAA-ADA4-8C3596968234}"/>
    <cellStyle name="Normal 5 2 3 3 6 5" xfId="20862" xr:uid="{506E5BAA-2764-4A6D-BAD6-1D613BABEB76}"/>
    <cellStyle name="Normal 5 2 3 3 7" xfId="2584" xr:uid="{00000000-0005-0000-0000-0000A9180000}"/>
    <cellStyle name="Normal 5 2 3 3 7 2" xfId="6867" xr:uid="{00000000-0005-0000-0000-0000AA180000}"/>
    <cellStyle name="Normal 5 2 3 3 7 2 2" xfId="16193" xr:uid="{08A2ED3A-66FD-4A70-98F5-31DDA6DDF0B9}"/>
    <cellStyle name="Normal 5 2 3 3 7 2 2 2" xfId="34789" xr:uid="{63E89DE9-B86C-4941-9F60-F9C28C52FD95}"/>
    <cellStyle name="Normal 5 2 3 3 7 2 3" xfId="25492" xr:uid="{0D17C458-63F1-4C62-901D-9022F579C500}"/>
    <cellStyle name="Normal 5 2 3 3 7 3" xfId="11976" xr:uid="{7970C39B-0732-4892-9479-9A4189BBAE0B}"/>
    <cellStyle name="Normal 5 2 3 3 7 3 2" xfId="30572" xr:uid="{38ADE6F7-71DB-4FD1-806C-A263171866EE}"/>
    <cellStyle name="Normal 5 2 3 3 7 4" xfId="21275" xr:uid="{971E4E5E-6BB3-4A68-81EA-48B94FDAE678}"/>
    <cellStyle name="Normal 5 2 3 3 8" xfId="4802" xr:uid="{00000000-0005-0000-0000-0000AB180000}"/>
    <cellStyle name="Normal 5 2 3 3 8 2" xfId="14128" xr:uid="{7949690A-C5EA-40E8-BD8C-525E0F01F4B6}"/>
    <cellStyle name="Normal 5 2 3 3 8 2 2" xfId="32724" xr:uid="{DC9D262B-9A4C-4E8F-B88E-10D6D06878EE}"/>
    <cellStyle name="Normal 5 2 3 3 8 3" xfId="23427" xr:uid="{54B7D90C-E541-47FB-94F2-31E49627F33F}"/>
    <cellStyle name="Normal 5 2 3 3 9" xfId="8879" xr:uid="{F521005C-E3E0-4B64-9C0A-0C510FB9AAB2}"/>
    <cellStyle name="Normal 5 2 3 3 9 2" xfId="18203" xr:uid="{8657E6C0-68CC-44BC-BD42-D537029960F6}"/>
    <cellStyle name="Normal 5 2 3 3 9 2 2" xfId="36798" xr:uid="{91C191CB-FB94-449B-AB25-89E6B045081A}"/>
    <cellStyle name="Normal 5 2 3 3 9 3" xfId="27501" xr:uid="{9B635D45-8768-4845-9B9D-DA4B9673D5B6}"/>
    <cellStyle name="Normal 5 2 3 4" xfId="431" xr:uid="{00000000-0005-0000-0000-0000AC180000}"/>
    <cellStyle name="Normal 5 2 3 4 10" xfId="19212" xr:uid="{F1B0A54D-C549-4433-8401-04AF7230E5C1}"/>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FD6446B7-50C4-4B9C-AFF7-A9DD3F3FEB44}"/>
    <cellStyle name="Normal 5 2 3 4 2 2 2 2 2" xfId="35284" xr:uid="{DDBFBE00-72DB-471A-A4F9-2F15786982DF}"/>
    <cellStyle name="Normal 5 2 3 4 2 2 2 3" xfId="25987" xr:uid="{07985491-1068-4883-9C7E-B7ABBC5DCD8D}"/>
    <cellStyle name="Normal 5 2 3 4 2 2 3" xfId="12471" xr:uid="{E50DDB3D-0FD6-44DF-B26E-07A210CF8889}"/>
    <cellStyle name="Normal 5 2 3 4 2 2 3 2" xfId="31067" xr:uid="{E339E257-5433-47C2-AD83-AD137CF320E1}"/>
    <cellStyle name="Normal 5 2 3 4 2 2 4" xfId="21770" xr:uid="{A1FDBAA9-1E2F-40E2-B093-1DC36AFC6032}"/>
    <cellStyle name="Normal 5 2 3 4 2 3" xfId="5217" xr:uid="{00000000-0005-0000-0000-0000B0180000}"/>
    <cellStyle name="Normal 5 2 3 4 2 3 2" xfId="14543" xr:uid="{71A28677-87F7-4FEE-925B-01599FCD727D}"/>
    <cellStyle name="Normal 5 2 3 4 2 3 2 2" xfId="33139" xr:uid="{B0507DD4-798F-46E4-AD60-9A2892956422}"/>
    <cellStyle name="Normal 5 2 3 4 2 3 3" xfId="23842" xr:uid="{52AE8BB1-7603-4F3C-B856-2A58FB55BDC4}"/>
    <cellStyle name="Normal 5 2 3 4 2 4" xfId="9408" xr:uid="{3B6F9C6F-3D7C-45F8-99FE-451C0F8CED36}"/>
    <cellStyle name="Normal 5 2 3 4 2 4 2" xfId="18723" xr:uid="{97CE5EA1-05F1-4C8D-85BF-B34FDF260A02}"/>
    <cellStyle name="Normal 5 2 3 4 2 4 2 2" xfId="37317" xr:uid="{CC33D921-8289-4E6C-903A-B3A4AE79EA49}"/>
    <cellStyle name="Normal 5 2 3 4 2 4 3" xfId="28020" xr:uid="{6E30704E-0290-49EE-A07B-81E919C11127}"/>
    <cellStyle name="Normal 5 2 3 4 2 5" xfId="10326" xr:uid="{4BE465FF-5771-4F31-87B0-83DE0BC4548B}"/>
    <cellStyle name="Normal 5 2 3 4 2 5 2" xfId="28922" xr:uid="{B7D1D8FB-ACDB-468A-8879-135E5D282993}"/>
    <cellStyle name="Normal 5 2 3 4 2 6" xfId="19625" xr:uid="{F00D3CDE-8E40-4262-9A4C-17A5BED1282A}"/>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AA437DC3-4A63-4ECA-9B52-FE576CF09C80}"/>
    <cellStyle name="Normal 5 2 3 4 3 2 2 2 2" xfId="35697" xr:uid="{BB60C0D8-B400-4519-8E96-A27EF78E633A}"/>
    <cellStyle name="Normal 5 2 3 4 3 2 2 3" xfId="26400" xr:uid="{9D79C386-B12B-4D95-B394-530D57CDF928}"/>
    <cellStyle name="Normal 5 2 3 4 3 2 3" xfId="12884" xr:uid="{0DD82828-D45E-49F2-BEF7-F2E9CB9E1C8D}"/>
    <cellStyle name="Normal 5 2 3 4 3 2 3 2" xfId="31480" xr:uid="{BFEC4F59-3EBC-492A-8027-97B90186F25A}"/>
    <cellStyle name="Normal 5 2 3 4 3 2 4" xfId="22183" xr:uid="{C2AA328F-865D-4625-A0BE-46930E92F5F5}"/>
    <cellStyle name="Normal 5 2 3 4 3 3" xfId="5630" xr:uid="{00000000-0005-0000-0000-0000B4180000}"/>
    <cellStyle name="Normal 5 2 3 4 3 3 2" xfId="14956" xr:uid="{05AA3A5F-CF8D-4D4A-9A32-4CB54DD14A6E}"/>
    <cellStyle name="Normal 5 2 3 4 3 3 2 2" xfId="33552" xr:uid="{B757E6BC-BB7E-451A-8F42-EB814B5C653D}"/>
    <cellStyle name="Normal 5 2 3 4 3 3 3" xfId="24255" xr:uid="{DEF48A37-BC84-43B5-9C20-E01685438259}"/>
    <cellStyle name="Normal 5 2 3 4 3 4" xfId="10739" xr:uid="{DCE72988-3B8C-4A8E-9C8A-F2E0B5988001}"/>
    <cellStyle name="Normal 5 2 3 4 3 4 2" xfId="29335" xr:uid="{5A96BAB7-AB52-4F3D-AA0A-A5D1B6F4BBB5}"/>
    <cellStyle name="Normal 5 2 3 4 3 5" xfId="20038" xr:uid="{79620FC6-1891-4B7F-993C-23302EBEB2F1}"/>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E010FC97-0CE4-49FE-8694-A44C4C8DC2E2}"/>
    <cellStyle name="Normal 5 2 3 4 4 2 2 2 2" xfId="36110" xr:uid="{E3A6BAED-DFBB-4F35-AF0A-CCDB7B148272}"/>
    <cellStyle name="Normal 5 2 3 4 4 2 2 3" xfId="26813" xr:uid="{BFD78075-BA29-4267-B2DF-4A5041DF1420}"/>
    <cellStyle name="Normal 5 2 3 4 4 2 3" xfId="13297" xr:uid="{E5197E60-F437-4586-9E5F-6506E60F5D56}"/>
    <cellStyle name="Normal 5 2 3 4 4 2 3 2" xfId="31893" xr:uid="{DFBAAED7-3DEF-4AD8-BB7C-6C11D5409696}"/>
    <cellStyle name="Normal 5 2 3 4 4 2 4" xfId="22596" xr:uid="{A74892D4-F046-43AB-BF05-90C229DF7B45}"/>
    <cellStyle name="Normal 5 2 3 4 4 3" xfId="6043" xr:uid="{00000000-0005-0000-0000-0000B8180000}"/>
    <cellStyle name="Normal 5 2 3 4 4 3 2" xfId="15369" xr:uid="{F717BA5D-74DF-40CD-BE7B-931BE7F76D0D}"/>
    <cellStyle name="Normal 5 2 3 4 4 3 2 2" xfId="33965" xr:uid="{666EA35E-3B28-412F-936B-6CE036D3CEB6}"/>
    <cellStyle name="Normal 5 2 3 4 4 3 3" xfId="24668" xr:uid="{1990ADF6-9A03-4F02-B0D2-DD418602DE79}"/>
    <cellStyle name="Normal 5 2 3 4 4 4" xfId="11152" xr:uid="{FF52909F-DF09-41DE-A349-D10167FD1A8B}"/>
    <cellStyle name="Normal 5 2 3 4 4 4 2" xfId="29748" xr:uid="{DE65BF5E-B592-4FD5-A279-6421D07BD079}"/>
    <cellStyle name="Normal 5 2 3 4 4 5" xfId="20451" xr:uid="{32BB4B52-ADA7-4AAA-8FB4-360675C4EFCF}"/>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82A2E8FD-4D7E-404F-9ACC-CE745050EF7D}"/>
    <cellStyle name="Normal 5 2 3 4 5 2 2 2 2" xfId="36523" xr:uid="{2B4207D6-A5C9-4B80-842A-544E3AEEACAB}"/>
    <cellStyle name="Normal 5 2 3 4 5 2 2 3" xfId="27226" xr:uid="{BB766E2C-2A6B-4B09-87EF-260130CBFAFD}"/>
    <cellStyle name="Normal 5 2 3 4 5 2 3" xfId="13710" xr:uid="{71F79002-6AC1-4CB8-8A14-D9519E815D39}"/>
    <cellStyle name="Normal 5 2 3 4 5 2 3 2" xfId="32306" xr:uid="{007DB2DC-6EE7-4892-A325-7932AC91F00B}"/>
    <cellStyle name="Normal 5 2 3 4 5 2 4" xfId="23009" xr:uid="{AFFDBD94-54F0-49C5-B108-AE08DFBA402E}"/>
    <cellStyle name="Normal 5 2 3 4 5 3" xfId="6456" xr:uid="{00000000-0005-0000-0000-0000BC180000}"/>
    <cellStyle name="Normal 5 2 3 4 5 3 2" xfId="15782" xr:uid="{A95A1FFA-9CCB-4665-9ECF-24AAC68A49B2}"/>
    <cellStyle name="Normal 5 2 3 4 5 3 2 2" xfId="34378" xr:uid="{A7DCEB77-A94B-489E-8398-9182C94608CE}"/>
    <cellStyle name="Normal 5 2 3 4 5 3 3" xfId="25081" xr:uid="{B3D912AE-616D-4755-91AD-7AC0AC90FEFA}"/>
    <cellStyle name="Normal 5 2 3 4 5 4" xfId="11565" xr:uid="{9D2EA832-3DCE-41C9-A66C-D29A043844B4}"/>
    <cellStyle name="Normal 5 2 3 4 5 4 2" xfId="30161" xr:uid="{9CA98783-BC72-4878-9953-E0975828928E}"/>
    <cellStyle name="Normal 5 2 3 4 5 5" xfId="20864" xr:uid="{57854872-B98B-4BC7-8580-958E47B4A22F}"/>
    <cellStyle name="Normal 5 2 3 4 6" xfId="2586" xr:uid="{00000000-0005-0000-0000-0000BD180000}"/>
    <cellStyle name="Normal 5 2 3 4 6 2" xfId="6869" xr:uid="{00000000-0005-0000-0000-0000BE180000}"/>
    <cellStyle name="Normal 5 2 3 4 6 2 2" xfId="16195" xr:uid="{48EFAB83-E8CD-4669-8A75-48735CBB9FB2}"/>
    <cellStyle name="Normal 5 2 3 4 6 2 2 2" xfId="34791" xr:uid="{AF0B9288-3233-48E6-BC9B-EABB543CA612}"/>
    <cellStyle name="Normal 5 2 3 4 6 2 3" xfId="25494" xr:uid="{2D631275-A4AB-4A4A-AE19-FEC6AE1E7CA8}"/>
    <cellStyle name="Normal 5 2 3 4 6 3" xfId="11978" xr:uid="{739C9971-949D-42DB-B48B-52E4C83C0BA4}"/>
    <cellStyle name="Normal 5 2 3 4 6 3 2" xfId="30574" xr:uid="{4E22FE94-D246-4306-94AC-5BA6A1E7F5FA}"/>
    <cellStyle name="Normal 5 2 3 4 6 4" xfId="21277" xr:uid="{6E449D4C-00E5-4C35-AFCC-381EA3632ED8}"/>
    <cellStyle name="Normal 5 2 3 4 7" xfId="4804" xr:uid="{00000000-0005-0000-0000-0000BF180000}"/>
    <cellStyle name="Normal 5 2 3 4 7 2" xfId="14130" xr:uid="{C79ED80C-80A3-4373-8D77-86CF38E11954}"/>
    <cellStyle name="Normal 5 2 3 4 7 2 2" xfId="32726" xr:uid="{4CFBE3B5-23E1-440A-9E55-F09EBD82F5D9}"/>
    <cellStyle name="Normal 5 2 3 4 7 3" xfId="23429" xr:uid="{38EDF9AD-0ECF-44E5-B185-90B3C89BB4F1}"/>
    <cellStyle name="Normal 5 2 3 4 8" xfId="8983" xr:uid="{07388FCC-03DE-4CE8-89CB-9C92F8174E24}"/>
    <cellStyle name="Normal 5 2 3 4 8 2" xfId="18307" xr:uid="{EDD9F9AB-1645-465F-8759-5CEFC5E94339}"/>
    <cellStyle name="Normal 5 2 3 4 8 2 2" xfId="36902" xr:uid="{62A675E7-4764-4C70-BD35-C2BB9E5A8147}"/>
    <cellStyle name="Normal 5 2 3 4 8 3" xfId="27605" xr:uid="{42C549E5-0AB7-4BA3-A534-150609754C7E}"/>
    <cellStyle name="Normal 5 2 3 4 9" xfId="9913" xr:uid="{847B06BA-4DCE-4D54-8899-8864A2DE044F}"/>
    <cellStyle name="Normal 5 2 3 4 9 2" xfId="28509" xr:uid="{4C69FFB6-739D-4AA3-A538-31E3AF8459DF}"/>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5DA0249A-DE02-432C-B002-6D6F4023165E}"/>
    <cellStyle name="Normal 5 2 3 5 2 2 2 2" xfId="35277" xr:uid="{BF299BB9-3401-4106-9913-494D15392326}"/>
    <cellStyle name="Normal 5 2 3 5 2 2 3" xfId="25980" xr:uid="{E765781B-4501-458C-AD99-089E638F9772}"/>
    <cellStyle name="Normal 5 2 3 5 2 3" xfId="12464" xr:uid="{B8694C4E-FD25-4A8F-B767-5E9E4F09803D}"/>
    <cellStyle name="Normal 5 2 3 5 2 3 2" xfId="31060" xr:uid="{8DA2370A-0E44-4921-BFB8-B35685C16A7F}"/>
    <cellStyle name="Normal 5 2 3 5 2 4" xfId="21763" xr:uid="{1565327F-F4B3-4380-B5E2-98CA6EE4DF6C}"/>
    <cellStyle name="Normal 5 2 3 5 3" xfId="5210" xr:uid="{00000000-0005-0000-0000-0000C3180000}"/>
    <cellStyle name="Normal 5 2 3 5 3 2" xfId="14536" xr:uid="{66A19383-F0E4-4D1C-975D-F9667E378A0A}"/>
    <cellStyle name="Normal 5 2 3 5 3 2 2" xfId="33132" xr:uid="{FF69AB6E-F683-40B4-A4C1-268EAAD42F1B}"/>
    <cellStyle name="Normal 5 2 3 5 3 3" xfId="23835" xr:uid="{0E49AED0-6649-4108-BD38-EF61D4E3E42E}"/>
    <cellStyle name="Normal 5 2 3 5 4" xfId="9200" xr:uid="{13DE827A-4007-427A-9869-ADBBE6B70993}"/>
    <cellStyle name="Normal 5 2 3 5 4 2" xfId="18516" xr:uid="{72C968B3-F980-4881-AC08-94350F655CF3}"/>
    <cellStyle name="Normal 5 2 3 5 4 2 2" xfId="37110" xr:uid="{094F33F8-3D59-4608-AA9E-1A480FD77D3E}"/>
    <cellStyle name="Normal 5 2 3 5 4 3" xfId="27813" xr:uid="{FEAC7A66-7B41-4B46-A900-47DE56248055}"/>
    <cellStyle name="Normal 5 2 3 5 5" xfId="10319" xr:uid="{BC1F3399-8988-4F50-8C13-33E73DD9F2C1}"/>
    <cellStyle name="Normal 5 2 3 5 5 2" xfId="28915" xr:uid="{22DA0634-4E06-491A-A7BE-C5D188A446E8}"/>
    <cellStyle name="Normal 5 2 3 5 6" xfId="19618" xr:uid="{21B65BCE-3DBE-4631-BB79-BA39273A9214}"/>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4D174845-2ADD-487D-AF08-CBA0FF2EB70C}"/>
    <cellStyle name="Normal 5 2 3 6 2 2 2 2" xfId="35690" xr:uid="{6EF9893F-72EF-4406-A422-71D200CBC708}"/>
    <cellStyle name="Normal 5 2 3 6 2 2 3" xfId="26393" xr:uid="{F9079277-872D-4F13-AE82-CEC284607517}"/>
    <cellStyle name="Normal 5 2 3 6 2 3" xfId="12877" xr:uid="{6865F97D-8D5C-4A56-942A-E56A3B86366B}"/>
    <cellStyle name="Normal 5 2 3 6 2 3 2" xfId="31473" xr:uid="{5E0C0FF6-911F-4123-903C-4C5D33F48C32}"/>
    <cellStyle name="Normal 5 2 3 6 2 4" xfId="22176" xr:uid="{31F3211A-A628-4BEE-A027-A57CD6EBB3DC}"/>
    <cellStyle name="Normal 5 2 3 6 3" xfId="5623" xr:uid="{00000000-0005-0000-0000-0000C7180000}"/>
    <cellStyle name="Normal 5 2 3 6 3 2" xfId="14949" xr:uid="{75ABF92C-174A-41AA-AA0F-78189B303475}"/>
    <cellStyle name="Normal 5 2 3 6 3 2 2" xfId="33545" xr:uid="{0AE8516A-6D9D-4526-9A42-680B8DDDAE77}"/>
    <cellStyle name="Normal 5 2 3 6 3 3" xfId="24248" xr:uid="{558E8B27-8CF1-4853-91A9-631A6A386A22}"/>
    <cellStyle name="Normal 5 2 3 6 4" xfId="10732" xr:uid="{8438BB4A-4C89-4618-AB18-EB4275F27075}"/>
    <cellStyle name="Normal 5 2 3 6 4 2" xfId="29328" xr:uid="{C4B52D76-8682-420E-8AE6-E8B60FEB122B}"/>
    <cellStyle name="Normal 5 2 3 6 5" xfId="20031" xr:uid="{21FCF44A-F101-4085-A29D-3C68BED36583}"/>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7F01308D-C0B0-40A3-8BD3-2D02EEE3AE9D}"/>
    <cellStyle name="Normal 5 2 3 7 2 2 2 2" xfId="36103" xr:uid="{8E7CBE3D-17EC-4611-B89E-B683BC58DC93}"/>
    <cellStyle name="Normal 5 2 3 7 2 2 3" xfId="26806" xr:uid="{CD63DA6C-7DD5-44C3-BC84-FE001E39A3E1}"/>
    <cellStyle name="Normal 5 2 3 7 2 3" xfId="13290" xr:uid="{9CB7EC4F-DCC5-4A9C-A619-8A3598C7E33B}"/>
    <cellStyle name="Normal 5 2 3 7 2 3 2" xfId="31886" xr:uid="{AF34534F-039E-4229-BFFA-D45541402BA8}"/>
    <cellStyle name="Normal 5 2 3 7 2 4" xfId="22589" xr:uid="{96113E36-6D4E-4799-8B76-469D5D3F8D62}"/>
    <cellStyle name="Normal 5 2 3 7 3" xfId="6036" xr:uid="{00000000-0005-0000-0000-0000CB180000}"/>
    <cellStyle name="Normal 5 2 3 7 3 2" xfId="15362" xr:uid="{F0679C4B-FAB9-4D69-AC3D-E01D53181C30}"/>
    <cellStyle name="Normal 5 2 3 7 3 2 2" xfId="33958" xr:uid="{8A6150EB-D3D5-44E5-8C44-1232257D19FE}"/>
    <cellStyle name="Normal 5 2 3 7 3 3" xfId="24661" xr:uid="{15B74DB2-C327-4A56-8121-1C936259BFCF}"/>
    <cellStyle name="Normal 5 2 3 7 4" xfId="11145" xr:uid="{09992824-4553-4F7C-814C-FFDCE8B42CCD}"/>
    <cellStyle name="Normal 5 2 3 7 4 2" xfId="29741" xr:uid="{7D603F1F-A8F3-4EBC-89BB-1945FA4907D8}"/>
    <cellStyle name="Normal 5 2 3 7 5" xfId="20444" xr:uid="{5A8F0790-1646-4B9B-9B1B-DE25FD1F7B83}"/>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2868272C-52A4-4158-A9F3-897C7F8988F6}"/>
    <cellStyle name="Normal 5 2 3 8 2 2 2 2" xfId="36516" xr:uid="{17E6DE70-6391-4AEC-99DE-2D5528AD5112}"/>
    <cellStyle name="Normal 5 2 3 8 2 2 3" xfId="27219" xr:uid="{EA5AE1E8-81FF-4CD4-8837-3F48F8EC7427}"/>
    <cellStyle name="Normal 5 2 3 8 2 3" xfId="13703" xr:uid="{809C3A04-625E-4ACE-9B80-D66F6EB12DE3}"/>
    <cellStyle name="Normal 5 2 3 8 2 3 2" xfId="32299" xr:uid="{1E396B21-F212-4305-8169-FF327C76185E}"/>
    <cellStyle name="Normal 5 2 3 8 2 4" xfId="23002" xr:uid="{67A6E4BC-7AA0-4748-980F-633699369A3D}"/>
    <cellStyle name="Normal 5 2 3 8 3" xfId="6449" xr:uid="{00000000-0005-0000-0000-0000CF180000}"/>
    <cellStyle name="Normal 5 2 3 8 3 2" xfId="15775" xr:uid="{87834F03-100B-44A6-957E-78AE6769D4FD}"/>
    <cellStyle name="Normal 5 2 3 8 3 2 2" xfId="34371" xr:uid="{19828016-866A-407F-B36E-2A32B0205820}"/>
    <cellStyle name="Normal 5 2 3 8 3 3" xfId="25074" xr:uid="{B7079473-CC06-4FA8-BC0D-8D3D738EDDCB}"/>
    <cellStyle name="Normal 5 2 3 8 4" xfId="11558" xr:uid="{928AC50A-0165-4B9F-9F32-12A1129C21AE}"/>
    <cellStyle name="Normal 5 2 3 8 4 2" xfId="30154" xr:uid="{DFB47019-B30D-4AD9-878B-AABC1CA7A5DA}"/>
    <cellStyle name="Normal 5 2 3 8 5" xfId="20857" xr:uid="{D602232D-D3F4-4A4A-A9E1-631A88E84BBA}"/>
    <cellStyle name="Normal 5 2 3 9" xfId="2579" xr:uid="{00000000-0005-0000-0000-0000D0180000}"/>
    <cellStyle name="Normal 5 2 3 9 2" xfId="6862" xr:uid="{00000000-0005-0000-0000-0000D1180000}"/>
    <cellStyle name="Normal 5 2 3 9 2 2" xfId="16188" xr:uid="{130816AF-6088-4786-BED0-EC930BD5BDF6}"/>
    <cellStyle name="Normal 5 2 3 9 2 2 2" xfId="34784" xr:uid="{5C4F98A7-9D8A-4079-AC06-5525E0D0E852}"/>
    <cellStyle name="Normal 5 2 3 9 2 3" xfId="25487" xr:uid="{53B67FA8-965E-4CCF-BC16-89CEFE9087EA}"/>
    <cellStyle name="Normal 5 2 3 9 3" xfId="11971" xr:uid="{A20D3FCF-DD02-45DD-976D-6487BEE53B28}"/>
    <cellStyle name="Normal 5 2 3 9 3 2" xfId="30567" xr:uid="{8C386481-DE1A-41FD-B8EB-DEB45BBFF6B3}"/>
    <cellStyle name="Normal 5 2 3 9 4" xfId="21270" xr:uid="{5E4902AE-B69B-4398-8831-8AC7884B2249}"/>
    <cellStyle name="Normal 5 2 4" xfId="432" xr:uid="{00000000-0005-0000-0000-0000D2180000}"/>
    <cellStyle name="Normal 5 2 4 10" xfId="8827" xr:uid="{1EC4F605-F0BA-487E-A3C0-2CBAE7C22D8A}"/>
    <cellStyle name="Normal 5 2 4 10 2" xfId="18151" xr:uid="{92BBD564-763A-4F93-A20B-EF5C9F817634}"/>
    <cellStyle name="Normal 5 2 4 10 2 2" xfId="36746" xr:uid="{FA1EA655-51DB-4BAB-91D8-F61084309E94}"/>
    <cellStyle name="Normal 5 2 4 10 3" xfId="27449" xr:uid="{77FF0219-AC21-4E94-B875-E0DBD45C2DBE}"/>
    <cellStyle name="Normal 5 2 4 11" xfId="9914" xr:uid="{D083804E-1450-45E4-B6E6-E2F158D3B017}"/>
    <cellStyle name="Normal 5 2 4 11 2" xfId="28510" xr:uid="{91272A24-060B-4EC4-8BF6-E14BF7086C96}"/>
    <cellStyle name="Normal 5 2 4 12" xfId="19213" xr:uid="{50B4B7AA-E1EF-43A4-9238-F33C7A52BDE8}"/>
    <cellStyle name="Normal 5 2 4 2" xfId="433" xr:uid="{00000000-0005-0000-0000-0000D3180000}"/>
    <cellStyle name="Normal 5 2 4 2 10" xfId="9915" xr:uid="{DFB61F0F-8AA7-4DDC-8103-A64FED087E9E}"/>
    <cellStyle name="Normal 5 2 4 2 10 2" xfId="28511" xr:uid="{502EB036-BAD7-4721-907F-8F570283C862}"/>
    <cellStyle name="Normal 5 2 4 2 11" xfId="19214" xr:uid="{D84936ED-5D77-46D7-83A1-9C8E33146A25}"/>
    <cellStyle name="Normal 5 2 4 2 2" xfId="434" xr:uid="{00000000-0005-0000-0000-0000D4180000}"/>
    <cellStyle name="Normal 5 2 4 2 2 10" xfId="19215" xr:uid="{4C216C50-CAE3-4336-820F-AA4269D04A1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FD3EE9F5-7C48-4987-9DBA-DF587C10F72B}"/>
    <cellStyle name="Normal 5 2 4 2 2 2 2 2 2 2" xfId="35287" xr:uid="{ABC43B90-8E0F-4701-9D70-38D8AB65EA03}"/>
    <cellStyle name="Normal 5 2 4 2 2 2 2 2 3" xfId="25990" xr:uid="{265DB2F6-7CBE-4286-B356-AA2C2CF2BD21}"/>
    <cellStyle name="Normal 5 2 4 2 2 2 2 3" xfId="12474" xr:uid="{368304CD-BF13-4AD1-BEFD-CE827900D97C}"/>
    <cellStyle name="Normal 5 2 4 2 2 2 2 3 2" xfId="31070" xr:uid="{AE92651E-A545-4642-BC43-36ED6FE14858}"/>
    <cellStyle name="Normal 5 2 4 2 2 2 2 4" xfId="21773" xr:uid="{77CA3AA4-DC8A-44EF-939B-1DD03E355C00}"/>
    <cellStyle name="Normal 5 2 4 2 2 2 3" xfId="5220" xr:uid="{00000000-0005-0000-0000-0000D8180000}"/>
    <cellStyle name="Normal 5 2 4 2 2 2 3 2" xfId="14546" xr:uid="{4B934DEB-F1DA-4DA3-9685-6FED5C8A70AC}"/>
    <cellStyle name="Normal 5 2 4 2 2 2 3 2 2" xfId="33142" xr:uid="{3CD3ABEB-8071-489D-BCF2-B3BC0EC6280A}"/>
    <cellStyle name="Normal 5 2 4 2 2 2 3 3" xfId="23845" xr:uid="{8614AC15-5C2D-4C32-B215-8FA7D807B70E}"/>
    <cellStyle name="Normal 5 2 4 2 2 2 4" xfId="9562" xr:uid="{5E243FB4-F3B1-4B34-B377-1444454AD19E}"/>
    <cellStyle name="Normal 5 2 4 2 2 2 4 2" xfId="18877" xr:uid="{3365BCEF-F5CC-424D-BA1A-AE7F33832144}"/>
    <cellStyle name="Normal 5 2 4 2 2 2 4 2 2" xfId="37471" xr:uid="{83757E94-ACA2-42C6-A12B-487FCAABC7F5}"/>
    <cellStyle name="Normal 5 2 4 2 2 2 4 3" xfId="28174" xr:uid="{B1347D66-086F-453E-BD2D-F5B19BA27AF3}"/>
    <cellStyle name="Normal 5 2 4 2 2 2 5" xfId="10329" xr:uid="{D05BDDCB-650D-4EEA-A030-6D369309E6B7}"/>
    <cellStyle name="Normal 5 2 4 2 2 2 5 2" xfId="28925" xr:uid="{BE9D02CA-0BEE-4942-8051-590E9B77D2CE}"/>
    <cellStyle name="Normal 5 2 4 2 2 2 6" xfId="19628" xr:uid="{90A88CE7-8E5A-4D0E-877C-D5E4B34A4D3C}"/>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7D074350-B6FA-4646-8CD6-1B6C1B18F324}"/>
    <cellStyle name="Normal 5 2 4 2 2 3 2 2 2 2" xfId="35700" xr:uid="{8F8EDFC3-F7EE-4611-BE8A-A72E1AB37860}"/>
    <cellStyle name="Normal 5 2 4 2 2 3 2 2 3" xfId="26403" xr:uid="{7297B058-24DE-4432-8AE0-A6C7052918F2}"/>
    <cellStyle name="Normal 5 2 4 2 2 3 2 3" xfId="12887" xr:uid="{12965CC0-C527-493A-983A-A5E3885603EE}"/>
    <cellStyle name="Normal 5 2 4 2 2 3 2 3 2" xfId="31483" xr:uid="{2E3634CB-78BF-4074-AE30-A0108C8EF7D9}"/>
    <cellStyle name="Normal 5 2 4 2 2 3 2 4" xfId="22186" xr:uid="{91E24713-65F3-40A8-B929-5315246FC23A}"/>
    <cellStyle name="Normal 5 2 4 2 2 3 3" xfId="5633" xr:uid="{00000000-0005-0000-0000-0000DC180000}"/>
    <cellStyle name="Normal 5 2 4 2 2 3 3 2" xfId="14959" xr:uid="{AC45CDCF-21DA-4DD5-8978-BC2BA050C98F}"/>
    <cellStyle name="Normal 5 2 4 2 2 3 3 2 2" xfId="33555" xr:uid="{85B1FE3E-1947-433B-B283-A58ED1707693}"/>
    <cellStyle name="Normal 5 2 4 2 2 3 3 3" xfId="24258" xr:uid="{B642D41C-EC72-4447-A637-93AE65D12388}"/>
    <cellStyle name="Normal 5 2 4 2 2 3 4" xfId="10742" xr:uid="{074B387D-D342-4AA4-BE47-F576880B3A4A}"/>
    <cellStyle name="Normal 5 2 4 2 2 3 4 2" xfId="29338" xr:uid="{93F81551-1874-4D06-A69A-87DC69AEB8AC}"/>
    <cellStyle name="Normal 5 2 4 2 2 3 5" xfId="20041" xr:uid="{55A89F76-4450-4369-988B-B00F48A6AC6B}"/>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40618537-4F02-4B3C-8687-C73FFD50CB8E}"/>
    <cellStyle name="Normal 5 2 4 2 2 4 2 2 2 2" xfId="36113" xr:uid="{2B05E71B-0C89-4277-84F3-DD9677E24962}"/>
    <cellStyle name="Normal 5 2 4 2 2 4 2 2 3" xfId="26816" xr:uid="{6D0F0D5A-3824-499A-8F60-629F9066C937}"/>
    <cellStyle name="Normal 5 2 4 2 2 4 2 3" xfId="13300" xr:uid="{09AF47C5-ED8C-4BF6-91EE-C34F98D2C0FC}"/>
    <cellStyle name="Normal 5 2 4 2 2 4 2 3 2" xfId="31896" xr:uid="{F0624796-94E2-43AD-9856-F9ADC36B3D48}"/>
    <cellStyle name="Normal 5 2 4 2 2 4 2 4" xfId="22599" xr:uid="{93E25ED4-3F48-48AB-A5B6-60F3AB781C38}"/>
    <cellStyle name="Normal 5 2 4 2 2 4 3" xfId="6046" xr:uid="{00000000-0005-0000-0000-0000E0180000}"/>
    <cellStyle name="Normal 5 2 4 2 2 4 3 2" xfId="15372" xr:uid="{65657034-A344-4F31-9787-14E6C73716DF}"/>
    <cellStyle name="Normal 5 2 4 2 2 4 3 2 2" xfId="33968" xr:uid="{E72DB83C-CD1F-4E8F-BDA9-E0C0941EB3A5}"/>
    <cellStyle name="Normal 5 2 4 2 2 4 3 3" xfId="24671" xr:uid="{75C519DB-6E5E-4696-BB26-155D8F32F4B6}"/>
    <cellStyle name="Normal 5 2 4 2 2 4 4" xfId="11155" xr:uid="{95CDF99B-F067-446D-93D5-386DCCF28CCC}"/>
    <cellStyle name="Normal 5 2 4 2 2 4 4 2" xfId="29751" xr:uid="{4001211A-97A5-4547-8A6D-1B362F46CF36}"/>
    <cellStyle name="Normal 5 2 4 2 2 4 5" xfId="20454" xr:uid="{9EF1C9C0-F490-48C2-BC38-3D7CEA139263}"/>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617AF34F-5E45-4C66-A550-D315C7D76A7C}"/>
    <cellStyle name="Normal 5 2 4 2 2 5 2 2 2 2" xfId="36526" xr:uid="{F43DBC47-AB7B-4072-81F2-7D7F00CE4056}"/>
    <cellStyle name="Normal 5 2 4 2 2 5 2 2 3" xfId="27229" xr:uid="{0C9945BD-C76F-44D2-B1F5-44A670AC0A04}"/>
    <cellStyle name="Normal 5 2 4 2 2 5 2 3" xfId="13713" xr:uid="{C8272177-FC3A-4D0A-AE0D-C675B50A941A}"/>
    <cellStyle name="Normal 5 2 4 2 2 5 2 3 2" xfId="32309" xr:uid="{2C001CD0-593C-4989-A276-3D00A2AB71FC}"/>
    <cellStyle name="Normal 5 2 4 2 2 5 2 4" xfId="23012" xr:uid="{19CEEEF0-8BC7-49FF-8D1A-32AAF8C86850}"/>
    <cellStyle name="Normal 5 2 4 2 2 5 3" xfId="6459" xr:uid="{00000000-0005-0000-0000-0000E4180000}"/>
    <cellStyle name="Normal 5 2 4 2 2 5 3 2" xfId="15785" xr:uid="{F450D81A-DABA-4DDA-877A-B48C2C64B737}"/>
    <cellStyle name="Normal 5 2 4 2 2 5 3 2 2" xfId="34381" xr:uid="{E92C538A-8942-4F99-BDE1-BFA10B3BA035}"/>
    <cellStyle name="Normal 5 2 4 2 2 5 3 3" xfId="25084" xr:uid="{5819F6C7-FB61-48A5-BE38-929565F56DD4}"/>
    <cellStyle name="Normal 5 2 4 2 2 5 4" xfId="11568" xr:uid="{39FF878E-1FD3-4B7D-8004-5AECEA3508D3}"/>
    <cellStyle name="Normal 5 2 4 2 2 5 4 2" xfId="30164" xr:uid="{4A4393EF-877B-4816-8978-87648F74047F}"/>
    <cellStyle name="Normal 5 2 4 2 2 5 5" xfId="20867" xr:uid="{4CF35601-0B29-41CF-B5ED-19532F71EAB7}"/>
    <cellStyle name="Normal 5 2 4 2 2 6" xfId="2589" xr:uid="{00000000-0005-0000-0000-0000E5180000}"/>
    <cellStyle name="Normal 5 2 4 2 2 6 2" xfId="6872" xr:uid="{00000000-0005-0000-0000-0000E6180000}"/>
    <cellStyle name="Normal 5 2 4 2 2 6 2 2" xfId="16198" xr:uid="{125F20FA-C178-459F-8348-6D6E319881F9}"/>
    <cellStyle name="Normal 5 2 4 2 2 6 2 2 2" xfId="34794" xr:uid="{48B4E3D7-EE6D-4B93-989F-EFEA3B2ECEE4}"/>
    <cellStyle name="Normal 5 2 4 2 2 6 2 3" xfId="25497" xr:uid="{179B5AC4-B900-434C-A0D8-EF739A5E5662}"/>
    <cellStyle name="Normal 5 2 4 2 2 6 3" xfId="11981" xr:uid="{BFC1062F-4B97-423E-9954-9D20A70C6E3B}"/>
    <cellStyle name="Normal 5 2 4 2 2 6 3 2" xfId="30577" xr:uid="{2C4CD5F9-F7F6-44B9-97B7-2BCFA3F5ADFB}"/>
    <cellStyle name="Normal 5 2 4 2 2 6 4" xfId="21280" xr:uid="{A3D824D3-52DF-4C4E-816A-19A67E0FBFB4}"/>
    <cellStyle name="Normal 5 2 4 2 2 7" xfId="4807" xr:uid="{00000000-0005-0000-0000-0000E7180000}"/>
    <cellStyle name="Normal 5 2 4 2 2 7 2" xfId="14133" xr:uid="{E25B7BE3-E017-40FC-B472-87119FA2422D}"/>
    <cellStyle name="Normal 5 2 4 2 2 7 2 2" xfId="32729" xr:uid="{464D1FA3-3B25-4A59-8E82-285F33152C0F}"/>
    <cellStyle name="Normal 5 2 4 2 2 7 3" xfId="23432" xr:uid="{E5E44E88-F8F2-4546-8886-888BC7EB7167}"/>
    <cellStyle name="Normal 5 2 4 2 2 8" xfId="9137" xr:uid="{C80E4B27-40CA-4953-ABB8-99E2C575F775}"/>
    <cellStyle name="Normal 5 2 4 2 2 8 2" xfId="18461" xr:uid="{C6A531CA-0FB0-4B2A-AECE-3B50EEFA636E}"/>
    <cellStyle name="Normal 5 2 4 2 2 8 2 2" xfId="37056" xr:uid="{14B5AF08-5200-4C3B-A7EC-9662489F1101}"/>
    <cellStyle name="Normal 5 2 4 2 2 8 3" xfId="27759" xr:uid="{7171D131-EFBE-49A9-8548-45CA7A5ECD7B}"/>
    <cellStyle name="Normal 5 2 4 2 2 9" xfId="9916" xr:uid="{E6351C63-E9F7-47CF-89B5-30806B85FE63}"/>
    <cellStyle name="Normal 5 2 4 2 2 9 2" xfId="28512" xr:uid="{2849FCE9-23C4-44E1-A196-E1CF4EAACA3C}"/>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9AE37B67-052C-4FDE-890A-64E5C54EB95B}"/>
    <cellStyle name="Normal 5 2 4 2 3 2 2 2 2" xfId="35286" xr:uid="{017FB991-4CD5-4185-BD47-9C41DF39A131}"/>
    <cellStyle name="Normal 5 2 4 2 3 2 2 3" xfId="25989" xr:uid="{BD11340F-ECBF-4BFD-BD51-0AA2DD1EBAB2}"/>
    <cellStyle name="Normal 5 2 4 2 3 2 3" xfId="12473" xr:uid="{EC42A751-03A1-4AB8-B1E1-E045A2ACDA82}"/>
    <cellStyle name="Normal 5 2 4 2 3 2 3 2" xfId="31069" xr:uid="{446B7DE5-1E9B-4946-A96A-11496A17DC95}"/>
    <cellStyle name="Normal 5 2 4 2 3 2 4" xfId="21772" xr:uid="{A626FF6C-50D7-495D-981E-471FE1A7B269}"/>
    <cellStyle name="Normal 5 2 4 2 3 3" xfId="5219" xr:uid="{00000000-0005-0000-0000-0000EB180000}"/>
    <cellStyle name="Normal 5 2 4 2 3 3 2" xfId="14545" xr:uid="{62868637-8FF1-4DEF-9762-9DBB071F19FD}"/>
    <cellStyle name="Normal 5 2 4 2 3 3 2 2" xfId="33141" xr:uid="{E4A8C3CB-0E86-407F-8DA3-A8206BDF3C98}"/>
    <cellStyle name="Normal 5 2 4 2 3 3 3" xfId="23844" xr:uid="{98292128-242A-4906-BD6B-E59526F1F744}"/>
    <cellStyle name="Normal 5 2 4 2 3 4" xfId="9355" xr:uid="{9D38A6AA-2F63-4275-9FB8-F86A15F6A4D3}"/>
    <cellStyle name="Normal 5 2 4 2 3 4 2" xfId="18670" xr:uid="{3FB0E3B7-279D-416D-B172-5CAB4B2592AC}"/>
    <cellStyle name="Normal 5 2 4 2 3 4 2 2" xfId="37264" xr:uid="{7C3BAC4F-2864-41F8-9776-452539BB3C6F}"/>
    <cellStyle name="Normal 5 2 4 2 3 4 3" xfId="27967" xr:uid="{58D6DE7B-6155-49C8-8F05-5E7F4E1689E0}"/>
    <cellStyle name="Normal 5 2 4 2 3 5" xfId="10328" xr:uid="{22884131-31F4-4587-A175-535CDCDBB6CA}"/>
    <cellStyle name="Normal 5 2 4 2 3 5 2" xfId="28924" xr:uid="{F785C98A-32D5-439F-AEC5-7526EDC63642}"/>
    <cellStyle name="Normal 5 2 4 2 3 6" xfId="19627" xr:uid="{312D9244-94A1-4ECC-9E19-A7DD4056DA1F}"/>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B735ECA3-3091-4742-B49F-CE13018124AA}"/>
    <cellStyle name="Normal 5 2 4 2 4 2 2 2 2" xfId="35699" xr:uid="{FEED527D-DDC4-429A-AA8B-5883AA0B00DD}"/>
    <cellStyle name="Normal 5 2 4 2 4 2 2 3" xfId="26402" xr:uid="{FF1BC009-DCDB-4B8E-9B8B-309811904565}"/>
    <cellStyle name="Normal 5 2 4 2 4 2 3" xfId="12886" xr:uid="{83054C39-E08B-413F-AC60-54F3CE18D30D}"/>
    <cellStyle name="Normal 5 2 4 2 4 2 3 2" xfId="31482" xr:uid="{3F974933-F765-49A5-A09F-1A4BF6DC8E77}"/>
    <cellStyle name="Normal 5 2 4 2 4 2 4" xfId="22185" xr:uid="{130E55C0-168F-41FF-B07F-23F40CA34040}"/>
    <cellStyle name="Normal 5 2 4 2 4 3" xfId="5632" xr:uid="{00000000-0005-0000-0000-0000EF180000}"/>
    <cellStyle name="Normal 5 2 4 2 4 3 2" xfId="14958" xr:uid="{D20AE3AD-483A-4AA1-8EE7-0ECD5CC3DA9D}"/>
    <cellStyle name="Normal 5 2 4 2 4 3 2 2" xfId="33554" xr:uid="{685E7B09-C083-4E38-A175-76DA65BF1CBE}"/>
    <cellStyle name="Normal 5 2 4 2 4 3 3" xfId="24257" xr:uid="{A469B2D2-0E21-48F9-BFB3-88FAFBFB9929}"/>
    <cellStyle name="Normal 5 2 4 2 4 4" xfId="10741" xr:uid="{57589281-4B8C-45FE-906F-9C086710D7CA}"/>
    <cellStyle name="Normal 5 2 4 2 4 4 2" xfId="29337" xr:uid="{60553C86-5954-4422-BFB5-6CFAAB3CAA52}"/>
    <cellStyle name="Normal 5 2 4 2 4 5" xfId="20040" xr:uid="{B17AEE8E-79BA-4D3A-BF99-3B8DFC71424C}"/>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83E0A4F6-6593-4480-A13D-9A10590F9B90}"/>
    <cellStyle name="Normal 5 2 4 2 5 2 2 2 2" xfId="36112" xr:uid="{D0886B04-EFFE-4484-AB75-EDA044B0C854}"/>
    <cellStyle name="Normal 5 2 4 2 5 2 2 3" xfId="26815" xr:uid="{F34B8F73-4F45-4595-B345-62CF1CCA1A88}"/>
    <cellStyle name="Normal 5 2 4 2 5 2 3" xfId="13299" xr:uid="{CEAB1A58-245A-4784-87AB-5C66A5DD6DE5}"/>
    <cellStyle name="Normal 5 2 4 2 5 2 3 2" xfId="31895" xr:uid="{0AEFCFB7-00AC-4592-8E16-D55A06910F34}"/>
    <cellStyle name="Normal 5 2 4 2 5 2 4" xfId="22598" xr:uid="{28C9F289-85BF-4BD8-9A97-E7B1F9322642}"/>
    <cellStyle name="Normal 5 2 4 2 5 3" xfId="6045" xr:uid="{00000000-0005-0000-0000-0000F3180000}"/>
    <cellStyle name="Normal 5 2 4 2 5 3 2" xfId="15371" xr:uid="{956CE847-5D9A-4677-B5B7-495E7258E45B}"/>
    <cellStyle name="Normal 5 2 4 2 5 3 2 2" xfId="33967" xr:uid="{DD3810F0-45FF-44ED-92AD-2B659830E2D0}"/>
    <cellStyle name="Normal 5 2 4 2 5 3 3" xfId="24670" xr:uid="{5901D86E-35B0-4E3B-913A-476EAB8B8B89}"/>
    <cellStyle name="Normal 5 2 4 2 5 4" xfId="11154" xr:uid="{B63F42C8-24DA-4825-8B3A-8FB9D0E480BA}"/>
    <cellStyle name="Normal 5 2 4 2 5 4 2" xfId="29750" xr:uid="{48812F96-7882-424F-9494-A42A76D6FA47}"/>
    <cellStyle name="Normal 5 2 4 2 5 5" xfId="20453" xr:uid="{10F4A381-9FA2-418B-8427-684EF3609CBF}"/>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25923868-51F0-47DB-A1F5-F56F55AD4546}"/>
    <cellStyle name="Normal 5 2 4 2 6 2 2 2 2" xfId="36525" xr:uid="{0F45D42C-C414-49F6-A76E-DC071E44992D}"/>
    <cellStyle name="Normal 5 2 4 2 6 2 2 3" xfId="27228" xr:uid="{6623A8AD-9C4B-455D-8EA4-6C500C2BB9D8}"/>
    <cellStyle name="Normal 5 2 4 2 6 2 3" xfId="13712" xr:uid="{32BC4FBB-B2AB-45A2-B9A0-BEFB70CF97D7}"/>
    <cellStyle name="Normal 5 2 4 2 6 2 3 2" xfId="32308" xr:uid="{62C4CE88-A1E6-4310-8084-A6AC7A081059}"/>
    <cellStyle name="Normal 5 2 4 2 6 2 4" xfId="23011" xr:uid="{10222B98-8372-4D34-8D03-506DBE67EDAB}"/>
    <cellStyle name="Normal 5 2 4 2 6 3" xfId="6458" xr:uid="{00000000-0005-0000-0000-0000F7180000}"/>
    <cellStyle name="Normal 5 2 4 2 6 3 2" xfId="15784" xr:uid="{6C1C3EBB-04E4-4E91-9932-4C191A51C21C}"/>
    <cellStyle name="Normal 5 2 4 2 6 3 2 2" xfId="34380" xr:uid="{A55E065C-06F5-4E59-8F96-93E9A1E6D63A}"/>
    <cellStyle name="Normal 5 2 4 2 6 3 3" xfId="25083" xr:uid="{7C100F06-848B-4B06-B3A4-4EA4BC3ED317}"/>
    <cellStyle name="Normal 5 2 4 2 6 4" xfId="11567" xr:uid="{67837942-B243-49F1-AEAB-74D8156CF05E}"/>
    <cellStyle name="Normal 5 2 4 2 6 4 2" xfId="30163" xr:uid="{5A95ACA3-BE63-43A6-B55F-E7EDB1C68A0E}"/>
    <cellStyle name="Normal 5 2 4 2 6 5" xfId="20866" xr:uid="{14C6BD7A-96C7-47DD-922F-ED04D19096BE}"/>
    <cellStyle name="Normal 5 2 4 2 7" xfId="2588" xr:uid="{00000000-0005-0000-0000-0000F8180000}"/>
    <cellStyle name="Normal 5 2 4 2 7 2" xfId="6871" xr:uid="{00000000-0005-0000-0000-0000F9180000}"/>
    <cellStyle name="Normal 5 2 4 2 7 2 2" xfId="16197" xr:uid="{6AC34EAB-76C4-4C00-B944-509C1FDFAD38}"/>
    <cellStyle name="Normal 5 2 4 2 7 2 2 2" xfId="34793" xr:uid="{1C6E87EA-1640-43D5-807B-F554F29F99DE}"/>
    <cellStyle name="Normal 5 2 4 2 7 2 3" xfId="25496" xr:uid="{E586CCA6-9875-4F18-A78A-B4D28D9B80A6}"/>
    <cellStyle name="Normal 5 2 4 2 7 3" xfId="11980" xr:uid="{07E97C48-48A8-4FBE-A368-1329CA38A514}"/>
    <cellStyle name="Normal 5 2 4 2 7 3 2" xfId="30576" xr:uid="{5211894D-B29E-4443-988A-FF4BFE6C28FC}"/>
    <cellStyle name="Normal 5 2 4 2 7 4" xfId="21279" xr:uid="{A868559C-2D01-4C50-8DEC-FF2854C478E7}"/>
    <cellStyle name="Normal 5 2 4 2 8" xfId="4806" xr:uid="{00000000-0005-0000-0000-0000FA180000}"/>
    <cellStyle name="Normal 5 2 4 2 8 2" xfId="14132" xr:uid="{8F2F58FF-BF02-4C33-BB14-FE21183C0793}"/>
    <cellStyle name="Normal 5 2 4 2 8 2 2" xfId="32728" xr:uid="{EA9CBE2C-BE68-42B1-9B7B-1BABF2B27476}"/>
    <cellStyle name="Normal 5 2 4 2 8 3" xfId="23431" xr:uid="{57C07F9C-95B6-4410-B675-C75F16741976}"/>
    <cellStyle name="Normal 5 2 4 2 9" xfId="8930" xr:uid="{66B84ABA-CAF3-4BBE-9026-E7A47CB6006F}"/>
    <cellStyle name="Normal 5 2 4 2 9 2" xfId="18254" xr:uid="{9E18FFB5-C941-4B3B-B09C-4924DBE72269}"/>
    <cellStyle name="Normal 5 2 4 2 9 2 2" xfId="36849" xr:uid="{20D9BC7C-788E-44FC-89DB-9E5CE433B59D}"/>
    <cellStyle name="Normal 5 2 4 2 9 3" xfId="27552" xr:uid="{0D3CE153-E940-4BD4-BEC4-FCBF93898619}"/>
    <cellStyle name="Normal 5 2 4 3" xfId="435" xr:uid="{00000000-0005-0000-0000-0000FB180000}"/>
    <cellStyle name="Normal 5 2 4 3 10" xfId="19216" xr:uid="{5460323A-6768-4B07-9CA2-C95F40821276}"/>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0D64ACFF-DBFF-48AD-81AD-A695F5B85E62}"/>
    <cellStyle name="Normal 5 2 4 3 2 2 2 2 2" xfId="35288" xr:uid="{0371EF76-A685-4C70-952C-A06733B0F8A9}"/>
    <cellStyle name="Normal 5 2 4 3 2 2 2 3" xfId="25991" xr:uid="{5BAB110A-58A0-4A1E-8800-0D5BA0662DFD}"/>
    <cellStyle name="Normal 5 2 4 3 2 2 3" xfId="12475" xr:uid="{9E73396E-6399-4832-BA2F-50649B402967}"/>
    <cellStyle name="Normal 5 2 4 3 2 2 3 2" xfId="31071" xr:uid="{BA4CDC39-72C3-4E04-BCB6-28B1CBCC5669}"/>
    <cellStyle name="Normal 5 2 4 3 2 2 4" xfId="21774" xr:uid="{886892D1-EEC5-4F6C-A2C9-5B7D9BF22EB1}"/>
    <cellStyle name="Normal 5 2 4 3 2 3" xfId="5221" xr:uid="{00000000-0005-0000-0000-0000FF180000}"/>
    <cellStyle name="Normal 5 2 4 3 2 3 2" xfId="14547" xr:uid="{419F0C52-543C-4C79-8DAF-BCC412EF1FCD}"/>
    <cellStyle name="Normal 5 2 4 3 2 3 2 2" xfId="33143" xr:uid="{1A5A57EE-CBD5-4BFE-8307-6D7A56658C32}"/>
    <cellStyle name="Normal 5 2 4 3 2 3 3" xfId="23846" xr:uid="{4C1FB117-2C13-4D71-BBC3-C8FAF1EF9816}"/>
    <cellStyle name="Normal 5 2 4 3 2 4" xfId="9459" xr:uid="{ED2A936E-5624-4B26-A175-3FCE68E1BF5A}"/>
    <cellStyle name="Normal 5 2 4 3 2 4 2" xfId="18774" xr:uid="{EB10DADE-F4E2-4927-A3AB-11CC852EE5A5}"/>
    <cellStyle name="Normal 5 2 4 3 2 4 2 2" xfId="37368" xr:uid="{793FD178-B559-4323-8A31-5565761A85D1}"/>
    <cellStyle name="Normal 5 2 4 3 2 4 3" xfId="28071" xr:uid="{CFB3ED90-908A-4772-AF93-EEA2182359EE}"/>
    <cellStyle name="Normal 5 2 4 3 2 5" xfId="10330" xr:uid="{5646AF14-DE1A-490F-9018-4CA0E973F623}"/>
    <cellStyle name="Normal 5 2 4 3 2 5 2" xfId="28926" xr:uid="{D1E4C9D6-0646-4157-AC1D-D075030454C4}"/>
    <cellStyle name="Normal 5 2 4 3 2 6" xfId="19629" xr:uid="{1CB91CE2-9B33-461B-BC1C-F4F0F01E3DFD}"/>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87B5DCDD-F8FC-462E-AAAF-B3F5CC7A302F}"/>
    <cellStyle name="Normal 5 2 4 3 3 2 2 2 2" xfId="35701" xr:uid="{09F97DBC-2ABC-4F96-8667-7E993AA38187}"/>
    <cellStyle name="Normal 5 2 4 3 3 2 2 3" xfId="26404" xr:uid="{22CE63B7-CBC7-48EC-B0BD-9F19A51D4B66}"/>
    <cellStyle name="Normal 5 2 4 3 3 2 3" xfId="12888" xr:uid="{01778306-B388-4D06-B64F-8E3E1B7A6122}"/>
    <cellStyle name="Normal 5 2 4 3 3 2 3 2" xfId="31484" xr:uid="{3E667F2A-4431-422D-95B7-1AB493534D0D}"/>
    <cellStyle name="Normal 5 2 4 3 3 2 4" xfId="22187" xr:uid="{C2FD9964-B330-4658-AFC4-F791C348497F}"/>
    <cellStyle name="Normal 5 2 4 3 3 3" xfId="5634" xr:uid="{00000000-0005-0000-0000-000003190000}"/>
    <cellStyle name="Normal 5 2 4 3 3 3 2" xfId="14960" xr:uid="{A9A206B8-ACD8-418C-85A4-00B37331E6F8}"/>
    <cellStyle name="Normal 5 2 4 3 3 3 2 2" xfId="33556" xr:uid="{3B9A7043-DA8C-4575-BC3E-7196281722CB}"/>
    <cellStyle name="Normal 5 2 4 3 3 3 3" xfId="24259" xr:uid="{1DCE0122-4E8A-494F-87F5-ADEDB30897F7}"/>
    <cellStyle name="Normal 5 2 4 3 3 4" xfId="10743" xr:uid="{88E4ED62-529A-432B-83E9-347E1BC74661}"/>
    <cellStyle name="Normal 5 2 4 3 3 4 2" xfId="29339" xr:uid="{8CA08C20-58D0-4F4F-AEF7-1180279D4915}"/>
    <cellStyle name="Normal 5 2 4 3 3 5" xfId="20042" xr:uid="{A31DA200-389E-4308-BF56-E2D707BC7487}"/>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D1E76953-22B1-4269-8CA1-340D2F5FD007}"/>
    <cellStyle name="Normal 5 2 4 3 4 2 2 2 2" xfId="36114" xr:uid="{82E88D11-7FF4-4568-92C4-D85A4E08151E}"/>
    <cellStyle name="Normal 5 2 4 3 4 2 2 3" xfId="26817" xr:uid="{D421EE10-C79E-4D3D-A6E2-FB8D15BB232B}"/>
    <cellStyle name="Normal 5 2 4 3 4 2 3" xfId="13301" xr:uid="{EE31ED00-CD77-47E2-8880-AFD862A114ED}"/>
    <cellStyle name="Normal 5 2 4 3 4 2 3 2" xfId="31897" xr:uid="{4F6025F7-4904-46BB-95BB-7D682F76907D}"/>
    <cellStyle name="Normal 5 2 4 3 4 2 4" xfId="22600" xr:uid="{187D689D-2F5D-41BB-833B-2CC59507C457}"/>
    <cellStyle name="Normal 5 2 4 3 4 3" xfId="6047" xr:uid="{00000000-0005-0000-0000-000007190000}"/>
    <cellStyle name="Normal 5 2 4 3 4 3 2" xfId="15373" xr:uid="{58E7C858-C6A9-4D28-9165-EB80BA345166}"/>
    <cellStyle name="Normal 5 2 4 3 4 3 2 2" xfId="33969" xr:uid="{DC29AC7A-5DCA-44E8-896F-68D030D14F29}"/>
    <cellStyle name="Normal 5 2 4 3 4 3 3" xfId="24672" xr:uid="{C2DAC129-5BE9-4595-95F9-179F89597AE7}"/>
    <cellStyle name="Normal 5 2 4 3 4 4" xfId="11156" xr:uid="{111862CC-AF4D-4B38-A80D-8E45B20B7F59}"/>
    <cellStyle name="Normal 5 2 4 3 4 4 2" xfId="29752" xr:uid="{5C6E3DB0-4D0A-42E0-B88E-AB3907F6D81E}"/>
    <cellStyle name="Normal 5 2 4 3 4 5" xfId="20455" xr:uid="{FCC4AFFC-2DA2-4E94-9E9F-7776A1E74C95}"/>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BAFB98EC-70E1-4A24-996D-9644698286E7}"/>
    <cellStyle name="Normal 5 2 4 3 5 2 2 2 2" xfId="36527" xr:uid="{71BF433D-D658-458B-8548-1A6F0982A217}"/>
    <cellStyle name="Normal 5 2 4 3 5 2 2 3" xfId="27230" xr:uid="{4F3EB43D-55B3-4C63-A850-0C62970A0718}"/>
    <cellStyle name="Normal 5 2 4 3 5 2 3" xfId="13714" xr:uid="{E0AB67F7-8497-4F9D-A0B0-FCAA93F43F70}"/>
    <cellStyle name="Normal 5 2 4 3 5 2 3 2" xfId="32310" xr:uid="{424B70A4-9650-4464-A332-27392B7E9D43}"/>
    <cellStyle name="Normal 5 2 4 3 5 2 4" xfId="23013" xr:uid="{101E4676-EA87-4DE9-A0FA-7DD0FAEEAF13}"/>
    <cellStyle name="Normal 5 2 4 3 5 3" xfId="6460" xr:uid="{00000000-0005-0000-0000-00000B190000}"/>
    <cellStyle name="Normal 5 2 4 3 5 3 2" xfId="15786" xr:uid="{40FA36D9-125E-4591-8259-7E73CBEE14A8}"/>
    <cellStyle name="Normal 5 2 4 3 5 3 2 2" xfId="34382" xr:uid="{5EC9C920-D557-4D4C-9DFF-AA550C1574B6}"/>
    <cellStyle name="Normal 5 2 4 3 5 3 3" xfId="25085" xr:uid="{9EBEAF75-01AF-4875-92C1-493A47F1E3F7}"/>
    <cellStyle name="Normal 5 2 4 3 5 4" xfId="11569" xr:uid="{1B44F23F-CA7C-4048-8C03-C30088AE83B7}"/>
    <cellStyle name="Normal 5 2 4 3 5 4 2" xfId="30165" xr:uid="{F8EB336A-9FA7-45FD-852E-3A6EC21F4594}"/>
    <cellStyle name="Normal 5 2 4 3 5 5" xfId="20868" xr:uid="{B8B8D61D-05AB-4A45-98DF-B6BD95F1EEC2}"/>
    <cellStyle name="Normal 5 2 4 3 6" xfId="2590" xr:uid="{00000000-0005-0000-0000-00000C190000}"/>
    <cellStyle name="Normal 5 2 4 3 6 2" xfId="6873" xr:uid="{00000000-0005-0000-0000-00000D190000}"/>
    <cellStyle name="Normal 5 2 4 3 6 2 2" xfId="16199" xr:uid="{F3B8A0EC-563B-4B43-AE31-D56C01A79BE7}"/>
    <cellStyle name="Normal 5 2 4 3 6 2 2 2" xfId="34795" xr:uid="{6E078133-7B4C-4904-B3FF-D3FC340EA775}"/>
    <cellStyle name="Normal 5 2 4 3 6 2 3" xfId="25498" xr:uid="{6F752B7C-898B-4B88-8634-DA1859B9FA19}"/>
    <cellStyle name="Normal 5 2 4 3 6 3" xfId="11982" xr:uid="{D55BC284-E4D3-4BDA-971E-62837BF7D147}"/>
    <cellStyle name="Normal 5 2 4 3 6 3 2" xfId="30578" xr:uid="{08E8316B-D011-4A4D-B23B-EB52AFA7D08E}"/>
    <cellStyle name="Normal 5 2 4 3 6 4" xfId="21281" xr:uid="{CB7F86A4-4097-4C3E-91D6-F611B2D009B6}"/>
    <cellStyle name="Normal 5 2 4 3 7" xfId="4808" xr:uid="{00000000-0005-0000-0000-00000E190000}"/>
    <cellStyle name="Normal 5 2 4 3 7 2" xfId="14134" xr:uid="{7C5FEA3F-D6B6-409F-A97A-B1D587C8A665}"/>
    <cellStyle name="Normal 5 2 4 3 7 2 2" xfId="32730" xr:uid="{7D7DCC44-45CE-4D23-A64B-841CCFABA019}"/>
    <cellStyle name="Normal 5 2 4 3 7 3" xfId="23433" xr:uid="{412C3C2E-9A43-4ADF-8952-A1989AEEC322}"/>
    <cellStyle name="Normal 5 2 4 3 8" xfId="9034" xr:uid="{82D3DE5B-E868-4CF9-BA07-6E197DA4FAA5}"/>
    <cellStyle name="Normal 5 2 4 3 8 2" xfId="18358" xr:uid="{E23CA28A-70B2-49E4-ACB4-CB493464A545}"/>
    <cellStyle name="Normal 5 2 4 3 8 2 2" xfId="36953" xr:uid="{0141664A-9C1D-4128-AEE7-EF0CE8F6D6A0}"/>
    <cellStyle name="Normal 5 2 4 3 8 3" xfId="27656" xr:uid="{D87112C1-5488-4C81-A7C9-4EAAB0C5CEB1}"/>
    <cellStyle name="Normal 5 2 4 3 9" xfId="9917" xr:uid="{76906C93-6969-472A-8DAE-9737BCDADCE5}"/>
    <cellStyle name="Normal 5 2 4 3 9 2" xfId="28513" xr:uid="{702A214F-B056-4786-B3E5-27E4C97229C9}"/>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71C4F653-75A5-438A-A249-EB59C6DEA79A}"/>
    <cellStyle name="Normal 5 2 4 4 2 2 2 2" xfId="35285" xr:uid="{C369E005-6503-46A5-8DBA-C8E0610F6AF1}"/>
    <cellStyle name="Normal 5 2 4 4 2 2 3" xfId="25988" xr:uid="{AC743C4F-D3ED-40AC-A3C7-00B8016CEDE8}"/>
    <cellStyle name="Normal 5 2 4 4 2 3" xfId="12472" xr:uid="{90D8BAF5-AC46-4FDB-89BE-C6D3D4BE9530}"/>
    <cellStyle name="Normal 5 2 4 4 2 3 2" xfId="31068" xr:uid="{A5793375-871D-4507-AE09-A609FC104630}"/>
    <cellStyle name="Normal 5 2 4 4 2 4" xfId="21771" xr:uid="{E3E48F5A-5363-4EA6-9D00-A27402C8C1D1}"/>
    <cellStyle name="Normal 5 2 4 4 3" xfId="5218" xr:uid="{00000000-0005-0000-0000-000012190000}"/>
    <cellStyle name="Normal 5 2 4 4 3 2" xfId="14544" xr:uid="{0AE8EB42-9D7E-4437-8049-EDA8D3CAB3E1}"/>
    <cellStyle name="Normal 5 2 4 4 3 2 2" xfId="33140" xr:uid="{9277A5A4-A702-4E56-960A-20649DB21E85}"/>
    <cellStyle name="Normal 5 2 4 4 3 3" xfId="23843" xr:uid="{5A635712-43C1-4D93-83AA-B3BF06AA2238}"/>
    <cellStyle name="Normal 5 2 4 4 4" xfId="9252" xr:uid="{1D1A8EC4-7286-46A1-B40C-E987F273E760}"/>
    <cellStyle name="Normal 5 2 4 4 4 2" xfId="18567" xr:uid="{374A00D4-F164-40DA-840D-CAA7B5DF980B}"/>
    <cellStyle name="Normal 5 2 4 4 4 2 2" xfId="37161" xr:uid="{88408645-F171-4AF3-AE06-E16378C166E4}"/>
    <cellStyle name="Normal 5 2 4 4 4 3" xfId="27864" xr:uid="{B6A42762-4B43-4419-81A1-11A1C887BCB0}"/>
    <cellStyle name="Normal 5 2 4 4 5" xfId="10327" xr:uid="{3FF36E64-AC7C-424F-B436-1628C87E69A6}"/>
    <cellStyle name="Normal 5 2 4 4 5 2" xfId="28923" xr:uid="{BD300776-A66D-4B82-AD01-57B5B29FC7B5}"/>
    <cellStyle name="Normal 5 2 4 4 6" xfId="19626" xr:uid="{B2BD35B2-74FC-41FC-A364-34B74A01D598}"/>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7483E5F1-C49A-48A2-9369-B33D0DA7FC46}"/>
    <cellStyle name="Normal 5 2 4 5 2 2 2 2" xfId="35698" xr:uid="{C1215F59-CB67-4062-8EB7-A708EA0CF8DF}"/>
    <cellStyle name="Normal 5 2 4 5 2 2 3" xfId="26401" xr:uid="{B41A1F8E-2DD4-43A7-B43C-AED94F3B783F}"/>
    <cellStyle name="Normal 5 2 4 5 2 3" xfId="12885" xr:uid="{D5232EB0-8037-4880-A117-197B13FAD9D7}"/>
    <cellStyle name="Normal 5 2 4 5 2 3 2" xfId="31481" xr:uid="{46EB00ED-64F5-4533-8F1C-6F6DCAA7557A}"/>
    <cellStyle name="Normal 5 2 4 5 2 4" xfId="22184" xr:uid="{F4E01B3D-4EAF-4647-9EC5-6E5D9720058E}"/>
    <cellStyle name="Normal 5 2 4 5 3" xfId="5631" xr:uid="{00000000-0005-0000-0000-000016190000}"/>
    <cellStyle name="Normal 5 2 4 5 3 2" xfId="14957" xr:uid="{55E2DC4D-DDE2-44AA-A595-DCBD2D58F93F}"/>
    <cellStyle name="Normal 5 2 4 5 3 2 2" xfId="33553" xr:uid="{16E8DDA0-C310-4929-B1F7-2765031CCA74}"/>
    <cellStyle name="Normal 5 2 4 5 3 3" xfId="24256" xr:uid="{43CE8280-A4CF-4C00-89C4-6C3EC61E9044}"/>
    <cellStyle name="Normal 5 2 4 5 4" xfId="10740" xr:uid="{02813841-B7A1-4819-9103-CBEEBBC20419}"/>
    <cellStyle name="Normal 5 2 4 5 4 2" xfId="29336" xr:uid="{BD98C03E-256C-4385-8A0B-29A2B6F9DFF2}"/>
    <cellStyle name="Normal 5 2 4 5 5" xfId="20039" xr:uid="{291F970C-112A-4145-80F1-F8A2AF8A540E}"/>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9AE6BD25-98E2-4797-A45F-C8D8B084E035}"/>
    <cellStyle name="Normal 5 2 4 6 2 2 2 2" xfId="36111" xr:uid="{D1340BB1-0450-43D7-8272-A61C6E8B9FBC}"/>
    <cellStyle name="Normal 5 2 4 6 2 2 3" xfId="26814" xr:uid="{BF58F837-0893-4EEB-8B71-60F23474A9D0}"/>
    <cellStyle name="Normal 5 2 4 6 2 3" xfId="13298" xr:uid="{9C9815B4-2AB0-4599-A2FB-AFA6E559BD40}"/>
    <cellStyle name="Normal 5 2 4 6 2 3 2" xfId="31894" xr:uid="{6E13EB91-FC64-4753-A0B0-5834888A5E59}"/>
    <cellStyle name="Normal 5 2 4 6 2 4" xfId="22597" xr:uid="{A6EE7FC2-1CC8-4396-9008-EA7C0CAEE81B}"/>
    <cellStyle name="Normal 5 2 4 6 3" xfId="6044" xr:uid="{00000000-0005-0000-0000-00001A190000}"/>
    <cellStyle name="Normal 5 2 4 6 3 2" xfId="15370" xr:uid="{4982FDFC-23DA-4054-8FFE-314AC7A7F914}"/>
    <cellStyle name="Normal 5 2 4 6 3 2 2" xfId="33966" xr:uid="{6E940845-966F-4525-AA79-CC4C49D1767A}"/>
    <cellStyle name="Normal 5 2 4 6 3 3" xfId="24669" xr:uid="{323FBD50-49F7-4D17-8CC7-E2F9A7CF2DC7}"/>
    <cellStyle name="Normal 5 2 4 6 4" xfId="11153" xr:uid="{B612F26B-881A-4EFC-A9CF-37168F28ED59}"/>
    <cellStyle name="Normal 5 2 4 6 4 2" xfId="29749" xr:uid="{C5038842-6001-49CC-BBB8-1B1B54528F9E}"/>
    <cellStyle name="Normal 5 2 4 6 5" xfId="20452" xr:uid="{02F03929-25C0-478F-83FF-0F72300B6304}"/>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4C8CD825-BC0B-4CC7-BB39-FA1C9817CFF9}"/>
    <cellStyle name="Normal 5 2 4 7 2 2 2 2" xfId="36524" xr:uid="{58C678EF-EB8B-4CEB-BB31-87125146742F}"/>
    <cellStyle name="Normal 5 2 4 7 2 2 3" xfId="27227" xr:uid="{4F937781-93E6-4C10-8029-94FBC9280698}"/>
    <cellStyle name="Normal 5 2 4 7 2 3" xfId="13711" xr:uid="{8D4D1F2F-630B-4EB4-B80B-6BAA46DB8F13}"/>
    <cellStyle name="Normal 5 2 4 7 2 3 2" xfId="32307" xr:uid="{E7FFF304-81C9-40CA-9E14-3A44823274A6}"/>
    <cellStyle name="Normal 5 2 4 7 2 4" xfId="23010" xr:uid="{7254C79C-6F37-4EF3-913C-B0BB2D9C7668}"/>
    <cellStyle name="Normal 5 2 4 7 3" xfId="6457" xr:uid="{00000000-0005-0000-0000-00001E190000}"/>
    <cellStyle name="Normal 5 2 4 7 3 2" xfId="15783" xr:uid="{19D43F32-1C95-4431-A354-06BF71D4B938}"/>
    <cellStyle name="Normal 5 2 4 7 3 2 2" xfId="34379" xr:uid="{E3C11B4D-9FA7-4822-BC57-85BD963C2341}"/>
    <cellStyle name="Normal 5 2 4 7 3 3" xfId="25082" xr:uid="{8EF27A8A-926C-4735-89FE-2A61EDD38D0E}"/>
    <cellStyle name="Normal 5 2 4 7 4" xfId="11566" xr:uid="{0FA576C3-9045-4524-9975-DEE675D43B1B}"/>
    <cellStyle name="Normal 5 2 4 7 4 2" xfId="30162" xr:uid="{A5B85103-098D-4959-95BE-009CFB0FC266}"/>
    <cellStyle name="Normal 5 2 4 7 5" xfId="20865" xr:uid="{BCEADFEA-FF4E-4373-B29F-BE71CB406363}"/>
    <cellStyle name="Normal 5 2 4 8" xfId="2587" xr:uid="{00000000-0005-0000-0000-00001F190000}"/>
    <cellStyle name="Normal 5 2 4 8 2" xfId="6870" xr:uid="{00000000-0005-0000-0000-000020190000}"/>
    <cellStyle name="Normal 5 2 4 8 2 2" xfId="16196" xr:uid="{0AB2A0DC-EC1F-444E-AE38-326DE660A19B}"/>
    <cellStyle name="Normal 5 2 4 8 2 2 2" xfId="34792" xr:uid="{7EBFA2FB-DD49-4FD0-BA5F-9C79E5280DB6}"/>
    <cellStyle name="Normal 5 2 4 8 2 3" xfId="25495" xr:uid="{1A9E9B3A-0CD3-404B-A9DF-531F825762D3}"/>
    <cellStyle name="Normal 5 2 4 8 3" xfId="11979" xr:uid="{5DBC8E92-66D9-42FC-AE30-C172C8EEF064}"/>
    <cellStyle name="Normal 5 2 4 8 3 2" xfId="30575" xr:uid="{627682B9-F439-45B9-B828-1FD13C325A42}"/>
    <cellStyle name="Normal 5 2 4 8 4" xfId="21278" xr:uid="{B7B1341D-659A-4DCF-8333-6AB726E28A8B}"/>
    <cellStyle name="Normal 5 2 4 9" xfId="4805" xr:uid="{00000000-0005-0000-0000-000021190000}"/>
    <cellStyle name="Normal 5 2 4 9 2" xfId="14131" xr:uid="{FF3E3B0F-7657-4236-9821-875C5E59435D}"/>
    <cellStyle name="Normal 5 2 4 9 2 2" xfId="32727" xr:uid="{70E5EDF4-8078-4C9B-8148-C2DFFB2DE1EE}"/>
    <cellStyle name="Normal 5 2 4 9 3" xfId="23430" xr:uid="{058F07B0-22AA-4CF4-B5C1-D8277BC357A4}"/>
    <cellStyle name="Normal 5 2 5" xfId="436" xr:uid="{00000000-0005-0000-0000-000022190000}"/>
    <cellStyle name="Normal 5 2 5 10" xfId="9918" xr:uid="{4BB07DCD-9EBA-4A3E-92B4-18925DF5E42D}"/>
    <cellStyle name="Normal 5 2 5 10 2" xfId="28514" xr:uid="{0FB883CE-0A21-4F75-8DE3-A010D6F05FD4}"/>
    <cellStyle name="Normal 5 2 5 11" xfId="19217" xr:uid="{8B048474-2F14-4FCC-943F-DE26FC73DB6E}"/>
    <cellStyle name="Normal 5 2 5 2" xfId="437" xr:uid="{00000000-0005-0000-0000-000023190000}"/>
    <cellStyle name="Normal 5 2 5 2 10" xfId="19218" xr:uid="{AA6EB87B-DD14-43D4-9058-1FB3F9A0386C}"/>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EA07B069-AEF7-40EA-ACF2-C8DF80881111}"/>
    <cellStyle name="Normal 5 2 5 2 2 2 2 2 2" xfId="35290" xr:uid="{FDC00491-4388-49DB-BC7C-CC4ED3A09128}"/>
    <cellStyle name="Normal 5 2 5 2 2 2 2 3" xfId="25993" xr:uid="{3854953A-D3F4-4C64-BFA4-C9C1D9218DCA}"/>
    <cellStyle name="Normal 5 2 5 2 2 2 3" xfId="12477" xr:uid="{95884D10-1C01-43EF-8FDB-42F470B64F2D}"/>
    <cellStyle name="Normal 5 2 5 2 2 2 3 2" xfId="31073" xr:uid="{4E81E9CD-BB72-415C-B937-A30DC3563F33}"/>
    <cellStyle name="Normal 5 2 5 2 2 2 4" xfId="21776" xr:uid="{7A1CADA1-5BC8-4189-8877-7DEC205E0AC2}"/>
    <cellStyle name="Normal 5 2 5 2 2 3" xfId="5223" xr:uid="{00000000-0005-0000-0000-000027190000}"/>
    <cellStyle name="Normal 5 2 5 2 2 3 2" xfId="14549" xr:uid="{FF07F3E7-747A-4254-A683-ABFC03E9C7B5}"/>
    <cellStyle name="Normal 5 2 5 2 2 3 2 2" xfId="33145" xr:uid="{24729ECD-F0A5-436D-88B8-5A7E773C2B26}"/>
    <cellStyle name="Normal 5 2 5 2 2 3 3" xfId="23848" xr:uid="{B3E1B021-8895-46A0-A7B2-D52FB66D9BB9}"/>
    <cellStyle name="Normal 5 2 5 2 2 4" xfId="9479" xr:uid="{0DDFFFD4-5D62-4038-B6D4-9E9BD7CBA380}"/>
    <cellStyle name="Normal 5 2 5 2 2 4 2" xfId="18794" xr:uid="{D3FEC41E-896B-4B4F-ADBC-2AC7AA6EA55F}"/>
    <cellStyle name="Normal 5 2 5 2 2 4 2 2" xfId="37388" xr:uid="{36CB7119-6E14-4DA9-89CD-27BB3FD3A084}"/>
    <cellStyle name="Normal 5 2 5 2 2 4 3" xfId="28091" xr:uid="{C989E848-DB43-485E-A2BA-3FE49131F124}"/>
    <cellStyle name="Normal 5 2 5 2 2 5" xfId="10332" xr:uid="{D1D456B4-5623-4D49-8DF5-D69232917CAD}"/>
    <cellStyle name="Normal 5 2 5 2 2 5 2" xfId="28928" xr:uid="{CA5211AB-B118-4EC5-A136-36298F927E68}"/>
    <cellStyle name="Normal 5 2 5 2 2 6" xfId="19631" xr:uid="{4210C122-3534-4E2E-AE79-6C33DB390A37}"/>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2F51CBEF-1423-4B12-A42C-A0832360C314}"/>
    <cellStyle name="Normal 5 2 5 2 3 2 2 2 2" xfId="35703" xr:uid="{AC6CABC7-48C4-49F5-B403-CFC0AAA5B062}"/>
    <cellStyle name="Normal 5 2 5 2 3 2 2 3" xfId="26406" xr:uid="{FB131AF9-B741-4D84-9473-93D7BDF57231}"/>
    <cellStyle name="Normal 5 2 5 2 3 2 3" xfId="12890" xr:uid="{ED0EADC8-471A-4305-8DCB-11CD5115D8F4}"/>
    <cellStyle name="Normal 5 2 5 2 3 2 3 2" xfId="31486" xr:uid="{B5CBCC5A-4B8F-4DF4-9560-1DEEE389B92D}"/>
    <cellStyle name="Normal 5 2 5 2 3 2 4" xfId="22189" xr:uid="{9BD2F7D8-79DA-454F-B0AC-8A59813681DC}"/>
    <cellStyle name="Normal 5 2 5 2 3 3" xfId="5636" xr:uid="{00000000-0005-0000-0000-00002B190000}"/>
    <cellStyle name="Normal 5 2 5 2 3 3 2" xfId="14962" xr:uid="{06824B40-38C5-42D6-9AC8-F106BEC34101}"/>
    <cellStyle name="Normal 5 2 5 2 3 3 2 2" xfId="33558" xr:uid="{A0318059-6018-4DF1-8853-BF231FF274CD}"/>
    <cellStyle name="Normal 5 2 5 2 3 3 3" xfId="24261" xr:uid="{DA7F472B-988C-4D10-8967-B787D1CABCC2}"/>
    <cellStyle name="Normal 5 2 5 2 3 4" xfId="10745" xr:uid="{305785D8-B04D-463B-A0BA-AA76B33C5633}"/>
    <cellStyle name="Normal 5 2 5 2 3 4 2" xfId="29341" xr:uid="{3F25C6F3-3A7A-46A8-98AE-F9CB3CA9FC1A}"/>
    <cellStyle name="Normal 5 2 5 2 3 5" xfId="20044" xr:uid="{D4D9787A-8C1B-42DC-8CBD-0A7B11F264CC}"/>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4195A342-B26E-419D-BCCE-0B81DF5C0998}"/>
    <cellStyle name="Normal 5 2 5 2 4 2 2 2 2" xfId="36116" xr:uid="{9BEEDB70-5A87-44E9-B085-D6596D4646AE}"/>
    <cellStyle name="Normal 5 2 5 2 4 2 2 3" xfId="26819" xr:uid="{D6C64627-B4EE-4D0D-B52F-BF2FBB3C17B9}"/>
    <cellStyle name="Normal 5 2 5 2 4 2 3" xfId="13303" xr:uid="{3D453153-D577-4118-80B5-13C783BD3266}"/>
    <cellStyle name="Normal 5 2 5 2 4 2 3 2" xfId="31899" xr:uid="{2ADEEB94-2D20-43AE-B1C1-DC96E226E776}"/>
    <cellStyle name="Normal 5 2 5 2 4 2 4" xfId="22602" xr:uid="{2030A81A-4F93-441C-A4DE-B258380E8694}"/>
    <cellStyle name="Normal 5 2 5 2 4 3" xfId="6049" xr:uid="{00000000-0005-0000-0000-00002F190000}"/>
    <cellStyle name="Normal 5 2 5 2 4 3 2" xfId="15375" xr:uid="{3E47F6B7-4625-4885-A2B2-C5F6783F1A66}"/>
    <cellStyle name="Normal 5 2 5 2 4 3 2 2" xfId="33971" xr:uid="{11892627-62D1-41EC-AE4D-5147EC06CE19}"/>
    <cellStyle name="Normal 5 2 5 2 4 3 3" xfId="24674" xr:uid="{81EF4146-F41D-4655-A6F7-5559714CCFC5}"/>
    <cellStyle name="Normal 5 2 5 2 4 4" xfId="11158" xr:uid="{55CF6DB4-05B3-4E5C-9D8C-8A70EC75F2F2}"/>
    <cellStyle name="Normal 5 2 5 2 4 4 2" xfId="29754" xr:uid="{54096007-DADE-4F24-A856-38CA19260099}"/>
    <cellStyle name="Normal 5 2 5 2 4 5" xfId="20457" xr:uid="{1E52B21C-82B6-46BC-8F29-3DA848D49B0F}"/>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AF6A148F-6DE2-4463-8606-6EDCE4A59F53}"/>
    <cellStyle name="Normal 5 2 5 2 5 2 2 2 2" xfId="36529" xr:uid="{A43032BB-957C-4CA3-9A11-DFF298505B00}"/>
    <cellStyle name="Normal 5 2 5 2 5 2 2 3" xfId="27232" xr:uid="{D5202160-FD6E-421B-B8BB-018D2A44C067}"/>
    <cellStyle name="Normal 5 2 5 2 5 2 3" xfId="13716" xr:uid="{5DB761C3-A6EE-443B-8745-4153BEE228A4}"/>
    <cellStyle name="Normal 5 2 5 2 5 2 3 2" xfId="32312" xr:uid="{3CA40B22-1367-4F74-950D-66C5BDB324FB}"/>
    <cellStyle name="Normal 5 2 5 2 5 2 4" xfId="23015" xr:uid="{3B00CC03-1BDF-4377-A7ED-A81DA712308F}"/>
    <cellStyle name="Normal 5 2 5 2 5 3" xfId="6462" xr:uid="{00000000-0005-0000-0000-000033190000}"/>
    <cellStyle name="Normal 5 2 5 2 5 3 2" xfId="15788" xr:uid="{EE418197-3167-4A5B-8563-635A15BE223D}"/>
    <cellStyle name="Normal 5 2 5 2 5 3 2 2" xfId="34384" xr:uid="{1393D4EB-E8CC-480A-B482-BE17E769B19F}"/>
    <cellStyle name="Normal 5 2 5 2 5 3 3" xfId="25087" xr:uid="{E376F6BC-4D06-41BF-8930-44FA23E78FA9}"/>
    <cellStyle name="Normal 5 2 5 2 5 4" xfId="11571" xr:uid="{E2A14D6A-CADC-4280-AFCF-BDE8A8FB8DA1}"/>
    <cellStyle name="Normal 5 2 5 2 5 4 2" xfId="30167" xr:uid="{ED538934-878F-4546-9625-B3F9DF9FA02C}"/>
    <cellStyle name="Normal 5 2 5 2 5 5" xfId="20870" xr:uid="{7C238883-5290-4D67-9283-36FED2FF72D5}"/>
    <cellStyle name="Normal 5 2 5 2 6" xfId="2592" xr:uid="{00000000-0005-0000-0000-000034190000}"/>
    <cellStyle name="Normal 5 2 5 2 6 2" xfId="6875" xr:uid="{00000000-0005-0000-0000-000035190000}"/>
    <cellStyle name="Normal 5 2 5 2 6 2 2" xfId="16201" xr:uid="{15784483-7B8F-46DB-91AE-E1ADF172E8AA}"/>
    <cellStyle name="Normal 5 2 5 2 6 2 2 2" xfId="34797" xr:uid="{038DCDD6-EDBD-4005-A532-DA6704970A28}"/>
    <cellStyle name="Normal 5 2 5 2 6 2 3" xfId="25500" xr:uid="{CC8517DF-7A62-43BF-BDCA-C7D80A5E5E8A}"/>
    <cellStyle name="Normal 5 2 5 2 6 3" xfId="11984" xr:uid="{40E19C14-E8B0-478D-B69E-3231C7A61D42}"/>
    <cellStyle name="Normal 5 2 5 2 6 3 2" xfId="30580" xr:uid="{343EEDD9-44AD-40C6-92E8-14E8F6A3A54C}"/>
    <cellStyle name="Normal 5 2 5 2 6 4" xfId="21283" xr:uid="{A5F004E3-31E4-4995-AAA9-96E88BE6BF11}"/>
    <cellStyle name="Normal 5 2 5 2 7" xfId="4810" xr:uid="{00000000-0005-0000-0000-000036190000}"/>
    <cellStyle name="Normal 5 2 5 2 7 2" xfId="14136" xr:uid="{253F762E-EA7D-4C2C-84DC-974FDCA589C8}"/>
    <cellStyle name="Normal 5 2 5 2 7 2 2" xfId="32732" xr:uid="{FE614E58-7947-411B-8F48-5FE6E19BDE7A}"/>
    <cellStyle name="Normal 5 2 5 2 7 3" xfId="23435" xr:uid="{6E87CBE9-0EA8-4D3D-A901-53338C9A6CF5}"/>
    <cellStyle name="Normal 5 2 5 2 8" xfId="9054" xr:uid="{844F6476-DDB9-4C38-A2B2-83AB0DCF1773}"/>
    <cellStyle name="Normal 5 2 5 2 8 2" xfId="18378" xr:uid="{E594A42C-5098-42A6-9803-D4A42E1150F1}"/>
    <cellStyle name="Normal 5 2 5 2 8 2 2" xfId="36973" xr:uid="{061CB70E-DAC8-47DC-BC7A-5D8202774625}"/>
    <cellStyle name="Normal 5 2 5 2 8 3" xfId="27676" xr:uid="{90727375-EE65-4E0D-AAAC-660CC6676308}"/>
    <cellStyle name="Normal 5 2 5 2 9" xfId="9919" xr:uid="{BBFF758D-FDAA-440A-AF31-C347FD7F1108}"/>
    <cellStyle name="Normal 5 2 5 2 9 2" xfId="28515" xr:uid="{26378D14-7DB6-4FF4-B92C-0D8451E7CA0B}"/>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73307F74-4893-42C3-B84A-7BF75C4B4A7B}"/>
    <cellStyle name="Normal 5 2 5 3 2 2 2 2" xfId="35289" xr:uid="{99DE3549-A3D9-4059-889B-209CDADB63B9}"/>
    <cellStyle name="Normal 5 2 5 3 2 2 3" xfId="25992" xr:uid="{65ECEF4F-1FF8-4C8E-9DEE-3CF102433AAD}"/>
    <cellStyle name="Normal 5 2 5 3 2 3" xfId="12476" xr:uid="{139CDC3C-297A-4101-B672-63D7A068E572}"/>
    <cellStyle name="Normal 5 2 5 3 2 3 2" xfId="31072" xr:uid="{7E315DA0-1AA5-417B-97C3-6E667502FC31}"/>
    <cellStyle name="Normal 5 2 5 3 2 4" xfId="21775" xr:uid="{5E83532A-2721-4A1E-9E70-2B7638431B48}"/>
    <cellStyle name="Normal 5 2 5 3 3" xfId="5222" xr:uid="{00000000-0005-0000-0000-00003A190000}"/>
    <cellStyle name="Normal 5 2 5 3 3 2" xfId="14548" xr:uid="{8052D43D-DFBD-4B08-B994-8B0374B4DE69}"/>
    <cellStyle name="Normal 5 2 5 3 3 2 2" xfId="33144" xr:uid="{E131313E-1F7F-45B9-AD89-48CB3F34E460}"/>
    <cellStyle name="Normal 5 2 5 3 3 3" xfId="23847" xr:uid="{4E15E564-33EB-499F-A697-A91ACAF71D2F}"/>
    <cellStyle name="Normal 5 2 5 3 4" xfId="9272" xr:uid="{8865498C-CC61-4C5F-A1F4-57A1D301E1CE}"/>
    <cellStyle name="Normal 5 2 5 3 4 2" xfId="18587" xr:uid="{250FD6FB-99B5-4339-A3AA-4FA49C3D04FB}"/>
    <cellStyle name="Normal 5 2 5 3 4 2 2" xfId="37181" xr:uid="{5189D901-8DBB-4E55-B05D-293B9EB921BE}"/>
    <cellStyle name="Normal 5 2 5 3 4 3" xfId="27884" xr:uid="{EDCE4563-BC8B-45F7-ADBC-EB9F351FD3C5}"/>
    <cellStyle name="Normal 5 2 5 3 5" xfId="10331" xr:uid="{81A4B51E-434F-49C3-9225-91DCC2287612}"/>
    <cellStyle name="Normal 5 2 5 3 5 2" xfId="28927" xr:uid="{3C89951B-7D0F-4665-BA15-D6E8C74DF319}"/>
    <cellStyle name="Normal 5 2 5 3 6" xfId="19630" xr:uid="{03FC5351-1E40-4700-B3D1-DCBFB0AA4820}"/>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A6DE674C-71AE-4334-96DF-E6F5A1FBB4A7}"/>
    <cellStyle name="Normal 5 2 5 4 2 2 2 2" xfId="35702" xr:uid="{A8A8B41B-F968-43E0-A6A6-66CB7BB071B5}"/>
    <cellStyle name="Normal 5 2 5 4 2 2 3" xfId="26405" xr:uid="{5C2C9704-C39A-45D0-9A9B-672C2C4E351E}"/>
    <cellStyle name="Normal 5 2 5 4 2 3" xfId="12889" xr:uid="{CB71A974-5828-41A6-9ABC-8912561A7714}"/>
    <cellStyle name="Normal 5 2 5 4 2 3 2" xfId="31485" xr:uid="{30DD992B-F2DF-45EC-9BC0-5B3A56719FE3}"/>
    <cellStyle name="Normal 5 2 5 4 2 4" xfId="22188" xr:uid="{057309AD-0EC0-4F45-968F-50A5ADE04C1D}"/>
    <cellStyle name="Normal 5 2 5 4 3" xfId="5635" xr:uid="{00000000-0005-0000-0000-00003E190000}"/>
    <cellStyle name="Normal 5 2 5 4 3 2" xfId="14961" xr:uid="{1B4D1466-4676-472F-8E60-0D833F2AFC1B}"/>
    <cellStyle name="Normal 5 2 5 4 3 2 2" xfId="33557" xr:uid="{4CB756D7-4079-4599-BD27-B91A0FCB932D}"/>
    <cellStyle name="Normal 5 2 5 4 3 3" xfId="24260" xr:uid="{094FB7DE-FAB7-445B-BAA9-DE215E94A88D}"/>
    <cellStyle name="Normal 5 2 5 4 4" xfId="10744" xr:uid="{00A04E5C-7C94-45D3-B86F-844AEA3B1FAD}"/>
    <cellStyle name="Normal 5 2 5 4 4 2" xfId="29340" xr:uid="{A6E14846-3057-4909-AF05-7F8CFE8946CF}"/>
    <cellStyle name="Normal 5 2 5 4 5" xfId="20043" xr:uid="{3A99E9FE-A6A2-4F7A-B55C-BC5381F88231}"/>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A3093AC8-C6DB-427D-A861-8CB4397B3C47}"/>
    <cellStyle name="Normal 5 2 5 5 2 2 2 2" xfId="36115" xr:uid="{80EAA55B-77BE-4EC7-9AD8-A817AD91630E}"/>
    <cellStyle name="Normal 5 2 5 5 2 2 3" xfId="26818" xr:uid="{0D47CB60-D898-44E2-9E5E-409EB088A563}"/>
    <cellStyle name="Normal 5 2 5 5 2 3" xfId="13302" xr:uid="{A5A2CED4-3F30-4F20-B21F-1E6A9938650D}"/>
    <cellStyle name="Normal 5 2 5 5 2 3 2" xfId="31898" xr:uid="{C0756B6C-0F4D-4591-83BE-B194DE03F178}"/>
    <cellStyle name="Normal 5 2 5 5 2 4" xfId="22601" xr:uid="{6FD16AB8-4123-4F9D-B1CE-03CC34526B6B}"/>
    <cellStyle name="Normal 5 2 5 5 3" xfId="6048" xr:uid="{00000000-0005-0000-0000-000042190000}"/>
    <cellStyle name="Normal 5 2 5 5 3 2" xfId="15374" xr:uid="{F5EB8670-8C4E-48C3-8F4E-11F1B53B27ED}"/>
    <cellStyle name="Normal 5 2 5 5 3 2 2" xfId="33970" xr:uid="{3F6F365C-7345-477C-8FF0-AC25A2169C60}"/>
    <cellStyle name="Normal 5 2 5 5 3 3" xfId="24673" xr:uid="{89D164D9-598E-4AA1-BB00-871B1A69A635}"/>
    <cellStyle name="Normal 5 2 5 5 4" xfId="11157" xr:uid="{67AA081E-9239-41EB-AE41-900C9CD6ACF6}"/>
    <cellStyle name="Normal 5 2 5 5 4 2" xfId="29753" xr:uid="{46046E60-3588-4253-A36B-586F3BAD5012}"/>
    <cellStyle name="Normal 5 2 5 5 5" xfId="20456" xr:uid="{4D9D5632-FFB2-4979-946E-EACFFAFF5160}"/>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E0EEAEEE-7621-47DF-BC71-5F32B458519C}"/>
    <cellStyle name="Normal 5 2 5 6 2 2 2 2" xfId="36528" xr:uid="{25E42D5A-0B5D-4D69-922E-ECE4AB7A24C1}"/>
    <cellStyle name="Normal 5 2 5 6 2 2 3" xfId="27231" xr:uid="{2D56E65F-4ED3-4B25-AAA4-348FA841281C}"/>
    <cellStyle name="Normal 5 2 5 6 2 3" xfId="13715" xr:uid="{BEA49508-D4D0-47E6-83BE-53210B7A3A40}"/>
    <cellStyle name="Normal 5 2 5 6 2 3 2" xfId="32311" xr:uid="{80AF6ACB-CC59-471E-BC92-AC809F49CDA2}"/>
    <cellStyle name="Normal 5 2 5 6 2 4" xfId="23014" xr:uid="{3218A0E9-268D-4D20-9EA4-F5A4F898E4A0}"/>
    <cellStyle name="Normal 5 2 5 6 3" xfId="6461" xr:uid="{00000000-0005-0000-0000-000046190000}"/>
    <cellStyle name="Normal 5 2 5 6 3 2" xfId="15787" xr:uid="{EFC903E3-AB83-47E5-8F41-55F08C768522}"/>
    <cellStyle name="Normal 5 2 5 6 3 2 2" xfId="34383" xr:uid="{F26A4F81-3AC3-4402-9EA8-4FED7F6012BC}"/>
    <cellStyle name="Normal 5 2 5 6 3 3" xfId="25086" xr:uid="{759D68C7-D09A-4708-ACC8-18129F918FA8}"/>
    <cellStyle name="Normal 5 2 5 6 4" xfId="11570" xr:uid="{3EC7A588-F392-4815-8870-E0DC564312AD}"/>
    <cellStyle name="Normal 5 2 5 6 4 2" xfId="30166" xr:uid="{0C30D9EE-7DC8-439E-A8C1-72B682F96267}"/>
    <cellStyle name="Normal 5 2 5 6 5" xfId="20869" xr:uid="{2E14212A-1B61-4B77-B55E-8AAD03E58DC6}"/>
    <cellStyle name="Normal 5 2 5 7" xfId="2591" xr:uid="{00000000-0005-0000-0000-000047190000}"/>
    <cellStyle name="Normal 5 2 5 7 2" xfId="6874" xr:uid="{00000000-0005-0000-0000-000048190000}"/>
    <cellStyle name="Normal 5 2 5 7 2 2" xfId="16200" xr:uid="{E6C166B8-1B9E-4184-9F18-17BEDFDCC596}"/>
    <cellStyle name="Normal 5 2 5 7 2 2 2" xfId="34796" xr:uid="{4C05AC19-8CFC-4507-8122-FE9C876190AB}"/>
    <cellStyle name="Normal 5 2 5 7 2 3" xfId="25499" xr:uid="{DDB8E75C-FC8C-475E-AA32-81EDFA60D118}"/>
    <cellStyle name="Normal 5 2 5 7 3" xfId="11983" xr:uid="{B34D3D88-807E-4BEA-ADE6-C691E0D0CEB3}"/>
    <cellStyle name="Normal 5 2 5 7 3 2" xfId="30579" xr:uid="{0E43DE18-B69C-4F7B-A44D-B85774D58A7F}"/>
    <cellStyle name="Normal 5 2 5 7 4" xfId="21282" xr:uid="{4467B03E-104E-4BAD-B0F5-C8B1EA9EE924}"/>
    <cellStyle name="Normal 5 2 5 8" xfId="4809" xr:uid="{00000000-0005-0000-0000-000049190000}"/>
    <cellStyle name="Normal 5 2 5 8 2" xfId="14135" xr:uid="{8E43CDD0-BF09-4103-AA1D-17872DA44995}"/>
    <cellStyle name="Normal 5 2 5 8 2 2" xfId="32731" xr:uid="{6CC37843-E930-452C-B800-4F40F72CBE75}"/>
    <cellStyle name="Normal 5 2 5 8 3" xfId="23434" xr:uid="{4F0885B9-C093-4839-87D0-1CC4F31643E7}"/>
    <cellStyle name="Normal 5 2 5 9" xfId="8847" xr:uid="{504334B5-BB84-4906-81A5-68746D711AC3}"/>
    <cellStyle name="Normal 5 2 5 9 2" xfId="18171" xr:uid="{4F85C339-5372-4E1F-A2C6-40F0A4666668}"/>
    <cellStyle name="Normal 5 2 5 9 2 2" xfId="36766" xr:uid="{000FB215-D6EF-46A7-B5DC-A7BA32B5BC2C}"/>
    <cellStyle name="Normal 5 2 5 9 3" xfId="27469" xr:uid="{6B5D890E-40DB-4AA2-B898-3402DA7003F6}"/>
    <cellStyle name="Normal 5 2 6" xfId="438" xr:uid="{00000000-0005-0000-0000-00004A190000}"/>
    <cellStyle name="Normal 5 2 6 10" xfId="19219" xr:uid="{2284AB87-62BB-4D99-980C-3F18FDFBEE87}"/>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D395660F-653F-430D-AE17-39599C8A4EF6}"/>
    <cellStyle name="Normal 5 2 6 2 2 2 2 2" xfId="35291" xr:uid="{97CC3C37-97DA-42CF-8182-AA6BE7A2F588}"/>
    <cellStyle name="Normal 5 2 6 2 2 2 3" xfId="25994" xr:uid="{674F3974-DAE3-4CC6-A34B-284731DE0944}"/>
    <cellStyle name="Normal 5 2 6 2 2 3" xfId="12478" xr:uid="{2BD6BD18-74C2-48E1-9053-D3F08E45E4C8}"/>
    <cellStyle name="Normal 5 2 6 2 2 3 2" xfId="31074" xr:uid="{F16D5D08-8150-441A-946A-0FDE1C6FB234}"/>
    <cellStyle name="Normal 5 2 6 2 2 4" xfId="21777" xr:uid="{9A06A346-9C08-4659-BA94-BBDC0673A08F}"/>
    <cellStyle name="Normal 5 2 6 2 3" xfId="5224" xr:uid="{00000000-0005-0000-0000-00004E190000}"/>
    <cellStyle name="Normal 5 2 6 2 3 2" xfId="14550" xr:uid="{033C69B7-35C5-4EFD-9122-19555B616AF8}"/>
    <cellStyle name="Normal 5 2 6 2 3 2 2" xfId="33146" xr:uid="{66B7374F-0E8A-4488-BE6E-B9A7A45CDBE6}"/>
    <cellStyle name="Normal 5 2 6 2 3 3" xfId="23849" xr:uid="{321FA97C-34F6-41AE-ADBE-E12B9AAAB3FF}"/>
    <cellStyle name="Normal 5 2 6 2 4" xfId="9388" xr:uid="{38BE55A5-085B-499D-8766-DF826B77D03C}"/>
    <cellStyle name="Normal 5 2 6 2 4 2" xfId="18703" xr:uid="{CC9FE90A-380B-4ABA-879A-CFE1C4977993}"/>
    <cellStyle name="Normal 5 2 6 2 4 2 2" xfId="37297" xr:uid="{1FDA714D-4D1D-4B5A-8B29-B6B4FD9944B7}"/>
    <cellStyle name="Normal 5 2 6 2 4 3" xfId="28000" xr:uid="{2F3E1A38-C94E-4D0E-839D-C028B8B3AC6D}"/>
    <cellStyle name="Normal 5 2 6 2 5" xfId="10333" xr:uid="{F7AB05A5-9023-4957-9C05-EA3D91EB573D}"/>
    <cellStyle name="Normal 5 2 6 2 5 2" xfId="28929" xr:uid="{AFF709F6-1AA1-4540-A594-17D6E076DB9B}"/>
    <cellStyle name="Normal 5 2 6 2 6" xfId="19632" xr:uid="{64BD41EE-95E0-4123-A7AC-DEDB69DE6C4E}"/>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13ECC32D-D029-42A3-B518-8B174F281030}"/>
    <cellStyle name="Normal 5 2 6 3 2 2 2 2" xfId="35704" xr:uid="{AA4FBC8D-1F14-4B1E-90A7-5BDD06E47FEF}"/>
    <cellStyle name="Normal 5 2 6 3 2 2 3" xfId="26407" xr:uid="{A7384AFF-873D-487E-AF0C-E3ADA355E662}"/>
    <cellStyle name="Normal 5 2 6 3 2 3" xfId="12891" xr:uid="{282726EB-48EF-48C1-A381-CB91ED20BA19}"/>
    <cellStyle name="Normal 5 2 6 3 2 3 2" xfId="31487" xr:uid="{047E0492-460A-49D8-8E4B-AA5BBA52ACEF}"/>
    <cellStyle name="Normal 5 2 6 3 2 4" xfId="22190" xr:uid="{4F8E4DA1-0B12-4A56-8A87-F79A95B3C1DC}"/>
    <cellStyle name="Normal 5 2 6 3 3" xfId="5637" xr:uid="{00000000-0005-0000-0000-000052190000}"/>
    <cellStyle name="Normal 5 2 6 3 3 2" xfId="14963" xr:uid="{F3672F3F-C7E0-4990-AF12-80292B190914}"/>
    <cellStyle name="Normal 5 2 6 3 3 2 2" xfId="33559" xr:uid="{20F15F85-4805-4A42-865C-3CFB9D851186}"/>
    <cellStyle name="Normal 5 2 6 3 3 3" xfId="24262" xr:uid="{0B77671D-CB86-47A4-A0DE-453FED79C3AB}"/>
    <cellStyle name="Normal 5 2 6 3 4" xfId="10746" xr:uid="{58D1231C-418D-4802-9312-40BBC9DF10B5}"/>
    <cellStyle name="Normal 5 2 6 3 4 2" xfId="29342" xr:uid="{9788E2EE-3051-4355-BC32-76DF48C2EE86}"/>
    <cellStyle name="Normal 5 2 6 3 5" xfId="20045" xr:uid="{F957619A-F3A8-4B88-94CF-9014B18B7F3B}"/>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312374D5-03FD-446E-9E6A-691C3A8982BA}"/>
    <cellStyle name="Normal 5 2 6 4 2 2 2 2" xfId="36117" xr:uid="{545E3C83-7619-441C-A94C-3D31ECB8CA31}"/>
    <cellStyle name="Normal 5 2 6 4 2 2 3" xfId="26820" xr:uid="{6455F8F3-70AD-4909-A69D-E74EE18AA404}"/>
    <cellStyle name="Normal 5 2 6 4 2 3" xfId="13304" xr:uid="{45D0B46F-00A4-4D9A-A00D-920190CBD24B}"/>
    <cellStyle name="Normal 5 2 6 4 2 3 2" xfId="31900" xr:uid="{6BF54F18-8449-44D4-8954-737829A149E7}"/>
    <cellStyle name="Normal 5 2 6 4 2 4" xfId="22603" xr:uid="{6F3B1C64-3824-4497-A77C-F96BA6C3AF78}"/>
    <cellStyle name="Normal 5 2 6 4 3" xfId="6050" xr:uid="{00000000-0005-0000-0000-000056190000}"/>
    <cellStyle name="Normal 5 2 6 4 3 2" xfId="15376" xr:uid="{EC322665-F060-4E05-9122-6F796D2569F7}"/>
    <cellStyle name="Normal 5 2 6 4 3 2 2" xfId="33972" xr:uid="{8BED5D7D-C69E-4842-8955-CABCB473F3EA}"/>
    <cellStyle name="Normal 5 2 6 4 3 3" xfId="24675" xr:uid="{E5B6DD0C-7E36-4BEE-B238-56FA07C69337}"/>
    <cellStyle name="Normal 5 2 6 4 4" xfId="11159" xr:uid="{CF4C3A96-6E49-4BDF-9FDD-E8DC722FD70A}"/>
    <cellStyle name="Normal 5 2 6 4 4 2" xfId="29755" xr:uid="{DC2F5F9E-5111-4A0E-BF30-495A45972949}"/>
    <cellStyle name="Normal 5 2 6 4 5" xfId="20458" xr:uid="{C772931A-08FE-4A23-9EDD-452F6218DF75}"/>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F593C27B-3B54-47B0-A7AA-8E4BB13B8B4D}"/>
    <cellStyle name="Normal 5 2 6 5 2 2 2 2" xfId="36530" xr:uid="{BD11F1A0-85D1-4A25-83FE-064C07FDBC50}"/>
    <cellStyle name="Normal 5 2 6 5 2 2 3" xfId="27233" xr:uid="{1E78E07D-6C67-4BFA-AFCE-9B0D1B532D16}"/>
    <cellStyle name="Normal 5 2 6 5 2 3" xfId="13717" xr:uid="{46CAF162-F5DA-4341-A0CD-901BE46C0384}"/>
    <cellStyle name="Normal 5 2 6 5 2 3 2" xfId="32313" xr:uid="{055136AE-7F93-4BB3-9FF3-9B3536C77D70}"/>
    <cellStyle name="Normal 5 2 6 5 2 4" xfId="23016" xr:uid="{A64BADB1-0F6B-496E-8EA8-1139CBB38A75}"/>
    <cellStyle name="Normal 5 2 6 5 3" xfId="6463" xr:uid="{00000000-0005-0000-0000-00005A190000}"/>
    <cellStyle name="Normal 5 2 6 5 3 2" xfId="15789" xr:uid="{C60C6316-940B-4B2E-89F6-ED9CC397D459}"/>
    <cellStyle name="Normal 5 2 6 5 3 2 2" xfId="34385" xr:uid="{35D1F298-42FA-4389-B26F-8330DEA6155F}"/>
    <cellStyle name="Normal 5 2 6 5 3 3" xfId="25088" xr:uid="{3DB0DB0F-BE32-4919-931E-984AA1340E77}"/>
    <cellStyle name="Normal 5 2 6 5 4" xfId="11572" xr:uid="{9F129956-5FE1-4919-9F8A-BEBB57C28249}"/>
    <cellStyle name="Normal 5 2 6 5 4 2" xfId="30168" xr:uid="{EA96AEC2-3FB9-429A-BD47-55CAA38EDB66}"/>
    <cellStyle name="Normal 5 2 6 5 5" xfId="20871" xr:uid="{DA513933-83A2-4F60-A051-313F11D81B9E}"/>
    <cellStyle name="Normal 5 2 6 6" xfId="2593" xr:uid="{00000000-0005-0000-0000-00005B190000}"/>
    <cellStyle name="Normal 5 2 6 6 2" xfId="6876" xr:uid="{00000000-0005-0000-0000-00005C190000}"/>
    <cellStyle name="Normal 5 2 6 6 2 2" xfId="16202" xr:uid="{28D2CEA3-5FB4-4908-B4EC-8951D23D6AF6}"/>
    <cellStyle name="Normal 5 2 6 6 2 2 2" xfId="34798" xr:uid="{997D3949-F1D8-46E6-9A2E-4AF4DD7F1270}"/>
    <cellStyle name="Normal 5 2 6 6 2 3" xfId="25501" xr:uid="{1B91F4BC-0716-4419-A20F-50D6724683B8}"/>
    <cellStyle name="Normal 5 2 6 6 3" xfId="11985" xr:uid="{30401B3F-4632-44DB-9324-93C2CBE0F829}"/>
    <cellStyle name="Normal 5 2 6 6 3 2" xfId="30581" xr:uid="{59AE9F76-D285-471F-BE51-67BEB531E2ED}"/>
    <cellStyle name="Normal 5 2 6 6 4" xfId="21284" xr:uid="{46646A27-AF80-4C68-80D1-685AC20699C1}"/>
    <cellStyle name="Normal 5 2 6 7" xfId="4811" xr:uid="{00000000-0005-0000-0000-00005D190000}"/>
    <cellStyle name="Normal 5 2 6 7 2" xfId="14137" xr:uid="{4AD682B4-6D57-4CC3-A030-4B4676D7EE45}"/>
    <cellStyle name="Normal 5 2 6 7 2 2" xfId="32733" xr:uid="{3B1E0890-EE89-40CB-AAA5-422888532562}"/>
    <cellStyle name="Normal 5 2 6 7 3" xfId="23436" xr:uid="{2BDE84CC-A198-4E4B-9A4F-B6A5E82A2FB1}"/>
    <cellStyle name="Normal 5 2 6 8" xfId="8963" xr:uid="{01BDB756-0B70-4C0D-AC32-9959EE0C8F11}"/>
    <cellStyle name="Normal 5 2 6 8 2" xfId="18287" xr:uid="{BB086D36-BCE5-43FE-AF84-CE79B119A24B}"/>
    <cellStyle name="Normal 5 2 6 8 2 2" xfId="36882" xr:uid="{68B4C0EC-3327-4EE0-8603-5B285715DAED}"/>
    <cellStyle name="Normal 5 2 6 8 3" xfId="27585" xr:uid="{3D0A11F6-8EE8-44ED-A0C5-E821D86F8E26}"/>
    <cellStyle name="Normal 5 2 6 9" xfId="9920" xr:uid="{32366650-D4E6-4EA3-B64C-78AC0E11148E}"/>
    <cellStyle name="Normal 5 2 6 9 2" xfId="28516" xr:uid="{15B60944-30FB-42BC-893A-75779DA8AF51}"/>
    <cellStyle name="Normal 5 2 7" xfId="881" xr:uid="{00000000-0005-0000-0000-00005E190000}"/>
    <cellStyle name="Normal 5 2 7 2" xfId="3116" xr:uid="{00000000-0005-0000-0000-00005F190000}"/>
    <cellStyle name="Normal 5 2 7 2 2" xfId="7338" xr:uid="{00000000-0005-0000-0000-000060190000}"/>
    <cellStyle name="Normal 5 2 7 2 2 2" xfId="16664" xr:uid="{FA4FCFF1-0049-4239-9B61-B80C3373F7E5}"/>
    <cellStyle name="Normal 5 2 7 2 2 2 2" xfId="35260" xr:uid="{A7FAD71B-CC75-441A-8647-A5DF1EED0663}"/>
    <cellStyle name="Normal 5 2 7 2 2 3" xfId="25963" xr:uid="{79016B75-D657-46D3-87B3-D2204ACD5139}"/>
    <cellStyle name="Normal 5 2 7 2 3" xfId="12447" xr:uid="{26813C02-A2F5-4A07-B8DA-016BAD3BE4A4}"/>
    <cellStyle name="Normal 5 2 7 2 3 2" xfId="31043" xr:uid="{F4BD978F-C14E-4C5F-983D-22E20A9AABE3}"/>
    <cellStyle name="Normal 5 2 7 2 4" xfId="21746" xr:uid="{CEA7F0CF-681F-49EA-881E-0726CBB99F30}"/>
    <cellStyle name="Normal 5 2 7 3" xfId="5193" xr:uid="{00000000-0005-0000-0000-000061190000}"/>
    <cellStyle name="Normal 5 2 7 3 2" xfId="14519" xr:uid="{75ADBB67-4309-4D84-83F7-CBBCFCD075B3}"/>
    <cellStyle name="Normal 5 2 7 3 2 2" xfId="33115" xr:uid="{6EB8027F-588F-4935-B009-FA764B9ABA50}"/>
    <cellStyle name="Normal 5 2 7 3 3" xfId="23818" xr:uid="{FB400CC6-DCDF-444F-99AC-31AB25F3193D}"/>
    <cellStyle name="Normal 5 2 7 4" xfId="9166" xr:uid="{903BB692-5043-4803-B109-F7C532EB2A09}"/>
    <cellStyle name="Normal 5 2 7 4 2" xfId="18484" xr:uid="{F78FD2D8-4870-47FB-9D8C-359A54C3805C}"/>
    <cellStyle name="Normal 5 2 7 4 2 2" xfId="37078" xr:uid="{430C6F34-2B9F-4682-A86C-C707ECAE2D06}"/>
    <cellStyle name="Normal 5 2 7 4 3" xfId="27781" xr:uid="{D946D548-3F9A-449F-9E4F-A0899CD7BEC4}"/>
    <cellStyle name="Normal 5 2 7 5" xfId="10302" xr:uid="{B75FCE3D-756C-47B2-8967-1AED6500386F}"/>
    <cellStyle name="Normal 5 2 7 5 2" xfId="28898" xr:uid="{490CEB45-C161-400E-B529-2EC1E43FD0E6}"/>
    <cellStyle name="Normal 5 2 7 6" xfId="19601" xr:uid="{89E9F905-92C7-452C-BE33-E2A81FB0A95A}"/>
    <cellStyle name="Normal 5 2 8" xfId="1299" xr:uid="{00000000-0005-0000-0000-000062190000}"/>
    <cellStyle name="Normal 5 2 8 2" xfId="3529" xr:uid="{00000000-0005-0000-0000-000063190000}"/>
    <cellStyle name="Normal 5 2 8 2 2" xfId="7751" xr:uid="{00000000-0005-0000-0000-000064190000}"/>
    <cellStyle name="Normal 5 2 8 2 2 2" xfId="17077" xr:uid="{34120B43-70B0-4034-B53B-9113D7DF7FE7}"/>
    <cellStyle name="Normal 5 2 8 2 2 2 2" xfId="35673" xr:uid="{D31D3491-D7C3-40CB-9968-C24143F4DC40}"/>
    <cellStyle name="Normal 5 2 8 2 2 3" xfId="26376" xr:uid="{BFA6067F-8EED-4381-AB6A-938105F8A27C}"/>
    <cellStyle name="Normal 5 2 8 2 3" xfId="12860" xr:uid="{160C252B-9C75-4FE1-BDD4-16CEAEE23846}"/>
    <cellStyle name="Normal 5 2 8 2 3 2" xfId="31456" xr:uid="{FDD760A0-30EA-46AF-AD86-6CA69499D093}"/>
    <cellStyle name="Normal 5 2 8 2 4" xfId="22159" xr:uid="{57A328C0-68CE-4AF1-B151-3B2581BD7108}"/>
    <cellStyle name="Normal 5 2 8 3" xfId="5606" xr:uid="{00000000-0005-0000-0000-000065190000}"/>
    <cellStyle name="Normal 5 2 8 3 2" xfId="14932" xr:uid="{43CC7CBE-D6F5-4757-AB85-DD9F5FB5615B}"/>
    <cellStyle name="Normal 5 2 8 3 2 2" xfId="33528" xr:uid="{AA328DB1-86E9-45FA-AEBA-741D7EC45AC5}"/>
    <cellStyle name="Normal 5 2 8 3 3" xfId="24231" xr:uid="{FC53E1B3-CAA6-45C3-9B5C-08A4F458BABF}"/>
    <cellStyle name="Normal 5 2 8 4" xfId="10715" xr:uid="{97C91A0D-C264-4D85-BC77-F4906B121D53}"/>
    <cellStyle name="Normal 5 2 8 4 2" xfId="29311" xr:uid="{38C39508-4DE9-48BF-955E-0B14A48FFC89}"/>
    <cellStyle name="Normal 5 2 8 5" xfId="20014" xr:uid="{C9847B61-BAD8-4082-BAC2-BF57445480BC}"/>
    <cellStyle name="Normal 5 2 9" xfId="1712" xr:uid="{00000000-0005-0000-0000-000066190000}"/>
    <cellStyle name="Normal 5 2 9 2" xfId="3942" xr:uid="{00000000-0005-0000-0000-000067190000}"/>
    <cellStyle name="Normal 5 2 9 2 2" xfId="8164" xr:uid="{00000000-0005-0000-0000-000068190000}"/>
    <cellStyle name="Normal 5 2 9 2 2 2" xfId="17490" xr:uid="{4A786C6A-EE2E-42D7-ABB4-CA1019FD0F17}"/>
    <cellStyle name="Normal 5 2 9 2 2 2 2" xfId="36086" xr:uid="{01C0C185-2357-4AD8-9310-AE5698893558}"/>
    <cellStyle name="Normal 5 2 9 2 2 3" xfId="26789" xr:uid="{EE6A150B-4CD8-4556-B9BA-0F4EBE3909BA}"/>
    <cellStyle name="Normal 5 2 9 2 3" xfId="13273" xr:uid="{748761A0-396D-4741-A49E-FEB9EB6ECF91}"/>
    <cellStyle name="Normal 5 2 9 2 3 2" xfId="31869" xr:uid="{2A3859F8-49B0-4F7B-9EA0-32CC3E252D51}"/>
    <cellStyle name="Normal 5 2 9 2 4" xfId="22572" xr:uid="{18DFE980-53FF-4F7A-B32A-4338C8B2E536}"/>
    <cellStyle name="Normal 5 2 9 3" xfId="6019" xr:uid="{00000000-0005-0000-0000-000069190000}"/>
    <cellStyle name="Normal 5 2 9 3 2" xfId="15345" xr:uid="{49B805FF-1D87-4FF1-A34F-652DBD52E4C5}"/>
    <cellStyle name="Normal 5 2 9 3 2 2" xfId="33941" xr:uid="{0334F0C0-9002-4D41-81B6-761C2A76A912}"/>
    <cellStyle name="Normal 5 2 9 3 3" xfId="24644" xr:uid="{C0DB0F8E-D7E7-4BD9-A42D-F3EE71E43453}"/>
    <cellStyle name="Normal 5 2 9 4" xfId="11128" xr:uid="{D307FB60-99CB-4018-9F4E-4BA80D321082}"/>
    <cellStyle name="Normal 5 2 9 4 2" xfId="29724" xr:uid="{996D8B22-88D1-4161-B97B-92558B5A8799}"/>
    <cellStyle name="Normal 5 2 9 5" xfId="20427" xr:uid="{40DFADD4-7772-46C9-B68C-A4A0AAA8358D}"/>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E28929C2-EE9C-45E6-814C-AC13E24CA39D}"/>
    <cellStyle name="Normal 5 3 10 2 2 2 2" xfId="36531" xr:uid="{9D7CB8B7-12CF-4520-90D7-9A79B8AFE96D}"/>
    <cellStyle name="Normal 5 3 10 2 2 3" xfId="27234" xr:uid="{5985CE9E-DDA9-41F9-B9B4-416C0AAF1BB2}"/>
    <cellStyle name="Normal 5 3 10 2 3" xfId="13718" xr:uid="{FC112BD1-081A-4FC9-9069-E5AF18B23301}"/>
    <cellStyle name="Normal 5 3 10 2 3 2" xfId="32314" xr:uid="{4A61B312-73CC-4801-898D-9D7DB6F8E10A}"/>
    <cellStyle name="Normal 5 3 10 2 4" xfId="23017" xr:uid="{9F4F141A-9599-4BC6-9D4A-A43C50692D14}"/>
    <cellStyle name="Normal 5 3 10 3" xfId="6464" xr:uid="{00000000-0005-0000-0000-00006E190000}"/>
    <cellStyle name="Normal 5 3 10 3 2" xfId="15790" xr:uid="{F4715D1E-F54A-4ADC-A94C-DF0B47AB12B6}"/>
    <cellStyle name="Normal 5 3 10 3 2 2" xfId="34386" xr:uid="{FC17175D-C137-46BA-8600-D30E2CF01C94}"/>
    <cellStyle name="Normal 5 3 10 3 3" xfId="25089" xr:uid="{6170EDC4-3DE0-4F19-820C-96F0BDCB321F}"/>
    <cellStyle name="Normal 5 3 10 4" xfId="11573" xr:uid="{24678532-10E1-4A26-B415-697CA855429B}"/>
    <cellStyle name="Normal 5 3 10 4 2" xfId="30169" xr:uid="{E8FF06CB-C6E1-4916-B72A-7AE3EEE34FF6}"/>
    <cellStyle name="Normal 5 3 10 5" xfId="20872" xr:uid="{F2026AFD-C5CE-4D33-BC76-E248798F5542}"/>
    <cellStyle name="Normal 5 3 11" xfId="2594" xr:uid="{00000000-0005-0000-0000-00006F190000}"/>
    <cellStyle name="Normal 5 3 11 2" xfId="6877" xr:uid="{00000000-0005-0000-0000-000070190000}"/>
    <cellStyle name="Normal 5 3 11 2 2" xfId="16203" xr:uid="{0FD81C9F-8689-4B15-BF56-25F8291E4F83}"/>
    <cellStyle name="Normal 5 3 11 2 2 2" xfId="34799" xr:uid="{E43AB977-7BFD-45E7-8C0F-965922537956}"/>
    <cellStyle name="Normal 5 3 11 2 3" xfId="25502" xr:uid="{A428909C-28E9-41BF-9DE7-9089F724AD24}"/>
    <cellStyle name="Normal 5 3 11 3" xfId="11986" xr:uid="{886884AF-4C21-4006-81DD-639F04A6692A}"/>
    <cellStyle name="Normal 5 3 11 3 2" xfId="30582" xr:uid="{FF824327-5B15-4B50-8007-CBA4110ABD92}"/>
    <cellStyle name="Normal 5 3 11 4" xfId="21285" xr:uid="{A0D185E2-B0AA-4D3E-8EA7-E8BA8F937E0C}"/>
    <cellStyle name="Normal 5 3 12" xfId="4812" xr:uid="{00000000-0005-0000-0000-000071190000}"/>
    <cellStyle name="Normal 5 3 12 2" xfId="14138" xr:uid="{72FAD15C-7C94-4EB7-9A12-2FC232E02D6E}"/>
    <cellStyle name="Normal 5 3 12 2 2" xfId="32734" xr:uid="{BFA25846-5528-4D24-BA6D-09A99686E81E}"/>
    <cellStyle name="Normal 5 3 12 3" xfId="23437" xr:uid="{3F1FA047-B444-418A-90D2-C3720D9ED8D0}"/>
    <cellStyle name="Normal 5 3 13" xfId="8750" xr:uid="{36957AEF-D081-4A23-AEE3-073A5901863C}"/>
    <cellStyle name="Normal 5 3 13 2" xfId="18074" xr:uid="{D7E7D7FD-50E9-4642-8F36-EAA17F8BFFB9}"/>
    <cellStyle name="Normal 5 3 13 2 2" xfId="36669" xr:uid="{DE8FF04A-FA2A-4EBC-B6FC-8C842187C331}"/>
    <cellStyle name="Normal 5 3 13 3" xfId="27372" xr:uid="{AF198683-BE21-409B-B4A6-3C7FE83C4771}"/>
    <cellStyle name="Normal 5 3 14" xfId="9921" xr:uid="{54C336CC-B27A-41D9-8FFD-EA3E7091E3F7}"/>
    <cellStyle name="Normal 5 3 14 2" xfId="28517" xr:uid="{5949E3DB-C1FF-4136-9865-3AF6A7AF3495}"/>
    <cellStyle name="Normal 5 3 15" xfId="19220" xr:uid="{0D435B32-9A0C-4359-B54F-9730FB829588}"/>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BF4EAEE6-517B-42AF-A6DD-33C40CB50394}"/>
    <cellStyle name="Normal 5 3 3 10 2 2" xfId="32735" xr:uid="{160834AF-5451-4017-BD5E-88CBF134A6E5}"/>
    <cellStyle name="Normal 5 3 3 10 3" xfId="23438" xr:uid="{588B1F47-FEA6-4B6F-9BAF-88C6FF129EB8}"/>
    <cellStyle name="Normal 5 3 3 11" xfId="8782" xr:uid="{4219AD28-469A-4693-BD0B-B0536AC433E5}"/>
    <cellStyle name="Normal 5 3 3 11 2" xfId="18106" xr:uid="{D9B212D2-32E5-49EC-B0A3-7F24E0E9E164}"/>
    <cellStyle name="Normal 5 3 3 11 2 2" xfId="36701" xr:uid="{E9D972DB-3857-4D49-89F4-720E3683C71E}"/>
    <cellStyle name="Normal 5 3 3 11 3" xfId="27404" xr:uid="{3DAF0394-62C4-4878-BDAB-DAE84CC2740B}"/>
    <cellStyle name="Normal 5 3 3 12" xfId="9922" xr:uid="{CF49471D-108D-4CE0-8783-F8D2DD33A569}"/>
    <cellStyle name="Normal 5 3 3 12 2" xfId="28518" xr:uid="{B4D41EBB-6F10-414D-B4E9-F267593582D3}"/>
    <cellStyle name="Normal 5 3 3 13" xfId="19221" xr:uid="{8D1D62AA-6B16-4FC7-9CC7-BCB8AE290E8A}"/>
    <cellStyle name="Normal 5 3 3 2" xfId="442" xr:uid="{00000000-0005-0000-0000-000076190000}"/>
    <cellStyle name="Normal 5 3 3 2 10" xfId="8832" xr:uid="{03323DDB-E4E1-4078-8BBE-EA3DD4471E1B}"/>
    <cellStyle name="Normal 5 3 3 2 10 2" xfId="18156" xr:uid="{0EA41E3F-53A9-4165-B81B-653E70674B6D}"/>
    <cellStyle name="Normal 5 3 3 2 10 2 2" xfId="36751" xr:uid="{2BE26B94-C656-425A-AC26-6FDFF256DCB2}"/>
    <cellStyle name="Normal 5 3 3 2 10 3" xfId="27454" xr:uid="{4E444A75-C6B9-4D02-BF83-0422BB7E5DF4}"/>
    <cellStyle name="Normal 5 3 3 2 11" xfId="9923" xr:uid="{39A799DD-10B6-4464-8DEA-5AE57778D6EE}"/>
    <cellStyle name="Normal 5 3 3 2 11 2" xfId="28519" xr:uid="{15E63459-0FA1-4C7D-BFBD-1D9F448DA902}"/>
    <cellStyle name="Normal 5 3 3 2 12" xfId="19222" xr:uid="{DC280240-7B0B-4317-BB05-B4BABAC856CA}"/>
    <cellStyle name="Normal 5 3 3 2 2" xfId="443" xr:uid="{00000000-0005-0000-0000-000077190000}"/>
    <cellStyle name="Normal 5 3 3 2 2 10" xfId="9924" xr:uid="{188AE0D4-BE1F-4D6B-A5D5-546ABF0B1E2E}"/>
    <cellStyle name="Normal 5 3 3 2 2 10 2" xfId="28520" xr:uid="{B3FF119C-DEAE-48E9-8973-FC6E718B564F}"/>
    <cellStyle name="Normal 5 3 3 2 2 11" xfId="19223" xr:uid="{095DA706-C73E-4CF7-820E-D3BDF61C2038}"/>
    <cellStyle name="Normal 5 3 3 2 2 2" xfId="444" xr:uid="{00000000-0005-0000-0000-000078190000}"/>
    <cellStyle name="Normal 5 3 3 2 2 2 10" xfId="19224" xr:uid="{5A28BC92-7809-445E-95B7-D18E34A82A29}"/>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9E8DE942-9000-4ECF-9227-D76EDDEF31BA}"/>
    <cellStyle name="Normal 5 3 3 2 2 2 2 2 2 2 2" xfId="35296" xr:uid="{3C718D18-0B72-4F3C-9AB0-A5A5A612903E}"/>
    <cellStyle name="Normal 5 3 3 2 2 2 2 2 2 3" xfId="25999" xr:uid="{7E28D3A2-5560-4322-A700-36EFAF2770D9}"/>
    <cellStyle name="Normal 5 3 3 2 2 2 2 2 3" xfId="12483" xr:uid="{1307781C-7391-4B3D-84AA-EA37CA2B31E1}"/>
    <cellStyle name="Normal 5 3 3 2 2 2 2 2 3 2" xfId="31079" xr:uid="{ADAC25EE-9003-4743-BB81-5DC1F916B4FF}"/>
    <cellStyle name="Normal 5 3 3 2 2 2 2 2 4" xfId="21782" xr:uid="{0EAE644A-48CF-4D50-B178-344E2347D08A}"/>
    <cellStyle name="Normal 5 3 3 2 2 2 2 3" xfId="5229" xr:uid="{00000000-0005-0000-0000-00007C190000}"/>
    <cellStyle name="Normal 5 3 3 2 2 2 2 3 2" xfId="14555" xr:uid="{E197061E-5DE6-416B-A3F6-87EA63275C1A}"/>
    <cellStyle name="Normal 5 3 3 2 2 2 2 3 2 2" xfId="33151" xr:uid="{41410731-5888-4C95-93CA-13708AA16ABA}"/>
    <cellStyle name="Normal 5 3 3 2 2 2 2 3 3" xfId="23854" xr:uid="{763860B1-47AD-4152-9338-98DC7A3D998D}"/>
    <cellStyle name="Normal 5 3 3 2 2 2 2 4" xfId="9567" xr:uid="{C2519486-6BC5-47D1-879F-EC6040BC9E9D}"/>
    <cellStyle name="Normal 5 3 3 2 2 2 2 4 2" xfId="18882" xr:uid="{A450FF09-48E8-4A23-9442-890C2827C806}"/>
    <cellStyle name="Normal 5 3 3 2 2 2 2 4 2 2" xfId="37476" xr:uid="{D27B3050-A09F-4E1A-BB18-BB52D2F18AF5}"/>
    <cellStyle name="Normal 5 3 3 2 2 2 2 4 3" xfId="28179" xr:uid="{71729A35-0411-4C54-A6EA-442BE3DD60E1}"/>
    <cellStyle name="Normal 5 3 3 2 2 2 2 5" xfId="10338" xr:uid="{76319CDE-47A0-4D41-A09F-86BE0C6C15B0}"/>
    <cellStyle name="Normal 5 3 3 2 2 2 2 5 2" xfId="28934" xr:uid="{D647BD3B-5330-4AA0-BCB5-962D56848904}"/>
    <cellStyle name="Normal 5 3 3 2 2 2 2 6" xfId="19637" xr:uid="{734736E8-B08E-4C12-97A7-4F5CD414F8F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228502FE-7B5A-4B50-AB4B-EAB78BE0D04A}"/>
    <cellStyle name="Normal 5 3 3 2 2 2 3 2 2 2 2" xfId="35709" xr:uid="{675E366F-2577-48A0-8962-37B63FBBF5AC}"/>
    <cellStyle name="Normal 5 3 3 2 2 2 3 2 2 3" xfId="26412" xr:uid="{63602E7B-C592-4656-9B88-A0D015506A5F}"/>
    <cellStyle name="Normal 5 3 3 2 2 2 3 2 3" xfId="12896" xr:uid="{27673E06-3CE6-4F29-B67D-A3D2D80E0C85}"/>
    <cellStyle name="Normal 5 3 3 2 2 2 3 2 3 2" xfId="31492" xr:uid="{21F522BF-249C-4822-9730-FA340BBDEA61}"/>
    <cellStyle name="Normal 5 3 3 2 2 2 3 2 4" xfId="22195" xr:uid="{E5D8ED8D-EF4E-4663-88BC-79AE9416B8E4}"/>
    <cellStyle name="Normal 5 3 3 2 2 2 3 3" xfId="5642" xr:uid="{00000000-0005-0000-0000-000080190000}"/>
    <cellStyle name="Normal 5 3 3 2 2 2 3 3 2" xfId="14968" xr:uid="{9AE4F9B0-717E-4CE4-B9F1-52B63EF76890}"/>
    <cellStyle name="Normal 5 3 3 2 2 2 3 3 2 2" xfId="33564" xr:uid="{6722C441-0B6B-4928-A5B3-6A15449577A4}"/>
    <cellStyle name="Normal 5 3 3 2 2 2 3 3 3" xfId="24267" xr:uid="{8D7749A8-9729-456E-A21C-93A6AF66F9A1}"/>
    <cellStyle name="Normal 5 3 3 2 2 2 3 4" xfId="10751" xr:uid="{28B14ECE-662C-4227-A396-AF439248B486}"/>
    <cellStyle name="Normal 5 3 3 2 2 2 3 4 2" xfId="29347" xr:uid="{32D5DD3C-E420-4965-8F27-2A8DDE179048}"/>
    <cellStyle name="Normal 5 3 3 2 2 2 3 5" xfId="20050" xr:uid="{8F184446-6E95-4CB3-887F-AD2C7F59C1DE}"/>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8A4B96CF-A0EB-40FC-8151-A53BA2F001A2}"/>
    <cellStyle name="Normal 5 3 3 2 2 2 4 2 2 2 2" xfId="36122" xr:uid="{42FC6BB1-FD37-4CCC-AE19-9BFC33DFD189}"/>
    <cellStyle name="Normal 5 3 3 2 2 2 4 2 2 3" xfId="26825" xr:uid="{D2B80CE2-5D9A-4F65-80A4-4F710390D32A}"/>
    <cellStyle name="Normal 5 3 3 2 2 2 4 2 3" xfId="13309" xr:uid="{B2D4502F-5717-40E2-99D4-80F457861884}"/>
    <cellStyle name="Normal 5 3 3 2 2 2 4 2 3 2" xfId="31905" xr:uid="{00213A65-887F-4833-A114-48B3C9236336}"/>
    <cellStyle name="Normal 5 3 3 2 2 2 4 2 4" xfId="22608" xr:uid="{69883BA0-CA85-4E29-9204-EC4D2BA938AA}"/>
    <cellStyle name="Normal 5 3 3 2 2 2 4 3" xfId="6055" xr:uid="{00000000-0005-0000-0000-000084190000}"/>
    <cellStyle name="Normal 5 3 3 2 2 2 4 3 2" xfId="15381" xr:uid="{0338A973-4F8E-44EA-AABB-CD6775DE3994}"/>
    <cellStyle name="Normal 5 3 3 2 2 2 4 3 2 2" xfId="33977" xr:uid="{76C74747-0562-4433-AE1D-B1683BF3BD4E}"/>
    <cellStyle name="Normal 5 3 3 2 2 2 4 3 3" xfId="24680" xr:uid="{A91F7603-F34B-40B4-88EA-6254AAC67FE3}"/>
    <cellStyle name="Normal 5 3 3 2 2 2 4 4" xfId="11164" xr:uid="{2C4E55D1-BCB7-4EE1-8E26-633C1894A2D1}"/>
    <cellStyle name="Normal 5 3 3 2 2 2 4 4 2" xfId="29760" xr:uid="{54CA1679-9297-4970-9981-022CDC3EBE34}"/>
    <cellStyle name="Normal 5 3 3 2 2 2 4 5" xfId="20463" xr:uid="{34087CDF-770D-4905-BCB0-43D21123D8FE}"/>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9EC0BCE8-B855-4171-876C-5D0FBD763AF9}"/>
    <cellStyle name="Normal 5 3 3 2 2 2 5 2 2 2 2" xfId="36535" xr:uid="{5D3CBF79-AA98-4F77-A0DD-8B8BB48C1278}"/>
    <cellStyle name="Normal 5 3 3 2 2 2 5 2 2 3" xfId="27238" xr:uid="{682BEDBA-D1EC-4DA8-9D6B-79016CC15253}"/>
    <cellStyle name="Normal 5 3 3 2 2 2 5 2 3" xfId="13722" xr:uid="{425222AF-25F7-4170-AB8D-F662B6AE302E}"/>
    <cellStyle name="Normal 5 3 3 2 2 2 5 2 3 2" xfId="32318" xr:uid="{8E9D2AF9-0778-4C09-A765-FE133B84D107}"/>
    <cellStyle name="Normal 5 3 3 2 2 2 5 2 4" xfId="23021" xr:uid="{6A162BCA-44DF-4416-8A1E-47380E5D85D9}"/>
    <cellStyle name="Normal 5 3 3 2 2 2 5 3" xfId="6468" xr:uid="{00000000-0005-0000-0000-000088190000}"/>
    <cellStyle name="Normal 5 3 3 2 2 2 5 3 2" xfId="15794" xr:uid="{350AE446-6957-40F1-9108-89DBBBC1ECFA}"/>
    <cellStyle name="Normal 5 3 3 2 2 2 5 3 2 2" xfId="34390" xr:uid="{D3FDBE61-9F4A-45B6-B86E-C500696D1308}"/>
    <cellStyle name="Normal 5 3 3 2 2 2 5 3 3" xfId="25093" xr:uid="{6B4D5D04-35BF-46E7-8418-02EFD2A955E4}"/>
    <cellStyle name="Normal 5 3 3 2 2 2 5 4" xfId="11577" xr:uid="{282BA78C-6429-4BAE-8526-51837C1F0D35}"/>
    <cellStyle name="Normal 5 3 3 2 2 2 5 4 2" xfId="30173" xr:uid="{0E3262B0-C3EA-43CE-A7D0-70731E76CBA2}"/>
    <cellStyle name="Normal 5 3 3 2 2 2 5 5" xfId="20876" xr:uid="{681C53DE-F30A-4F09-9BF3-CF4EE6337D32}"/>
    <cellStyle name="Normal 5 3 3 2 2 2 6" xfId="2598" xr:uid="{00000000-0005-0000-0000-000089190000}"/>
    <cellStyle name="Normal 5 3 3 2 2 2 6 2" xfId="6881" xr:uid="{00000000-0005-0000-0000-00008A190000}"/>
    <cellStyle name="Normal 5 3 3 2 2 2 6 2 2" xfId="16207" xr:uid="{D238D539-AD18-40BB-8A27-1C1A0FAFDA2C}"/>
    <cellStyle name="Normal 5 3 3 2 2 2 6 2 2 2" xfId="34803" xr:uid="{CBAF8450-4B55-4BF6-B144-61C7015121EB}"/>
    <cellStyle name="Normal 5 3 3 2 2 2 6 2 3" xfId="25506" xr:uid="{63C94F94-12BE-472A-947B-58D6C6E8604B}"/>
    <cellStyle name="Normal 5 3 3 2 2 2 6 3" xfId="11990" xr:uid="{CC7DB0CA-AA38-437D-ABDA-B813B47FB784}"/>
    <cellStyle name="Normal 5 3 3 2 2 2 6 3 2" xfId="30586" xr:uid="{57D034A8-22B1-4690-9997-74328D722847}"/>
    <cellStyle name="Normal 5 3 3 2 2 2 6 4" xfId="21289" xr:uid="{AB999782-4ED4-4023-8D0A-BEE52985336C}"/>
    <cellStyle name="Normal 5 3 3 2 2 2 7" xfId="4816" xr:uid="{00000000-0005-0000-0000-00008B190000}"/>
    <cellStyle name="Normal 5 3 3 2 2 2 7 2" xfId="14142" xr:uid="{DA1240BC-47AD-4221-BC26-86EFB0A11691}"/>
    <cellStyle name="Normal 5 3 3 2 2 2 7 2 2" xfId="32738" xr:uid="{0C400F78-C57C-4927-A889-1B62746C8186}"/>
    <cellStyle name="Normal 5 3 3 2 2 2 7 3" xfId="23441" xr:uid="{9831BA71-17AA-4724-9BFB-DB4C3B395808}"/>
    <cellStyle name="Normal 5 3 3 2 2 2 8" xfId="9142" xr:uid="{81CF9711-3A0B-4712-8E8F-033C974AA9E3}"/>
    <cellStyle name="Normal 5 3 3 2 2 2 8 2" xfId="18466" xr:uid="{321AE478-A63C-4A1D-9280-F72446740938}"/>
    <cellStyle name="Normal 5 3 3 2 2 2 8 2 2" xfId="37061" xr:uid="{AEE4EB0C-0DEF-4D0F-80DB-189B302BF6BA}"/>
    <cellStyle name="Normal 5 3 3 2 2 2 8 3" xfId="27764" xr:uid="{BC7419C3-5A49-4EAD-867B-A8B9E5C2099D}"/>
    <cellStyle name="Normal 5 3 3 2 2 2 9" xfId="9925" xr:uid="{D7E8E727-62EF-427B-948F-B9B0B61B0854}"/>
    <cellStyle name="Normal 5 3 3 2 2 2 9 2" xfId="28521" xr:uid="{8D2E04AC-ACEA-4978-B0D2-2F79974BE389}"/>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AA35A4F7-4851-487D-8169-277822EE22AD}"/>
    <cellStyle name="Normal 5 3 3 2 2 3 2 2 2 2" xfId="35295" xr:uid="{DBD85BD0-658F-4636-8601-D8F602707E5F}"/>
    <cellStyle name="Normal 5 3 3 2 2 3 2 2 3" xfId="25998" xr:uid="{D85039E0-D77D-4F55-B4EC-13C3F681E057}"/>
    <cellStyle name="Normal 5 3 3 2 2 3 2 3" xfId="12482" xr:uid="{102E778D-6D6E-4700-88C1-670D580D3A8D}"/>
    <cellStyle name="Normal 5 3 3 2 2 3 2 3 2" xfId="31078" xr:uid="{131DC226-A5FC-4BD2-92E4-157EE7D7D494}"/>
    <cellStyle name="Normal 5 3 3 2 2 3 2 4" xfId="21781" xr:uid="{C6E85436-E2EF-4049-A4CD-88B39028878B}"/>
    <cellStyle name="Normal 5 3 3 2 2 3 3" xfId="5228" xr:uid="{00000000-0005-0000-0000-00008F190000}"/>
    <cellStyle name="Normal 5 3 3 2 2 3 3 2" xfId="14554" xr:uid="{4769EAE5-08E0-4535-8729-8244CB23A1DF}"/>
    <cellStyle name="Normal 5 3 3 2 2 3 3 2 2" xfId="33150" xr:uid="{DDFD2F23-B2CF-4DA3-9C60-459606D44EF9}"/>
    <cellStyle name="Normal 5 3 3 2 2 3 3 3" xfId="23853" xr:uid="{22523309-02B9-444B-A71D-466478FCA881}"/>
    <cellStyle name="Normal 5 3 3 2 2 3 4" xfId="9360" xr:uid="{07447062-3C9B-4A41-BE9D-50DE495FF588}"/>
    <cellStyle name="Normal 5 3 3 2 2 3 4 2" xfId="18675" xr:uid="{A99710AE-FF0F-41E0-90F9-1C2B086B3358}"/>
    <cellStyle name="Normal 5 3 3 2 2 3 4 2 2" xfId="37269" xr:uid="{341E7243-F537-4323-9321-B636AAEDEEEB}"/>
    <cellStyle name="Normal 5 3 3 2 2 3 4 3" xfId="27972" xr:uid="{4BE34DF6-865E-46A6-87DF-B2A1551E60F4}"/>
    <cellStyle name="Normal 5 3 3 2 2 3 5" xfId="10337" xr:uid="{70787B21-DBF3-463B-A802-F3755B56206F}"/>
    <cellStyle name="Normal 5 3 3 2 2 3 5 2" xfId="28933" xr:uid="{5E2C56BC-F479-43F5-8B98-A170847D24ED}"/>
    <cellStyle name="Normal 5 3 3 2 2 3 6" xfId="19636" xr:uid="{5E42E434-BB8B-46AA-BF05-6564E6CFF2DA}"/>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31E5F79F-007B-4FF0-B16E-05623C64814C}"/>
    <cellStyle name="Normal 5 3 3 2 2 4 2 2 2 2" xfId="35708" xr:uid="{EFD725B5-A315-4ECC-AF48-70CE538C1155}"/>
    <cellStyle name="Normal 5 3 3 2 2 4 2 2 3" xfId="26411" xr:uid="{CEA8F197-0123-4147-A72D-2238E7475A93}"/>
    <cellStyle name="Normal 5 3 3 2 2 4 2 3" xfId="12895" xr:uid="{887D4621-3124-45BA-BD53-F13153E3586F}"/>
    <cellStyle name="Normal 5 3 3 2 2 4 2 3 2" xfId="31491" xr:uid="{CD6E4E24-7C03-4517-B90E-8375DDC639B9}"/>
    <cellStyle name="Normal 5 3 3 2 2 4 2 4" xfId="22194" xr:uid="{9E1CE4CC-D968-475E-AD52-5AA48FD19366}"/>
    <cellStyle name="Normal 5 3 3 2 2 4 3" xfId="5641" xr:uid="{00000000-0005-0000-0000-000093190000}"/>
    <cellStyle name="Normal 5 3 3 2 2 4 3 2" xfId="14967" xr:uid="{30ADD1E0-BBD5-413A-B2E5-788ED1D836E1}"/>
    <cellStyle name="Normal 5 3 3 2 2 4 3 2 2" xfId="33563" xr:uid="{AB7E01A3-6C22-49F4-99BB-621C795C8A86}"/>
    <cellStyle name="Normal 5 3 3 2 2 4 3 3" xfId="24266" xr:uid="{8A04F187-D939-4A85-B3CA-FFBBEFD5708C}"/>
    <cellStyle name="Normal 5 3 3 2 2 4 4" xfId="10750" xr:uid="{3D0D9832-A782-4C7A-B08D-07BE8D6A086A}"/>
    <cellStyle name="Normal 5 3 3 2 2 4 4 2" xfId="29346" xr:uid="{8A01EF2E-2761-4044-B85C-3DF89993969A}"/>
    <cellStyle name="Normal 5 3 3 2 2 4 5" xfId="20049" xr:uid="{22FC2953-C118-4FF5-A6F6-B781EA89F423}"/>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31609C61-D596-4911-A87A-E9CCEBAA1C5D}"/>
    <cellStyle name="Normal 5 3 3 2 2 5 2 2 2 2" xfId="36121" xr:uid="{CE43CFEB-7818-45EC-9F03-0F2BC38D9B7D}"/>
    <cellStyle name="Normal 5 3 3 2 2 5 2 2 3" xfId="26824" xr:uid="{98037D28-2AED-4791-A30C-9FBEC53D149A}"/>
    <cellStyle name="Normal 5 3 3 2 2 5 2 3" xfId="13308" xr:uid="{76C8059F-5A48-4B22-94A9-7CE7B4798939}"/>
    <cellStyle name="Normal 5 3 3 2 2 5 2 3 2" xfId="31904" xr:uid="{575CA866-1365-4B7F-A871-C9CDCF23AE61}"/>
    <cellStyle name="Normal 5 3 3 2 2 5 2 4" xfId="22607" xr:uid="{C1176A5A-45EF-480D-BA33-ADBED901BF04}"/>
    <cellStyle name="Normal 5 3 3 2 2 5 3" xfId="6054" xr:uid="{00000000-0005-0000-0000-000097190000}"/>
    <cellStyle name="Normal 5 3 3 2 2 5 3 2" xfId="15380" xr:uid="{1ADA9779-C0A0-41D5-AB48-DF6D5354DF07}"/>
    <cellStyle name="Normal 5 3 3 2 2 5 3 2 2" xfId="33976" xr:uid="{531320E8-B438-4150-964C-0E732C168548}"/>
    <cellStyle name="Normal 5 3 3 2 2 5 3 3" xfId="24679" xr:uid="{AE3816F8-837A-4FAE-9698-71A98F1AB31C}"/>
    <cellStyle name="Normal 5 3 3 2 2 5 4" xfId="11163" xr:uid="{0C2B574D-0DB3-4192-ABEC-6F61500746A5}"/>
    <cellStyle name="Normal 5 3 3 2 2 5 4 2" xfId="29759" xr:uid="{7128F42C-B703-44EA-8019-A5612AB23EB1}"/>
    <cellStyle name="Normal 5 3 3 2 2 5 5" xfId="20462" xr:uid="{D7EE971D-5212-46D0-8FC6-711F250F65B3}"/>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2D47E50C-B615-401C-B732-48C2807DD182}"/>
    <cellStyle name="Normal 5 3 3 2 2 6 2 2 2 2" xfId="36534" xr:uid="{54567E14-F6DB-45F2-B0BD-ECC5EDCFEC72}"/>
    <cellStyle name="Normal 5 3 3 2 2 6 2 2 3" xfId="27237" xr:uid="{1FE1FF4B-7D31-4387-A5CC-CACBA34025CE}"/>
    <cellStyle name="Normal 5 3 3 2 2 6 2 3" xfId="13721" xr:uid="{9B902065-88C2-4704-B008-68C62A55DC81}"/>
    <cellStyle name="Normal 5 3 3 2 2 6 2 3 2" xfId="32317" xr:uid="{150CB12D-0A38-4E98-B813-813E3C92D2D7}"/>
    <cellStyle name="Normal 5 3 3 2 2 6 2 4" xfId="23020" xr:uid="{2189AF7B-B07F-4BE8-AE43-17F3F17FDF57}"/>
    <cellStyle name="Normal 5 3 3 2 2 6 3" xfId="6467" xr:uid="{00000000-0005-0000-0000-00009B190000}"/>
    <cellStyle name="Normal 5 3 3 2 2 6 3 2" xfId="15793" xr:uid="{E9551A1E-E7FC-44C2-88D5-E1E44B46DA35}"/>
    <cellStyle name="Normal 5 3 3 2 2 6 3 2 2" xfId="34389" xr:uid="{9DE01BF0-A071-4378-92C6-603F8BCB8EB1}"/>
    <cellStyle name="Normal 5 3 3 2 2 6 3 3" xfId="25092" xr:uid="{AAA46EC9-E286-4A22-AFC0-04E63B615990}"/>
    <cellStyle name="Normal 5 3 3 2 2 6 4" xfId="11576" xr:uid="{6757F295-AC89-442B-9EDC-D054843A455E}"/>
    <cellStyle name="Normal 5 3 3 2 2 6 4 2" xfId="30172" xr:uid="{19CBF7D4-C6C0-46D0-B6DA-BFAEA6A83EE7}"/>
    <cellStyle name="Normal 5 3 3 2 2 6 5" xfId="20875" xr:uid="{1CE6B3F7-7268-4C12-87CC-382E2C7836FE}"/>
    <cellStyle name="Normal 5 3 3 2 2 7" xfId="2597" xr:uid="{00000000-0005-0000-0000-00009C190000}"/>
    <cellStyle name="Normal 5 3 3 2 2 7 2" xfId="6880" xr:uid="{00000000-0005-0000-0000-00009D190000}"/>
    <cellStyle name="Normal 5 3 3 2 2 7 2 2" xfId="16206" xr:uid="{4C54A72A-BCD4-4D50-9FC8-DCC4FD23D8F8}"/>
    <cellStyle name="Normal 5 3 3 2 2 7 2 2 2" xfId="34802" xr:uid="{3F7C9B25-A430-4AAD-B612-3132E06F716F}"/>
    <cellStyle name="Normal 5 3 3 2 2 7 2 3" xfId="25505" xr:uid="{2395E861-964C-478D-B993-A1936AB3A6CB}"/>
    <cellStyle name="Normal 5 3 3 2 2 7 3" xfId="11989" xr:uid="{6429F521-E8F2-4261-91D6-83B8B7489627}"/>
    <cellStyle name="Normal 5 3 3 2 2 7 3 2" xfId="30585" xr:uid="{975282FC-1C38-44DE-821B-EEB4A37F4238}"/>
    <cellStyle name="Normal 5 3 3 2 2 7 4" xfId="21288" xr:uid="{197636FB-12DF-4363-A417-EE4D439E82F3}"/>
    <cellStyle name="Normal 5 3 3 2 2 8" xfId="4815" xr:uid="{00000000-0005-0000-0000-00009E190000}"/>
    <cellStyle name="Normal 5 3 3 2 2 8 2" xfId="14141" xr:uid="{8BBC0B18-7BF2-47C9-A1FC-77E4FE0F200D}"/>
    <cellStyle name="Normal 5 3 3 2 2 8 2 2" xfId="32737" xr:uid="{45C7D9D5-3202-44C1-8A54-3FA6E9E47D5A}"/>
    <cellStyle name="Normal 5 3 3 2 2 8 3" xfId="23440" xr:uid="{B56D4207-D5B6-4DFD-8F6C-000038EBC54F}"/>
    <cellStyle name="Normal 5 3 3 2 2 9" xfId="8935" xr:uid="{94B8766B-0DD5-4CC7-9403-D37FC711344B}"/>
    <cellStyle name="Normal 5 3 3 2 2 9 2" xfId="18259" xr:uid="{753D046F-9A27-4083-AF52-0A514E0962B9}"/>
    <cellStyle name="Normal 5 3 3 2 2 9 2 2" xfId="36854" xr:uid="{BE7DB760-DDF7-4629-8A56-6E82A1F3E65D}"/>
    <cellStyle name="Normal 5 3 3 2 2 9 3" xfId="27557" xr:uid="{6D4CC79E-2149-4AB5-A5AC-1D060EC9F45B}"/>
    <cellStyle name="Normal 5 3 3 2 3" xfId="445" xr:uid="{00000000-0005-0000-0000-00009F190000}"/>
    <cellStyle name="Normal 5 3 3 2 3 10" xfId="19225" xr:uid="{F11420DA-7939-4DC2-A276-C4CF88260278}"/>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843EAE93-E87D-4CD5-AC3C-1BFF64DD6CE0}"/>
    <cellStyle name="Normal 5 3 3 2 3 2 2 2 2 2" xfId="35297" xr:uid="{2B21EA76-E865-4F9C-B4F3-216C229970DD}"/>
    <cellStyle name="Normal 5 3 3 2 3 2 2 2 3" xfId="26000" xr:uid="{D8A875A3-36D2-48CC-8DCB-DFAD32C9C905}"/>
    <cellStyle name="Normal 5 3 3 2 3 2 2 3" xfId="12484" xr:uid="{B8D9A2C1-7FE6-40A3-B853-CE630C123BF8}"/>
    <cellStyle name="Normal 5 3 3 2 3 2 2 3 2" xfId="31080" xr:uid="{98E04456-66BB-4665-9ABA-1DE465E4EDC3}"/>
    <cellStyle name="Normal 5 3 3 2 3 2 2 4" xfId="21783" xr:uid="{88960F86-36E0-405A-98D8-D91855F99604}"/>
    <cellStyle name="Normal 5 3 3 2 3 2 3" xfId="5230" xr:uid="{00000000-0005-0000-0000-0000A3190000}"/>
    <cellStyle name="Normal 5 3 3 2 3 2 3 2" xfId="14556" xr:uid="{12A8FD7B-451B-4499-9658-0AD59BDDA986}"/>
    <cellStyle name="Normal 5 3 3 2 3 2 3 2 2" xfId="33152" xr:uid="{FD3DB6E6-A85C-4151-9ECC-EF244914E75E}"/>
    <cellStyle name="Normal 5 3 3 2 3 2 3 3" xfId="23855" xr:uid="{F5BDFF6C-3285-4503-A811-1435CAE05574}"/>
    <cellStyle name="Normal 5 3 3 2 3 2 4" xfId="9464" xr:uid="{6A182EEF-0879-47AD-839A-17D560B4AF3D}"/>
    <cellStyle name="Normal 5 3 3 2 3 2 4 2" xfId="18779" xr:uid="{9EF63415-1AE4-4B4C-9717-E0243E71AC70}"/>
    <cellStyle name="Normal 5 3 3 2 3 2 4 2 2" xfId="37373" xr:uid="{1C20425A-EC90-43BF-B4B0-680C26399944}"/>
    <cellStyle name="Normal 5 3 3 2 3 2 4 3" xfId="28076" xr:uid="{804AF74C-7EE6-4D20-AAD8-0D6BB74078B1}"/>
    <cellStyle name="Normal 5 3 3 2 3 2 5" xfId="10339" xr:uid="{185BE777-4FC1-439D-9703-0091146EC559}"/>
    <cellStyle name="Normal 5 3 3 2 3 2 5 2" xfId="28935" xr:uid="{369B9A01-B972-418E-9417-3ECE71AD573E}"/>
    <cellStyle name="Normal 5 3 3 2 3 2 6" xfId="19638" xr:uid="{32F06A54-F98B-4C07-B46F-24636139CB3B}"/>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D80946C0-E4E8-460F-8B84-D7D57EDF8DE9}"/>
    <cellStyle name="Normal 5 3 3 2 3 3 2 2 2 2" xfId="35710" xr:uid="{6EA356F9-35EF-4AAC-9164-4EE1A3A11DBE}"/>
    <cellStyle name="Normal 5 3 3 2 3 3 2 2 3" xfId="26413" xr:uid="{ACA476F6-C4BB-464D-BE04-8854172DB305}"/>
    <cellStyle name="Normal 5 3 3 2 3 3 2 3" xfId="12897" xr:uid="{22D07F02-A0B0-4542-A14B-E5BB824A7563}"/>
    <cellStyle name="Normal 5 3 3 2 3 3 2 3 2" xfId="31493" xr:uid="{B954F40A-9C53-4A7D-BAF6-E32458DCB2D9}"/>
    <cellStyle name="Normal 5 3 3 2 3 3 2 4" xfId="22196" xr:uid="{7EDBE26A-4A02-496D-8BFC-EE46966AF271}"/>
    <cellStyle name="Normal 5 3 3 2 3 3 3" xfId="5643" xr:uid="{00000000-0005-0000-0000-0000A7190000}"/>
    <cellStyle name="Normal 5 3 3 2 3 3 3 2" xfId="14969" xr:uid="{295AB7F4-5B31-44C7-8176-3B16548DBA0F}"/>
    <cellStyle name="Normal 5 3 3 2 3 3 3 2 2" xfId="33565" xr:uid="{0EAF34D5-F71C-44C8-A3D8-5098EFCEA10B}"/>
    <cellStyle name="Normal 5 3 3 2 3 3 3 3" xfId="24268" xr:uid="{6D21DA44-0766-4F1D-ACC2-A6F5DD9382A8}"/>
    <cellStyle name="Normal 5 3 3 2 3 3 4" xfId="10752" xr:uid="{773B0377-9297-45EE-AA76-261889767B61}"/>
    <cellStyle name="Normal 5 3 3 2 3 3 4 2" xfId="29348" xr:uid="{41D07642-EFB4-4D53-95A4-CD394D54E445}"/>
    <cellStyle name="Normal 5 3 3 2 3 3 5" xfId="20051" xr:uid="{63793BB7-9306-4BDF-A8A1-35E77740455E}"/>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837E84FE-8F71-476A-81F4-8C71C6D73ECF}"/>
    <cellStyle name="Normal 5 3 3 2 3 4 2 2 2 2" xfId="36123" xr:uid="{82B43245-EE36-446A-9E38-EF934E1A8744}"/>
    <cellStyle name="Normal 5 3 3 2 3 4 2 2 3" xfId="26826" xr:uid="{2F927DF0-47E4-40B4-AA20-C783145453B5}"/>
    <cellStyle name="Normal 5 3 3 2 3 4 2 3" xfId="13310" xr:uid="{3843597C-47C1-4CB5-B185-D41DCC4C369B}"/>
    <cellStyle name="Normal 5 3 3 2 3 4 2 3 2" xfId="31906" xr:uid="{F0E22AFA-BF26-441C-B975-067754F32F7F}"/>
    <cellStyle name="Normal 5 3 3 2 3 4 2 4" xfId="22609" xr:uid="{DCA1102B-C9E9-4BC7-8D1B-A7BE0D37DCB1}"/>
    <cellStyle name="Normal 5 3 3 2 3 4 3" xfId="6056" xr:uid="{00000000-0005-0000-0000-0000AB190000}"/>
    <cellStyle name="Normal 5 3 3 2 3 4 3 2" xfId="15382" xr:uid="{85323275-3F29-41D8-8902-1A91595C33A3}"/>
    <cellStyle name="Normal 5 3 3 2 3 4 3 2 2" xfId="33978" xr:uid="{9C719412-0D4A-4BB8-8345-2E792DD7EAAF}"/>
    <cellStyle name="Normal 5 3 3 2 3 4 3 3" xfId="24681" xr:uid="{ADE3BBC1-1B54-481B-8A9B-9229F3938BCE}"/>
    <cellStyle name="Normal 5 3 3 2 3 4 4" xfId="11165" xr:uid="{B1A15F3E-765D-4531-AA0A-72AB4A7D8870}"/>
    <cellStyle name="Normal 5 3 3 2 3 4 4 2" xfId="29761" xr:uid="{C798348B-3307-42A7-9666-EF5C2B24B65E}"/>
    <cellStyle name="Normal 5 3 3 2 3 4 5" xfId="20464" xr:uid="{6613F681-9A0A-4320-993B-3A61406E6F0F}"/>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4F876F19-6CED-43F9-A61E-41EBD0BDF3DA}"/>
    <cellStyle name="Normal 5 3 3 2 3 5 2 2 2 2" xfId="36536" xr:uid="{FD56CE66-E6E0-4774-AF4B-69F72853613D}"/>
    <cellStyle name="Normal 5 3 3 2 3 5 2 2 3" xfId="27239" xr:uid="{B419A97E-030D-439D-AABF-FF748484F9E4}"/>
    <cellStyle name="Normal 5 3 3 2 3 5 2 3" xfId="13723" xr:uid="{A91924E5-4B7D-47BF-8D06-470385D02E33}"/>
    <cellStyle name="Normal 5 3 3 2 3 5 2 3 2" xfId="32319" xr:uid="{741B1B39-A260-4277-AEAD-B6D94BB3A597}"/>
    <cellStyle name="Normal 5 3 3 2 3 5 2 4" xfId="23022" xr:uid="{9F8AFB3D-78B1-4D80-A33D-70585F9A81FC}"/>
    <cellStyle name="Normal 5 3 3 2 3 5 3" xfId="6469" xr:uid="{00000000-0005-0000-0000-0000AF190000}"/>
    <cellStyle name="Normal 5 3 3 2 3 5 3 2" xfId="15795" xr:uid="{98F6B1E3-85D7-48AC-A15E-C5F3BAAD7934}"/>
    <cellStyle name="Normal 5 3 3 2 3 5 3 2 2" xfId="34391" xr:uid="{6115C1C6-ECF4-4FF2-9487-517B37B6C357}"/>
    <cellStyle name="Normal 5 3 3 2 3 5 3 3" xfId="25094" xr:uid="{C1276314-0EDB-495D-AF8D-97C1102DFFA5}"/>
    <cellStyle name="Normal 5 3 3 2 3 5 4" xfId="11578" xr:uid="{DADE8404-EE4B-4D28-ADC4-C7F570595FE8}"/>
    <cellStyle name="Normal 5 3 3 2 3 5 4 2" xfId="30174" xr:uid="{3ADBF112-6E75-491D-B90A-22F4F13EE134}"/>
    <cellStyle name="Normal 5 3 3 2 3 5 5" xfId="20877" xr:uid="{0AEECDFF-2D6B-4EA3-8A27-2D5ED64273A9}"/>
    <cellStyle name="Normal 5 3 3 2 3 6" xfId="2599" xr:uid="{00000000-0005-0000-0000-0000B0190000}"/>
    <cellStyle name="Normal 5 3 3 2 3 6 2" xfId="6882" xr:uid="{00000000-0005-0000-0000-0000B1190000}"/>
    <cellStyle name="Normal 5 3 3 2 3 6 2 2" xfId="16208" xr:uid="{190696AA-D2C8-4801-83BA-9FDED0139F36}"/>
    <cellStyle name="Normal 5 3 3 2 3 6 2 2 2" xfId="34804" xr:uid="{4F03D315-3256-4A53-8F58-DE4F75879CD3}"/>
    <cellStyle name="Normal 5 3 3 2 3 6 2 3" xfId="25507" xr:uid="{9F79C66C-FA85-4098-ADD9-7598FC6D2CFA}"/>
    <cellStyle name="Normal 5 3 3 2 3 6 3" xfId="11991" xr:uid="{CD20D39F-8BBF-42C9-8F33-6B58187DA570}"/>
    <cellStyle name="Normal 5 3 3 2 3 6 3 2" xfId="30587" xr:uid="{96801EBC-C185-489B-897C-AD7A591A39E4}"/>
    <cellStyle name="Normal 5 3 3 2 3 6 4" xfId="21290" xr:uid="{9FCB2EBD-A151-46C0-BC59-E92E5C1ECD89}"/>
    <cellStyle name="Normal 5 3 3 2 3 7" xfId="4817" xr:uid="{00000000-0005-0000-0000-0000B2190000}"/>
    <cellStyle name="Normal 5 3 3 2 3 7 2" xfId="14143" xr:uid="{C74B5D20-1814-4208-A0BB-5231A873FF5C}"/>
    <cellStyle name="Normal 5 3 3 2 3 7 2 2" xfId="32739" xr:uid="{27322DB0-8E01-436A-942E-C033BC9AB4E6}"/>
    <cellStyle name="Normal 5 3 3 2 3 7 3" xfId="23442" xr:uid="{6746F2EA-5242-4C17-9FED-2378666D7F3E}"/>
    <cellStyle name="Normal 5 3 3 2 3 8" xfId="9039" xr:uid="{84D80CE6-A0CA-4841-8673-26EA7EC6806D}"/>
    <cellStyle name="Normal 5 3 3 2 3 8 2" xfId="18363" xr:uid="{E124BA63-754F-40E4-9891-7BA4AD1B89D4}"/>
    <cellStyle name="Normal 5 3 3 2 3 8 2 2" xfId="36958" xr:uid="{37BE2D09-EC07-4DE2-943C-346111D673B1}"/>
    <cellStyle name="Normal 5 3 3 2 3 8 3" xfId="27661" xr:uid="{D19832C7-43B3-4D94-A8E6-07CF105459F4}"/>
    <cellStyle name="Normal 5 3 3 2 3 9" xfId="9926" xr:uid="{A90044EF-BC11-49BB-90AF-40A2365784BA}"/>
    <cellStyle name="Normal 5 3 3 2 3 9 2" xfId="28522" xr:uid="{91328CFA-DCE6-468B-B1A8-630B751F5DA3}"/>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D14D0A29-2D8C-4D3A-A43A-764B64C21A4A}"/>
    <cellStyle name="Normal 5 3 3 2 4 2 2 2 2" xfId="35294" xr:uid="{26B9C1F4-2BB8-4C68-ABC6-2F35D7ADDB33}"/>
    <cellStyle name="Normal 5 3 3 2 4 2 2 3" xfId="25997" xr:uid="{C2070028-DD6F-4BB6-8BB0-7CA2EB326B0B}"/>
    <cellStyle name="Normal 5 3 3 2 4 2 3" xfId="12481" xr:uid="{74336E4E-2FA0-4456-BB08-C2A7BE31DD99}"/>
    <cellStyle name="Normal 5 3 3 2 4 2 3 2" xfId="31077" xr:uid="{BBB76836-DB95-49B3-BF36-E4F0F1C06CB5}"/>
    <cellStyle name="Normal 5 3 3 2 4 2 4" xfId="21780" xr:uid="{8643A714-7608-4C0F-ACF1-DE21AA8A3925}"/>
    <cellStyle name="Normal 5 3 3 2 4 3" xfId="5227" xr:uid="{00000000-0005-0000-0000-0000B6190000}"/>
    <cellStyle name="Normal 5 3 3 2 4 3 2" xfId="14553" xr:uid="{F50DDE8A-EEFB-4E06-BF29-CC07DC3AAE7A}"/>
    <cellStyle name="Normal 5 3 3 2 4 3 2 2" xfId="33149" xr:uid="{BBD940C0-C52F-489A-98BE-973E7514D86F}"/>
    <cellStyle name="Normal 5 3 3 2 4 3 3" xfId="23852" xr:uid="{EFD84306-3A03-4BBD-9F26-774B9997A48A}"/>
    <cellStyle name="Normal 5 3 3 2 4 4" xfId="9257" xr:uid="{E6656214-6E5B-491F-B1E3-227CB6568726}"/>
    <cellStyle name="Normal 5 3 3 2 4 4 2" xfId="18572" xr:uid="{EF56B3F7-420A-4007-8515-6375E6123D4F}"/>
    <cellStyle name="Normal 5 3 3 2 4 4 2 2" xfId="37166" xr:uid="{A7E473DF-D37F-4E2A-A95D-ECE94BEA944D}"/>
    <cellStyle name="Normal 5 3 3 2 4 4 3" xfId="27869" xr:uid="{518D9D6F-8427-44F4-B381-DBBB719AF5C4}"/>
    <cellStyle name="Normal 5 3 3 2 4 5" xfId="10336" xr:uid="{8EB1A7CD-EB5F-4BFB-9F18-38D375FC9595}"/>
    <cellStyle name="Normal 5 3 3 2 4 5 2" xfId="28932" xr:uid="{7A8EF4FB-B1D3-4FE0-85AC-5B519ABEC960}"/>
    <cellStyle name="Normal 5 3 3 2 4 6" xfId="19635" xr:uid="{C7D55D78-3E46-4971-97A0-66DD5DD380C7}"/>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0F25FEA2-231C-4088-B4E2-1B53BAF4EEC6}"/>
    <cellStyle name="Normal 5 3 3 2 5 2 2 2 2" xfId="35707" xr:uid="{84FF6082-5725-4444-8D58-9988AF40D512}"/>
    <cellStyle name="Normal 5 3 3 2 5 2 2 3" xfId="26410" xr:uid="{0EC5A385-AC19-433A-A74C-E6311885E342}"/>
    <cellStyle name="Normal 5 3 3 2 5 2 3" xfId="12894" xr:uid="{0706CC64-58B0-4FFB-A0FA-12AB740351A0}"/>
    <cellStyle name="Normal 5 3 3 2 5 2 3 2" xfId="31490" xr:uid="{F652D2E3-0FE8-4385-AE4A-3342BD244E41}"/>
    <cellStyle name="Normal 5 3 3 2 5 2 4" xfId="22193" xr:uid="{1A0B8CC0-5AEA-48C3-8C9D-7C7B7D35F8AA}"/>
    <cellStyle name="Normal 5 3 3 2 5 3" xfId="5640" xr:uid="{00000000-0005-0000-0000-0000BA190000}"/>
    <cellStyle name="Normal 5 3 3 2 5 3 2" xfId="14966" xr:uid="{6F65A194-D129-4E2B-B34E-725F701A7C7E}"/>
    <cellStyle name="Normal 5 3 3 2 5 3 2 2" xfId="33562" xr:uid="{0392B212-0687-47B4-9E40-9DB3FC308907}"/>
    <cellStyle name="Normal 5 3 3 2 5 3 3" xfId="24265" xr:uid="{5A4B9CA9-D7E6-42C8-BBE6-92D5EDD8577A}"/>
    <cellStyle name="Normal 5 3 3 2 5 4" xfId="10749" xr:uid="{CDC1449A-6062-4139-93D2-9FD06AF4C7BA}"/>
    <cellStyle name="Normal 5 3 3 2 5 4 2" xfId="29345" xr:uid="{F3A6109E-E08C-4CC7-BDB9-BF85E899B5C4}"/>
    <cellStyle name="Normal 5 3 3 2 5 5" xfId="20048" xr:uid="{BC2AE1A9-F509-404C-B805-64DA45493719}"/>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48C1F7D0-8E8A-4806-8186-B3FCD7CA1E8C}"/>
    <cellStyle name="Normal 5 3 3 2 6 2 2 2 2" xfId="36120" xr:uid="{56D8D9D4-4D52-4768-9533-B2A51AC60A87}"/>
    <cellStyle name="Normal 5 3 3 2 6 2 2 3" xfId="26823" xr:uid="{2DCBBFF3-3BB7-444F-9CA7-D123397489F8}"/>
    <cellStyle name="Normal 5 3 3 2 6 2 3" xfId="13307" xr:uid="{20119286-34C3-46AA-9C5C-1769EAD18440}"/>
    <cellStyle name="Normal 5 3 3 2 6 2 3 2" xfId="31903" xr:uid="{5FC16203-50E4-4CF4-8AE2-EC685394A6B2}"/>
    <cellStyle name="Normal 5 3 3 2 6 2 4" xfId="22606" xr:uid="{2E3DD6FD-6050-43ED-ACEA-30831B8025AB}"/>
    <cellStyle name="Normal 5 3 3 2 6 3" xfId="6053" xr:uid="{00000000-0005-0000-0000-0000BE190000}"/>
    <cellStyle name="Normal 5 3 3 2 6 3 2" xfId="15379" xr:uid="{21C21BA7-A3ED-4D54-859F-7912C335266B}"/>
    <cellStyle name="Normal 5 3 3 2 6 3 2 2" xfId="33975" xr:uid="{F2DA24BD-4F56-4525-AE91-D5A34E672213}"/>
    <cellStyle name="Normal 5 3 3 2 6 3 3" xfId="24678" xr:uid="{DAF008C3-8BB0-43F9-BC9F-B93476E3642D}"/>
    <cellStyle name="Normal 5 3 3 2 6 4" xfId="11162" xr:uid="{1A366384-57E3-4D63-8205-6DAA1807DB09}"/>
    <cellStyle name="Normal 5 3 3 2 6 4 2" xfId="29758" xr:uid="{ADF8F60E-85F5-4219-BEF7-F2DC6107D4CD}"/>
    <cellStyle name="Normal 5 3 3 2 6 5" xfId="20461" xr:uid="{3FA18CB6-66E5-4487-8B46-6D3D62F22868}"/>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97028FCF-C124-4CA6-B401-7E33BAE706AF}"/>
    <cellStyle name="Normal 5 3 3 2 7 2 2 2 2" xfId="36533" xr:uid="{4E67029F-A6B7-46EE-B3BA-CFD7E94E0564}"/>
    <cellStyle name="Normal 5 3 3 2 7 2 2 3" xfId="27236" xr:uid="{63803F47-D0D4-47E4-9045-3A5515853534}"/>
    <cellStyle name="Normal 5 3 3 2 7 2 3" xfId="13720" xr:uid="{B831363A-CF81-458D-88D1-59A8541F99E2}"/>
    <cellStyle name="Normal 5 3 3 2 7 2 3 2" xfId="32316" xr:uid="{06F384CB-86C3-45B5-8E73-3B9BFD6EBEEB}"/>
    <cellStyle name="Normal 5 3 3 2 7 2 4" xfId="23019" xr:uid="{2734E0D2-60DC-4434-BED8-1EE8B8BFDA20}"/>
    <cellStyle name="Normal 5 3 3 2 7 3" xfId="6466" xr:uid="{00000000-0005-0000-0000-0000C2190000}"/>
    <cellStyle name="Normal 5 3 3 2 7 3 2" xfId="15792" xr:uid="{5FDF4C66-E3F6-4F9A-92ED-B133B8772F83}"/>
    <cellStyle name="Normal 5 3 3 2 7 3 2 2" xfId="34388" xr:uid="{58609C1E-0A87-46C0-A36B-E24A2DCE9924}"/>
    <cellStyle name="Normal 5 3 3 2 7 3 3" xfId="25091" xr:uid="{38BBB741-8AF0-4853-93D9-CDFA7897FE04}"/>
    <cellStyle name="Normal 5 3 3 2 7 4" xfId="11575" xr:uid="{4FCF86CD-7412-49E4-9B59-651B0068188F}"/>
    <cellStyle name="Normal 5 3 3 2 7 4 2" xfId="30171" xr:uid="{9CD5426C-EA7A-4717-9924-2B1DD4C47EB2}"/>
    <cellStyle name="Normal 5 3 3 2 7 5" xfId="20874" xr:uid="{F36D603B-BD0C-4286-A406-A43338EA0E86}"/>
    <cellStyle name="Normal 5 3 3 2 8" xfId="2596" xr:uid="{00000000-0005-0000-0000-0000C3190000}"/>
    <cellStyle name="Normal 5 3 3 2 8 2" xfId="6879" xr:uid="{00000000-0005-0000-0000-0000C4190000}"/>
    <cellStyle name="Normal 5 3 3 2 8 2 2" xfId="16205" xr:uid="{2A558591-03A7-4C2E-8A1D-BBC7CF047A2A}"/>
    <cellStyle name="Normal 5 3 3 2 8 2 2 2" xfId="34801" xr:uid="{209D8399-1B1D-4CC7-8721-CF6CC998F993}"/>
    <cellStyle name="Normal 5 3 3 2 8 2 3" xfId="25504" xr:uid="{B305E901-FF8F-4561-B4AC-9F6380306A83}"/>
    <cellStyle name="Normal 5 3 3 2 8 3" xfId="11988" xr:uid="{FE6583FB-CF22-4482-BBC8-35897CB6D0DD}"/>
    <cellStyle name="Normal 5 3 3 2 8 3 2" xfId="30584" xr:uid="{D1B006EE-2BB7-4E17-892D-EE5997632593}"/>
    <cellStyle name="Normal 5 3 3 2 8 4" xfId="21287" xr:uid="{4F58863A-980C-459C-A550-B26B97CFCF27}"/>
    <cellStyle name="Normal 5 3 3 2 9" xfId="4814" xr:uid="{00000000-0005-0000-0000-0000C5190000}"/>
    <cellStyle name="Normal 5 3 3 2 9 2" xfId="14140" xr:uid="{66E4CF27-ACED-4799-8CC0-33A215067B5A}"/>
    <cellStyle name="Normal 5 3 3 2 9 2 2" xfId="32736" xr:uid="{9563A79F-AE54-46AE-A42F-2AF945BB2073}"/>
    <cellStyle name="Normal 5 3 3 2 9 3" xfId="23439" xr:uid="{C2477CCA-8C84-4B12-A1A2-F042EA681F70}"/>
    <cellStyle name="Normal 5 3 3 3" xfId="446" xr:uid="{00000000-0005-0000-0000-0000C6190000}"/>
    <cellStyle name="Normal 5 3 3 3 10" xfId="9927" xr:uid="{B1762D1C-DE04-48E7-AA0D-201822300EC8}"/>
    <cellStyle name="Normal 5 3 3 3 10 2" xfId="28523" xr:uid="{86378F6A-4CAA-4E1D-9575-390F099A5102}"/>
    <cellStyle name="Normal 5 3 3 3 11" xfId="19226" xr:uid="{234A6865-0572-4C0F-A796-CE334CEAC7E6}"/>
    <cellStyle name="Normal 5 3 3 3 2" xfId="447" xr:uid="{00000000-0005-0000-0000-0000C7190000}"/>
    <cellStyle name="Normal 5 3 3 3 2 10" xfId="19227" xr:uid="{9766A191-ED6C-4B98-8DA3-D552FE5926AD}"/>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86827C77-9B8B-4F89-B1F2-52183C6C7BE4}"/>
    <cellStyle name="Normal 5 3 3 3 2 2 2 2 2 2" xfId="35299" xr:uid="{893D3BC7-679D-4204-B8D9-06777FEE68A9}"/>
    <cellStyle name="Normal 5 3 3 3 2 2 2 2 3" xfId="26002" xr:uid="{A1570209-9819-4B22-B85A-66540C15C7EF}"/>
    <cellStyle name="Normal 5 3 3 3 2 2 2 3" xfId="12486" xr:uid="{5EFD2377-C2ED-456F-8BD6-67EB74E6EE57}"/>
    <cellStyle name="Normal 5 3 3 3 2 2 2 3 2" xfId="31082" xr:uid="{B1136404-C03A-4632-85E7-E43A0D614794}"/>
    <cellStyle name="Normal 5 3 3 3 2 2 2 4" xfId="21785" xr:uid="{A11AAF00-5A20-4701-A33B-89A3232505C4}"/>
    <cellStyle name="Normal 5 3 3 3 2 2 3" xfId="5232" xr:uid="{00000000-0005-0000-0000-0000CB190000}"/>
    <cellStyle name="Normal 5 3 3 3 2 2 3 2" xfId="14558" xr:uid="{233D388A-90EB-4B73-B19D-2B0CA5CC3475}"/>
    <cellStyle name="Normal 5 3 3 3 2 2 3 2 2" xfId="33154" xr:uid="{0824A436-B174-4376-A7E5-1D11C48664A2}"/>
    <cellStyle name="Normal 5 3 3 3 2 2 3 3" xfId="23857" xr:uid="{EC25D688-EE92-47A3-8894-185EFFFB66E5}"/>
    <cellStyle name="Normal 5 3 3 3 2 2 4" xfId="9517" xr:uid="{EA62A3B1-8ED5-4A6F-ACE0-B924BC16AA9E}"/>
    <cellStyle name="Normal 5 3 3 3 2 2 4 2" xfId="18832" xr:uid="{A3421FBD-CFC3-4DA4-81A4-81B00FEC2159}"/>
    <cellStyle name="Normal 5 3 3 3 2 2 4 2 2" xfId="37426" xr:uid="{480767FF-E339-412C-B079-DCDCD7038000}"/>
    <cellStyle name="Normal 5 3 3 3 2 2 4 3" xfId="28129" xr:uid="{DB6624F2-69FB-4B6E-AA75-991781871A56}"/>
    <cellStyle name="Normal 5 3 3 3 2 2 5" xfId="10341" xr:uid="{718F8E8B-7707-4C43-BD0D-9CD2DF9FEE7C}"/>
    <cellStyle name="Normal 5 3 3 3 2 2 5 2" xfId="28937" xr:uid="{38213850-30FD-4D71-8EC9-06AD2EE863C5}"/>
    <cellStyle name="Normal 5 3 3 3 2 2 6" xfId="19640" xr:uid="{89F44939-591A-4CCF-BA4C-EF15F7AD07EB}"/>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FAE6C6AD-0926-4054-B031-CD105C600375}"/>
    <cellStyle name="Normal 5 3 3 3 2 3 2 2 2 2" xfId="35712" xr:uid="{8AA50D3B-EF2E-452B-AFCE-070CE62E0F7C}"/>
    <cellStyle name="Normal 5 3 3 3 2 3 2 2 3" xfId="26415" xr:uid="{5C7808B9-7811-4DA5-8D3D-D1061462F05A}"/>
    <cellStyle name="Normal 5 3 3 3 2 3 2 3" xfId="12899" xr:uid="{80DE6CCB-3953-4F5F-B159-3BA9C669A1FD}"/>
    <cellStyle name="Normal 5 3 3 3 2 3 2 3 2" xfId="31495" xr:uid="{54A2984D-77F1-45FE-97C1-2039754DD465}"/>
    <cellStyle name="Normal 5 3 3 3 2 3 2 4" xfId="22198" xr:uid="{70CC9C66-38E8-4CD0-82F1-97E7F5F79D6C}"/>
    <cellStyle name="Normal 5 3 3 3 2 3 3" xfId="5645" xr:uid="{00000000-0005-0000-0000-0000CF190000}"/>
    <cellStyle name="Normal 5 3 3 3 2 3 3 2" xfId="14971" xr:uid="{6F7023DC-A148-4728-97C4-B9476508E3F9}"/>
    <cellStyle name="Normal 5 3 3 3 2 3 3 2 2" xfId="33567" xr:uid="{FD763E2F-CC18-42EF-9E8D-65798C01AB3F}"/>
    <cellStyle name="Normal 5 3 3 3 2 3 3 3" xfId="24270" xr:uid="{7ED4116D-9599-41EF-A584-34DE48173CBD}"/>
    <cellStyle name="Normal 5 3 3 3 2 3 4" xfId="10754" xr:uid="{83F1372A-3A64-4DE4-A7B5-2B7AFDAE0517}"/>
    <cellStyle name="Normal 5 3 3 3 2 3 4 2" xfId="29350" xr:uid="{D3E56A40-26C8-49FE-BAD2-C758FC35F924}"/>
    <cellStyle name="Normal 5 3 3 3 2 3 5" xfId="20053" xr:uid="{50A4C80C-F2AF-489F-A475-9764C7AE50BC}"/>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7C74C76C-8607-401F-A95C-519F75021A91}"/>
    <cellStyle name="Normal 5 3 3 3 2 4 2 2 2 2" xfId="36125" xr:uid="{5B25715A-EB2A-4876-86D5-279A5B3B57E6}"/>
    <cellStyle name="Normal 5 3 3 3 2 4 2 2 3" xfId="26828" xr:uid="{AB7AA9B1-96F0-4D8D-8C3C-FB1A20822C0D}"/>
    <cellStyle name="Normal 5 3 3 3 2 4 2 3" xfId="13312" xr:uid="{AAD03660-27C1-49FE-A23F-85685D281144}"/>
    <cellStyle name="Normal 5 3 3 3 2 4 2 3 2" xfId="31908" xr:uid="{990895D0-24E2-487D-9D6E-AC082B1EB571}"/>
    <cellStyle name="Normal 5 3 3 3 2 4 2 4" xfId="22611" xr:uid="{56334157-C840-425D-9456-004B9D136D4A}"/>
    <cellStyle name="Normal 5 3 3 3 2 4 3" xfId="6058" xr:uid="{00000000-0005-0000-0000-0000D3190000}"/>
    <cellStyle name="Normal 5 3 3 3 2 4 3 2" xfId="15384" xr:uid="{E263CDDB-AE8C-499F-B75E-3148BCCC4CF8}"/>
    <cellStyle name="Normal 5 3 3 3 2 4 3 2 2" xfId="33980" xr:uid="{A59A5B18-A820-41A6-99B6-F0C32EFE570E}"/>
    <cellStyle name="Normal 5 3 3 3 2 4 3 3" xfId="24683" xr:uid="{F88AE089-F627-457B-B02D-B5774CB3C269}"/>
    <cellStyle name="Normal 5 3 3 3 2 4 4" xfId="11167" xr:uid="{01FDB0BD-7BC6-4879-AD4B-185EBD5CDBF5}"/>
    <cellStyle name="Normal 5 3 3 3 2 4 4 2" xfId="29763" xr:uid="{07D7B87A-662F-4F94-952F-27B047F48ACA}"/>
    <cellStyle name="Normal 5 3 3 3 2 4 5" xfId="20466" xr:uid="{0F60B3C4-2390-4294-9AB8-494A22673C0A}"/>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FD0E910D-D923-4850-B834-914C579C3034}"/>
    <cellStyle name="Normal 5 3 3 3 2 5 2 2 2 2" xfId="36538" xr:uid="{956C8521-8F2F-4623-8F08-A77D53FFBBDC}"/>
    <cellStyle name="Normal 5 3 3 3 2 5 2 2 3" xfId="27241" xr:uid="{27A0DE3D-6B8C-4A1E-9242-2F8E28628265}"/>
    <cellStyle name="Normal 5 3 3 3 2 5 2 3" xfId="13725" xr:uid="{48F738DA-ECA0-4A06-BE45-3715BDE78BE4}"/>
    <cellStyle name="Normal 5 3 3 3 2 5 2 3 2" xfId="32321" xr:uid="{A09597A2-F207-4628-94E8-7BFDF3653B53}"/>
    <cellStyle name="Normal 5 3 3 3 2 5 2 4" xfId="23024" xr:uid="{8E826E57-5E35-44F2-823A-24BF78EABE3A}"/>
    <cellStyle name="Normal 5 3 3 3 2 5 3" xfId="6471" xr:uid="{00000000-0005-0000-0000-0000D7190000}"/>
    <cellStyle name="Normal 5 3 3 3 2 5 3 2" xfId="15797" xr:uid="{9314CBAB-D24E-4281-A055-0CB9A121890C}"/>
    <cellStyle name="Normal 5 3 3 3 2 5 3 2 2" xfId="34393" xr:uid="{3E1E9173-E4E2-43C8-BB15-9B5792BD833E}"/>
    <cellStyle name="Normal 5 3 3 3 2 5 3 3" xfId="25096" xr:uid="{21A62086-7C2C-4EB4-8FB4-917430FCEC58}"/>
    <cellStyle name="Normal 5 3 3 3 2 5 4" xfId="11580" xr:uid="{A2182079-C7A6-4462-A162-715DF6A27D96}"/>
    <cellStyle name="Normal 5 3 3 3 2 5 4 2" xfId="30176" xr:uid="{1A2A9AF4-4256-4B12-8120-EDF2CC709E44}"/>
    <cellStyle name="Normal 5 3 3 3 2 5 5" xfId="20879" xr:uid="{AFF0A2B4-95CB-46D5-8696-0698B7699F2E}"/>
    <cellStyle name="Normal 5 3 3 3 2 6" xfId="2601" xr:uid="{00000000-0005-0000-0000-0000D8190000}"/>
    <cellStyle name="Normal 5 3 3 3 2 6 2" xfId="6884" xr:uid="{00000000-0005-0000-0000-0000D9190000}"/>
    <cellStyle name="Normal 5 3 3 3 2 6 2 2" xfId="16210" xr:uid="{C1236CC3-3CE0-4C02-B02B-59F69F56DAFC}"/>
    <cellStyle name="Normal 5 3 3 3 2 6 2 2 2" xfId="34806" xr:uid="{8AE02203-6507-4D08-9426-6990C60A9D51}"/>
    <cellStyle name="Normal 5 3 3 3 2 6 2 3" xfId="25509" xr:uid="{7335715C-10E4-45B5-AE52-FCC7346B7465}"/>
    <cellStyle name="Normal 5 3 3 3 2 6 3" xfId="11993" xr:uid="{104E29E3-BE0C-4ED5-AB7C-E474A38A2D33}"/>
    <cellStyle name="Normal 5 3 3 3 2 6 3 2" xfId="30589" xr:uid="{A1E53A33-2D68-4F6D-AD70-0572FD8BCBE7}"/>
    <cellStyle name="Normal 5 3 3 3 2 6 4" xfId="21292" xr:uid="{7D940403-583A-4C5D-A9B8-693F12E3D29D}"/>
    <cellStyle name="Normal 5 3 3 3 2 7" xfId="4819" xr:uid="{00000000-0005-0000-0000-0000DA190000}"/>
    <cellStyle name="Normal 5 3 3 3 2 7 2" xfId="14145" xr:uid="{84DE18BA-AF80-4A1A-99FB-DB757F147F61}"/>
    <cellStyle name="Normal 5 3 3 3 2 7 2 2" xfId="32741" xr:uid="{819DA690-313A-4D6F-A8CF-68714A0B46B8}"/>
    <cellStyle name="Normal 5 3 3 3 2 7 3" xfId="23444" xr:uid="{BD4E16DA-F4CC-47BD-B19A-E96704514679}"/>
    <cellStyle name="Normal 5 3 3 3 2 8" xfId="9092" xr:uid="{A018BC5E-3880-4BA4-8CFB-322C89A13B5F}"/>
    <cellStyle name="Normal 5 3 3 3 2 8 2" xfId="18416" xr:uid="{B2E5FDBF-E619-4499-B972-25DE33C0074E}"/>
    <cellStyle name="Normal 5 3 3 3 2 8 2 2" xfId="37011" xr:uid="{88A21966-98EF-4984-BBE6-D5179DCD4388}"/>
    <cellStyle name="Normal 5 3 3 3 2 8 3" xfId="27714" xr:uid="{ADB6D48E-3C0C-4059-937D-9E57BFE7CDFE}"/>
    <cellStyle name="Normal 5 3 3 3 2 9" xfId="9928" xr:uid="{7095CBC0-94F9-4AD1-8229-E4A0DF573417}"/>
    <cellStyle name="Normal 5 3 3 3 2 9 2" xfId="28524" xr:uid="{79661806-FB7E-412C-97D3-B650124D5C14}"/>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F98A6105-1D71-4E6F-8351-330CCD83FC2B}"/>
    <cellStyle name="Normal 5 3 3 3 3 2 2 2 2" xfId="35298" xr:uid="{E9C4FE29-7018-4273-A8C6-5A16927A6168}"/>
    <cellStyle name="Normal 5 3 3 3 3 2 2 3" xfId="26001" xr:uid="{C08A8CB9-7147-47AE-AE51-3E2BB11A9FD9}"/>
    <cellStyle name="Normal 5 3 3 3 3 2 3" xfId="12485" xr:uid="{0E8C0D28-4692-4A0E-919C-6BBDC344BD43}"/>
    <cellStyle name="Normal 5 3 3 3 3 2 3 2" xfId="31081" xr:uid="{A13D6476-29D9-4256-8199-9454F3FA19AF}"/>
    <cellStyle name="Normal 5 3 3 3 3 2 4" xfId="21784" xr:uid="{7DA29CE5-9628-4330-BC91-674EDB6FE6F8}"/>
    <cellStyle name="Normal 5 3 3 3 3 3" xfId="5231" xr:uid="{00000000-0005-0000-0000-0000DE190000}"/>
    <cellStyle name="Normal 5 3 3 3 3 3 2" xfId="14557" xr:uid="{8D80A77D-5990-43C6-A772-A13835B3408F}"/>
    <cellStyle name="Normal 5 3 3 3 3 3 2 2" xfId="33153" xr:uid="{F20172A4-4EF4-42A9-B2AD-8816B05ECD33}"/>
    <cellStyle name="Normal 5 3 3 3 3 3 3" xfId="23856" xr:uid="{F51E2263-BAA6-46B2-8954-DAFB8BC73CF1}"/>
    <cellStyle name="Normal 5 3 3 3 3 4" xfId="9310" xr:uid="{D169C31A-17C5-4934-97DF-D90479FD2654}"/>
    <cellStyle name="Normal 5 3 3 3 3 4 2" xfId="18625" xr:uid="{0AC694D9-E48B-4141-B4A5-521D37E2E0C9}"/>
    <cellStyle name="Normal 5 3 3 3 3 4 2 2" xfId="37219" xr:uid="{33E9B13A-FDFB-475D-AFDF-ED7F186E0D08}"/>
    <cellStyle name="Normal 5 3 3 3 3 4 3" xfId="27922" xr:uid="{5DD76009-C775-4617-8E9D-B6DB5ACA6356}"/>
    <cellStyle name="Normal 5 3 3 3 3 5" xfId="10340" xr:uid="{2C0551BD-0C1C-4403-82CB-36C91AD92BDC}"/>
    <cellStyle name="Normal 5 3 3 3 3 5 2" xfId="28936" xr:uid="{D5134A29-D336-4DFA-AD01-ED380B773ADE}"/>
    <cellStyle name="Normal 5 3 3 3 3 6" xfId="19639" xr:uid="{DC4ABA8A-A59C-4567-A4D7-B471707CD39B}"/>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91039477-8DD7-46DA-94CC-9D7E934FD3E2}"/>
    <cellStyle name="Normal 5 3 3 3 4 2 2 2 2" xfId="35711" xr:uid="{AF45C63A-9350-48C6-B7B7-D81505A69352}"/>
    <cellStyle name="Normal 5 3 3 3 4 2 2 3" xfId="26414" xr:uid="{A8C3753E-5B60-42D6-80C2-EC77684E2CB1}"/>
    <cellStyle name="Normal 5 3 3 3 4 2 3" xfId="12898" xr:uid="{B6A65807-E5D3-49ED-BB07-E0DEEDB7BC02}"/>
    <cellStyle name="Normal 5 3 3 3 4 2 3 2" xfId="31494" xr:uid="{6C439493-0674-4E22-BEF3-E7DDDC0DC1C0}"/>
    <cellStyle name="Normal 5 3 3 3 4 2 4" xfId="22197" xr:uid="{AD326250-FFF0-47FC-A95F-3EBE15159A30}"/>
    <cellStyle name="Normal 5 3 3 3 4 3" xfId="5644" xr:uid="{00000000-0005-0000-0000-0000E2190000}"/>
    <cellStyle name="Normal 5 3 3 3 4 3 2" xfId="14970" xr:uid="{538BACDA-6C10-49AD-BB1D-D12D98554D78}"/>
    <cellStyle name="Normal 5 3 3 3 4 3 2 2" xfId="33566" xr:uid="{8AFB116D-1B64-4259-A606-304384A39E0E}"/>
    <cellStyle name="Normal 5 3 3 3 4 3 3" xfId="24269" xr:uid="{F0D9E2DB-CCE8-4693-B145-D89452A454CB}"/>
    <cellStyle name="Normal 5 3 3 3 4 4" xfId="10753" xr:uid="{ECA5F082-AB1A-4AEE-9538-97232CA36388}"/>
    <cellStyle name="Normal 5 3 3 3 4 4 2" xfId="29349" xr:uid="{77F0ED47-5F85-40F1-9B64-12ABC5244D65}"/>
    <cellStyle name="Normal 5 3 3 3 4 5" xfId="20052" xr:uid="{094DDCC8-2CA3-4120-B630-2500A38CA0E9}"/>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967A9481-A457-42E1-812E-DAD89A1BD10F}"/>
    <cellStyle name="Normal 5 3 3 3 5 2 2 2 2" xfId="36124" xr:uid="{EE0D31DD-9FE0-44CE-B573-04F7760482A6}"/>
    <cellStyle name="Normal 5 3 3 3 5 2 2 3" xfId="26827" xr:uid="{F2C8A4DC-3AED-4251-BD08-AAF412A555E4}"/>
    <cellStyle name="Normal 5 3 3 3 5 2 3" xfId="13311" xr:uid="{46EFCF8C-188C-4676-BA4D-75326F7EB022}"/>
    <cellStyle name="Normal 5 3 3 3 5 2 3 2" xfId="31907" xr:uid="{ECA464C3-7637-4DF0-99B9-7363267D3F7C}"/>
    <cellStyle name="Normal 5 3 3 3 5 2 4" xfId="22610" xr:uid="{30796BC7-4464-49E3-B7F9-B244A09DA594}"/>
    <cellStyle name="Normal 5 3 3 3 5 3" xfId="6057" xr:uid="{00000000-0005-0000-0000-0000E6190000}"/>
    <cellStyle name="Normal 5 3 3 3 5 3 2" xfId="15383" xr:uid="{8BAB1032-E94E-4A84-9980-2ECC20840B73}"/>
    <cellStyle name="Normal 5 3 3 3 5 3 2 2" xfId="33979" xr:uid="{25224C26-E368-42F6-9FBB-F2763933460E}"/>
    <cellStyle name="Normal 5 3 3 3 5 3 3" xfId="24682" xr:uid="{71E47C15-56BE-4450-A0C0-39FADB59337B}"/>
    <cellStyle name="Normal 5 3 3 3 5 4" xfId="11166" xr:uid="{84206FF6-D2F8-4208-9A34-362501DB2D32}"/>
    <cellStyle name="Normal 5 3 3 3 5 4 2" xfId="29762" xr:uid="{8C8C4F68-46CD-4C42-B693-01259396EB1F}"/>
    <cellStyle name="Normal 5 3 3 3 5 5" xfId="20465" xr:uid="{4BE8489C-CEC9-4B2E-A34D-3713665C4BD1}"/>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5D1099C9-86B6-4E74-B6D3-A5DFFD129A54}"/>
    <cellStyle name="Normal 5 3 3 3 6 2 2 2 2" xfId="36537" xr:uid="{461D8EE1-FAD1-4404-9770-B042F30584E4}"/>
    <cellStyle name="Normal 5 3 3 3 6 2 2 3" xfId="27240" xr:uid="{6FE35AEF-6630-478A-A81F-ABE37F0C8B4F}"/>
    <cellStyle name="Normal 5 3 3 3 6 2 3" xfId="13724" xr:uid="{E528D2A0-5F30-477D-AE3A-037D71D4FC7F}"/>
    <cellStyle name="Normal 5 3 3 3 6 2 3 2" xfId="32320" xr:uid="{30E4008B-0BDC-467C-82F7-3D4055AD4B8E}"/>
    <cellStyle name="Normal 5 3 3 3 6 2 4" xfId="23023" xr:uid="{5AE87742-D932-4028-929D-5EA4181E7DDA}"/>
    <cellStyle name="Normal 5 3 3 3 6 3" xfId="6470" xr:uid="{00000000-0005-0000-0000-0000EA190000}"/>
    <cellStyle name="Normal 5 3 3 3 6 3 2" xfId="15796" xr:uid="{1FD7B3C2-2020-4FF7-84D8-276C3A7FC724}"/>
    <cellStyle name="Normal 5 3 3 3 6 3 2 2" xfId="34392" xr:uid="{F7138655-BA20-4E08-BF1B-AA13B09596DF}"/>
    <cellStyle name="Normal 5 3 3 3 6 3 3" xfId="25095" xr:uid="{9DAB2235-2B0E-4451-88B9-014C87A62449}"/>
    <cellStyle name="Normal 5 3 3 3 6 4" xfId="11579" xr:uid="{B6ECE545-94B6-4C0C-8552-A93C74132CEA}"/>
    <cellStyle name="Normal 5 3 3 3 6 4 2" xfId="30175" xr:uid="{60A041A6-5B34-40BA-ADAB-2A375C394A90}"/>
    <cellStyle name="Normal 5 3 3 3 6 5" xfId="20878" xr:uid="{0259E77E-AA69-47BE-ABED-E9E7F772F3AC}"/>
    <cellStyle name="Normal 5 3 3 3 7" xfId="2600" xr:uid="{00000000-0005-0000-0000-0000EB190000}"/>
    <cellStyle name="Normal 5 3 3 3 7 2" xfId="6883" xr:uid="{00000000-0005-0000-0000-0000EC190000}"/>
    <cellStyle name="Normal 5 3 3 3 7 2 2" xfId="16209" xr:uid="{972B5CDF-1594-4656-9311-3117787237E4}"/>
    <cellStyle name="Normal 5 3 3 3 7 2 2 2" xfId="34805" xr:uid="{174A831C-DAD1-4579-91BB-D579D1B5C4D6}"/>
    <cellStyle name="Normal 5 3 3 3 7 2 3" xfId="25508" xr:uid="{98C98D86-1FBB-437D-9975-D1B3712F0BED}"/>
    <cellStyle name="Normal 5 3 3 3 7 3" xfId="11992" xr:uid="{815B6FC2-D1F5-4FA1-A811-1989ED56CB3A}"/>
    <cellStyle name="Normal 5 3 3 3 7 3 2" xfId="30588" xr:uid="{644858E9-5DA0-49DB-95C5-C8DE761C7B6C}"/>
    <cellStyle name="Normal 5 3 3 3 7 4" xfId="21291" xr:uid="{CD3D385D-B763-4DBD-8384-40E9ACF541CC}"/>
    <cellStyle name="Normal 5 3 3 3 8" xfId="4818" xr:uid="{00000000-0005-0000-0000-0000ED190000}"/>
    <cellStyle name="Normal 5 3 3 3 8 2" xfId="14144" xr:uid="{EC39F3D6-8C07-4B30-BE70-AA3374838D1A}"/>
    <cellStyle name="Normal 5 3 3 3 8 2 2" xfId="32740" xr:uid="{0355A42C-1375-40B0-9BC0-3E34A85D7D59}"/>
    <cellStyle name="Normal 5 3 3 3 8 3" xfId="23443" xr:uid="{F44AD325-96D2-47EF-8AFC-5034A3466EFE}"/>
    <cellStyle name="Normal 5 3 3 3 9" xfId="8885" xr:uid="{BFA59703-C126-4DE9-A819-9190501D5C5B}"/>
    <cellStyle name="Normal 5 3 3 3 9 2" xfId="18209" xr:uid="{F482F4B3-9B69-4B6F-BBB0-4C1A4F824EB4}"/>
    <cellStyle name="Normal 5 3 3 3 9 2 2" xfId="36804" xr:uid="{2FE41FBA-7FBB-496D-82CD-CFCA46076417}"/>
    <cellStyle name="Normal 5 3 3 3 9 3" xfId="27507" xr:uid="{93E0221D-31D9-4649-AEE6-2422D806E03E}"/>
    <cellStyle name="Normal 5 3 3 4" xfId="448" xr:uid="{00000000-0005-0000-0000-0000EE190000}"/>
    <cellStyle name="Normal 5 3 3 4 10" xfId="19228" xr:uid="{29123ABF-F0D2-4637-A688-A4E62BC208DE}"/>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E8D1C351-ACA5-482F-9269-093B836F4C2C}"/>
    <cellStyle name="Normal 5 3 3 4 2 2 2 2 2" xfId="35300" xr:uid="{6C0F895A-4062-4870-8623-A268E3DADD51}"/>
    <cellStyle name="Normal 5 3 3 4 2 2 2 3" xfId="26003" xr:uid="{D1A68AAD-31D2-4B11-AA9D-62E8FF7D433A}"/>
    <cellStyle name="Normal 5 3 3 4 2 2 3" xfId="12487" xr:uid="{93141ECD-5E11-4F00-8BF6-49AE33E1E253}"/>
    <cellStyle name="Normal 5 3 3 4 2 2 3 2" xfId="31083" xr:uid="{C74FEF1A-062F-410E-9E95-2B7D4B02DBF2}"/>
    <cellStyle name="Normal 5 3 3 4 2 2 4" xfId="21786" xr:uid="{B9DAED03-A2E7-48EB-A4A7-9D5DC2196F51}"/>
    <cellStyle name="Normal 5 3 3 4 2 3" xfId="5233" xr:uid="{00000000-0005-0000-0000-0000F2190000}"/>
    <cellStyle name="Normal 5 3 3 4 2 3 2" xfId="14559" xr:uid="{40A2D661-FCBA-4F5B-AFCF-342BCD6D9FE1}"/>
    <cellStyle name="Normal 5 3 3 4 2 3 2 2" xfId="33155" xr:uid="{99C582AE-6298-4EFE-9DFD-3C44FD78FA59}"/>
    <cellStyle name="Normal 5 3 3 4 2 3 3" xfId="23858" xr:uid="{58569F69-4C9E-44BB-907F-B969728B449B}"/>
    <cellStyle name="Normal 5 3 3 4 2 4" xfId="9414" xr:uid="{BD781A4C-FDA7-4D11-87F3-3D38EC19B37A}"/>
    <cellStyle name="Normal 5 3 3 4 2 4 2" xfId="18729" xr:uid="{AE8B2787-760F-4C01-B095-035A1E87F040}"/>
    <cellStyle name="Normal 5 3 3 4 2 4 2 2" xfId="37323" xr:uid="{AD4CAF0C-1C0D-480E-A045-811C4294E2B8}"/>
    <cellStyle name="Normal 5 3 3 4 2 4 3" xfId="28026" xr:uid="{AAF7EFBE-390A-4236-98EB-1EF7D1AD1B59}"/>
    <cellStyle name="Normal 5 3 3 4 2 5" xfId="10342" xr:uid="{0F0731F3-C5B8-496F-891F-47EB3015F2DF}"/>
    <cellStyle name="Normal 5 3 3 4 2 5 2" xfId="28938" xr:uid="{3ED49C96-5E70-455C-A809-6B61D749A4E3}"/>
    <cellStyle name="Normal 5 3 3 4 2 6" xfId="19641" xr:uid="{5934D432-CC68-4A11-81E1-B981926B1531}"/>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4E03587F-9286-4120-B7A1-E2A7D9C9E85C}"/>
    <cellStyle name="Normal 5 3 3 4 3 2 2 2 2" xfId="35713" xr:uid="{B7F7E10F-20F9-4A15-9793-D25B9A31CBB7}"/>
    <cellStyle name="Normal 5 3 3 4 3 2 2 3" xfId="26416" xr:uid="{36FAC026-B6B4-43BD-9B11-519443C75FB9}"/>
    <cellStyle name="Normal 5 3 3 4 3 2 3" xfId="12900" xr:uid="{76D5C94F-73CB-41AE-B3B1-DC85D2236BB0}"/>
    <cellStyle name="Normal 5 3 3 4 3 2 3 2" xfId="31496" xr:uid="{981BE9FD-161B-45B8-AEF9-30B436A6AE05}"/>
    <cellStyle name="Normal 5 3 3 4 3 2 4" xfId="22199" xr:uid="{16D52722-21BF-458C-B6C0-80AD454F5C23}"/>
    <cellStyle name="Normal 5 3 3 4 3 3" xfId="5646" xr:uid="{00000000-0005-0000-0000-0000F6190000}"/>
    <cellStyle name="Normal 5 3 3 4 3 3 2" xfId="14972" xr:uid="{AD90EF02-3231-4C5C-B7B3-7D94F1BE6256}"/>
    <cellStyle name="Normal 5 3 3 4 3 3 2 2" xfId="33568" xr:uid="{3821DE4E-8364-4D9F-9EC9-E3F30C08B0FD}"/>
    <cellStyle name="Normal 5 3 3 4 3 3 3" xfId="24271" xr:uid="{FF382957-8D4B-4916-8445-37498463A8B5}"/>
    <cellStyle name="Normal 5 3 3 4 3 4" xfId="10755" xr:uid="{D2CEC49F-D126-4512-B971-2B6895290309}"/>
    <cellStyle name="Normal 5 3 3 4 3 4 2" xfId="29351" xr:uid="{BE42AE53-BD2E-4B33-B9EC-8B9C786A219E}"/>
    <cellStyle name="Normal 5 3 3 4 3 5" xfId="20054" xr:uid="{902B8165-3F40-4651-A3D1-BFCCD35744C7}"/>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0C9F5C1E-04F6-4EE4-B4C1-BF06E2487B1B}"/>
    <cellStyle name="Normal 5 3 3 4 4 2 2 2 2" xfId="36126" xr:uid="{342FA7C2-A585-448B-BC40-C5D239FB0023}"/>
    <cellStyle name="Normal 5 3 3 4 4 2 2 3" xfId="26829" xr:uid="{0E6A921B-0477-4D51-94CB-57C6ADE0D7B1}"/>
    <cellStyle name="Normal 5 3 3 4 4 2 3" xfId="13313" xr:uid="{0CACCFE5-2AF4-4D43-85B7-7AA8F6755FDF}"/>
    <cellStyle name="Normal 5 3 3 4 4 2 3 2" xfId="31909" xr:uid="{19B3ADC0-AA0E-4ED0-9B88-F3B133E84AC3}"/>
    <cellStyle name="Normal 5 3 3 4 4 2 4" xfId="22612" xr:uid="{9E534678-0D09-4B64-AB25-2A082315CFC2}"/>
    <cellStyle name="Normal 5 3 3 4 4 3" xfId="6059" xr:uid="{00000000-0005-0000-0000-0000FA190000}"/>
    <cellStyle name="Normal 5 3 3 4 4 3 2" xfId="15385" xr:uid="{716E9120-6597-4ECE-8AD7-F7445A243703}"/>
    <cellStyle name="Normal 5 3 3 4 4 3 2 2" xfId="33981" xr:uid="{5A5C9483-2B05-4FEE-BEAF-37C04CC2F482}"/>
    <cellStyle name="Normal 5 3 3 4 4 3 3" xfId="24684" xr:uid="{9E9A07E4-8500-4644-992A-4C34A498C186}"/>
    <cellStyle name="Normal 5 3 3 4 4 4" xfId="11168" xr:uid="{2070F62A-6882-45DA-8677-012201C62383}"/>
    <cellStyle name="Normal 5 3 3 4 4 4 2" xfId="29764" xr:uid="{1B81BC33-AB0B-4AB3-BE85-46CEC4F65EBF}"/>
    <cellStyle name="Normal 5 3 3 4 4 5" xfId="20467" xr:uid="{50B6E19A-E18D-4E8D-A4FB-824056166AE7}"/>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ECAE1882-B3DA-4B11-9A32-EE59E84A5134}"/>
    <cellStyle name="Normal 5 3 3 4 5 2 2 2 2" xfId="36539" xr:uid="{CBE023C1-DB31-4926-8E78-EA6A818C129C}"/>
    <cellStyle name="Normal 5 3 3 4 5 2 2 3" xfId="27242" xr:uid="{8A285F73-2D9F-486B-BEB6-B3FB5430BA80}"/>
    <cellStyle name="Normal 5 3 3 4 5 2 3" xfId="13726" xr:uid="{99E5B85C-08A1-42B5-8B86-D40B3E34B84F}"/>
    <cellStyle name="Normal 5 3 3 4 5 2 3 2" xfId="32322" xr:uid="{ACCC053E-C372-4EA6-90D5-B3CF9CFF6678}"/>
    <cellStyle name="Normal 5 3 3 4 5 2 4" xfId="23025" xr:uid="{1496F016-8D81-4234-83D7-04A86CF31C47}"/>
    <cellStyle name="Normal 5 3 3 4 5 3" xfId="6472" xr:uid="{00000000-0005-0000-0000-0000FE190000}"/>
    <cellStyle name="Normal 5 3 3 4 5 3 2" xfId="15798" xr:uid="{053A7175-B046-44A2-BA09-2A6A90756C68}"/>
    <cellStyle name="Normal 5 3 3 4 5 3 2 2" xfId="34394" xr:uid="{0EE88A3A-1A19-4E5A-BD42-D91EEAC0CE4F}"/>
    <cellStyle name="Normal 5 3 3 4 5 3 3" xfId="25097" xr:uid="{A54392E0-D6C7-4138-9F93-EBA2E994D298}"/>
    <cellStyle name="Normal 5 3 3 4 5 4" xfId="11581" xr:uid="{B7486BA0-9F15-487C-9B48-4E5D134B7422}"/>
    <cellStyle name="Normal 5 3 3 4 5 4 2" xfId="30177" xr:uid="{0D34ED8C-9739-449A-A7D1-6EC449CF9993}"/>
    <cellStyle name="Normal 5 3 3 4 5 5" xfId="20880" xr:uid="{89017A42-EC3B-49B6-9D85-031F82B86D46}"/>
    <cellStyle name="Normal 5 3 3 4 6" xfId="2602" xr:uid="{00000000-0005-0000-0000-0000FF190000}"/>
    <cellStyle name="Normal 5 3 3 4 6 2" xfId="6885" xr:uid="{00000000-0005-0000-0000-0000001A0000}"/>
    <cellStyle name="Normal 5 3 3 4 6 2 2" xfId="16211" xr:uid="{466D8364-67E9-4704-AB7E-83301272D81A}"/>
    <cellStyle name="Normal 5 3 3 4 6 2 2 2" xfId="34807" xr:uid="{9D3D4350-FF6C-4EF4-A90F-A2470F133952}"/>
    <cellStyle name="Normal 5 3 3 4 6 2 3" xfId="25510" xr:uid="{78BD1C7A-91D0-43C3-93F3-F6CAF7E6F40F}"/>
    <cellStyle name="Normal 5 3 3 4 6 3" xfId="11994" xr:uid="{10AD71C7-E43A-448C-A24A-EC36A049D6BB}"/>
    <cellStyle name="Normal 5 3 3 4 6 3 2" xfId="30590" xr:uid="{614542EA-3C5F-468C-BF68-E61492DAC719}"/>
    <cellStyle name="Normal 5 3 3 4 6 4" xfId="21293" xr:uid="{17359622-7BF7-4AF8-A1C9-1590C66EA822}"/>
    <cellStyle name="Normal 5 3 3 4 7" xfId="4820" xr:uid="{00000000-0005-0000-0000-0000011A0000}"/>
    <cellStyle name="Normal 5 3 3 4 7 2" xfId="14146" xr:uid="{1CB97EFD-7AC2-4F46-A637-98785A03BE8C}"/>
    <cellStyle name="Normal 5 3 3 4 7 2 2" xfId="32742" xr:uid="{0D7886EE-FF7B-456F-A80B-C0704A7CAE79}"/>
    <cellStyle name="Normal 5 3 3 4 7 3" xfId="23445" xr:uid="{ACBBE3C3-E1EF-4118-B0B5-8BFC7CF39A3D}"/>
    <cellStyle name="Normal 5 3 3 4 8" xfId="8989" xr:uid="{20FA1483-98E6-46C4-B00B-4EAF7957981D}"/>
    <cellStyle name="Normal 5 3 3 4 8 2" xfId="18313" xr:uid="{4A289A0D-5E04-4451-B048-AE2957C66D55}"/>
    <cellStyle name="Normal 5 3 3 4 8 2 2" xfId="36908" xr:uid="{CCB34455-8398-4134-AD34-CE91CDD2B4B0}"/>
    <cellStyle name="Normal 5 3 3 4 8 3" xfId="27611" xr:uid="{23D9D3DC-A578-4A8A-8727-82D63BD5A9F8}"/>
    <cellStyle name="Normal 5 3 3 4 9" xfId="9929" xr:uid="{8B4A4952-EFFC-47BA-972F-A2FC40EF9DCD}"/>
    <cellStyle name="Normal 5 3 3 4 9 2" xfId="28525" xr:uid="{99C3BEB8-1B4C-4E0A-BDBB-28FD4F105354}"/>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44F8DF81-1E7F-4533-AD2E-6684B56670D2}"/>
    <cellStyle name="Normal 5 3 3 5 2 2 2 2" xfId="35293" xr:uid="{94C4D719-8BE8-43A9-83ED-1F1B4341FD5E}"/>
    <cellStyle name="Normal 5 3 3 5 2 2 3" xfId="25996" xr:uid="{AC250A65-2D76-4DFB-B75C-4DED765D58F8}"/>
    <cellStyle name="Normal 5 3 3 5 2 3" xfId="12480" xr:uid="{098906CF-85A3-49E1-9AE3-C3163B1C28AB}"/>
    <cellStyle name="Normal 5 3 3 5 2 3 2" xfId="31076" xr:uid="{DC33B087-1B6A-4DC0-AF2D-F6FE29E9B738}"/>
    <cellStyle name="Normal 5 3 3 5 2 4" xfId="21779" xr:uid="{EA7B5D43-559B-4873-96C1-47EAEEAD2F8F}"/>
    <cellStyle name="Normal 5 3 3 5 3" xfId="5226" xr:uid="{00000000-0005-0000-0000-0000051A0000}"/>
    <cellStyle name="Normal 5 3 3 5 3 2" xfId="14552" xr:uid="{302A2C14-C24F-4417-A8D0-0DE0AD79E1EE}"/>
    <cellStyle name="Normal 5 3 3 5 3 2 2" xfId="33148" xr:uid="{145913AB-E317-429A-88DE-9914676A9CF7}"/>
    <cellStyle name="Normal 5 3 3 5 3 3" xfId="23851" xr:uid="{66D05A0B-E59B-4EDA-98C3-F04E70243C50}"/>
    <cellStyle name="Normal 5 3 3 5 4" xfId="9206" xr:uid="{CA749CBB-EAB5-483B-862D-D7B95A23D45C}"/>
    <cellStyle name="Normal 5 3 3 5 4 2" xfId="18522" xr:uid="{644FA4CD-83AA-452E-BEBC-8E1F4A0F2C47}"/>
    <cellStyle name="Normal 5 3 3 5 4 2 2" xfId="37116" xr:uid="{89F8B5D1-6402-463D-AAA2-930001A04EF6}"/>
    <cellStyle name="Normal 5 3 3 5 4 3" xfId="27819" xr:uid="{09B6EC96-1E9D-4A46-9AF4-F12DC895F159}"/>
    <cellStyle name="Normal 5 3 3 5 5" xfId="10335" xr:uid="{E8FC67B6-72C6-4115-95C3-AD4355241439}"/>
    <cellStyle name="Normal 5 3 3 5 5 2" xfId="28931" xr:uid="{58C3CFE5-C5BD-493F-9D03-BEA6171C6A33}"/>
    <cellStyle name="Normal 5 3 3 5 6" xfId="19634" xr:uid="{63C9B99E-D391-43EE-80C0-6F12EAF3EA39}"/>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4744D25E-97E3-4384-86C3-CDF8C27A1CC8}"/>
    <cellStyle name="Normal 5 3 3 6 2 2 2 2" xfId="35706" xr:uid="{5EACC948-7973-458D-9B79-B1D511D59C2A}"/>
    <cellStyle name="Normal 5 3 3 6 2 2 3" xfId="26409" xr:uid="{70B8CCE7-723F-4EC9-83EA-50D8E183FEC5}"/>
    <cellStyle name="Normal 5 3 3 6 2 3" xfId="12893" xr:uid="{94BCF442-9949-430D-B1A7-970AB7F23AC6}"/>
    <cellStyle name="Normal 5 3 3 6 2 3 2" xfId="31489" xr:uid="{887F8791-67BD-4F3F-AAD6-074728C46FB7}"/>
    <cellStyle name="Normal 5 3 3 6 2 4" xfId="22192" xr:uid="{44814E3F-5010-4F4F-A2C0-38E3088BF1FD}"/>
    <cellStyle name="Normal 5 3 3 6 3" xfId="5639" xr:uid="{00000000-0005-0000-0000-0000091A0000}"/>
    <cellStyle name="Normal 5 3 3 6 3 2" xfId="14965" xr:uid="{214F85FF-2A88-46BE-8882-34805FEC6D44}"/>
    <cellStyle name="Normal 5 3 3 6 3 2 2" xfId="33561" xr:uid="{0E6FF6D4-6E07-4FD4-8B5C-5BA3BA4B5196}"/>
    <cellStyle name="Normal 5 3 3 6 3 3" xfId="24264" xr:uid="{9FF0BAD2-9A1F-4BB7-A99F-D91887C42D18}"/>
    <cellStyle name="Normal 5 3 3 6 4" xfId="10748" xr:uid="{68E1562C-FC6E-485A-9C45-0511E9429DF4}"/>
    <cellStyle name="Normal 5 3 3 6 4 2" xfId="29344" xr:uid="{C9FBF03D-78AF-4394-A3D0-FAE39734DF19}"/>
    <cellStyle name="Normal 5 3 3 6 5" xfId="20047" xr:uid="{92DE5D21-E35E-40DC-B6E0-E7A776352C52}"/>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949987E8-DF99-49B6-9962-A1B75441C97F}"/>
    <cellStyle name="Normal 5 3 3 7 2 2 2 2" xfId="36119" xr:uid="{6C4D2EFB-AC4E-4EC7-972B-59B238270D75}"/>
    <cellStyle name="Normal 5 3 3 7 2 2 3" xfId="26822" xr:uid="{363B55EF-A510-419A-877E-00A8E31F304C}"/>
    <cellStyle name="Normal 5 3 3 7 2 3" xfId="13306" xr:uid="{298FA20F-C1A4-4204-94ED-529F534B8B24}"/>
    <cellStyle name="Normal 5 3 3 7 2 3 2" xfId="31902" xr:uid="{4D924150-87E1-4B78-BB7E-B1A5EF8B5B14}"/>
    <cellStyle name="Normal 5 3 3 7 2 4" xfId="22605" xr:uid="{4B61A70F-097C-42F2-8F21-E25563A27D42}"/>
    <cellStyle name="Normal 5 3 3 7 3" xfId="6052" xr:uid="{00000000-0005-0000-0000-00000D1A0000}"/>
    <cellStyle name="Normal 5 3 3 7 3 2" xfId="15378" xr:uid="{CC00F881-74A7-43BC-80D6-F5FFB2E5F841}"/>
    <cellStyle name="Normal 5 3 3 7 3 2 2" xfId="33974" xr:uid="{37310A80-CF02-4900-A68C-B9EA6832C978}"/>
    <cellStyle name="Normal 5 3 3 7 3 3" xfId="24677" xr:uid="{A5C95940-6F11-4A96-9C4B-7E526DD8CC9A}"/>
    <cellStyle name="Normal 5 3 3 7 4" xfId="11161" xr:uid="{4BFCB3A2-02D5-4A2B-A787-012EDF55B237}"/>
    <cellStyle name="Normal 5 3 3 7 4 2" xfId="29757" xr:uid="{BA20DA00-6970-4BE6-8A64-D49AE371E8E8}"/>
    <cellStyle name="Normal 5 3 3 7 5" xfId="20460" xr:uid="{1FB873BC-4430-4AA9-BB10-611D04BA8E9B}"/>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864F6F44-8D40-4040-B48E-1CDD8CF77A7B}"/>
    <cellStyle name="Normal 5 3 3 8 2 2 2 2" xfId="36532" xr:uid="{501A224C-BD67-436E-BC2D-AC2153ED810C}"/>
    <cellStyle name="Normal 5 3 3 8 2 2 3" xfId="27235" xr:uid="{2F198FFF-F65C-4D9D-A15F-177A510C7E55}"/>
    <cellStyle name="Normal 5 3 3 8 2 3" xfId="13719" xr:uid="{06BBB054-232B-447A-AC09-D3F13CB313D8}"/>
    <cellStyle name="Normal 5 3 3 8 2 3 2" xfId="32315" xr:uid="{DCFD2C0C-B150-4CC2-AB71-40E2C21D6BA1}"/>
    <cellStyle name="Normal 5 3 3 8 2 4" xfId="23018" xr:uid="{DFB52071-3D3B-461E-B02A-97288B1F2705}"/>
    <cellStyle name="Normal 5 3 3 8 3" xfId="6465" xr:uid="{00000000-0005-0000-0000-0000111A0000}"/>
    <cellStyle name="Normal 5 3 3 8 3 2" xfId="15791" xr:uid="{343B58BC-6663-4A73-85D2-000CB063FE5B}"/>
    <cellStyle name="Normal 5 3 3 8 3 2 2" xfId="34387" xr:uid="{B7106BAA-40E0-4D41-91DF-34E5E1B12B9A}"/>
    <cellStyle name="Normal 5 3 3 8 3 3" xfId="25090" xr:uid="{E9DF8C31-7B78-49F2-A309-05F1403ECC33}"/>
    <cellStyle name="Normal 5 3 3 8 4" xfId="11574" xr:uid="{8999284B-DAAF-4124-A978-795FD05F8073}"/>
    <cellStyle name="Normal 5 3 3 8 4 2" xfId="30170" xr:uid="{BEF998EC-29DC-45F9-93E9-A59AB2336206}"/>
    <cellStyle name="Normal 5 3 3 8 5" xfId="20873" xr:uid="{1F165B6B-9E3C-43D1-BF2D-335CA4C6D2C5}"/>
    <cellStyle name="Normal 5 3 3 9" xfId="2595" xr:uid="{00000000-0005-0000-0000-0000121A0000}"/>
    <cellStyle name="Normal 5 3 3 9 2" xfId="6878" xr:uid="{00000000-0005-0000-0000-0000131A0000}"/>
    <cellStyle name="Normal 5 3 3 9 2 2" xfId="16204" xr:uid="{07EA030C-0B1B-47C0-B0E9-D61F1858050B}"/>
    <cellStyle name="Normal 5 3 3 9 2 2 2" xfId="34800" xr:uid="{2FC9D84C-1202-43CE-9D71-84B2DA92CE1E}"/>
    <cellStyle name="Normal 5 3 3 9 2 3" xfId="25503" xr:uid="{FF4EE96B-38AA-4D6D-AC7F-F2B3EB2C7D07}"/>
    <cellStyle name="Normal 5 3 3 9 3" xfId="11987" xr:uid="{AEF3B2D8-83EE-425F-8003-FB0D6E5CC303}"/>
    <cellStyle name="Normal 5 3 3 9 3 2" xfId="30583" xr:uid="{48EA1531-66D4-45D3-9FAF-FE67904B6FA5}"/>
    <cellStyle name="Normal 5 3 3 9 4" xfId="21286" xr:uid="{2E0AD5A9-6A6D-431F-B12E-238F5F32FF44}"/>
    <cellStyle name="Normal 5 3 4" xfId="449" xr:uid="{00000000-0005-0000-0000-0000141A0000}"/>
    <cellStyle name="Normal 5 3 4 10" xfId="8831" xr:uid="{39AD872D-FBC2-4C4A-B537-79F8014E4247}"/>
    <cellStyle name="Normal 5 3 4 10 2" xfId="18155" xr:uid="{DAA3FC4C-9A2C-4D26-A3C9-129D759EB602}"/>
    <cellStyle name="Normal 5 3 4 10 2 2" xfId="36750" xr:uid="{344F8A6D-D69C-4E5C-95A5-35E0E1D1D8FD}"/>
    <cellStyle name="Normal 5 3 4 10 3" xfId="27453" xr:uid="{B8489414-E600-4FCD-BC7F-3C420A320FC4}"/>
    <cellStyle name="Normal 5 3 4 11" xfId="9930" xr:uid="{7A3247CF-872F-407D-84DB-98E6E680D9E2}"/>
    <cellStyle name="Normal 5 3 4 11 2" xfId="28526" xr:uid="{B2B5A939-C2E7-4FC8-B6B8-EC174F75CF72}"/>
    <cellStyle name="Normal 5 3 4 12" xfId="19229" xr:uid="{1EE14B9B-3091-41FC-BAA7-DBEB5C78E996}"/>
    <cellStyle name="Normal 5 3 4 2" xfId="450" xr:uid="{00000000-0005-0000-0000-0000151A0000}"/>
    <cellStyle name="Normal 5 3 4 2 10" xfId="9931" xr:uid="{2E7007CE-84A4-4035-AF59-C2BFFCC249E3}"/>
    <cellStyle name="Normal 5 3 4 2 10 2" xfId="28527" xr:uid="{031FE622-DF1C-401C-A298-BF5DCF27F4A2}"/>
    <cellStyle name="Normal 5 3 4 2 11" xfId="19230" xr:uid="{106AC180-3F48-4A8C-A2EA-1FD4F3A3157C}"/>
    <cellStyle name="Normal 5 3 4 2 2" xfId="451" xr:uid="{00000000-0005-0000-0000-0000161A0000}"/>
    <cellStyle name="Normal 5 3 4 2 2 10" xfId="19231" xr:uid="{2FDCC8C7-897D-4771-8271-ABF4103F03DE}"/>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106BA011-56B9-4E9E-A8CD-F1DF137DD04F}"/>
    <cellStyle name="Normal 5 3 4 2 2 2 2 2 2 2" xfId="35303" xr:uid="{089B497F-0985-402E-A7EC-7771090F217D}"/>
    <cellStyle name="Normal 5 3 4 2 2 2 2 2 3" xfId="26006" xr:uid="{8A5AA9DC-0AA8-49F6-883E-0822DE1397CA}"/>
    <cellStyle name="Normal 5 3 4 2 2 2 2 3" xfId="12490" xr:uid="{42C5DC61-D3D1-4999-BAA5-70E698076DD6}"/>
    <cellStyle name="Normal 5 3 4 2 2 2 2 3 2" xfId="31086" xr:uid="{3CE9587B-7E5A-4480-9A30-789E7AB3E432}"/>
    <cellStyle name="Normal 5 3 4 2 2 2 2 4" xfId="21789" xr:uid="{ABB0CA2C-877E-4E19-BFB1-7FA3D7D2F297}"/>
    <cellStyle name="Normal 5 3 4 2 2 2 3" xfId="5236" xr:uid="{00000000-0005-0000-0000-00001A1A0000}"/>
    <cellStyle name="Normal 5 3 4 2 2 2 3 2" xfId="14562" xr:uid="{EDC31E68-D243-4BAE-B880-66902F01EF38}"/>
    <cellStyle name="Normal 5 3 4 2 2 2 3 2 2" xfId="33158" xr:uid="{604742E3-F570-4450-8CD1-A1BC57A8E6F2}"/>
    <cellStyle name="Normal 5 3 4 2 2 2 3 3" xfId="23861" xr:uid="{7F8A3EBB-0B43-4657-9D4D-8BFF604D66D6}"/>
    <cellStyle name="Normal 5 3 4 2 2 2 4" xfId="9566" xr:uid="{D483C248-9680-462F-989C-42C712CD6EB7}"/>
    <cellStyle name="Normal 5 3 4 2 2 2 4 2" xfId="18881" xr:uid="{8AEBF761-CB39-4D3E-B0A0-447E0DD478B2}"/>
    <cellStyle name="Normal 5 3 4 2 2 2 4 2 2" xfId="37475" xr:uid="{A187DAB4-4947-4F77-A5F6-50A80D2E872F}"/>
    <cellStyle name="Normal 5 3 4 2 2 2 4 3" xfId="28178" xr:uid="{D9714A02-42F5-453C-8B90-AA2868B9200B}"/>
    <cellStyle name="Normal 5 3 4 2 2 2 5" xfId="10345" xr:uid="{2CF92B6D-704A-4393-AD66-1A5604571C37}"/>
    <cellStyle name="Normal 5 3 4 2 2 2 5 2" xfId="28941" xr:uid="{6BBB6E08-4D25-494A-B785-6B88AE4F78A2}"/>
    <cellStyle name="Normal 5 3 4 2 2 2 6" xfId="19644" xr:uid="{EAD651B1-59EB-4066-B43C-4321043CA92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A5BFAB44-A2C3-4D3D-94AA-1C630A5AAA4B}"/>
    <cellStyle name="Normal 5 3 4 2 2 3 2 2 2 2" xfId="35716" xr:uid="{7EBDD422-A3AE-4EE9-8CF7-03232A565F5D}"/>
    <cellStyle name="Normal 5 3 4 2 2 3 2 2 3" xfId="26419" xr:uid="{B3D41B8D-977B-4490-AE80-24F74104F795}"/>
    <cellStyle name="Normal 5 3 4 2 2 3 2 3" xfId="12903" xr:uid="{0C8CF874-AE12-45EE-A079-AE746A2C1111}"/>
    <cellStyle name="Normal 5 3 4 2 2 3 2 3 2" xfId="31499" xr:uid="{72E443E8-66C3-4190-8BD7-83CE196E8BD8}"/>
    <cellStyle name="Normal 5 3 4 2 2 3 2 4" xfId="22202" xr:uid="{A4118EAF-821F-4087-BE68-AD6991EF534C}"/>
    <cellStyle name="Normal 5 3 4 2 2 3 3" xfId="5649" xr:uid="{00000000-0005-0000-0000-00001E1A0000}"/>
    <cellStyle name="Normal 5 3 4 2 2 3 3 2" xfId="14975" xr:uid="{5528146A-2A47-4747-83C0-65052E86C96E}"/>
    <cellStyle name="Normal 5 3 4 2 2 3 3 2 2" xfId="33571" xr:uid="{A5625551-452E-4593-8ACC-5F999C11508E}"/>
    <cellStyle name="Normal 5 3 4 2 2 3 3 3" xfId="24274" xr:uid="{76D8792F-0DCA-4A38-BCED-F8654DEB834D}"/>
    <cellStyle name="Normal 5 3 4 2 2 3 4" xfId="10758" xr:uid="{B5FE5BB3-2019-4937-AD7A-7CD41400A94C}"/>
    <cellStyle name="Normal 5 3 4 2 2 3 4 2" xfId="29354" xr:uid="{EC5C9C6D-DFAB-4CE3-88B1-AF9F187D188B}"/>
    <cellStyle name="Normal 5 3 4 2 2 3 5" xfId="20057" xr:uid="{AE8C1F81-B98B-4EA3-AF24-6934037A5311}"/>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BB037487-4DF0-48B4-B3DB-D8373C85315E}"/>
    <cellStyle name="Normal 5 3 4 2 2 4 2 2 2 2" xfId="36129" xr:uid="{4D91C9A4-F0F5-4611-A21D-A453CFAAA0FA}"/>
    <cellStyle name="Normal 5 3 4 2 2 4 2 2 3" xfId="26832" xr:uid="{C01B5130-F321-417D-A789-8BB012579AC0}"/>
    <cellStyle name="Normal 5 3 4 2 2 4 2 3" xfId="13316" xr:uid="{42CA8674-9B88-4CF2-9F96-384D9582CBB9}"/>
    <cellStyle name="Normal 5 3 4 2 2 4 2 3 2" xfId="31912" xr:uid="{F55F5E3F-DD93-4F29-BD8F-E311D4926590}"/>
    <cellStyle name="Normal 5 3 4 2 2 4 2 4" xfId="22615" xr:uid="{E98E9085-85D2-4674-B742-5518D50B5EFC}"/>
    <cellStyle name="Normal 5 3 4 2 2 4 3" xfId="6062" xr:uid="{00000000-0005-0000-0000-0000221A0000}"/>
    <cellStyle name="Normal 5 3 4 2 2 4 3 2" xfId="15388" xr:uid="{08E06EB6-6D32-4443-830B-B62A4B702703}"/>
    <cellStyle name="Normal 5 3 4 2 2 4 3 2 2" xfId="33984" xr:uid="{77BD5D2D-DC0A-4543-96A7-CE5202EA06B8}"/>
    <cellStyle name="Normal 5 3 4 2 2 4 3 3" xfId="24687" xr:uid="{4ADF717E-FFA1-4487-B195-604C61D45664}"/>
    <cellStyle name="Normal 5 3 4 2 2 4 4" xfId="11171" xr:uid="{7CF11ACB-3A7D-4257-B2D7-8C86666F0FC0}"/>
    <cellStyle name="Normal 5 3 4 2 2 4 4 2" xfId="29767" xr:uid="{532684F4-7636-494E-8546-559B537ECBD8}"/>
    <cellStyle name="Normal 5 3 4 2 2 4 5" xfId="20470" xr:uid="{A37F35A0-0536-4AE5-AAC5-55A3A3D36D38}"/>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F24B3E9E-4762-448B-ADCE-1946BA1A5925}"/>
    <cellStyle name="Normal 5 3 4 2 2 5 2 2 2 2" xfId="36542" xr:uid="{9F3A76B4-6551-4E74-AD80-39515A6C846E}"/>
    <cellStyle name="Normal 5 3 4 2 2 5 2 2 3" xfId="27245" xr:uid="{37920447-3B80-4B9E-B21B-A3B1D25CE5CD}"/>
    <cellStyle name="Normal 5 3 4 2 2 5 2 3" xfId="13729" xr:uid="{0162CE65-73E2-4C41-A42E-FA810C4348D2}"/>
    <cellStyle name="Normal 5 3 4 2 2 5 2 3 2" xfId="32325" xr:uid="{45D597AE-4D54-4DA4-836D-E7CE6A6C76AC}"/>
    <cellStyle name="Normal 5 3 4 2 2 5 2 4" xfId="23028" xr:uid="{01038AD3-A67C-4123-83F2-445B7D646E87}"/>
    <cellStyle name="Normal 5 3 4 2 2 5 3" xfId="6475" xr:uid="{00000000-0005-0000-0000-0000261A0000}"/>
    <cellStyle name="Normal 5 3 4 2 2 5 3 2" xfId="15801" xr:uid="{33E52CFF-9DFF-4739-84CF-7EB56D792AE3}"/>
    <cellStyle name="Normal 5 3 4 2 2 5 3 2 2" xfId="34397" xr:uid="{62DF0594-1F4D-4450-9340-6F33DF4F1644}"/>
    <cellStyle name="Normal 5 3 4 2 2 5 3 3" xfId="25100" xr:uid="{903FF71B-899E-4AB1-AD24-3974F835DF0D}"/>
    <cellStyle name="Normal 5 3 4 2 2 5 4" xfId="11584" xr:uid="{23BBBD58-BCE0-48F9-8D74-8FE5BD5BA8A0}"/>
    <cellStyle name="Normal 5 3 4 2 2 5 4 2" xfId="30180" xr:uid="{E76F5161-E95E-4059-9050-BAA5E5B59859}"/>
    <cellStyle name="Normal 5 3 4 2 2 5 5" xfId="20883" xr:uid="{999EBE49-B359-4B1F-AADE-E8E542C4C3AB}"/>
    <cellStyle name="Normal 5 3 4 2 2 6" xfId="2605" xr:uid="{00000000-0005-0000-0000-0000271A0000}"/>
    <cellStyle name="Normal 5 3 4 2 2 6 2" xfId="6888" xr:uid="{00000000-0005-0000-0000-0000281A0000}"/>
    <cellStyle name="Normal 5 3 4 2 2 6 2 2" xfId="16214" xr:uid="{9E3A378D-F440-4C6F-A8C5-BE14CF726D8F}"/>
    <cellStyle name="Normal 5 3 4 2 2 6 2 2 2" xfId="34810" xr:uid="{FE41FF09-FB7B-4AFF-855A-39386631545A}"/>
    <cellStyle name="Normal 5 3 4 2 2 6 2 3" xfId="25513" xr:uid="{01A64F50-5D59-40FE-B37E-9B462547A8D1}"/>
    <cellStyle name="Normal 5 3 4 2 2 6 3" xfId="11997" xr:uid="{E5B0D81C-2277-46B1-A7A7-86DFDC7969FF}"/>
    <cellStyle name="Normal 5 3 4 2 2 6 3 2" xfId="30593" xr:uid="{5FCADCF0-B463-44D5-B938-1F671C1B0E50}"/>
    <cellStyle name="Normal 5 3 4 2 2 6 4" xfId="21296" xr:uid="{D8EED229-8668-4C27-A03A-E75D6D6233A2}"/>
    <cellStyle name="Normal 5 3 4 2 2 7" xfId="4823" xr:uid="{00000000-0005-0000-0000-0000291A0000}"/>
    <cellStyle name="Normal 5 3 4 2 2 7 2" xfId="14149" xr:uid="{F0B02A9F-CC3C-4760-8EE5-333DC80EC919}"/>
    <cellStyle name="Normal 5 3 4 2 2 7 2 2" xfId="32745" xr:uid="{F74B07A4-2749-4FCB-AF55-33E79AA74B20}"/>
    <cellStyle name="Normal 5 3 4 2 2 7 3" xfId="23448" xr:uid="{E023B3C6-9CA3-4177-B6EC-A737C40915D7}"/>
    <cellStyle name="Normal 5 3 4 2 2 8" xfId="9141" xr:uid="{6B63A6D0-0E60-498B-8E53-451D5144533A}"/>
    <cellStyle name="Normal 5 3 4 2 2 8 2" xfId="18465" xr:uid="{193FD17E-92FB-44DD-A3D7-38C940D64078}"/>
    <cellStyle name="Normal 5 3 4 2 2 8 2 2" xfId="37060" xr:uid="{463D3E3A-B2CC-4DAF-8B9F-F9CB98D141C9}"/>
    <cellStyle name="Normal 5 3 4 2 2 8 3" xfId="27763" xr:uid="{50C60060-6E25-441B-BE25-6A4DD8BFE45D}"/>
    <cellStyle name="Normal 5 3 4 2 2 9" xfId="9932" xr:uid="{1B28C931-7278-46DE-9BB9-5D8B33F8F0EB}"/>
    <cellStyle name="Normal 5 3 4 2 2 9 2" xfId="28528" xr:uid="{6C674901-3A44-4D19-BA35-AC758CF6B95C}"/>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9A18542E-E4F7-4BAA-81C5-B324D7A26C9D}"/>
    <cellStyle name="Normal 5 3 4 2 3 2 2 2 2" xfId="35302" xr:uid="{DBAFE5FD-E0FA-4374-8029-BAD25078D82F}"/>
    <cellStyle name="Normal 5 3 4 2 3 2 2 3" xfId="26005" xr:uid="{9341EF96-6C34-4FA3-BAD3-3A019B35EC8D}"/>
    <cellStyle name="Normal 5 3 4 2 3 2 3" xfId="12489" xr:uid="{D23A65B9-184D-43FF-9433-8642D85A0935}"/>
    <cellStyle name="Normal 5 3 4 2 3 2 3 2" xfId="31085" xr:uid="{04A4FC79-E2CA-4445-AC7B-89483C61097F}"/>
    <cellStyle name="Normal 5 3 4 2 3 2 4" xfId="21788" xr:uid="{22A65F83-D550-48B6-8FBC-B7890C1433E3}"/>
    <cellStyle name="Normal 5 3 4 2 3 3" xfId="5235" xr:uid="{00000000-0005-0000-0000-00002D1A0000}"/>
    <cellStyle name="Normal 5 3 4 2 3 3 2" xfId="14561" xr:uid="{932C3968-753A-4FD4-A853-60B6873A6273}"/>
    <cellStyle name="Normal 5 3 4 2 3 3 2 2" xfId="33157" xr:uid="{4651D3FE-31EB-446B-BD43-A3EF62A20333}"/>
    <cellStyle name="Normal 5 3 4 2 3 3 3" xfId="23860" xr:uid="{2A062343-57D3-4745-8AB3-D1D114345FD3}"/>
    <cellStyle name="Normal 5 3 4 2 3 4" xfId="9359" xr:uid="{FAC41203-2BC4-411F-9296-10781BA4F1AB}"/>
    <cellStyle name="Normal 5 3 4 2 3 4 2" xfId="18674" xr:uid="{182748A3-08A5-4A63-A35B-1B6823F865C2}"/>
    <cellStyle name="Normal 5 3 4 2 3 4 2 2" xfId="37268" xr:uid="{5C42351E-FF4B-4AE3-937B-1420767C6613}"/>
    <cellStyle name="Normal 5 3 4 2 3 4 3" xfId="27971" xr:uid="{BB258AD1-5C2A-4073-A916-4ECA0B3D25B7}"/>
    <cellStyle name="Normal 5 3 4 2 3 5" xfId="10344" xr:uid="{6D4E68AC-EB75-41F3-89D2-F8F71A9B2564}"/>
    <cellStyle name="Normal 5 3 4 2 3 5 2" xfId="28940" xr:uid="{632AF01A-269E-41FB-926E-CFE935F3439E}"/>
    <cellStyle name="Normal 5 3 4 2 3 6" xfId="19643" xr:uid="{AE67A553-263D-4F5A-8DDF-1374EE1060F2}"/>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8BEE1FCC-A3CA-4DD7-8824-8C91EA2AFBE2}"/>
    <cellStyle name="Normal 5 3 4 2 4 2 2 2 2" xfId="35715" xr:uid="{2055E2C8-DBA6-4E74-90D1-8FD1581680C9}"/>
    <cellStyle name="Normal 5 3 4 2 4 2 2 3" xfId="26418" xr:uid="{6513DE87-BC05-470E-8F39-35A2D7477D22}"/>
    <cellStyle name="Normal 5 3 4 2 4 2 3" xfId="12902" xr:uid="{AC94DC9A-2D2F-4399-95CD-B5732E80728C}"/>
    <cellStyle name="Normal 5 3 4 2 4 2 3 2" xfId="31498" xr:uid="{5759408C-CEC5-48AB-B350-50ECE22E3897}"/>
    <cellStyle name="Normal 5 3 4 2 4 2 4" xfId="22201" xr:uid="{E1FB0F19-8A15-4573-B099-AF2F7AB994AE}"/>
    <cellStyle name="Normal 5 3 4 2 4 3" xfId="5648" xr:uid="{00000000-0005-0000-0000-0000311A0000}"/>
    <cellStyle name="Normal 5 3 4 2 4 3 2" xfId="14974" xr:uid="{368EA524-2451-4820-BA58-BEE8893EF532}"/>
    <cellStyle name="Normal 5 3 4 2 4 3 2 2" xfId="33570" xr:uid="{90EC9665-FC1E-45E1-B271-02777AACB105}"/>
    <cellStyle name="Normal 5 3 4 2 4 3 3" xfId="24273" xr:uid="{3A549FFC-6D55-48DA-BFA9-2B1B04440451}"/>
    <cellStyle name="Normal 5 3 4 2 4 4" xfId="10757" xr:uid="{425A6DB3-B8EF-42B0-AD76-4712DA936F6B}"/>
    <cellStyle name="Normal 5 3 4 2 4 4 2" xfId="29353" xr:uid="{CFA538B7-A31E-400F-9922-618A800522D7}"/>
    <cellStyle name="Normal 5 3 4 2 4 5" xfId="20056" xr:uid="{2C7E79E1-473E-40C7-B6A1-A3DB942F61DB}"/>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E7F8911A-BDAB-4C71-A770-188070E0E324}"/>
    <cellStyle name="Normal 5 3 4 2 5 2 2 2 2" xfId="36128" xr:uid="{53686DFD-72A2-4073-ADAD-EFC3B59974F0}"/>
    <cellStyle name="Normal 5 3 4 2 5 2 2 3" xfId="26831" xr:uid="{23F369F0-86D7-4DAC-A908-5C0D2581D02B}"/>
    <cellStyle name="Normal 5 3 4 2 5 2 3" xfId="13315" xr:uid="{41C61BA9-CE6D-49CD-A162-8E8A1C42D1ED}"/>
    <cellStyle name="Normal 5 3 4 2 5 2 3 2" xfId="31911" xr:uid="{1D23CC79-AE74-4DAE-AFA4-4603A9309E83}"/>
    <cellStyle name="Normal 5 3 4 2 5 2 4" xfId="22614" xr:uid="{C6374F76-0253-4961-9D22-11827FE2F14A}"/>
    <cellStyle name="Normal 5 3 4 2 5 3" xfId="6061" xr:uid="{00000000-0005-0000-0000-0000351A0000}"/>
    <cellStyle name="Normal 5 3 4 2 5 3 2" xfId="15387" xr:uid="{B359A533-4280-44C6-8A6C-11DBD86EF573}"/>
    <cellStyle name="Normal 5 3 4 2 5 3 2 2" xfId="33983" xr:uid="{65D0A882-2F4C-433E-9CE5-BB92D87218E2}"/>
    <cellStyle name="Normal 5 3 4 2 5 3 3" xfId="24686" xr:uid="{4277ED54-BF16-483F-96F3-EFD242BC59B9}"/>
    <cellStyle name="Normal 5 3 4 2 5 4" xfId="11170" xr:uid="{0E3876E9-1E19-4716-8A7D-140DE0FE335D}"/>
    <cellStyle name="Normal 5 3 4 2 5 4 2" xfId="29766" xr:uid="{019C700C-9482-4A67-BDE3-E03B19EB1A12}"/>
    <cellStyle name="Normal 5 3 4 2 5 5" xfId="20469" xr:uid="{8B31B7AA-1713-436C-A4F5-7C5CC0282169}"/>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AA9A84D4-5F06-49D5-A82E-ED79FB702ED1}"/>
    <cellStyle name="Normal 5 3 4 2 6 2 2 2 2" xfId="36541" xr:uid="{D85F5A90-C566-4FCE-A3F4-81EB0CAF8A43}"/>
    <cellStyle name="Normal 5 3 4 2 6 2 2 3" xfId="27244" xr:uid="{6F138540-F5C9-44EB-B2E3-9643DB144A5E}"/>
    <cellStyle name="Normal 5 3 4 2 6 2 3" xfId="13728" xr:uid="{FE786CFD-105D-431B-883B-E0FE697023DC}"/>
    <cellStyle name="Normal 5 3 4 2 6 2 3 2" xfId="32324" xr:uid="{0A49678A-3EFD-49CC-9F62-3C4221C3EEDE}"/>
    <cellStyle name="Normal 5 3 4 2 6 2 4" xfId="23027" xr:uid="{DE3CCD5B-2B10-4C68-BE03-0CFF706A3479}"/>
    <cellStyle name="Normal 5 3 4 2 6 3" xfId="6474" xr:uid="{00000000-0005-0000-0000-0000391A0000}"/>
    <cellStyle name="Normal 5 3 4 2 6 3 2" xfId="15800" xr:uid="{EF248A81-AB66-4998-8238-F9CB87FA7028}"/>
    <cellStyle name="Normal 5 3 4 2 6 3 2 2" xfId="34396" xr:uid="{2568D1BA-DCCE-4B0B-9161-A37785E7E81F}"/>
    <cellStyle name="Normal 5 3 4 2 6 3 3" xfId="25099" xr:uid="{533BB0F3-0ECA-412F-8E57-D7F47D887929}"/>
    <cellStyle name="Normal 5 3 4 2 6 4" xfId="11583" xr:uid="{EDAD4FB0-85C2-43AD-A358-AB4647D81177}"/>
    <cellStyle name="Normal 5 3 4 2 6 4 2" xfId="30179" xr:uid="{D493DEF6-EB5F-4612-9E76-CF06B7E1D3FC}"/>
    <cellStyle name="Normal 5 3 4 2 6 5" xfId="20882" xr:uid="{58FF5542-ACB7-41BB-94C7-61093B2252B5}"/>
    <cellStyle name="Normal 5 3 4 2 7" xfId="2604" xr:uid="{00000000-0005-0000-0000-00003A1A0000}"/>
    <cellStyle name="Normal 5 3 4 2 7 2" xfId="6887" xr:uid="{00000000-0005-0000-0000-00003B1A0000}"/>
    <cellStyle name="Normal 5 3 4 2 7 2 2" xfId="16213" xr:uid="{A9EF21D8-63B5-476F-BC04-70D9E0FFB4EF}"/>
    <cellStyle name="Normal 5 3 4 2 7 2 2 2" xfId="34809" xr:uid="{D2299A4B-4199-47BE-877A-CFDB8BEC4D75}"/>
    <cellStyle name="Normal 5 3 4 2 7 2 3" xfId="25512" xr:uid="{1FC4F51B-FF71-40F5-88A8-9D069BBCA4AE}"/>
    <cellStyle name="Normal 5 3 4 2 7 3" xfId="11996" xr:uid="{0B398C8A-1872-46B1-AA9E-510D3505C477}"/>
    <cellStyle name="Normal 5 3 4 2 7 3 2" xfId="30592" xr:uid="{8B2E87F3-23DD-4143-9855-FB4C77AA5384}"/>
    <cellStyle name="Normal 5 3 4 2 7 4" xfId="21295" xr:uid="{CD33250A-F74B-46D0-8643-65B44FCFD4DE}"/>
    <cellStyle name="Normal 5 3 4 2 8" xfId="4822" xr:uid="{00000000-0005-0000-0000-00003C1A0000}"/>
    <cellStyle name="Normal 5 3 4 2 8 2" xfId="14148" xr:uid="{847AECE0-BF50-474E-982C-01F43E9AD4F1}"/>
    <cellStyle name="Normal 5 3 4 2 8 2 2" xfId="32744" xr:uid="{43DCCC96-33C5-42FF-A952-7B189EDC1D6C}"/>
    <cellStyle name="Normal 5 3 4 2 8 3" xfId="23447" xr:uid="{4CC777FC-3611-4394-9F58-7D1DA10A91F8}"/>
    <cellStyle name="Normal 5 3 4 2 9" xfId="8934" xr:uid="{D16D0DF9-4576-4200-8972-8AAD50545E0D}"/>
    <cellStyle name="Normal 5 3 4 2 9 2" xfId="18258" xr:uid="{703A8064-D4A6-4455-B9ED-A747E6F88031}"/>
    <cellStyle name="Normal 5 3 4 2 9 2 2" xfId="36853" xr:uid="{1BE2B0CF-1424-4AAE-9CA9-04FC83BC689D}"/>
    <cellStyle name="Normal 5 3 4 2 9 3" xfId="27556" xr:uid="{F23C24C7-C401-45DA-B331-3C7C87983A15}"/>
    <cellStyle name="Normal 5 3 4 3" xfId="452" xr:uid="{00000000-0005-0000-0000-00003D1A0000}"/>
    <cellStyle name="Normal 5 3 4 3 10" xfId="19232" xr:uid="{EDF53B01-D4FF-44D9-9EF4-EEC2706B6136}"/>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DF23B113-FBA4-4EC7-AFD8-97882664E91A}"/>
    <cellStyle name="Normal 5 3 4 3 2 2 2 2 2" xfId="35304" xr:uid="{FB9F1CBA-829B-406E-950D-6D0B89DB656C}"/>
    <cellStyle name="Normal 5 3 4 3 2 2 2 3" xfId="26007" xr:uid="{7AA64E9B-9976-4E48-9A09-29C1B767A925}"/>
    <cellStyle name="Normal 5 3 4 3 2 2 3" xfId="12491" xr:uid="{A4EAB22C-BB16-4626-B178-FC2460D180BB}"/>
    <cellStyle name="Normal 5 3 4 3 2 2 3 2" xfId="31087" xr:uid="{9381E450-2102-4EBF-934C-6B37100AF3E9}"/>
    <cellStyle name="Normal 5 3 4 3 2 2 4" xfId="21790" xr:uid="{00F9DDC2-42DE-4485-808C-20DB50C6FE35}"/>
    <cellStyle name="Normal 5 3 4 3 2 3" xfId="5237" xr:uid="{00000000-0005-0000-0000-0000411A0000}"/>
    <cellStyle name="Normal 5 3 4 3 2 3 2" xfId="14563" xr:uid="{5FEF963B-1204-4C98-89D8-1149BEC174BA}"/>
    <cellStyle name="Normal 5 3 4 3 2 3 2 2" xfId="33159" xr:uid="{E4C2C721-EED5-4CB5-BEA6-4786FBA6684A}"/>
    <cellStyle name="Normal 5 3 4 3 2 3 3" xfId="23862" xr:uid="{E26CCA82-5463-4BC6-B8C5-4BE1A9C8846C}"/>
    <cellStyle name="Normal 5 3 4 3 2 4" xfId="9463" xr:uid="{1CC38E89-013B-404F-9F3E-11BABC37F656}"/>
    <cellStyle name="Normal 5 3 4 3 2 4 2" xfId="18778" xr:uid="{91183665-9E7E-4842-8C0B-48594F97D760}"/>
    <cellStyle name="Normal 5 3 4 3 2 4 2 2" xfId="37372" xr:uid="{A6C088B2-3957-4E6C-A5A2-74088D042DF6}"/>
    <cellStyle name="Normal 5 3 4 3 2 4 3" xfId="28075" xr:uid="{61E35360-3F66-4AE1-A7B3-42297F9FB97D}"/>
    <cellStyle name="Normal 5 3 4 3 2 5" xfId="10346" xr:uid="{915F7964-5DE2-40FB-9F5C-11E0C7A06843}"/>
    <cellStyle name="Normal 5 3 4 3 2 5 2" xfId="28942" xr:uid="{0002BD4E-39F4-4C90-A12C-00A2120B56FB}"/>
    <cellStyle name="Normal 5 3 4 3 2 6" xfId="19645" xr:uid="{33F99AB7-0AA0-434D-B29C-16E334D92531}"/>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2A2F7331-87B7-4EBA-9E97-6D855C8295F4}"/>
    <cellStyle name="Normal 5 3 4 3 3 2 2 2 2" xfId="35717" xr:uid="{01721BC6-DE89-45E9-9A44-3D99F02C5688}"/>
    <cellStyle name="Normal 5 3 4 3 3 2 2 3" xfId="26420" xr:uid="{3B2FBD13-218E-4388-A828-E8074B21EBA2}"/>
    <cellStyle name="Normal 5 3 4 3 3 2 3" xfId="12904" xr:uid="{707E39F5-D98B-485D-AD79-A189FFA794AD}"/>
    <cellStyle name="Normal 5 3 4 3 3 2 3 2" xfId="31500" xr:uid="{37385F53-79DA-415D-9BB2-C5567908E26C}"/>
    <cellStyle name="Normal 5 3 4 3 3 2 4" xfId="22203" xr:uid="{A0CACE66-EC6C-49B1-9BE5-7569CC0AE243}"/>
    <cellStyle name="Normal 5 3 4 3 3 3" xfId="5650" xr:uid="{00000000-0005-0000-0000-0000451A0000}"/>
    <cellStyle name="Normal 5 3 4 3 3 3 2" xfId="14976" xr:uid="{C89AED1A-8915-43F5-8A83-2AAD8C5D1BF3}"/>
    <cellStyle name="Normal 5 3 4 3 3 3 2 2" xfId="33572" xr:uid="{E0C9F43C-71BC-481F-BC6E-950E9F8FA8C1}"/>
    <cellStyle name="Normal 5 3 4 3 3 3 3" xfId="24275" xr:uid="{AF37DEB9-6C81-4FCE-A364-974360A53FE1}"/>
    <cellStyle name="Normal 5 3 4 3 3 4" xfId="10759" xr:uid="{DD2FD6F0-497D-402F-8785-081F6A8BF30B}"/>
    <cellStyle name="Normal 5 3 4 3 3 4 2" xfId="29355" xr:uid="{BF5575FE-96B3-40E7-9E1C-094C52F6E7D4}"/>
    <cellStyle name="Normal 5 3 4 3 3 5" xfId="20058" xr:uid="{8F2635C3-CC6C-4134-9726-18BFDCE5CD9C}"/>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D7BF391D-C5BA-4F12-9790-CB86A90B2A27}"/>
    <cellStyle name="Normal 5 3 4 3 4 2 2 2 2" xfId="36130" xr:uid="{E510443B-7252-4FD4-8A2A-2B0E6108CB37}"/>
    <cellStyle name="Normal 5 3 4 3 4 2 2 3" xfId="26833" xr:uid="{D6C5A46C-91F3-48D2-B634-2841829750B7}"/>
    <cellStyle name="Normal 5 3 4 3 4 2 3" xfId="13317" xr:uid="{5F4A2667-22F6-406F-A1E4-8F38CD3E339F}"/>
    <cellStyle name="Normal 5 3 4 3 4 2 3 2" xfId="31913" xr:uid="{E9E3881E-C735-4176-876E-8C2CFCC5020F}"/>
    <cellStyle name="Normal 5 3 4 3 4 2 4" xfId="22616" xr:uid="{DD4D8F3F-4CCF-4492-94F9-D8D5BA23FA82}"/>
    <cellStyle name="Normal 5 3 4 3 4 3" xfId="6063" xr:uid="{00000000-0005-0000-0000-0000491A0000}"/>
    <cellStyle name="Normal 5 3 4 3 4 3 2" xfId="15389" xr:uid="{69F0057C-3ED2-4359-9C74-1F073E6AD28A}"/>
    <cellStyle name="Normal 5 3 4 3 4 3 2 2" xfId="33985" xr:uid="{CC99B58B-3F98-42CE-A687-EFD27CAC8674}"/>
    <cellStyle name="Normal 5 3 4 3 4 3 3" xfId="24688" xr:uid="{7FE32955-BC48-40C9-BA78-0E2ABBE08D28}"/>
    <cellStyle name="Normal 5 3 4 3 4 4" xfId="11172" xr:uid="{5815D4E4-3481-438B-93EB-CC5F14DBAA7C}"/>
    <cellStyle name="Normal 5 3 4 3 4 4 2" xfId="29768" xr:uid="{6015F69B-1C57-4EB0-8A73-87C5B081DBF9}"/>
    <cellStyle name="Normal 5 3 4 3 4 5" xfId="20471" xr:uid="{C57FC3E9-83CC-4FE3-95F4-FA2B8147C7FA}"/>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9C27F265-1E4F-4DDB-AA0D-22D4DB4E9CE8}"/>
    <cellStyle name="Normal 5 3 4 3 5 2 2 2 2" xfId="36543" xr:uid="{7DE0D677-0D05-4D3A-89D7-BFEAC4857E5C}"/>
    <cellStyle name="Normal 5 3 4 3 5 2 2 3" xfId="27246" xr:uid="{94855CA8-FDA3-44CE-8077-5B6EE02809B7}"/>
    <cellStyle name="Normal 5 3 4 3 5 2 3" xfId="13730" xr:uid="{630DC712-27C0-43AA-AC6B-8C9DE6A35ADE}"/>
    <cellStyle name="Normal 5 3 4 3 5 2 3 2" xfId="32326" xr:uid="{3001680E-440A-4E7C-B52F-930CC7BDFA57}"/>
    <cellStyle name="Normal 5 3 4 3 5 2 4" xfId="23029" xr:uid="{0FE63F00-ECBB-4BAA-9E56-DCDF9AD00E66}"/>
    <cellStyle name="Normal 5 3 4 3 5 3" xfId="6476" xr:uid="{00000000-0005-0000-0000-00004D1A0000}"/>
    <cellStyle name="Normal 5 3 4 3 5 3 2" xfId="15802" xr:uid="{EAD59A83-3328-426A-97C6-DF021926930B}"/>
    <cellStyle name="Normal 5 3 4 3 5 3 2 2" xfId="34398" xr:uid="{02D8DC42-5B92-4C73-9FF0-EC060BF58C61}"/>
    <cellStyle name="Normal 5 3 4 3 5 3 3" xfId="25101" xr:uid="{685BD1BE-9D5E-44B9-B0FB-EEC083EF569D}"/>
    <cellStyle name="Normal 5 3 4 3 5 4" xfId="11585" xr:uid="{7A2C8759-C814-4E86-8F56-38C5AB6C4E9A}"/>
    <cellStyle name="Normal 5 3 4 3 5 4 2" xfId="30181" xr:uid="{63C8FCA1-E9FA-468D-939B-7AAB1EC9A42C}"/>
    <cellStyle name="Normal 5 3 4 3 5 5" xfId="20884" xr:uid="{A9ABFCE3-4E63-42D7-AF95-13E805C03A58}"/>
    <cellStyle name="Normal 5 3 4 3 6" xfId="2606" xr:uid="{00000000-0005-0000-0000-00004E1A0000}"/>
    <cellStyle name="Normal 5 3 4 3 6 2" xfId="6889" xr:uid="{00000000-0005-0000-0000-00004F1A0000}"/>
    <cellStyle name="Normal 5 3 4 3 6 2 2" xfId="16215" xr:uid="{FB1AA67D-D7DD-4E83-9F37-A5D5054D31EE}"/>
    <cellStyle name="Normal 5 3 4 3 6 2 2 2" xfId="34811" xr:uid="{C57AED18-2731-4F3A-88A7-EF443817C420}"/>
    <cellStyle name="Normal 5 3 4 3 6 2 3" xfId="25514" xr:uid="{02DBBC75-63AA-40C6-83C5-F2E270DDA598}"/>
    <cellStyle name="Normal 5 3 4 3 6 3" xfId="11998" xr:uid="{F6FD3CBE-CEE4-4DD1-8589-3DECE79F36E4}"/>
    <cellStyle name="Normal 5 3 4 3 6 3 2" xfId="30594" xr:uid="{B8C793D5-0814-415D-B3F6-76B7BDB8552E}"/>
    <cellStyle name="Normal 5 3 4 3 6 4" xfId="21297" xr:uid="{AC5152EF-3853-4237-9920-E337FDA2E79B}"/>
    <cellStyle name="Normal 5 3 4 3 7" xfId="4824" xr:uid="{00000000-0005-0000-0000-0000501A0000}"/>
    <cellStyle name="Normal 5 3 4 3 7 2" xfId="14150" xr:uid="{E7079F61-2EB2-404E-84FD-43BF18948BD9}"/>
    <cellStyle name="Normal 5 3 4 3 7 2 2" xfId="32746" xr:uid="{213A30B5-405B-46D0-9BD8-318EFDFEC22A}"/>
    <cellStyle name="Normal 5 3 4 3 7 3" xfId="23449" xr:uid="{E66E985A-E31C-42BB-806D-B5382315B8C1}"/>
    <cellStyle name="Normal 5 3 4 3 8" xfId="9038" xr:uid="{15024032-E3C2-4FDD-B674-481D39A836C5}"/>
    <cellStyle name="Normal 5 3 4 3 8 2" xfId="18362" xr:uid="{B2E26239-215C-456A-83B7-1FD396B85F9F}"/>
    <cellStyle name="Normal 5 3 4 3 8 2 2" xfId="36957" xr:uid="{A721FE9C-E44A-494F-AC28-7BD49D8D4D07}"/>
    <cellStyle name="Normal 5 3 4 3 8 3" xfId="27660" xr:uid="{19B61C09-E0BA-4B01-A7C3-7A3FBBE1B1D5}"/>
    <cellStyle name="Normal 5 3 4 3 9" xfId="9933" xr:uid="{7305181A-5899-476A-A637-1791DDE4A013}"/>
    <cellStyle name="Normal 5 3 4 3 9 2" xfId="28529" xr:uid="{71DE1E3C-E887-4025-A88D-E83E9442DAFD}"/>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49A0642E-5798-47ED-A4BB-5D729D194A41}"/>
    <cellStyle name="Normal 5 3 4 4 2 2 2 2" xfId="35301" xr:uid="{382D211A-C17B-4974-BD4B-5C7ACCE42530}"/>
    <cellStyle name="Normal 5 3 4 4 2 2 3" xfId="26004" xr:uid="{8B060236-4AA6-4175-8DE0-7E71989F85F0}"/>
    <cellStyle name="Normal 5 3 4 4 2 3" xfId="12488" xr:uid="{51A4BFDF-9CE4-4684-8FD4-F74DCE0B0E49}"/>
    <cellStyle name="Normal 5 3 4 4 2 3 2" xfId="31084" xr:uid="{366492F5-4D81-4FED-8376-B9030ADA946A}"/>
    <cellStyle name="Normal 5 3 4 4 2 4" xfId="21787" xr:uid="{D3D8C4CF-4665-4E86-AF24-6C891B38AEBD}"/>
    <cellStyle name="Normal 5 3 4 4 3" xfId="5234" xr:uid="{00000000-0005-0000-0000-0000541A0000}"/>
    <cellStyle name="Normal 5 3 4 4 3 2" xfId="14560" xr:uid="{709368B1-E9AD-4D2A-A615-BD4F375E7A0B}"/>
    <cellStyle name="Normal 5 3 4 4 3 2 2" xfId="33156" xr:uid="{28143AF3-EEF0-44A5-9409-DBE2352AE9CF}"/>
    <cellStyle name="Normal 5 3 4 4 3 3" xfId="23859" xr:uid="{33351D29-6C36-41D4-8334-4DAD97B6F0D2}"/>
    <cellStyle name="Normal 5 3 4 4 4" xfId="9256" xr:uid="{69A14F57-2B46-4294-8CA5-E21858516C25}"/>
    <cellStyle name="Normal 5 3 4 4 4 2" xfId="18571" xr:uid="{958B9C40-62EE-4D36-956B-A7E38439140E}"/>
    <cellStyle name="Normal 5 3 4 4 4 2 2" xfId="37165" xr:uid="{68ADB215-B005-498A-8FF2-BCC415AB16C6}"/>
    <cellStyle name="Normal 5 3 4 4 4 3" xfId="27868" xr:uid="{ABC55FA4-D870-4E25-A38C-64B2AC324BA9}"/>
    <cellStyle name="Normal 5 3 4 4 5" xfId="10343" xr:uid="{E89CDB4E-2A0F-48D4-BCD8-F7378B16436E}"/>
    <cellStyle name="Normal 5 3 4 4 5 2" xfId="28939" xr:uid="{7F7678CF-A6EE-4269-97FB-C878EA70FA01}"/>
    <cellStyle name="Normal 5 3 4 4 6" xfId="19642" xr:uid="{77D6D06A-7385-4A67-AA02-176326760E1E}"/>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C5040E2F-6F9D-4B72-8E1C-D2C432FF80F8}"/>
    <cellStyle name="Normal 5 3 4 5 2 2 2 2" xfId="35714" xr:uid="{8CF1281F-D45D-4954-9890-086B766E4781}"/>
    <cellStyle name="Normal 5 3 4 5 2 2 3" xfId="26417" xr:uid="{24C519AD-88E3-4C82-916F-1020254B5B69}"/>
    <cellStyle name="Normal 5 3 4 5 2 3" xfId="12901" xr:uid="{B5BC53FF-9A0A-4E12-9978-F4892A697333}"/>
    <cellStyle name="Normal 5 3 4 5 2 3 2" xfId="31497" xr:uid="{1D8D7290-61FF-4381-B1AF-D2649632620A}"/>
    <cellStyle name="Normal 5 3 4 5 2 4" xfId="22200" xr:uid="{28A1405A-4A3F-4863-8E58-42D9A9CA04AC}"/>
    <cellStyle name="Normal 5 3 4 5 3" xfId="5647" xr:uid="{00000000-0005-0000-0000-0000581A0000}"/>
    <cellStyle name="Normal 5 3 4 5 3 2" xfId="14973" xr:uid="{26D77AEA-6767-418D-B1C3-C839A1C89EFD}"/>
    <cellStyle name="Normal 5 3 4 5 3 2 2" xfId="33569" xr:uid="{7974F829-39B7-436A-9954-327D12F6D26D}"/>
    <cellStyle name="Normal 5 3 4 5 3 3" xfId="24272" xr:uid="{BD865C12-40D7-4012-ADEC-3DA5941D9FD9}"/>
    <cellStyle name="Normal 5 3 4 5 4" xfId="10756" xr:uid="{D5000407-FA78-44D9-BBC8-6BA1A8BE7A82}"/>
    <cellStyle name="Normal 5 3 4 5 4 2" xfId="29352" xr:uid="{8D32B210-8EF2-41EA-BDF8-2BC6A2A29048}"/>
    <cellStyle name="Normal 5 3 4 5 5" xfId="20055" xr:uid="{D227B2FE-865E-47F8-8F45-71C0EE3AA3D1}"/>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13152CEE-394C-4E24-BCBC-977BD258DC47}"/>
    <cellStyle name="Normal 5 3 4 6 2 2 2 2" xfId="36127" xr:uid="{31D48208-4CFC-44F3-A338-830CED3C6259}"/>
    <cellStyle name="Normal 5 3 4 6 2 2 3" xfId="26830" xr:uid="{7FA7E9A9-AB8D-428D-9C89-FE3E1CB1C294}"/>
    <cellStyle name="Normal 5 3 4 6 2 3" xfId="13314" xr:uid="{82A32731-967E-4F6C-B80A-4E292C39584A}"/>
    <cellStyle name="Normal 5 3 4 6 2 3 2" xfId="31910" xr:uid="{CAEBD300-BC9E-4607-9DAB-CAD7AAB88D72}"/>
    <cellStyle name="Normal 5 3 4 6 2 4" xfId="22613" xr:uid="{DA8B1D30-7D0D-48C3-BB35-7AA626244DB6}"/>
    <cellStyle name="Normal 5 3 4 6 3" xfId="6060" xr:uid="{00000000-0005-0000-0000-00005C1A0000}"/>
    <cellStyle name="Normal 5 3 4 6 3 2" xfId="15386" xr:uid="{241A96BA-974E-484E-9257-284727F288CA}"/>
    <cellStyle name="Normal 5 3 4 6 3 2 2" xfId="33982" xr:uid="{45987D47-2106-4A42-B959-88D15300B034}"/>
    <cellStyle name="Normal 5 3 4 6 3 3" xfId="24685" xr:uid="{1B837A40-49B1-4590-94E4-3E5B206C9399}"/>
    <cellStyle name="Normal 5 3 4 6 4" xfId="11169" xr:uid="{08E95AE6-5412-4C9B-A758-3F2DD73A92CC}"/>
    <cellStyle name="Normal 5 3 4 6 4 2" xfId="29765" xr:uid="{5176D344-B833-4455-857E-DF30D571BD85}"/>
    <cellStyle name="Normal 5 3 4 6 5" xfId="20468" xr:uid="{DDB21256-9A94-466C-8A3A-6D1CF5A50D16}"/>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40B2F2CA-5325-4942-8511-B8AC6EF43262}"/>
    <cellStyle name="Normal 5 3 4 7 2 2 2 2" xfId="36540" xr:uid="{F483F6F3-E122-47A4-AF75-B9E67C162FEC}"/>
    <cellStyle name="Normal 5 3 4 7 2 2 3" xfId="27243" xr:uid="{CF9D061B-AF1C-440C-A58A-6F9D80EAC3E3}"/>
    <cellStyle name="Normal 5 3 4 7 2 3" xfId="13727" xr:uid="{5FE30037-1C1E-4EC2-A03E-3F434B005FC9}"/>
    <cellStyle name="Normal 5 3 4 7 2 3 2" xfId="32323" xr:uid="{CA2E9170-74D7-4C83-8DC4-92130C99DEF0}"/>
    <cellStyle name="Normal 5 3 4 7 2 4" xfId="23026" xr:uid="{316E849B-7705-4AB4-AA7A-440652D27733}"/>
    <cellStyle name="Normal 5 3 4 7 3" xfId="6473" xr:uid="{00000000-0005-0000-0000-0000601A0000}"/>
    <cellStyle name="Normal 5 3 4 7 3 2" xfId="15799" xr:uid="{9A3DD1BB-727B-44B2-8905-74724761BA06}"/>
    <cellStyle name="Normal 5 3 4 7 3 2 2" xfId="34395" xr:uid="{ED7F67C6-49DE-4BB4-99E7-ED3CEC9633E9}"/>
    <cellStyle name="Normal 5 3 4 7 3 3" xfId="25098" xr:uid="{D0BE0AA5-7479-4CDC-87D7-A53A52F2DBC6}"/>
    <cellStyle name="Normal 5 3 4 7 4" xfId="11582" xr:uid="{8B4DC142-EA3F-4025-98EE-D01409B46A30}"/>
    <cellStyle name="Normal 5 3 4 7 4 2" xfId="30178" xr:uid="{3288626E-BEF9-4D9F-B47E-436B692CD965}"/>
    <cellStyle name="Normal 5 3 4 7 5" xfId="20881" xr:uid="{849007AE-B73D-459F-ADCA-FC82CCA8B9D3}"/>
    <cellStyle name="Normal 5 3 4 8" xfId="2603" xr:uid="{00000000-0005-0000-0000-0000611A0000}"/>
    <cellStyle name="Normal 5 3 4 8 2" xfId="6886" xr:uid="{00000000-0005-0000-0000-0000621A0000}"/>
    <cellStyle name="Normal 5 3 4 8 2 2" xfId="16212" xr:uid="{2DD5C580-273C-4648-9E44-84446ED47B15}"/>
    <cellStyle name="Normal 5 3 4 8 2 2 2" xfId="34808" xr:uid="{E8649F9D-8B6F-43AF-9CCF-C8B0E631EC23}"/>
    <cellStyle name="Normal 5 3 4 8 2 3" xfId="25511" xr:uid="{B2F0AA40-278D-4187-AA67-6DADE07CB4D4}"/>
    <cellStyle name="Normal 5 3 4 8 3" xfId="11995" xr:uid="{60A989B6-FD28-4586-895A-E46492388FDE}"/>
    <cellStyle name="Normal 5 3 4 8 3 2" xfId="30591" xr:uid="{2B562B98-1F0A-40F5-B438-CE3FA786C1A8}"/>
    <cellStyle name="Normal 5 3 4 8 4" xfId="21294" xr:uid="{ABA4CDBB-8669-4AEF-ACF4-6C41A6841DD4}"/>
    <cellStyle name="Normal 5 3 4 9" xfId="4821" xr:uid="{00000000-0005-0000-0000-0000631A0000}"/>
    <cellStyle name="Normal 5 3 4 9 2" xfId="14147" xr:uid="{1654EBFF-90D6-4047-B475-E9FD673BEB60}"/>
    <cellStyle name="Normal 5 3 4 9 2 2" xfId="32743" xr:uid="{20CA9FAA-5636-46AE-8411-778238368918}"/>
    <cellStyle name="Normal 5 3 4 9 3" xfId="23446" xr:uid="{F0101EEE-6F4A-4C83-B461-BF4A0821AB4B}"/>
    <cellStyle name="Normal 5 3 5" xfId="453" xr:uid="{00000000-0005-0000-0000-0000641A0000}"/>
    <cellStyle name="Normal 5 3 5 10" xfId="9934" xr:uid="{ED862D5A-1A48-44F3-AE6F-1A566F386B83}"/>
    <cellStyle name="Normal 5 3 5 10 2" xfId="28530" xr:uid="{DE71B78F-527B-43E7-BFB3-F935FE4BA970}"/>
    <cellStyle name="Normal 5 3 5 11" xfId="19233" xr:uid="{AA60E2B7-5B1A-41E9-BA16-8A608E42975D}"/>
    <cellStyle name="Normal 5 3 5 2" xfId="454" xr:uid="{00000000-0005-0000-0000-0000651A0000}"/>
    <cellStyle name="Normal 5 3 5 2 10" xfId="19234" xr:uid="{7DC3BC3D-3BA1-465D-9582-4C8EEC9B0A4F}"/>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2EBD8AB0-A585-47FF-AEDC-4E1308508025}"/>
    <cellStyle name="Normal 5 3 5 2 2 2 2 2 2" xfId="35306" xr:uid="{0905E303-7E4D-47C7-B313-1E5DC76E59A5}"/>
    <cellStyle name="Normal 5 3 5 2 2 2 2 3" xfId="26009" xr:uid="{F51045C9-86FD-42CD-9C71-A8FCDACE4532}"/>
    <cellStyle name="Normal 5 3 5 2 2 2 3" xfId="12493" xr:uid="{72385E10-A77D-463D-95E2-72CBE9DDAFED}"/>
    <cellStyle name="Normal 5 3 5 2 2 2 3 2" xfId="31089" xr:uid="{DFF3D8A9-19A0-4ACF-B2FF-14BC2C4A35A3}"/>
    <cellStyle name="Normal 5 3 5 2 2 2 4" xfId="21792" xr:uid="{11871AFE-B538-4326-8298-E7689464B4F0}"/>
    <cellStyle name="Normal 5 3 5 2 2 3" xfId="5239" xr:uid="{00000000-0005-0000-0000-0000691A0000}"/>
    <cellStyle name="Normal 5 3 5 2 2 3 2" xfId="14565" xr:uid="{8B2CCA4E-EBBC-4D3F-A1DF-2440C5CC668F}"/>
    <cellStyle name="Normal 5 3 5 2 2 3 2 2" xfId="33161" xr:uid="{040C6959-C2C9-4239-9B2C-EDE13A64DC12}"/>
    <cellStyle name="Normal 5 3 5 2 2 3 3" xfId="23864" xr:uid="{CD8BC20D-1CDA-455B-A064-5003F38D1B15}"/>
    <cellStyle name="Normal 5 3 5 2 2 4" xfId="9485" xr:uid="{E88A0512-4544-44F7-B02F-696DEB177F8E}"/>
    <cellStyle name="Normal 5 3 5 2 2 4 2" xfId="18800" xr:uid="{BF4B4012-F0A0-436C-8216-4C023664A059}"/>
    <cellStyle name="Normal 5 3 5 2 2 4 2 2" xfId="37394" xr:uid="{0F56D5FA-CC12-4049-84DF-7D505B9099E8}"/>
    <cellStyle name="Normal 5 3 5 2 2 4 3" xfId="28097" xr:uid="{04766D81-A889-43CC-9138-1B064576A321}"/>
    <cellStyle name="Normal 5 3 5 2 2 5" xfId="10348" xr:uid="{DE39FE3E-B013-41B3-B45B-C581A844ABE6}"/>
    <cellStyle name="Normal 5 3 5 2 2 5 2" xfId="28944" xr:uid="{F419CF72-4CFF-4C4B-AB4F-7A7C29A4C85B}"/>
    <cellStyle name="Normal 5 3 5 2 2 6" xfId="19647" xr:uid="{DAA9C70B-0DEB-4F44-8372-5F96C1B12BA8}"/>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ADEFD7E7-A2B4-4AC2-A2B1-57F7E89171F3}"/>
    <cellStyle name="Normal 5 3 5 2 3 2 2 2 2" xfId="35719" xr:uid="{AAB2103A-1D71-4062-9F7D-7B39D4B20D92}"/>
    <cellStyle name="Normal 5 3 5 2 3 2 2 3" xfId="26422" xr:uid="{0755C670-DDDB-474C-8871-2EFFB8DB98E5}"/>
    <cellStyle name="Normal 5 3 5 2 3 2 3" xfId="12906" xr:uid="{86393AAA-3C54-41A1-B84F-F72B2DC4F439}"/>
    <cellStyle name="Normal 5 3 5 2 3 2 3 2" xfId="31502" xr:uid="{C49FB7DD-ADEC-4A97-9CEF-BA841F8DCAB8}"/>
    <cellStyle name="Normal 5 3 5 2 3 2 4" xfId="22205" xr:uid="{712B3DD9-7E7F-43B0-9D1F-F985824A21A0}"/>
    <cellStyle name="Normal 5 3 5 2 3 3" xfId="5652" xr:uid="{00000000-0005-0000-0000-00006D1A0000}"/>
    <cellStyle name="Normal 5 3 5 2 3 3 2" xfId="14978" xr:uid="{52CD06E2-7007-4115-A8F0-35CD25027B7A}"/>
    <cellStyle name="Normal 5 3 5 2 3 3 2 2" xfId="33574" xr:uid="{7934F25E-B593-4400-9077-4D2A81CB56DA}"/>
    <cellStyle name="Normal 5 3 5 2 3 3 3" xfId="24277" xr:uid="{CC7283D0-CEE4-4634-A89E-14E8802A9157}"/>
    <cellStyle name="Normal 5 3 5 2 3 4" xfId="10761" xr:uid="{401D8E8C-44E0-4B77-91D8-0C4B35A49563}"/>
    <cellStyle name="Normal 5 3 5 2 3 4 2" xfId="29357" xr:uid="{7A7ED7A8-3E29-4406-9929-840FE4FD5FD3}"/>
    <cellStyle name="Normal 5 3 5 2 3 5" xfId="20060" xr:uid="{BFE003A2-BDB9-4E68-9069-7615C89E8ED2}"/>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8EC875E8-AC12-49B1-B421-88CDF11FA05D}"/>
    <cellStyle name="Normal 5 3 5 2 4 2 2 2 2" xfId="36132" xr:uid="{E6FA8A83-BFF9-4304-A087-DDB865E51CB7}"/>
    <cellStyle name="Normal 5 3 5 2 4 2 2 3" xfId="26835" xr:uid="{60E6B085-6136-492D-A0E4-368042D64FCB}"/>
    <cellStyle name="Normal 5 3 5 2 4 2 3" xfId="13319" xr:uid="{CDAFE042-15EA-4466-AD60-17F568AB1907}"/>
    <cellStyle name="Normal 5 3 5 2 4 2 3 2" xfId="31915" xr:uid="{21EDB79F-FB9E-4AAC-A9C0-6022D87CE43C}"/>
    <cellStyle name="Normal 5 3 5 2 4 2 4" xfId="22618" xr:uid="{6E40E1D2-A0C8-41A4-A6BA-A323C3591048}"/>
    <cellStyle name="Normal 5 3 5 2 4 3" xfId="6065" xr:uid="{00000000-0005-0000-0000-0000711A0000}"/>
    <cellStyle name="Normal 5 3 5 2 4 3 2" xfId="15391" xr:uid="{AAE6B9DC-6A93-420B-99E1-6DB84829B37C}"/>
    <cellStyle name="Normal 5 3 5 2 4 3 2 2" xfId="33987" xr:uid="{41F43E0F-5F76-404D-B945-AE403E16EC03}"/>
    <cellStyle name="Normal 5 3 5 2 4 3 3" xfId="24690" xr:uid="{27C7112F-A67E-41CD-952F-C71578F4E02D}"/>
    <cellStyle name="Normal 5 3 5 2 4 4" xfId="11174" xr:uid="{FBA7800E-0DD8-4BD8-9E58-08B46C625624}"/>
    <cellStyle name="Normal 5 3 5 2 4 4 2" xfId="29770" xr:uid="{A9518878-9B14-4D6F-9708-EC7EC2A7D7D4}"/>
    <cellStyle name="Normal 5 3 5 2 4 5" xfId="20473" xr:uid="{951F9F05-1DC0-4866-B80C-C5CA6150CC34}"/>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2C1D3E42-8CA7-4B52-95A7-FE21D2E2886E}"/>
    <cellStyle name="Normal 5 3 5 2 5 2 2 2 2" xfId="36545" xr:uid="{0DBFC982-CEDB-4FC4-9A51-61A0A8709EF2}"/>
    <cellStyle name="Normal 5 3 5 2 5 2 2 3" xfId="27248" xr:uid="{54FFCCC3-5341-4738-BB47-B4BBD9ABC660}"/>
    <cellStyle name="Normal 5 3 5 2 5 2 3" xfId="13732" xr:uid="{D1981810-AC35-4A7F-875B-FC4CC4347701}"/>
    <cellStyle name="Normal 5 3 5 2 5 2 3 2" xfId="32328" xr:uid="{758D00DA-6D85-4874-A897-47C04B5E91AA}"/>
    <cellStyle name="Normal 5 3 5 2 5 2 4" xfId="23031" xr:uid="{7CD1A3FF-D911-4359-A6CB-4EFF878D36FC}"/>
    <cellStyle name="Normal 5 3 5 2 5 3" xfId="6478" xr:uid="{00000000-0005-0000-0000-0000751A0000}"/>
    <cellStyle name="Normal 5 3 5 2 5 3 2" xfId="15804" xr:uid="{47DA2518-1A11-4A88-8B18-7497A25AD7FB}"/>
    <cellStyle name="Normal 5 3 5 2 5 3 2 2" xfId="34400" xr:uid="{7314D044-7038-44CA-A01B-633CA417E676}"/>
    <cellStyle name="Normal 5 3 5 2 5 3 3" xfId="25103" xr:uid="{AB6E2A26-65E3-489A-802D-A8DC07B09652}"/>
    <cellStyle name="Normal 5 3 5 2 5 4" xfId="11587" xr:uid="{3141FEAF-FB56-4531-A6E2-6CF622DF777F}"/>
    <cellStyle name="Normal 5 3 5 2 5 4 2" xfId="30183" xr:uid="{04F11472-8D9E-4731-94FA-6C4B59CBB4A5}"/>
    <cellStyle name="Normal 5 3 5 2 5 5" xfId="20886" xr:uid="{55AC7120-AB14-4EAA-A81D-D069B1FD70E2}"/>
    <cellStyle name="Normal 5 3 5 2 6" xfId="2608" xr:uid="{00000000-0005-0000-0000-0000761A0000}"/>
    <cellStyle name="Normal 5 3 5 2 6 2" xfId="6891" xr:uid="{00000000-0005-0000-0000-0000771A0000}"/>
    <cellStyle name="Normal 5 3 5 2 6 2 2" xfId="16217" xr:uid="{12C64C69-1745-4C2F-BA4C-675E99A95AB1}"/>
    <cellStyle name="Normal 5 3 5 2 6 2 2 2" xfId="34813" xr:uid="{681E600D-2D96-4D21-8E96-0F51B58A1020}"/>
    <cellStyle name="Normal 5 3 5 2 6 2 3" xfId="25516" xr:uid="{75388A62-273E-4AF7-9820-76343E80B5C9}"/>
    <cellStyle name="Normal 5 3 5 2 6 3" xfId="12000" xr:uid="{E89DDB02-50FB-4763-8F29-52F1C0A68A2D}"/>
    <cellStyle name="Normal 5 3 5 2 6 3 2" xfId="30596" xr:uid="{CEFA83EB-D22D-4128-8495-50491F2C9F91}"/>
    <cellStyle name="Normal 5 3 5 2 6 4" xfId="21299" xr:uid="{5A35E4BA-0952-4C30-B248-EB9F4A4FBF45}"/>
    <cellStyle name="Normal 5 3 5 2 7" xfId="4826" xr:uid="{00000000-0005-0000-0000-0000781A0000}"/>
    <cellStyle name="Normal 5 3 5 2 7 2" xfId="14152" xr:uid="{4B0752CF-6A52-4ABA-A542-E49ED05EEAEB}"/>
    <cellStyle name="Normal 5 3 5 2 7 2 2" xfId="32748" xr:uid="{A787A566-A331-405A-BAB7-4278BF04DE0C}"/>
    <cellStyle name="Normal 5 3 5 2 7 3" xfId="23451" xr:uid="{B9BDD1C7-7B12-4917-915C-64473DDC25B9}"/>
    <cellStyle name="Normal 5 3 5 2 8" xfId="9060" xr:uid="{D76124DC-5753-46E4-97E7-1D76E6E20EEE}"/>
    <cellStyle name="Normal 5 3 5 2 8 2" xfId="18384" xr:uid="{E4DDBD40-386B-4C1D-A65A-F08F50FA4812}"/>
    <cellStyle name="Normal 5 3 5 2 8 2 2" xfId="36979" xr:uid="{0FE2F489-3348-4187-84A0-88E6453BE44D}"/>
    <cellStyle name="Normal 5 3 5 2 8 3" xfId="27682" xr:uid="{D78A78D3-2FE7-40BC-9660-C7754EAE3460}"/>
    <cellStyle name="Normal 5 3 5 2 9" xfId="9935" xr:uid="{78073D2E-DDC1-4A56-A2D9-819D6BFB2A0C}"/>
    <cellStyle name="Normal 5 3 5 2 9 2" xfId="28531" xr:uid="{F97C0CDB-3166-479E-B90A-6731FD6DD7CA}"/>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72E79776-1539-4D8A-85C1-55BE73D8EF78}"/>
    <cellStyle name="Normal 5 3 5 3 2 2 2 2" xfId="35305" xr:uid="{790C840E-6128-4FC5-9882-B841D8520509}"/>
    <cellStyle name="Normal 5 3 5 3 2 2 3" xfId="26008" xr:uid="{E0900DE7-0B73-4B14-85E2-68AA01E30254}"/>
    <cellStyle name="Normal 5 3 5 3 2 3" xfId="12492" xr:uid="{EBC5C9ED-73E6-4BB8-A69D-E42DA1FBBDE6}"/>
    <cellStyle name="Normal 5 3 5 3 2 3 2" xfId="31088" xr:uid="{6BEFF239-2DF1-4CB7-AB30-AE8A0AEE96D8}"/>
    <cellStyle name="Normal 5 3 5 3 2 4" xfId="21791" xr:uid="{482F6464-1715-4E89-92CB-756954D44E64}"/>
    <cellStyle name="Normal 5 3 5 3 3" xfId="5238" xr:uid="{00000000-0005-0000-0000-00007C1A0000}"/>
    <cellStyle name="Normal 5 3 5 3 3 2" xfId="14564" xr:uid="{4929AC19-2542-4E52-9CF4-AC174FDD8B64}"/>
    <cellStyle name="Normal 5 3 5 3 3 2 2" xfId="33160" xr:uid="{CC42D581-0770-4B58-87CE-ADA26AC2E555}"/>
    <cellStyle name="Normal 5 3 5 3 3 3" xfId="23863" xr:uid="{B72BF011-819E-4A16-BFAD-F0162B6A477C}"/>
    <cellStyle name="Normal 5 3 5 3 4" xfId="9278" xr:uid="{6197750A-97CA-41EF-A67C-63E25EE58E9E}"/>
    <cellStyle name="Normal 5 3 5 3 4 2" xfId="18593" xr:uid="{B3C6B721-3FA2-4BE4-9AE9-3843AEAFDAB1}"/>
    <cellStyle name="Normal 5 3 5 3 4 2 2" xfId="37187" xr:uid="{29225E88-7050-45DD-AD5A-0A6FD8543A23}"/>
    <cellStyle name="Normal 5 3 5 3 4 3" xfId="27890" xr:uid="{F59F56B4-6380-46DF-8F69-FDE7A6F7D4C2}"/>
    <cellStyle name="Normal 5 3 5 3 5" xfId="10347" xr:uid="{4DAE013C-90FD-4CB3-AC7C-D2BDA16C0DAA}"/>
    <cellStyle name="Normal 5 3 5 3 5 2" xfId="28943" xr:uid="{4829BF19-0A53-4FB6-B70B-93A99E1801CE}"/>
    <cellStyle name="Normal 5 3 5 3 6" xfId="19646" xr:uid="{4F4F29C7-4E3C-4961-93F9-05B3E12D53B8}"/>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A38EBAE0-752E-49A1-A8AE-1C2D1D5E6684}"/>
    <cellStyle name="Normal 5 3 5 4 2 2 2 2" xfId="35718" xr:uid="{B5DB65B2-E0E8-4D90-BEDA-7CB905CE57C3}"/>
    <cellStyle name="Normal 5 3 5 4 2 2 3" xfId="26421" xr:uid="{6D66CE5C-6A75-48F7-A43D-2431FB3DE903}"/>
    <cellStyle name="Normal 5 3 5 4 2 3" xfId="12905" xr:uid="{FEB8930C-A042-4BD0-B464-910A9C4248F2}"/>
    <cellStyle name="Normal 5 3 5 4 2 3 2" xfId="31501" xr:uid="{F1FCE8D7-C8E7-40BF-B7F2-B46529A3467D}"/>
    <cellStyle name="Normal 5 3 5 4 2 4" xfId="22204" xr:uid="{5D64B369-25D9-4575-9FC0-95737C64B1D8}"/>
    <cellStyle name="Normal 5 3 5 4 3" xfId="5651" xr:uid="{00000000-0005-0000-0000-0000801A0000}"/>
    <cellStyle name="Normal 5 3 5 4 3 2" xfId="14977" xr:uid="{CA8B2D08-105A-4A90-BC87-F51A05554BB4}"/>
    <cellStyle name="Normal 5 3 5 4 3 2 2" xfId="33573" xr:uid="{B5D848A9-377A-450F-8C1D-4A713EB85D96}"/>
    <cellStyle name="Normal 5 3 5 4 3 3" xfId="24276" xr:uid="{2C5C6C30-1238-4538-80BE-A1586EAAA0F3}"/>
    <cellStyle name="Normal 5 3 5 4 4" xfId="10760" xr:uid="{7257615F-7692-4FCF-9528-7D8C064F06B9}"/>
    <cellStyle name="Normal 5 3 5 4 4 2" xfId="29356" xr:uid="{EF18C0EA-78B2-436D-9C89-AAA662F5D245}"/>
    <cellStyle name="Normal 5 3 5 4 5" xfId="20059" xr:uid="{95FDF477-605F-402F-8CD5-18A936083C81}"/>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94E0197B-CACB-42D2-90B5-F03FC62E5E60}"/>
    <cellStyle name="Normal 5 3 5 5 2 2 2 2" xfId="36131" xr:uid="{FFC10F25-6330-456B-B463-AB0363B2BE8F}"/>
    <cellStyle name="Normal 5 3 5 5 2 2 3" xfId="26834" xr:uid="{E4AA3821-A440-4853-B7DB-FB4FB5F6F84B}"/>
    <cellStyle name="Normal 5 3 5 5 2 3" xfId="13318" xr:uid="{99E29B1E-F471-44D4-B09D-79F27DCB0859}"/>
    <cellStyle name="Normal 5 3 5 5 2 3 2" xfId="31914" xr:uid="{8A13D581-A617-49E4-BEAF-E29DA69CA2DC}"/>
    <cellStyle name="Normal 5 3 5 5 2 4" xfId="22617" xr:uid="{58F1B25A-E99A-45DC-8BF0-CC7417BD2202}"/>
    <cellStyle name="Normal 5 3 5 5 3" xfId="6064" xr:uid="{00000000-0005-0000-0000-0000841A0000}"/>
    <cellStyle name="Normal 5 3 5 5 3 2" xfId="15390" xr:uid="{B835E93E-328A-43F9-BB8B-848B5A8ABFA5}"/>
    <cellStyle name="Normal 5 3 5 5 3 2 2" xfId="33986" xr:uid="{3B654FBF-F95B-4907-A17A-E41F4768B4A3}"/>
    <cellStyle name="Normal 5 3 5 5 3 3" xfId="24689" xr:uid="{97DC3F5C-AFD5-4E8E-93AF-359A1297BC53}"/>
    <cellStyle name="Normal 5 3 5 5 4" xfId="11173" xr:uid="{53357712-2192-40EC-9D46-0433DCBEEAD3}"/>
    <cellStyle name="Normal 5 3 5 5 4 2" xfId="29769" xr:uid="{51FD70F6-52B4-4595-9D8E-D9BC1925E562}"/>
    <cellStyle name="Normal 5 3 5 5 5" xfId="20472" xr:uid="{B540D8D6-F239-4538-8836-017C9C18DC5C}"/>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2831FF50-24C5-4364-94AC-B4FB8283DBE3}"/>
    <cellStyle name="Normal 5 3 5 6 2 2 2 2" xfId="36544" xr:uid="{725876E8-8717-41C5-942C-92724EAC0DB3}"/>
    <cellStyle name="Normal 5 3 5 6 2 2 3" xfId="27247" xr:uid="{E69021E5-65BD-4822-BC50-14C1C2D8F957}"/>
    <cellStyle name="Normal 5 3 5 6 2 3" xfId="13731" xr:uid="{ED859574-E1B8-40CF-960D-74CF332E56A9}"/>
    <cellStyle name="Normal 5 3 5 6 2 3 2" xfId="32327" xr:uid="{30E79E7E-9D4D-4C05-98CC-F01D26F0C680}"/>
    <cellStyle name="Normal 5 3 5 6 2 4" xfId="23030" xr:uid="{A4496AE1-F5FB-476E-ACB4-176B6CCD0815}"/>
    <cellStyle name="Normal 5 3 5 6 3" xfId="6477" xr:uid="{00000000-0005-0000-0000-0000881A0000}"/>
    <cellStyle name="Normal 5 3 5 6 3 2" xfId="15803" xr:uid="{6545FBD9-FBEF-4E44-B101-F07DF36FDEFD}"/>
    <cellStyle name="Normal 5 3 5 6 3 2 2" xfId="34399" xr:uid="{6DE135F2-AA98-415D-9032-F3D0879070A2}"/>
    <cellStyle name="Normal 5 3 5 6 3 3" xfId="25102" xr:uid="{47126395-1E2B-4AF2-9C6A-B78EAB77E99C}"/>
    <cellStyle name="Normal 5 3 5 6 4" xfId="11586" xr:uid="{28A57D06-A789-46F3-AD2B-BE9DA4FADCF1}"/>
    <cellStyle name="Normal 5 3 5 6 4 2" xfId="30182" xr:uid="{11D8F4DA-A676-4258-AC13-63E093A25753}"/>
    <cellStyle name="Normal 5 3 5 6 5" xfId="20885" xr:uid="{D07318ED-587E-4C96-AF2E-94E88CCFB3AE}"/>
    <cellStyle name="Normal 5 3 5 7" xfId="2607" xr:uid="{00000000-0005-0000-0000-0000891A0000}"/>
    <cellStyle name="Normal 5 3 5 7 2" xfId="6890" xr:uid="{00000000-0005-0000-0000-00008A1A0000}"/>
    <cellStyle name="Normal 5 3 5 7 2 2" xfId="16216" xr:uid="{9FFBF0FE-9FBF-4CDD-997F-5D41700E500D}"/>
    <cellStyle name="Normal 5 3 5 7 2 2 2" xfId="34812" xr:uid="{311DD006-90B5-4F95-B0D7-DA8C64DD6673}"/>
    <cellStyle name="Normal 5 3 5 7 2 3" xfId="25515" xr:uid="{23CE973A-4235-4784-A181-A2000CC9ECF6}"/>
    <cellStyle name="Normal 5 3 5 7 3" xfId="11999" xr:uid="{9D8727F0-D24A-4D43-9E01-C6017C24B476}"/>
    <cellStyle name="Normal 5 3 5 7 3 2" xfId="30595" xr:uid="{FA126FCF-A761-4A1F-B75A-C7FE732C352A}"/>
    <cellStyle name="Normal 5 3 5 7 4" xfId="21298" xr:uid="{A2D70D05-BAA7-4000-BF93-6911C9B7C136}"/>
    <cellStyle name="Normal 5 3 5 8" xfId="4825" xr:uid="{00000000-0005-0000-0000-00008B1A0000}"/>
    <cellStyle name="Normal 5 3 5 8 2" xfId="14151" xr:uid="{F5F998A8-2027-4687-87B5-4C3635560974}"/>
    <cellStyle name="Normal 5 3 5 8 2 2" xfId="32747" xr:uid="{65A5E7A3-9B23-4C3A-AC46-53C45A237F97}"/>
    <cellStyle name="Normal 5 3 5 8 3" xfId="23450" xr:uid="{8D4EC314-20AD-4718-9E09-47DC63B52A58}"/>
    <cellStyle name="Normal 5 3 5 9" xfId="8853" xr:uid="{049FA2CE-003F-47C1-A264-645323886F35}"/>
    <cellStyle name="Normal 5 3 5 9 2" xfId="18177" xr:uid="{11AA8A8A-1EDF-49C8-A40C-8C32F57490E4}"/>
    <cellStyle name="Normal 5 3 5 9 2 2" xfId="36772" xr:uid="{1D7C3E72-0446-4474-B95C-9A33F11931A8}"/>
    <cellStyle name="Normal 5 3 5 9 3" xfId="27475" xr:uid="{31DD88B8-494D-411D-99F8-05AF054865CD}"/>
    <cellStyle name="Normal 5 3 6" xfId="455" xr:uid="{00000000-0005-0000-0000-00008C1A0000}"/>
    <cellStyle name="Normal 5 3 6 10" xfId="19235" xr:uid="{25165942-8F8D-4D4D-A296-5196ED93C254}"/>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80A57BEA-7451-4B20-AB8F-8FC398B11584}"/>
    <cellStyle name="Normal 5 3 6 2 2 2 2 2" xfId="35307" xr:uid="{87B62564-2151-49D1-8F83-F7E656B13ECD}"/>
    <cellStyle name="Normal 5 3 6 2 2 2 3" xfId="26010" xr:uid="{EF8DDC96-8FB0-48BE-87EE-EAA16FAD3C5C}"/>
    <cellStyle name="Normal 5 3 6 2 2 3" xfId="12494" xr:uid="{5D4609B0-128C-4348-88FA-322D92666752}"/>
    <cellStyle name="Normal 5 3 6 2 2 3 2" xfId="31090" xr:uid="{179D9F3F-CA8E-4EEA-B10B-E6869B0BF42C}"/>
    <cellStyle name="Normal 5 3 6 2 2 4" xfId="21793" xr:uid="{BA6C4BE0-3ADF-49AB-9A20-448DD0F837FF}"/>
    <cellStyle name="Normal 5 3 6 2 3" xfId="5240" xr:uid="{00000000-0005-0000-0000-0000901A0000}"/>
    <cellStyle name="Normal 5 3 6 2 3 2" xfId="14566" xr:uid="{BC907840-7186-476C-B041-18997740A1C5}"/>
    <cellStyle name="Normal 5 3 6 2 3 2 2" xfId="33162" xr:uid="{B1213B67-19A0-4044-9145-8F1B1594FFFB}"/>
    <cellStyle name="Normal 5 3 6 2 3 3" xfId="23865" xr:uid="{24F46E66-9BB5-4C67-B537-D4237FAEEC92}"/>
    <cellStyle name="Normal 5 3 6 2 4" xfId="9394" xr:uid="{040FDD8C-10C9-4583-9A6E-8F76047ECA0C}"/>
    <cellStyle name="Normal 5 3 6 2 4 2" xfId="18709" xr:uid="{07DE3CD8-A982-4E1C-BC19-C58D91CFFDA2}"/>
    <cellStyle name="Normal 5 3 6 2 4 2 2" xfId="37303" xr:uid="{A4B29E2B-8A4E-45A1-A37A-06647BAE0C55}"/>
    <cellStyle name="Normal 5 3 6 2 4 3" xfId="28006" xr:uid="{161AD43B-1D32-4F86-AE29-F3B2219DED7E}"/>
    <cellStyle name="Normal 5 3 6 2 5" xfId="10349" xr:uid="{7E564939-8F80-4C89-A5EA-5AFC3D83E45C}"/>
    <cellStyle name="Normal 5 3 6 2 5 2" xfId="28945" xr:uid="{E1CE807D-5B0F-4DA3-B8A1-0ADE1254CD6F}"/>
    <cellStyle name="Normal 5 3 6 2 6" xfId="19648" xr:uid="{DA611990-5F6D-4A83-9F77-986DA7353120}"/>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20293246-1F5C-46F7-94DF-84B08E1AFAA8}"/>
    <cellStyle name="Normal 5 3 6 3 2 2 2 2" xfId="35720" xr:uid="{A089290D-8EDA-4475-BD91-B643FB766B0A}"/>
    <cellStyle name="Normal 5 3 6 3 2 2 3" xfId="26423" xr:uid="{D0EA2FC1-6449-48D1-8DEC-0526E9936BAD}"/>
    <cellStyle name="Normal 5 3 6 3 2 3" xfId="12907" xr:uid="{BF92E3D2-57A3-4C38-90BF-7F096C9892C3}"/>
    <cellStyle name="Normal 5 3 6 3 2 3 2" xfId="31503" xr:uid="{CD338E5B-4641-4F3D-8CC5-9A5922FFF63E}"/>
    <cellStyle name="Normal 5 3 6 3 2 4" xfId="22206" xr:uid="{89603E33-5C79-4946-8A77-C78470977FA5}"/>
    <cellStyle name="Normal 5 3 6 3 3" xfId="5653" xr:uid="{00000000-0005-0000-0000-0000941A0000}"/>
    <cellStyle name="Normal 5 3 6 3 3 2" xfId="14979" xr:uid="{53886396-C76A-471A-A0EC-3A7D76E02708}"/>
    <cellStyle name="Normal 5 3 6 3 3 2 2" xfId="33575" xr:uid="{0D42F9C9-E200-4702-B224-83318DCCFBB5}"/>
    <cellStyle name="Normal 5 3 6 3 3 3" xfId="24278" xr:uid="{1FA34498-4EB8-4076-91A2-4F9D5394D8CA}"/>
    <cellStyle name="Normal 5 3 6 3 4" xfId="10762" xr:uid="{8F11592F-F33D-43BA-B635-AE7D5946C0C7}"/>
    <cellStyle name="Normal 5 3 6 3 4 2" xfId="29358" xr:uid="{39432949-E449-4E8D-AD04-D1085632BEFC}"/>
    <cellStyle name="Normal 5 3 6 3 5" xfId="20061" xr:uid="{49585B13-B1B7-4A97-A76D-EF23E8B60805}"/>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4C11F100-FA76-4B9E-B2F6-E503CED9DD8B}"/>
    <cellStyle name="Normal 5 3 6 4 2 2 2 2" xfId="36133" xr:uid="{A42143DB-A4AD-4A21-919F-818F6B87744C}"/>
    <cellStyle name="Normal 5 3 6 4 2 2 3" xfId="26836" xr:uid="{6E1FEF33-8A15-41E5-931B-2C45AE8496F4}"/>
    <cellStyle name="Normal 5 3 6 4 2 3" xfId="13320" xr:uid="{9AF3F127-1899-4F05-8F0C-8052E7E6015B}"/>
    <cellStyle name="Normal 5 3 6 4 2 3 2" xfId="31916" xr:uid="{15EBA554-8249-4051-A37B-890BD343116E}"/>
    <cellStyle name="Normal 5 3 6 4 2 4" xfId="22619" xr:uid="{FE2C3C96-C890-4CE2-BD2D-BFA0A11CA8D6}"/>
    <cellStyle name="Normal 5 3 6 4 3" xfId="6066" xr:uid="{00000000-0005-0000-0000-0000981A0000}"/>
    <cellStyle name="Normal 5 3 6 4 3 2" xfId="15392" xr:uid="{5DD50DED-76DF-492B-951A-99C47A5D3B85}"/>
    <cellStyle name="Normal 5 3 6 4 3 2 2" xfId="33988" xr:uid="{08358451-9261-4D46-983B-066E1A42BC2F}"/>
    <cellStyle name="Normal 5 3 6 4 3 3" xfId="24691" xr:uid="{6A4249A0-70CB-412A-8CF3-95B9328DEF53}"/>
    <cellStyle name="Normal 5 3 6 4 4" xfId="11175" xr:uid="{17AC53B4-5419-421F-A56D-54A30DB14ACA}"/>
    <cellStyle name="Normal 5 3 6 4 4 2" xfId="29771" xr:uid="{59262E99-B26E-4FD9-9DF1-6B1A7AA66BA4}"/>
    <cellStyle name="Normal 5 3 6 4 5" xfId="20474" xr:uid="{103CD4CD-19FA-4DE9-85C8-39CE65DAD976}"/>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80B7575F-2F53-4B79-9B79-8CAADE515E20}"/>
    <cellStyle name="Normal 5 3 6 5 2 2 2 2" xfId="36546" xr:uid="{7D594E8C-14EC-4B7D-8E6B-3956A3D745D5}"/>
    <cellStyle name="Normal 5 3 6 5 2 2 3" xfId="27249" xr:uid="{8D613051-1B9D-4FD4-AC8E-01AFBB23B55D}"/>
    <cellStyle name="Normal 5 3 6 5 2 3" xfId="13733" xr:uid="{E3BEC06E-2BF7-472D-88DA-1BF2A4B50AEE}"/>
    <cellStyle name="Normal 5 3 6 5 2 3 2" xfId="32329" xr:uid="{D9979D2F-BC7D-4DCF-8128-94A849D59385}"/>
    <cellStyle name="Normal 5 3 6 5 2 4" xfId="23032" xr:uid="{7988F56C-1C5B-4F1A-9E98-A83499A9D00A}"/>
    <cellStyle name="Normal 5 3 6 5 3" xfId="6479" xr:uid="{00000000-0005-0000-0000-00009C1A0000}"/>
    <cellStyle name="Normal 5 3 6 5 3 2" xfId="15805" xr:uid="{A36DEF0E-5284-4B25-9CB6-7FC89E34FF84}"/>
    <cellStyle name="Normal 5 3 6 5 3 2 2" xfId="34401" xr:uid="{2490541E-C275-4D1F-B64A-E0A3A36C0443}"/>
    <cellStyle name="Normal 5 3 6 5 3 3" xfId="25104" xr:uid="{49FC44B7-F72B-42F4-8332-08F7F0ABA08F}"/>
    <cellStyle name="Normal 5 3 6 5 4" xfId="11588" xr:uid="{A5EF054B-79DF-4C99-A26B-7A5C0E78208E}"/>
    <cellStyle name="Normal 5 3 6 5 4 2" xfId="30184" xr:uid="{BEEE8F66-8507-4177-A6AA-0EBD03F925DC}"/>
    <cellStyle name="Normal 5 3 6 5 5" xfId="20887" xr:uid="{0D08402E-7B8E-4B4E-BDE3-487D3678F715}"/>
    <cellStyle name="Normal 5 3 6 6" xfId="2609" xr:uid="{00000000-0005-0000-0000-00009D1A0000}"/>
    <cellStyle name="Normal 5 3 6 6 2" xfId="6892" xr:uid="{00000000-0005-0000-0000-00009E1A0000}"/>
    <cellStyle name="Normal 5 3 6 6 2 2" xfId="16218" xr:uid="{C8E3CEA1-43C5-4BD1-BF40-C34CF204057B}"/>
    <cellStyle name="Normal 5 3 6 6 2 2 2" xfId="34814" xr:uid="{5EC46297-809C-4A00-AECE-72C3885526FA}"/>
    <cellStyle name="Normal 5 3 6 6 2 3" xfId="25517" xr:uid="{00D1907F-0902-45FF-83BD-81885753AC40}"/>
    <cellStyle name="Normal 5 3 6 6 3" xfId="12001" xr:uid="{CBE6E1AB-8A1A-43B7-A1F8-60F31D336AC4}"/>
    <cellStyle name="Normal 5 3 6 6 3 2" xfId="30597" xr:uid="{FD353AEB-B405-4953-87F6-B9E040112B15}"/>
    <cellStyle name="Normal 5 3 6 6 4" xfId="21300" xr:uid="{E145F67B-A448-4BFD-9E34-DDD57C040BD4}"/>
    <cellStyle name="Normal 5 3 6 7" xfId="4827" xr:uid="{00000000-0005-0000-0000-00009F1A0000}"/>
    <cellStyle name="Normal 5 3 6 7 2" xfId="14153" xr:uid="{84F8DF10-DA03-47DC-9256-31FDA37F0014}"/>
    <cellStyle name="Normal 5 3 6 7 2 2" xfId="32749" xr:uid="{A482B715-E63C-4975-8485-B189568CF59E}"/>
    <cellStyle name="Normal 5 3 6 7 3" xfId="23452" xr:uid="{DC8A6AE2-3E09-48C0-812C-926204EA7B49}"/>
    <cellStyle name="Normal 5 3 6 8" xfId="8969" xr:uid="{FA7ABEAF-BFEA-4D3E-A53B-E23F3117BFD8}"/>
    <cellStyle name="Normal 5 3 6 8 2" xfId="18293" xr:uid="{1981AFD7-93AD-4E89-BB45-91CADDBA2A1D}"/>
    <cellStyle name="Normal 5 3 6 8 2 2" xfId="36888" xr:uid="{6ABF5D31-101E-4E4E-B2E9-29357D0C3CE4}"/>
    <cellStyle name="Normal 5 3 6 8 3" xfId="27591" xr:uid="{FF886A38-5C3E-46DA-98F8-C8011D1C264B}"/>
    <cellStyle name="Normal 5 3 6 9" xfId="9936" xr:uid="{56C2C780-4CA9-4ABD-BCEF-967715D1BEC2}"/>
    <cellStyle name="Normal 5 3 6 9 2" xfId="28532" xr:uid="{DBD86F8F-5535-4A31-9CA3-3E8923FA6068}"/>
    <cellStyle name="Normal 5 3 7" xfId="913" xr:uid="{00000000-0005-0000-0000-0000A01A0000}"/>
    <cellStyle name="Normal 5 3 7 2" xfId="3148" xr:uid="{00000000-0005-0000-0000-0000A11A0000}"/>
    <cellStyle name="Normal 5 3 7 2 2" xfId="7370" xr:uid="{00000000-0005-0000-0000-0000A21A0000}"/>
    <cellStyle name="Normal 5 3 7 2 2 2" xfId="16696" xr:uid="{07535BC2-CD1B-4F29-B6F3-559FD8D71777}"/>
    <cellStyle name="Normal 5 3 7 2 2 2 2" xfId="35292" xr:uid="{7AF05A7C-D8FE-4791-A2C1-8BFCB197D5F3}"/>
    <cellStyle name="Normal 5 3 7 2 2 3" xfId="25995" xr:uid="{2FE7BAC2-D9C3-4219-8E45-516A65EB010A}"/>
    <cellStyle name="Normal 5 3 7 2 3" xfId="12479" xr:uid="{D9A3C2E1-FA84-466C-A742-66E6140C0107}"/>
    <cellStyle name="Normal 5 3 7 2 3 2" xfId="31075" xr:uid="{499223F4-B007-4B41-9740-6F33E66C70E1}"/>
    <cellStyle name="Normal 5 3 7 2 4" xfId="21778" xr:uid="{470689BF-B4AE-4EE1-BCF3-7FC1DBB99750}"/>
    <cellStyle name="Normal 5 3 7 3" xfId="5225" xr:uid="{00000000-0005-0000-0000-0000A31A0000}"/>
    <cellStyle name="Normal 5 3 7 3 2" xfId="14551" xr:uid="{527AF46A-698B-4692-99C0-7D00D040755C}"/>
    <cellStyle name="Normal 5 3 7 3 2 2" xfId="33147" xr:uid="{740B2C80-7806-4F8B-9578-DF48A2A4A2F3}"/>
    <cellStyle name="Normal 5 3 7 3 3" xfId="23850" xr:uid="{59FA30F1-9B9D-499B-AF05-1614E5E31D6B}"/>
    <cellStyle name="Normal 5 3 7 4" xfId="9172" xr:uid="{5609ABAF-B913-41DD-9CCE-B28C6A880815}"/>
    <cellStyle name="Normal 5 3 7 4 2" xfId="18490" xr:uid="{3DEF0E99-CBC8-46F7-98EA-9AA52B5CE0F0}"/>
    <cellStyle name="Normal 5 3 7 4 2 2" xfId="37084" xr:uid="{98E124E0-EAC8-4263-A4F4-E769F79B63D2}"/>
    <cellStyle name="Normal 5 3 7 4 3" xfId="27787" xr:uid="{D7602E5D-2E8F-4957-8248-C55CDA57BB07}"/>
    <cellStyle name="Normal 5 3 7 5" xfId="10334" xr:uid="{87AABECC-D7A5-4E46-AB4F-466F8129D6E1}"/>
    <cellStyle name="Normal 5 3 7 5 2" xfId="28930" xr:uid="{9332A65D-77C3-46E8-8767-902A5E46E402}"/>
    <cellStyle name="Normal 5 3 7 6" xfId="19633" xr:uid="{E2E4AF6C-43FE-411B-90B5-935692529214}"/>
    <cellStyle name="Normal 5 3 8" xfId="1331" xr:uid="{00000000-0005-0000-0000-0000A41A0000}"/>
    <cellStyle name="Normal 5 3 8 2" xfId="3561" xr:uid="{00000000-0005-0000-0000-0000A51A0000}"/>
    <cellStyle name="Normal 5 3 8 2 2" xfId="7783" xr:uid="{00000000-0005-0000-0000-0000A61A0000}"/>
    <cellStyle name="Normal 5 3 8 2 2 2" xfId="17109" xr:uid="{00BB9B0B-981F-4D4C-A3A9-9BF914D47DA3}"/>
    <cellStyle name="Normal 5 3 8 2 2 2 2" xfId="35705" xr:uid="{ED48AD54-3712-4EAD-92D7-F13D818E3A99}"/>
    <cellStyle name="Normal 5 3 8 2 2 3" xfId="26408" xr:uid="{5FAA088F-3672-41BD-9387-51706F41BCE4}"/>
    <cellStyle name="Normal 5 3 8 2 3" xfId="12892" xr:uid="{45670F5B-5946-4AAB-A7A5-1BA1E628544B}"/>
    <cellStyle name="Normal 5 3 8 2 3 2" xfId="31488" xr:uid="{75209BF3-EF74-4455-A9C8-4639EAB5DDEF}"/>
    <cellStyle name="Normal 5 3 8 2 4" xfId="22191" xr:uid="{416781A1-FFA1-4792-9844-EDD87D3C48D8}"/>
    <cellStyle name="Normal 5 3 8 3" xfId="5638" xr:uid="{00000000-0005-0000-0000-0000A71A0000}"/>
    <cellStyle name="Normal 5 3 8 3 2" xfId="14964" xr:uid="{93A3EC87-8AD6-4A6A-A25F-B8CA803BCC23}"/>
    <cellStyle name="Normal 5 3 8 3 2 2" xfId="33560" xr:uid="{27E300C1-DB2E-4E43-9108-C8C8A5B5A2EE}"/>
    <cellStyle name="Normal 5 3 8 3 3" xfId="24263" xr:uid="{495DD334-A6C9-40E3-807E-817161185136}"/>
    <cellStyle name="Normal 5 3 8 4" xfId="10747" xr:uid="{98011BF8-2539-4456-B37E-B2419EDDF697}"/>
    <cellStyle name="Normal 5 3 8 4 2" xfId="29343" xr:uid="{F3E9590E-2B17-46E3-846A-B372EE553E36}"/>
    <cellStyle name="Normal 5 3 8 5" xfId="20046" xr:uid="{513274A3-907D-49E4-9EDD-BAE85C6B2DAC}"/>
    <cellStyle name="Normal 5 3 9" xfId="1744" xr:uid="{00000000-0005-0000-0000-0000A81A0000}"/>
    <cellStyle name="Normal 5 3 9 2" xfId="3974" xr:uid="{00000000-0005-0000-0000-0000A91A0000}"/>
    <cellStyle name="Normal 5 3 9 2 2" xfId="8196" xr:uid="{00000000-0005-0000-0000-0000AA1A0000}"/>
    <cellStyle name="Normal 5 3 9 2 2 2" xfId="17522" xr:uid="{014281C5-8547-4F61-B384-E664D60A7DB8}"/>
    <cellStyle name="Normal 5 3 9 2 2 2 2" xfId="36118" xr:uid="{91CB615C-8423-4722-A38C-ABEC70A81F96}"/>
    <cellStyle name="Normal 5 3 9 2 2 3" xfId="26821" xr:uid="{BE9BA48B-FE09-42DD-9EB0-4E7B9637071F}"/>
    <cellStyle name="Normal 5 3 9 2 3" xfId="13305" xr:uid="{A6585140-F3A2-42B0-8016-62A5101404B0}"/>
    <cellStyle name="Normal 5 3 9 2 3 2" xfId="31901" xr:uid="{504BFAC5-3A13-4F3C-B21F-264101D196AE}"/>
    <cellStyle name="Normal 5 3 9 2 4" xfId="22604" xr:uid="{BA463805-1501-4734-A5C8-FF7252E56C82}"/>
    <cellStyle name="Normal 5 3 9 3" xfId="6051" xr:uid="{00000000-0005-0000-0000-0000AB1A0000}"/>
    <cellStyle name="Normal 5 3 9 3 2" xfId="15377" xr:uid="{E183901F-3056-4D1B-9E96-19B83DBFBC86}"/>
    <cellStyle name="Normal 5 3 9 3 2 2" xfId="33973" xr:uid="{9915D794-73F5-48C7-8681-6A74504D992B}"/>
    <cellStyle name="Normal 5 3 9 3 3" xfId="24676" xr:uid="{C785FC90-D605-49C3-8CB8-897F1EDC0ED7}"/>
    <cellStyle name="Normal 5 3 9 4" xfId="11160" xr:uid="{70534730-BF51-40EE-B9EE-39C5BA9B0BF1}"/>
    <cellStyle name="Normal 5 3 9 4 2" xfId="29756" xr:uid="{1EBE714E-62A5-4D11-9B4F-FBE4625BDBD1}"/>
    <cellStyle name="Normal 5 3 9 5" xfId="20459" xr:uid="{BD278E77-40CA-4BBE-B8B4-CE375FB095FC}"/>
    <cellStyle name="Normal 5 4" xfId="456" xr:uid="{00000000-0005-0000-0000-0000AC1A0000}"/>
    <cellStyle name="Normal 5 4 10" xfId="4828" xr:uid="{00000000-0005-0000-0000-0000AD1A0000}"/>
    <cellStyle name="Normal 5 4 10 2" xfId="14154" xr:uid="{DCE1EEA0-BAA9-4581-B075-2F71B51822B7}"/>
    <cellStyle name="Normal 5 4 10 2 2" xfId="32750" xr:uid="{C6FE0DFB-4275-4241-B34B-4DBBD0E2138E}"/>
    <cellStyle name="Normal 5 4 10 3" xfId="23453" xr:uid="{28EB9BB9-EDAB-4568-947C-7A5C7E551875}"/>
    <cellStyle name="Normal 5 4 11" xfId="8773" xr:uid="{50472F80-32FD-428C-B078-8DE338D6CA16}"/>
    <cellStyle name="Normal 5 4 11 2" xfId="18097" xr:uid="{E0767AC8-1B25-41B9-967B-F4BA355E8FB0}"/>
    <cellStyle name="Normal 5 4 11 2 2" xfId="36692" xr:uid="{5B7DA252-3BB1-4070-8B5C-E8DB5E930944}"/>
    <cellStyle name="Normal 5 4 11 3" xfId="27395" xr:uid="{53067947-8F43-4D0E-B159-FD2B342B3AF1}"/>
    <cellStyle name="Normal 5 4 12" xfId="9937" xr:uid="{AC1D5A26-0867-4AFB-95B6-D5EDBBD390D6}"/>
    <cellStyle name="Normal 5 4 12 2" xfId="28533" xr:uid="{34A3BABC-5AC8-499E-96E2-C9E856C1C069}"/>
    <cellStyle name="Normal 5 4 13" xfId="19236" xr:uid="{D3342113-F7E2-47AF-BA67-EC5946B95C64}"/>
    <cellStyle name="Normal 5 4 2" xfId="457" xr:uid="{00000000-0005-0000-0000-0000AE1A0000}"/>
    <cellStyle name="Normal 5 4 2 10" xfId="8833" xr:uid="{6EA55230-8E5B-4EF6-B83C-8DF4202F8C31}"/>
    <cellStyle name="Normal 5 4 2 10 2" xfId="18157" xr:uid="{DCBB8CF9-00A7-4BF7-9034-A15E7C34350B}"/>
    <cellStyle name="Normal 5 4 2 10 2 2" xfId="36752" xr:uid="{DFC9298B-A84D-4D53-98B0-8703005FF40A}"/>
    <cellStyle name="Normal 5 4 2 10 3" xfId="27455" xr:uid="{1F3609C4-6CD1-4371-80DA-6F509CD17680}"/>
    <cellStyle name="Normal 5 4 2 11" xfId="9938" xr:uid="{E4F8A8EF-FD40-49B5-BCF0-51A41A528629}"/>
    <cellStyle name="Normal 5 4 2 11 2" xfId="28534" xr:uid="{D5046C5A-2C8F-401D-A860-8ADD590E10DD}"/>
    <cellStyle name="Normal 5 4 2 12" xfId="19237" xr:uid="{F3CE2A98-D951-4129-8D84-0390E3448EC5}"/>
    <cellStyle name="Normal 5 4 2 2" xfId="458" xr:uid="{00000000-0005-0000-0000-0000AF1A0000}"/>
    <cellStyle name="Normal 5 4 2 2 10" xfId="9939" xr:uid="{7DDDC53C-851B-4E6D-976D-85A8A3D860C8}"/>
    <cellStyle name="Normal 5 4 2 2 10 2" xfId="28535" xr:uid="{78315183-E17B-47FA-820B-EF237AD4344D}"/>
    <cellStyle name="Normal 5 4 2 2 11" xfId="19238" xr:uid="{F4938B25-6B2A-47A5-A6A5-E56E396440C0}"/>
    <cellStyle name="Normal 5 4 2 2 2" xfId="459" xr:uid="{00000000-0005-0000-0000-0000B01A0000}"/>
    <cellStyle name="Normal 5 4 2 2 2 10" xfId="19239" xr:uid="{99FE9F91-0EB8-409B-884F-92A8CD689834}"/>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C2111B6B-F668-41F1-8D5C-77DBA0E0D377}"/>
    <cellStyle name="Normal 5 4 2 2 2 2 2 2 2 2" xfId="35311" xr:uid="{994BA16D-943F-44F7-85C3-54A5CB499987}"/>
    <cellStyle name="Normal 5 4 2 2 2 2 2 2 3" xfId="26014" xr:uid="{C927E0A9-EBAA-4C97-9DB7-E828F69FD04D}"/>
    <cellStyle name="Normal 5 4 2 2 2 2 2 3" xfId="12498" xr:uid="{BAA4CD8E-6E92-445D-8DF1-6D43C40C8BF6}"/>
    <cellStyle name="Normal 5 4 2 2 2 2 2 3 2" xfId="31094" xr:uid="{4B94E064-7BF1-4B4E-A043-2D37EA9A7E79}"/>
    <cellStyle name="Normal 5 4 2 2 2 2 2 4" xfId="21797" xr:uid="{F9B0961A-76BE-4DCD-B9CA-16F68793EB59}"/>
    <cellStyle name="Normal 5 4 2 2 2 2 3" xfId="5244" xr:uid="{00000000-0005-0000-0000-0000B41A0000}"/>
    <cellStyle name="Normal 5 4 2 2 2 2 3 2" xfId="14570" xr:uid="{A4B88BB2-D814-4A2C-8D29-6E20FABBA090}"/>
    <cellStyle name="Normal 5 4 2 2 2 2 3 2 2" xfId="33166" xr:uid="{726CD72E-FE5D-4115-828C-865331E55031}"/>
    <cellStyle name="Normal 5 4 2 2 2 2 3 3" xfId="23869" xr:uid="{35C20EE1-DAC2-417F-B3AE-C2E71BEE60FE}"/>
    <cellStyle name="Normal 5 4 2 2 2 2 4" xfId="9568" xr:uid="{C9922021-D284-4633-BD4E-F2DB1197482A}"/>
    <cellStyle name="Normal 5 4 2 2 2 2 4 2" xfId="18883" xr:uid="{46967B04-327E-4E35-9788-B367B29DCD9C}"/>
    <cellStyle name="Normal 5 4 2 2 2 2 4 2 2" xfId="37477" xr:uid="{AFD0BF14-A4AF-442B-A38C-AA0AE65D9792}"/>
    <cellStyle name="Normal 5 4 2 2 2 2 4 3" xfId="28180" xr:uid="{F2928BCC-BCE2-40F0-929B-6D7F13FDE671}"/>
    <cellStyle name="Normal 5 4 2 2 2 2 5" xfId="10353" xr:uid="{1353DBAF-40DF-48B4-B440-4445038922C2}"/>
    <cellStyle name="Normal 5 4 2 2 2 2 5 2" xfId="28949" xr:uid="{7E363BA0-E8F6-477D-AA12-E5666C0AD477}"/>
    <cellStyle name="Normal 5 4 2 2 2 2 6" xfId="19652" xr:uid="{C83622FB-DD1F-4BEB-AE80-B9F2CEAB5CD8}"/>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8A9A782F-BEBF-4124-8B49-F2C063A470B8}"/>
    <cellStyle name="Normal 5 4 2 2 2 3 2 2 2 2" xfId="35724" xr:uid="{880BA37D-26A8-4FB6-8A3C-CB4162B49984}"/>
    <cellStyle name="Normal 5 4 2 2 2 3 2 2 3" xfId="26427" xr:uid="{7E61E7D9-67DA-408B-97ED-EF52AED2DB30}"/>
    <cellStyle name="Normal 5 4 2 2 2 3 2 3" xfId="12911" xr:uid="{9BF0830A-5FE8-42A3-9523-0538D4DF0A57}"/>
    <cellStyle name="Normal 5 4 2 2 2 3 2 3 2" xfId="31507" xr:uid="{9BF0D025-8A09-4818-9E0F-35442135F1FD}"/>
    <cellStyle name="Normal 5 4 2 2 2 3 2 4" xfId="22210" xr:uid="{A7D611B7-42CC-4C9A-A865-A560FFCF05F1}"/>
    <cellStyle name="Normal 5 4 2 2 2 3 3" xfId="5657" xr:uid="{00000000-0005-0000-0000-0000B81A0000}"/>
    <cellStyle name="Normal 5 4 2 2 2 3 3 2" xfId="14983" xr:uid="{EE6A05E1-3A51-47D6-ACFE-CDB29961C789}"/>
    <cellStyle name="Normal 5 4 2 2 2 3 3 2 2" xfId="33579" xr:uid="{B2EAC498-25B1-4185-9919-6846F7363BF8}"/>
    <cellStyle name="Normal 5 4 2 2 2 3 3 3" xfId="24282" xr:uid="{8E409767-93FF-498B-B184-A82BC8E49D1D}"/>
    <cellStyle name="Normal 5 4 2 2 2 3 4" xfId="10766" xr:uid="{4EA300F4-8A6C-4BF9-B521-1F3CC758CAB8}"/>
    <cellStyle name="Normal 5 4 2 2 2 3 4 2" xfId="29362" xr:uid="{F894CABB-5952-4789-8C5D-D9BF8AF05D8F}"/>
    <cellStyle name="Normal 5 4 2 2 2 3 5" xfId="20065" xr:uid="{BEC325A2-DF9D-4689-B609-5D9DC13FA2CC}"/>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C9D48A44-75D7-47DA-81D5-026A595E540E}"/>
    <cellStyle name="Normal 5 4 2 2 2 4 2 2 2 2" xfId="36137" xr:uid="{0817035A-221F-4A21-9F12-326956F49BF6}"/>
    <cellStyle name="Normal 5 4 2 2 2 4 2 2 3" xfId="26840" xr:uid="{D888D8DD-5E55-401C-B52F-4897A21C82F6}"/>
    <cellStyle name="Normal 5 4 2 2 2 4 2 3" xfId="13324" xr:uid="{A5F2518C-0901-4F7B-B2B6-A331D439CA21}"/>
    <cellStyle name="Normal 5 4 2 2 2 4 2 3 2" xfId="31920" xr:uid="{08D9D1AB-8846-4F11-85CE-AA13C2A3DAE7}"/>
    <cellStyle name="Normal 5 4 2 2 2 4 2 4" xfId="22623" xr:uid="{43E316C4-46CC-427A-8EE1-8CAD864340B7}"/>
    <cellStyle name="Normal 5 4 2 2 2 4 3" xfId="6070" xr:uid="{00000000-0005-0000-0000-0000BC1A0000}"/>
    <cellStyle name="Normal 5 4 2 2 2 4 3 2" xfId="15396" xr:uid="{3BAEDC7F-2847-4585-A96B-8C1783F5A6A6}"/>
    <cellStyle name="Normal 5 4 2 2 2 4 3 2 2" xfId="33992" xr:uid="{BFC63E9F-4BCD-4D78-9A0F-CAB356C96C9C}"/>
    <cellStyle name="Normal 5 4 2 2 2 4 3 3" xfId="24695" xr:uid="{D771A9CC-47ED-4C50-A4E8-416AA2276C76}"/>
    <cellStyle name="Normal 5 4 2 2 2 4 4" xfId="11179" xr:uid="{E2CB24B7-36C6-47D8-B68E-9AB4E618D402}"/>
    <cellStyle name="Normal 5 4 2 2 2 4 4 2" xfId="29775" xr:uid="{FB26EB99-01EE-4A8A-B87D-B4D79FA6D005}"/>
    <cellStyle name="Normal 5 4 2 2 2 4 5" xfId="20478" xr:uid="{91C152AF-B367-408A-A067-63CA4E67A1C8}"/>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D0095A73-A7E5-4CDB-AF80-B932013D1670}"/>
    <cellStyle name="Normal 5 4 2 2 2 5 2 2 2 2" xfId="36550" xr:uid="{37D3E72E-1385-4A0E-B10C-2EEB840A047A}"/>
    <cellStyle name="Normal 5 4 2 2 2 5 2 2 3" xfId="27253" xr:uid="{F6426C5C-9617-43DA-B241-11FBC6DC5D2F}"/>
    <cellStyle name="Normal 5 4 2 2 2 5 2 3" xfId="13737" xr:uid="{14562999-90A2-42E8-9534-15C8ACBE67D7}"/>
    <cellStyle name="Normal 5 4 2 2 2 5 2 3 2" xfId="32333" xr:uid="{06E2B9A5-79F0-4BCD-B064-4648D259E528}"/>
    <cellStyle name="Normal 5 4 2 2 2 5 2 4" xfId="23036" xr:uid="{7CE31FEE-76C5-4065-8D03-388C09190F84}"/>
    <cellStyle name="Normal 5 4 2 2 2 5 3" xfId="6483" xr:uid="{00000000-0005-0000-0000-0000C01A0000}"/>
    <cellStyle name="Normal 5 4 2 2 2 5 3 2" xfId="15809" xr:uid="{00D04233-BB7F-4A70-B564-5B6EE13CC7D0}"/>
    <cellStyle name="Normal 5 4 2 2 2 5 3 2 2" xfId="34405" xr:uid="{49954925-BECF-4034-B45D-F436EA14F02F}"/>
    <cellStyle name="Normal 5 4 2 2 2 5 3 3" xfId="25108" xr:uid="{0209DB34-8CF2-4A46-B8A2-C51DB63302A6}"/>
    <cellStyle name="Normal 5 4 2 2 2 5 4" xfId="11592" xr:uid="{474072B1-CFDE-4EC8-8ACE-C4ECB6E07853}"/>
    <cellStyle name="Normal 5 4 2 2 2 5 4 2" xfId="30188" xr:uid="{786B318D-F744-4548-845F-FC405F3BB41E}"/>
    <cellStyle name="Normal 5 4 2 2 2 5 5" xfId="20891" xr:uid="{DAE4466C-CA79-46B1-88FD-EBBB7A5BCD93}"/>
    <cellStyle name="Normal 5 4 2 2 2 6" xfId="2613" xr:uid="{00000000-0005-0000-0000-0000C11A0000}"/>
    <cellStyle name="Normal 5 4 2 2 2 6 2" xfId="6896" xr:uid="{00000000-0005-0000-0000-0000C21A0000}"/>
    <cellStyle name="Normal 5 4 2 2 2 6 2 2" xfId="16222" xr:uid="{B0538459-A000-46FC-BE4B-2BEBEA8B4408}"/>
    <cellStyle name="Normal 5 4 2 2 2 6 2 2 2" xfId="34818" xr:uid="{2776BA4B-10A9-40AE-9CB7-42213D436BFF}"/>
    <cellStyle name="Normal 5 4 2 2 2 6 2 3" xfId="25521" xr:uid="{450DA281-0898-4C7B-A177-CF684CC4E8C7}"/>
    <cellStyle name="Normal 5 4 2 2 2 6 3" xfId="12005" xr:uid="{E36FFB42-F351-4683-9DAB-206C61DCF70A}"/>
    <cellStyle name="Normal 5 4 2 2 2 6 3 2" xfId="30601" xr:uid="{D6C1A5E1-7C8E-4026-88DE-3C4E9C44F195}"/>
    <cellStyle name="Normal 5 4 2 2 2 6 4" xfId="21304" xr:uid="{5606365E-ED70-47EE-8FE1-D6EB31F0EA30}"/>
    <cellStyle name="Normal 5 4 2 2 2 7" xfId="4831" xr:uid="{00000000-0005-0000-0000-0000C31A0000}"/>
    <cellStyle name="Normal 5 4 2 2 2 7 2" xfId="14157" xr:uid="{51D4DD54-E33F-4C5F-B788-D5A001145E2B}"/>
    <cellStyle name="Normal 5 4 2 2 2 7 2 2" xfId="32753" xr:uid="{519D8F1B-C1CF-40E4-A700-FA4A332F2914}"/>
    <cellStyle name="Normal 5 4 2 2 2 7 3" xfId="23456" xr:uid="{FFDA0EAD-EF16-4AC8-B1BB-BCD0ED4AB3FB}"/>
    <cellStyle name="Normal 5 4 2 2 2 8" xfId="9143" xr:uid="{C8F15FA9-FDFE-4358-95A8-17B14299B14C}"/>
    <cellStyle name="Normal 5 4 2 2 2 8 2" xfId="18467" xr:uid="{0F382006-278F-43D0-9995-A796BA97D6B4}"/>
    <cellStyle name="Normal 5 4 2 2 2 8 2 2" xfId="37062" xr:uid="{A2300A46-BAF1-499E-9550-4471D8610849}"/>
    <cellStyle name="Normal 5 4 2 2 2 8 3" xfId="27765" xr:uid="{FA6FAC19-5FC0-4E6C-8105-3867AC9D1319}"/>
    <cellStyle name="Normal 5 4 2 2 2 9" xfId="9940" xr:uid="{E7E23BE2-1395-435E-BDD6-E24153A0C1D9}"/>
    <cellStyle name="Normal 5 4 2 2 2 9 2" xfId="28536" xr:uid="{AEE17073-CAAA-4495-958F-A9E2D63DD2F7}"/>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7453670B-C2C4-4C39-B3D6-735ACBCBE550}"/>
    <cellStyle name="Normal 5 4 2 2 3 2 2 2 2" xfId="35310" xr:uid="{480BFD55-3A9F-4894-BE6F-18FBB507A156}"/>
    <cellStyle name="Normal 5 4 2 2 3 2 2 3" xfId="26013" xr:uid="{FF27007C-454F-4E7D-A404-36F454759FCC}"/>
    <cellStyle name="Normal 5 4 2 2 3 2 3" xfId="12497" xr:uid="{B8C1A2B5-9F17-469A-A68F-7CCDE1194A6C}"/>
    <cellStyle name="Normal 5 4 2 2 3 2 3 2" xfId="31093" xr:uid="{D13278E5-8119-437A-B3F6-6FD6CD7002BF}"/>
    <cellStyle name="Normal 5 4 2 2 3 2 4" xfId="21796" xr:uid="{E4256B44-050F-4A2C-AF8C-F8AAA27209D8}"/>
    <cellStyle name="Normal 5 4 2 2 3 3" xfId="5243" xr:uid="{00000000-0005-0000-0000-0000C71A0000}"/>
    <cellStyle name="Normal 5 4 2 2 3 3 2" xfId="14569" xr:uid="{32ECC873-764F-4257-AE77-692D991E3606}"/>
    <cellStyle name="Normal 5 4 2 2 3 3 2 2" xfId="33165" xr:uid="{9D3C6C48-68E5-4960-B33A-0CDEC9C653E2}"/>
    <cellStyle name="Normal 5 4 2 2 3 3 3" xfId="23868" xr:uid="{6812CDA4-DB34-4253-BD04-F6091FF227F6}"/>
    <cellStyle name="Normal 5 4 2 2 3 4" xfId="9361" xr:uid="{421F0FC8-8E8F-498F-BD31-B00CB58D5B43}"/>
    <cellStyle name="Normal 5 4 2 2 3 4 2" xfId="18676" xr:uid="{206029F5-1ACE-47D5-9BF4-FD895D534D58}"/>
    <cellStyle name="Normal 5 4 2 2 3 4 2 2" xfId="37270" xr:uid="{873C0355-3EBB-4CD9-8245-F379942F2A64}"/>
    <cellStyle name="Normal 5 4 2 2 3 4 3" xfId="27973" xr:uid="{04F071BA-166F-423A-958C-477A1A39FAA5}"/>
    <cellStyle name="Normal 5 4 2 2 3 5" xfId="10352" xr:uid="{82EA9ADF-B98B-4DE8-8C61-13F4DFDD2364}"/>
    <cellStyle name="Normal 5 4 2 2 3 5 2" xfId="28948" xr:uid="{959E2645-B32B-4A59-BBFD-A504B2EE8AD1}"/>
    <cellStyle name="Normal 5 4 2 2 3 6" xfId="19651" xr:uid="{65AD3AF2-9EC3-4FD3-A711-30746AC4F24F}"/>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6551FA54-E057-4D5A-8A55-560E3B3D0F5C}"/>
    <cellStyle name="Normal 5 4 2 2 4 2 2 2 2" xfId="35723" xr:uid="{9D9985D4-DBC5-44CA-88B7-92507196FF22}"/>
    <cellStyle name="Normal 5 4 2 2 4 2 2 3" xfId="26426" xr:uid="{87C11B84-6B6B-41E9-9404-F8714299720B}"/>
    <cellStyle name="Normal 5 4 2 2 4 2 3" xfId="12910" xr:uid="{22785B75-836D-47A0-B944-158D73A3317E}"/>
    <cellStyle name="Normal 5 4 2 2 4 2 3 2" xfId="31506" xr:uid="{1BE0F185-E568-48A6-A00A-2D6D147ABBFA}"/>
    <cellStyle name="Normal 5 4 2 2 4 2 4" xfId="22209" xr:uid="{23A3E2C5-8B66-4FCC-8159-FED5CE82D22A}"/>
    <cellStyle name="Normal 5 4 2 2 4 3" xfId="5656" xr:uid="{00000000-0005-0000-0000-0000CB1A0000}"/>
    <cellStyle name="Normal 5 4 2 2 4 3 2" xfId="14982" xr:uid="{E0A18F4E-80FF-4155-9AE5-3890829713C5}"/>
    <cellStyle name="Normal 5 4 2 2 4 3 2 2" xfId="33578" xr:uid="{9630CD4E-2D34-4D55-87FA-5556F6703412}"/>
    <cellStyle name="Normal 5 4 2 2 4 3 3" xfId="24281" xr:uid="{7CDA8879-06F9-45E2-A43E-B4FF13930CAC}"/>
    <cellStyle name="Normal 5 4 2 2 4 4" xfId="10765" xr:uid="{02CC21F6-9519-42C2-9516-DF75F6B31C17}"/>
    <cellStyle name="Normal 5 4 2 2 4 4 2" xfId="29361" xr:uid="{D29F08F3-4006-44E6-BC3B-41D6CB4966FB}"/>
    <cellStyle name="Normal 5 4 2 2 4 5" xfId="20064" xr:uid="{7AD7B76D-D2A9-48AF-920A-4D31B8B2ECDE}"/>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5D6156E3-DB46-4447-9B5B-F2BACF011797}"/>
    <cellStyle name="Normal 5 4 2 2 5 2 2 2 2" xfId="36136" xr:uid="{440BACA0-C325-4C9B-98A3-5B00D64EED95}"/>
    <cellStyle name="Normal 5 4 2 2 5 2 2 3" xfId="26839" xr:uid="{8EC4A409-A650-4AC1-B327-EABE60527AE4}"/>
    <cellStyle name="Normal 5 4 2 2 5 2 3" xfId="13323" xr:uid="{F4DA4E68-2994-46FC-B26C-C45D6220F813}"/>
    <cellStyle name="Normal 5 4 2 2 5 2 3 2" xfId="31919" xr:uid="{A87ED4A8-28EC-4817-8402-1E635C2C3BC7}"/>
    <cellStyle name="Normal 5 4 2 2 5 2 4" xfId="22622" xr:uid="{18211DEF-FF28-4349-8AB6-2A5D3909F3EC}"/>
    <cellStyle name="Normal 5 4 2 2 5 3" xfId="6069" xr:uid="{00000000-0005-0000-0000-0000CF1A0000}"/>
    <cellStyle name="Normal 5 4 2 2 5 3 2" xfId="15395" xr:uid="{EFA2397E-3538-4299-A95E-FF0DEB4EE83E}"/>
    <cellStyle name="Normal 5 4 2 2 5 3 2 2" xfId="33991" xr:uid="{2E8FEBF7-0B0D-4F69-A639-B61932C19811}"/>
    <cellStyle name="Normal 5 4 2 2 5 3 3" xfId="24694" xr:uid="{2AB2BFC1-8520-480B-8D87-F8E13D0D0863}"/>
    <cellStyle name="Normal 5 4 2 2 5 4" xfId="11178" xr:uid="{60126914-75D3-4576-8FA0-1FC649D43D45}"/>
    <cellStyle name="Normal 5 4 2 2 5 4 2" xfId="29774" xr:uid="{13C4FB4D-1E9A-4264-8C53-7453D8A299DC}"/>
    <cellStyle name="Normal 5 4 2 2 5 5" xfId="20477" xr:uid="{072BFB40-3ECF-4B97-B008-5F7DFDB106D7}"/>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56EB1B27-8479-4CAE-9318-558989E5C529}"/>
    <cellStyle name="Normal 5 4 2 2 6 2 2 2 2" xfId="36549" xr:uid="{D30368D6-2DFB-4704-928B-5BD36635F931}"/>
    <cellStyle name="Normal 5 4 2 2 6 2 2 3" xfId="27252" xr:uid="{E3F83444-7662-4ECC-BB07-E4D9B70EBD1F}"/>
    <cellStyle name="Normal 5 4 2 2 6 2 3" xfId="13736" xr:uid="{28B0D8F2-3AA6-449E-8D9C-135EBF5692F2}"/>
    <cellStyle name="Normal 5 4 2 2 6 2 3 2" xfId="32332" xr:uid="{04D506A0-A180-4D29-B121-9D66A3E590AA}"/>
    <cellStyle name="Normal 5 4 2 2 6 2 4" xfId="23035" xr:uid="{9B5307CF-AA9A-4A59-BDBE-A2B840E2B400}"/>
    <cellStyle name="Normal 5 4 2 2 6 3" xfId="6482" xr:uid="{00000000-0005-0000-0000-0000D31A0000}"/>
    <cellStyle name="Normal 5 4 2 2 6 3 2" xfId="15808" xr:uid="{64B92536-1EF2-4878-B895-C75D0BA34CF9}"/>
    <cellStyle name="Normal 5 4 2 2 6 3 2 2" xfId="34404" xr:uid="{35710868-1F5E-42E7-9F62-CB3681F3F895}"/>
    <cellStyle name="Normal 5 4 2 2 6 3 3" xfId="25107" xr:uid="{8D485A7F-465D-454B-BCD3-22A43DFB8643}"/>
    <cellStyle name="Normal 5 4 2 2 6 4" xfId="11591" xr:uid="{59DB73FA-FF89-4745-B0AE-D8532405CAFB}"/>
    <cellStyle name="Normal 5 4 2 2 6 4 2" xfId="30187" xr:uid="{09730453-55E6-4928-AE11-3046A277A0C1}"/>
    <cellStyle name="Normal 5 4 2 2 6 5" xfId="20890" xr:uid="{851EAA9F-97D7-44B1-8774-5F2687C9DCA5}"/>
    <cellStyle name="Normal 5 4 2 2 7" xfId="2612" xr:uid="{00000000-0005-0000-0000-0000D41A0000}"/>
    <cellStyle name="Normal 5 4 2 2 7 2" xfId="6895" xr:uid="{00000000-0005-0000-0000-0000D51A0000}"/>
    <cellStyle name="Normal 5 4 2 2 7 2 2" xfId="16221" xr:uid="{EBB99853-946B-497F-82BF-195B4CF4E505}"/>
    <cellStyle name="Normal 5 4 2 2 7 2 2 2" xfId="34817" xr:uid="{92AF79C9-C18E-49AD-B474-ED2DEF785B15}"/>
    <cellStyle name="Normal 5 4 2 2 7 2 3" xfId="25520" xr:uid="{2083E4DA-C24B-45D6-B830-AFEE1B4C3612}"/>
    <cellStyle name="Normal 5 4 2 2 7 3" xfId="12004" xr:uid="{2B0CAB55-8CA3-495C-BDB3-176D036A3DD7}"/>
    <cellStyle name="Normal 5 4 2 2 7 3 2" xfId="30600" xr:uid="{8ACBAFBA-B55C-4EB9-9E5A-CB8A96E74FD4}"/>
    <cellStyle name="Normal 5 4 2 2 7 4" xfId="21303" xr:uid="{4AD5472F-7B22-4F64-889F-E5C0BBA19720}"/>
    <cellStyle name="Normal 5 4 2 2 8" xfId="4830" xr:uid="{00000000-0005-0000-0000-0000D61A0000}"/>
    <cellStyle name="Normal 5 4 2 2 8 2" xfId="14156" xr:uid="{4AC8769B-EA8F-4564-B4B5-998E3FEABEE8}"/>
    <cellStyle name="Normal 5 4 2 2 8 2 2" xfId="32752" xr:uid="{E795E0D7-BC60-4B32-BFCC-3969BAF49552}"/>
    <cellStyle name="Normal 5 4 2 2 8 3" xfId="23455" xr:uid="{F0C0CD90-8832-40A3-B89F-E65034D8E5E7}"/>
    <cellStyle name="Normal 5 4 2 2 9" xfId="8936" xr:uid="{31CF7A09-919D-40D2-B5FD-098CEA44D314}"/>
    <cellStyle name="Normal 5 4 2 2 9 2" xfId="18260" xr:uid="{8DFCA346-FB3B-49F7-A551-00CCE9DD8895}"/>
    <cellStyle name="Normal 5 4 2 2 9 2 2" xfId="36855" xr:uid="{A114DD89-E516-49E4-933D-D71C1B345162}"/>
    <cellStyle name="Normal 5 4 2 2 9 3" xfId="27558" xr:uid="{A1C8BFCF-19C5-472F-BE23-39E5C93D0E2E}"/>
    <cellStyle name="Normal 5 4 2 3" xfId="460" xr:uid="{00000000-0005-0000-0000-0000D71A0000}"/>
    <cellStyle name="Normal 5 4 2 3 10" xfId="19240" xr:uid="{8A481064-F1D9-4245-9DB0-5044ED57A59B}"/>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3CDE213E-349A-4249-9EF0-5F7364BD106E}"/>
    <cellStyle name="Normal 5 4 2 3 2 2 2 2 2" xfId="35312" xr:uid="{EE11E228-E589-4AB5-A685-F3F6E020942D}"/>
    <cellStyle name="Normal 5 4 2 3 2 2 2 3" xfId="26015" xr:uid="{FD2A9856-A6FE-4F37-BC59-70BD1939C510}"/>
    <cellStyle name="Normal 5 4 2 3 2 2 3" xfId="12499" xr:uid="{6DAF41BA-0FC0-42D7-A9B7-0437096A1633}"/>
    <cellStyle name="Normal 5 4 2 3 2 2 3 2" xfId="31095" xr:uid="{B453D8CE-64DF-4409-92BC-050DA895EF95}"/>
    <cellStyle name="Normal 5 4 2 3 2 2 4" xfId="21798" xr:uid="{322D3BD2-8F36-43F6-A2E4-19EE4148CF2F}"/>
    <cellStyle name="Normal 5 4 2 3 2 3" xfId="5245" xr:uid="{00000000-0005-0000-0000-0000DB1A0000}"/>
    <cellStyle name="Normal 5 4 2 3 2 3 2" xfId="14571" xr:uid="{5566D4A6-57E7-47A4-B5F1-14DBA4C1206C}"/>
    <cellStyle name="Normal 5 4 2 3 2 3 2 2" xfId="33167" xr:uid="{4AF98C61-6FEA-4772-9DA1-9969DBF414EE}"/>
    <cellStyle name="Normal 5 4 2 3 2 3 3" xfId="23870" xr:uid="{5DDCF48A-7002-443D-AF9E-CB5383C60FD7}"/>
    <cellStyle name="Normal 5 4 2 3 2 4" xfId="9465" xr:uid="{B8459C73-266B-467B-A163-FFDFF015A460}"/>
    <cellStyle name="Normal 5 4 2 3 2 4 2" xfId="18780" xr:uid="{FA9AAECE-2C6C-433C-9C7C-2FB0A4429493}"/>
    <cellStyle name="Normal 5 4 2 3 2 4 2 2" xfId="37374" xr:uid="{12103B3D-0D2C-47C3-AB0F-AE27FA5C5E7C}"/>
    <cellStyle name="Normal 5 4 2 3 2 4 3" xfId="28077" xr:uid="{B86AF4BC-EF8E-4A49-AADF-1C5AE18F52EB}"/>
    <cellStyle name="Normal 5 4 2 3 2 5" xfId="10354" xr:uid="{37EAAB92-33A4-4E79-BD53-6AC067ACEF2D}"/>
    <cellStyle name="Normal 5 4 2 3 2 5 2" xfId="28950" xr:uid="{145B02C3-F784-498A-9C29-87DFA7263535}"/>
    <cellStyle name="Normal 5 4 2 3 2 6" xfId="19653" xr:uid="{BF40B2D1-70EF-46C1-8D6D-1E26F5BFE9D9}"/>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58060227-8C2E-48C0-8F6F-34F33018A3BC}"/>
    <cellStyle name="Normal 5 4 2 3 3 2 2 2 2" xfId="35725" xr:uid="{B136290B-3421-44B7-896E-0CF678757070}"/>
    <cellStyle name="Normal 5 4 2 3 3 2 2 3" xfId="26428" xr:uid="{70DBEE75-788E-4822-9313-945333606560}"/>
    <cellStyle name="Normal 5 4 2 3 3 2 3" xfId="12912" xr:uid="{1538D35B-515D-48E4-B3D9-C91BFE96806B}"/>
    <cellStyle name="Normal 5 4 2 3 3 2 3 2" xfId="31508" xr:uid="{FDF2B0B1-E4A1-44F7-AF92-36B3445ECF43}"/>
    <cellStyle name="Normal 5 4 2 3 3 2 4" xfId="22211" xr:uid="{8A5C351B-6245-4F70-AF53-9933A0F70199}"/>
    <cellStyle name="Normal 5 4 2 3 3 3" xfId="5658" xr:uid="{00000000-0005-0000-0000-0000DF1A0000}"/>
    <cellStyle name="Normal 5 4 2 3 3 3 2" xfId="14984" xr:uid="{CC982388-AB99-4C37-8CB4-981E51CA7066}"/>
    <cellStyle name="Normal 5 4 2 3 3 3 2 2" xfId="33580" xr:uid="{66E7208E-499E-4F81-ADBF-7F1477E03411}"/>
    <cellStyle name="Normal 5 4 2 3 3 3 3" xfId="24283" xr:uid="{81EAE552-744C-4BB9-9AFB-89F402C7841E}"/>
    <cellStyle name="Normal 5 4 2 3 3 4" xfId="10767" xr:uid="{62F82B83-C259-4697-9574-8F290A1BE4C1}"/>
    <cellStyle name="Normal 5 4 2 3 3 4 2" xfId="29363" xr:uid="{517D56EF-1738-4102-BCA8-2AEAE25E6C55}"/>
    <cellStyle name="Normal 5 4 2 3 3 5" xfId="20066" xr:uid="{14C277CD-2CB6-4734-8E81-B763D4650022}"/>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4E751CE2-8F97-4413-BFB1-DEB69E3A555E}"/>
    <cellStyle name="Normal 5 4 2 3 4 2 2 2 2" xfId="36138" xr:uid="{95557CFC-4470-450A-A8CC-B82E364D92C4}"/>
    <cellStyle name="Normal 5 4 2 3 4 2 2 3" xfId="26841" xr:uid="{AA547066-5043-4AAE-ADF3-CD2052488AF8}"/>
    <cellStyle name="Normal 5 4 2 3 4 2 3" xfId="13325" xr:uid="{F98DBE04-B68E-4EE2-AF93-7FE2A692DCA4}"/>
    <cellStyle name="Normal 5 4 2 3 4 2 3 2" xfId="31921" xr:uid="{1D569632-4320-4160-8AD7-174A88B4422A}"/>
    <cellStyle name="Normal 5 4 2 3 4 2 4" xfId="22624" xr:uid="{6EBAE077-E9DA-4856-9139-5726B0C96663}"/>
    <cellStyle name="Normal 5 4 2 3 4 3" xfId="6071" xr:uid="{00000000-0005-0000-0000-0000E31A0000}"/>
    <cellStyle name="Normal 5 4 2 3 4 3 2" xfId="15397" xr:uid="{55AF4AFB-72BA-44CF-892F-B5AD3E3B4B38}"/>
    <cellStyle name="Normal 5 4 2 3 4 3 2 2" xfId="33993" xr:uid="{2CFDE452-0AEE-4FE3-9BF0-3D83F8E593B2}"/>
    <cellStyle name="Normal 5 4 2 3 4 3 3" xfId="24696" xr:uid="{4AFF7F23-C9C9-4EF1-8244-EE4C41888BA5}"/>
    <cellStyle name="Normal 5 4 2 3 4 4" xfId="11180" xr:uid="{0CA35CA6-6FF4-4A74-86E7-DB9AEF4DAF00}"/>
    <cellStyle name="Normal 5 4 2 3 4 4 2" xfId="29776" xr:uid="{80CD8BF7-2174-4C67-9346-D1E1A59ED9BF}"/>
    <cellStyle name="Normal 5 4 2 3 4 5" xfId="20479" xr:uid="{6989E285-5F19-478F-8EDD-0477A65BDFF8}"/>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85EAD96D-06DA-4DAC-98B5-C4DDFDC7C45D}"/>
    <cellStyle name="Normal 5 4 2 3 5 2 2 2 2" xfId="36551" xr:uid="{422FE302-5E8A-4B82-BF97-5BAC7AD9061D}"/>
    <cellStyle name="Normal 5 4 2 3 5 2 2 3" xfId="27254" xr:uid="{C81943C9-0C8E-4D53-BFE3-E5A6D5523A82}"/>
    <cellStyle name="Normal 5 4 2 3 5 2 3" xfId="13738" xr:uid="{ACA65FEE-7773-49E6-BD31-8261869CD777}"/>
    <cellStyle name="Normal 5 4 2 3 5 2 3 2" xfId="32334" xr:uid="{E2CF1015-E235-4A38-A9DF-23745DDAC8E3}"/>
    <cellStyle name="Normal 5 4 2 3 5 2 4" xfId="23037" xr:uid="{859ED144-31F1-4F1D-8D04-54CB972A9051}"/>
    <cellStyle name="Normal 5 4 2 3 5 3" xfId="6484" xr:uid="{00000000-0005-0000-0000-0000E71A0000}"/>
    <cellStyle name="Normal 5 4 2 3 5 3 2" xfId="15810" xr:uid="{141C6F44-AA32-47B9-8E9E-5D1AEEE648AB}"/>
    <cellStyle name="Normal 5 4 2 3 5 3 2 2" xfId="34406" xr:uid="{8EFFA2C2-0C42-4270-9954-DAF17CE66456}"/>
    <cellStyle name="Normal 5 4 2 3 5 3 3" xfId="25109" xr:uid="{9AFF8643-A168-4947-A13A-FC9CC20ABC71}"/>
    <cellStyle name="Normal 5 4 2 3 5 4" xfId="11593" xr:uid="{89613EC2-831B-4F4C-BB53-B842345442CB}"/>
    <cellStyle name="Normal 5 4 2 3 5 4 2" xfId="30189" xr:uid="{6C693A48-6637-4D9C-9ED8-EE035C80D08A}"/>
    <cellStyle name="Normal 5 4 2 3 5 5" xfId="20892" xr:uid="{9429B1F1-F703-4C83-A04A-6D9CD6AC104F}"/>
    <cellStyle name="Normal 5 4 2 3 6" xfId="2614" xr:uid="{00000000-0005-0000-0000-0000E81A0000}"/>
    <cellStyle name="Normal 5 4 2 3 6 2" xfId="6897" xr:uid="{00000000-0005-0000-0000-0000E91A0000}"/>
    <cellStyle name="Normal 5 4 2 3 6 2 2" xfId="16223" xr:uid="{8A1CED2A-F877-42C1-9123-5FD7B7046F22}"/>
    <cellStyle name="Normal 5 4 2 3 6 2 2 2" xfId="34819" xr:uid="{FDD0F27B-B2A6-41F2-9415-26A699041063}"/>
    <cellStyle name="Normal 5 4 2 3 6 2 3" xfId="25522" xr:uid="{F605198F-00E6-4C61-8BD5-6C62683848C4}"/>
    <cellStyle name="Normal 5 4 2 3 6 3" xfId="12006" xr:uid="{7E5FB7B2-9D3B-4E68-AF87-D0CFA9D811CE}"/>
    <cellStyle name="Normal 5 4 2 3 6 3 2" xfId="30602" xr:uid="{3C444B02-B657-4C6B-92F7-9F0C2CA03959}"/>
    <cellStyle name="Normal 5 4 2 3 6 4" xfId="21305" xr:uid="{BA2A2FB1-9D3A-4C10-9E23-88A6E3113CDE}"/>
    <cellStyle name="Normal 5 4 2 3 7" xfId="4832" xr:uid="{00000000-0005-0000-0000-0000EA1A0000}"/>
    <cellStyle name="Normal 5 4 2 3 7 2" xfId="14158" xr:uid="{E5D460A7-AB9D-4320-A73B-6F2E33CFBDCD}"/>
    <cellStyle name="Normal 5 4 2 3 7 2 2" xfId="32754" xr:uid="{B6CCBBC6-BB62-4229-A26C-85E013AFD526}"/>
    <cellStyle name="Normal 5 4 2 3 7 3" xfId="23457" xr:uid="{1AB98633-D4BB-4B71-9BF6-31641D04A74D}"/>
    <cellStyle name="Normal 5 4 2 3 8" xfId="9040" xr:uid="{D68CAB17-BB41-4D9B-AA76-76FE511392DC}"/>
    <cellStyle name="Normal 5 4 2 3 8 2" xfId="18364" xr:uid="{1DE5C682-877E-4079-BDC6-5500C03D7D0D}"/>
    <cellStyle name="Normal 5 4 2 3 8 2 2" xfId="36959" xr:uid="{A056AD28-1504-4AD5-9CBC-74A27AE5D238}"/>
    <cellStyle name="Normal 5 4 2 3 8 3" xfId="27662" xr:uid="{3FC9C8FB-9C52-472A-9DF5-0875117E3C56}"/>
    <cellStyle name="Normal 5 4 2 3 9" xfId="9941" xr:uid="{73CC5ECF-9CA8-4DCD-ADA2-17DEFEF4D41A}"/>
    <cellStyle name="Normal 5 4 2 3 9 2" xfId="28537" xr:uid="{9718ABAB-85E2-4072-86A0-F31B0416F034}"/>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014E2468-FE66-4F25-B4CD-E149163CD94C}"/>
    <cellStyle name="Normal 5 4 2 4 2 2 2 2" xfId="35309" xr:uid="{BB1CC632-94F3-4BCB-AB76-E7F4C4BAB32B}"/>
    <cellStyle name="Normal 5 4 2 4 2 2 3" xfId="26012" xr:uid="{638DA471-8124-4D31-BCD1-408445AFECA0}"/>
    <cellStyle name="Normal 5 4 2 4 2 3" xfId="12496" xr:uid="{D0601DB3-C028-419F-95C5-261F783BEEBA}"/>
    <cellStyle name="Normal 5 4 2 4 2 3 2" xfId="31092" xr:uid="{BC761645-2324-44FA-A242-CBCA973D9DDE}"/>
    <cellStyle name="Normal 5 4 2 4 2 4" xfId="21795" xr:uid="{FBBB9EB6-44DA-46EC-8212-1EF125582A27}"/>
    <cellStyle name="Normal 5 4 2 4 3" xfId="5242" xr:uid="{00000000-0005-0000-0000-0000EE1A0000}"/>
    <cellStyle name="Normal 5 4 2 4 3 2" xfId="14568" xr:uid="{E1821115-6B7C-4591-BE44-87DC3E8CAECD}"/>
    <cellStyle name="Normal 5 4 2 4 3 2 2" xfId="33164" xr:uid="{0BF34C7F-4DE5-4A8A-9A9E-DB55CB64F627}"/>
    <cellStyle name="Normal 5 4 2 4 3 3" xfId="23867" xr:uid="{3E44ED7C-B33F-4E5C-AE92-1A010EDC28B9}"/>
    <cellStyle name="Normal 5 4 2 4 4" xfId="9258" xr:uid="{971C48A9-8200-405B-A9BE-B3AFD2CDDA76}"/>
    <cellStyle name="Normal 5 4 2 4 4 2" xfId="18573" xr:uid="{67F4B3C8-94EC-4413-A60B-3858FADF0F2A}"/>
    <cellStyle name="Normal 5 4 2 4 4 2 2" xfId="37167" xr:uid="{FECC0FF8-726A-4CF5-A094-5EA76DC35955}"/>
    <cellStyle name="Normal 5 4 2 4 4 3" xfId="27870" xr:uid="{40D47BC2-A9A3-4121-B9BA-7206AC824C26}"/>
    <cellStyle name="Normal 5 4 2 4 5" xfId="10351" xr:uid="{15A54ECF-FECE-48FB-A68E-DEBEFF7E5DCE}"/>
    <cellStyle name="Normal 5 4 2 4 5 2" xfId="28947" xr:uid="{6A547C94-5BC3-497C-B2FC-20D094E36C43}"/>
    <cellStyle name="Normal 5 4 2 4 6" xfId="19650" xr:uid="{94E32A4A-A9C1-413A-AB8F-EB62B6F2C625}"/>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C3052D06-C7A6-4448-8A7D-886E13FD610B}"/>
    <cellStyle name="Normal 5 4 2 5 2 2 2 2" xfId="35722" xr:uid="{E5C9B57F-2E97-45BB-92B0-539A52814B8A}"/>
    <cellStyle name="Normal 5 4 2 5 2 2 3" xfId="26425" xr:uid="{BEFECE0F-3B81-4779-995C-91447325A61D}"/>
    <cellStyle name="Normal 5 4 2 5 2 3" xfId="12909" xr:uid="{07102FA2-364B-430C-8363-D1B4A9052F97}"/>
    <cellStyle name="Normal 5 4 2 5 2 3 2" xfId="31505" xr:uid="{C2867197-A173-4A4B-BAED-75835B6867F4}"/>
    <cellStyle name="Normal 5 4 2 5 2 4" xfId="22208" xr:uid="{79376355-9E7A-4D12-B9B6-21F3FF5C1501}"/>
    <cellStyle name="Normal 5 4 2 5 3" xfId="5655" xr:uid="{00000000-0005-0000-0000-0000F21A0000}"/>
    <cellStyle name="Normal 5 4 2 5 3 2" xfId="14981" xr:uid="{29611560-67BD-4ACD-8016-46A671190C63}"/>
    <cellStyle name="Normal 5 4 2 5 3 2 2" xfId="33577" xr:uid="{0A8090BD-B034-4735-B17D-EE43B44525CC}"/>
    <cellStyle name="Normal 5 4 2 5 3 3" xfId="24280" xr:uid="{6D659A6B-C8B7-40C7-A295-6166E39D2525}"/>
    <cellStyle name="Normal 5 4 2 5 4" xfId="10764" xr:uid="{D311C4BA-410C-432F-AAE1-C2AD791D9D17}"/>
    <cellStyle name="Normal 5 4 2 5 4 2" xfId="29360" xr:uid="{7BEA3B5F-8B19-418A-A7DF-548524484A2B}"/>
    <cellStyle name="Normal 5 4 2 5 5" xfId="20063" xr:uid="{DB102CAC-004B-4BFC-888F-10B4507D3953}"/>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0106FCF0-CA32-48B2-BC8B-377A97D2DD9E}"/>
    <cellStyle name="Normal 5 4 2 6 2 2 2 2" xfId="36135" xr:uid="{4DCBD7A0-1BF6-4E40-94CB-22E728E64672}"/>
    <cellStyle name="Normal 5 4 2 6 2 2 3" xfId="26838" xr:uid="{5E3B1D6C-1698-46D6-8AB9-15CC0D948510}"/>
    <cellStyle name="Normal 5 4 2 6 2 3" xfId="13322" xr:uid="{39FC529F-00F3-4547-A7C0-81A619701BAB}"/>
    <cellStyle name="Normal 5 4 2 6 2 3 2" xfId="31918" xr:uid="{BA23C48F-9D06-45AE-B83C-7E539D4F4CA2}"/>
    <cellStyle name="Normal 5 4 2 6 2 4" xfId="22621" xr:uid="{B27497D0-8DCA-4281-A057-639082CD4936}"/>
    <cellStyle name="Normal 5 4 2 6 3" xfId="6068" xr:uid="{00000000-0005-0000-0000-0000F61A0000}"/>
    <cellStyle name="Normal 5 4 2 6 3 2" xfId="15394" xr:uid="{FA2D8544-7742-48C9-AE5F-1B3214B9A1E4}"/>
    <cellStyle name="Normal 5 4 2 6 3 2 2" xfId="33990" xr:uid="{CEAB200A-94E7-46B9-9BF2-11FA3032C745}"/>
    <cellStyle name="Normal 5 4 2 6 3 3" xfId="24693" xr:uid="{4E0E0E3A-2825-4246-BB7E-EA5E58E50FCF}"/>
    <cellStyle name="Normal 5 4 2 6 4" xfId="11177" xr:uid="{A0820F35-6A6B-4656-BA5F-91052280F299}"/>
    <cellStyle name="Normal 5 4 2 6 4 2" xfId="29773" xr:uid="{094D3AAC-39AF-4C94-924D-263FEE6F1E54}"/>
    <cellStyle name="Normal 5 4 2 6 5" xfId="20476" xr:uid="{E92BE9D9-BBBF-46F2-9FA7-9393074FDE63}"/>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CFDD7565-C15E-469C-AACB-2183F4833690}"/>
    <cellStyle name="Normal 5 4 2 7 2 2 2 2" xfId="36548" xr:uid="{1D712CFF-4330-463D-81CF-B4ACA952B917}"/>
    <cellStyle name="Normal 5 4 2 7 2 2 3" xfId="27251" xr:uid="{B4908050-A06A-4D91-9197-370DDE8F034C}"/>
    <cellStyle name="Normal 5 4 2 7 2 3" xfId="13735" xr:uid="{B37674A3-543A-4CEB-9377-C0BF8512A3F0}"/>
    <cellStyle name="Normal 5 4 2 7 2 3 2" xfId="32331" xr:uid="{F985A856-AA99-4350-BE77-2D0DA964E39F}"/>
    <cellStyle name="Normal 5 4 2 7 2 4" xfId="23034" xr:uid="{C7B0C724-F55D-4B6C-B866-A192B948496C}"/>
    <cellStyle name="Normal 5 4 2 7 3" xfId="6481" xr:uid="{00000000-0005-0000-0000-0000FA1A0000}"/>
    <cellStyle name="Normal 5 4 2 7 3 2" xfId="15807" xr:uid="{906345DA-039F-42C3-9543-9633A9154A15}"/>
    <cellStyle name="Normal 5 4 2 7 3 2 2" xfId="34403" xr:uid="{6B458063-BD65-478F-81FD-AAF002405D75}"/>
    <cellStyle name="Normal 5 4 2 7 3 3" xfId="25106" xr:uid="{495F2A88-CC92-4330-9CF1-5777368DEED0}"/>
    <cellStyle name="Normal 5 4 2 7 4" xfId="11590" xr:uid="{5759ED5B-0CA3-494E-84D4-A6C4290A6C53}"/>
    <cellStyle name="Normal 5 4 2 7 4 2" xfId="30186" xr:uid="{C441324F-4A57-41E3-8A12-A7DB58E5A4D7}"/>
    <cellStyle name="Normal 5 4 2 7 5" xfId="20889" xr:uid="{1D604FB6-DD14-4535-808D-EB42CAF5623A}"/>
    <cellStyle name="Normal 5 4 2 8" xfId="2611" xr:uid="{00000000-0005-0000-0000-0000FB1A0000}"/>
    <cellStyle name="Normal 5 4 2 8 2" xfId="6894" xr:uid="{00000000-0005-0000-0000-0000FC1A0000}"/>
    <cellStyle name="Normal 5 4 2 8 2 2" xfId="16220" xr:uid="{349DC2CF-31AC-4681-A976-2F266548A9D8}"/>
    <cellStyle name="Normal 5 4 2 8 2 2 2" xfId="34816" xr:uid="{CF380968-868C-4CAB-953F-719A07054EA5}"/>
    <cellStyle name="Normal 5 4 2 8 2 3" xfId="25519" xr:uid="{A7667B63-FBA5-446E-96E9-6D7099DDEF3C}"/>
    <cellStyle name="Normal 5 4 2 8 3" xfId="12003" xr:uid="{1327E1DA-8227-4B98-B50D-E005053BEB1B}"/>
    <cellStyle name="Normal 5 4 2 8 3 2" xfId="30599" xr:uid="{8114AEB8-9CA2-4D0E-8627-70C967AB36DB}"/>
    <cellStyle name="Normal 5 4 2 8 4" xfId="21302" xr:uid="{434F1F1E-422F-493A-9B62-0D18889858EA}"/>
    <cellStyle name="Normal 5 4 2 9" xfId="4829" xr:uid="{00000000-0005-0000-0000-0000FD1A0000}"/>
    <cellStyle name="Normal 5 4 2 9 2" xfId="14155" xr:uid="{759C6FD8-B1BC-4557-A18F-2FBF8826F609}"/>
    <cellStyle name="Normal 5 4 2 9 2 2" xfId="32751" xr:uid="{96A5B7B9-E7C5-41A5-A0E9-3850FCAA33FF}"/>
    <cellStyle name="Normal 5 4 2 9 3" xfId="23454" xr:uid="{C3B91A07-8E36-4217-992A-1832978A6CB7}"/>
    <cellStyle name="Normal 5 4 3" xfId="461" xr:uid="{00000000-0005-0000-0000-0000FE1A0000}"/>
    <cellStyle name="Normal 5 4 3 10" xfId="9942" xr:uid="{95C77734-DBFF-4539-AF23-FBC91E220432}"/>
    <cellStyle name="Normal 5 4 3 10 2" xfId="28538" xr:uid="{B2164CE0-C75F-4AE2-AE6C-B55EB7A3F060}"/>
    <cellStyle name="Normal 5 4 3 11" xfId="19241" xr:uid="{DBF12A18-D934-4693-94A5-30CD3BFFE7B7}"/>
    <cellStyle name="Normal 5 4 3 2" xfId="462" xr:uid="{00000000-0005-0000-0000-0000FF1A0000}"/>
    <cellStyle name="Normal 5 4 3 2 10" xfId="19242" xr:uid="{E69C41A3-2364-473A-884D-98BD61EEB582}"/>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F0E5E4A1-D5A0-433D-9C15-AADA54B9AEDC}"/>
    <cellStyle name="Normal 5 4 3 2 2 2 2 2 2" xfId="35314" xr:uid="{E1B4F9C9-42CA-4297-8608-D9573612BF17}"/>
    <cellStyle name="Normal 5 4 3 2 2 2 2 3" xfId="26017" xr:uid="{4DA8898B-DD06-45E1-A6B7-A2C88E0A3958}"/>
    <cellStyle name="Normal 5 4 3 2 2 2 3" xfId="12501" xr:uid="{A432474A-BE5D-40C6-B43B-0792C4FE9F62}"/>
    <cellStyle name="Normal 5 4 3 2 2 2 3 2" xfId="31097" xr:uid="{3B791712-6FC6-44DD-993D-706CE00670DC}"/>
    <cellStyle name="Normal 5 4 3 2 2 2 4" xfId="21800" xr:uid="{0D20D430-7D39-4AEF-A5FF-1550B3FCF53D}"/>
    <cellStyle name="Normal 5 4 3 2 2 3" xfId="5247" xr:uid="{00000000-0005-0000-0000-0000031B0000}"/>
    <cellStyle name="Normal 5 4 3 2 2 3 2" xfId="14573" xr:uid="{954EA84C-688A-4F2B-A848-8298C8EC5748}"/>
    <cellStyle name="Normal 5 4 3 2 2 3 2 2" xfId="33169" xr:uid="{267378CA-3BD3-4005-A1A5-5510D3C712A9}"/>
    <cellStyle name="Normal 5 4 3 2 2 3 3" xfId="23872" xr:uid="{F58128F2-26F3-46E2-AE26-C6DEA39FFB2E}"/>
    <cellStyle name="Normal 5 4 3 2 2 4" xfId="9508" xr:uid="{1F9B5A8F-2A45-43C5-9422-E8BC84424A55}"/>
    <cellStyle name="Normal 5 4 3 2 2 4 2" xfId="18823" xr:uid="{82B5AACF-4EA9-4F98-A6B1-883BCE3DE3BA}"/>
    <cellStyle name="Normal 5 4 3 2 2 4 2 2" xfId="37417" xr:uid="{1BD75905-1014-40C5-AA9C-05EFDD7E180D}"/>
    <cellStyle name="Normal 5 4 3 2 2 4 3" xfId="28120" xr:uid="{E7371E9E-E08C-484E-B854-5E0A9C3B135F}"/>
    <cellStyle name="Normal 5 4 3 2 2 5" xfId="10356" xr:uid="{3590C5FD-A4BD-420C-8EFD-2C21F4622B3F}"/>
    <cellStyle name="Normal 5 4 3 2 2 5 2" xfId="28952" xr:uid="{5714157F-05AF-44DD-9319-864A257FC53D}"/>
    <cellStyle name="Normal 5 4 3 2 2 6" xfId="19655" xr:uid="{E9CC42CD-C5FE-416A-BD57-300113B241D4}"/>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2DA6EAC0-1BC2-4036-9134-3EF6355DC6F0}"/>
    <cellStyle name="Normal 5 4 3 2 3 2 2 2 2" xfId="35727" xr:uid="{DCCE0808-0008-435E-9EEA-AAD5A2027627}"/>
    <cellStyle name="Normal 5 4 3 2 3 2 2 3" xfId="26430" xr:uid="{EE69AEA3-3C66-45E2-BD25-AEE63E4C9E7E}"/>
    <cellStyle name="Normal 5 4 3 2 3 2 3" xfId="12914" xr:uid="{76C4F8A5-183C-48FF-8673-75DFE26FB0D2}"/>
    <cellStyle name="Normal 5 4 3 2 3 2 3 2" xfId="31510" xr:uid="{F25C0C66-92ED-4411-A627-57E89364AD4B}"/>
    <cellStyle name="Normal 5 4 3 2 3 2 4" xfId="22213" xr:uid="{D04DE4D6-D534-4068-9D98-70FDBF59A639}"/>
    <cellStyle name="Normal 5 4 3 2 3 3" xfId="5660" xr:uid="{00000000-0005-0000-0000-0000071B0000}"/>
    <cellStyle name="Normal 5 4 3 2 3 3 2" xfId="14986" xr:uid="{218FB732-B397-4F3F-9F9F-CF17EAA28729}"/>
    <cellStyle name="Normal 5 4 3 2 3 3 2 2" xfId="33582" xr:uid="{E0283583-BDDA-4011-90B9-8BDC6FB9C226}"/>
    <cellStyle name="Normal 5 4 3 2 3 3 3" xfId="24285" xr:uid="{04AD9814-DBA5-401A-81D4-99D4C8A126A6}"/>
    <cellStyle name="Normal 5 4 3 2 3 4" xfId="10769" xr:uid="{1909F82D-C9E1-4AC6-9483-DBB051052964}"/>
    <cellStyle name="Normal 5 4 3 2 3 4 2" xfId="29365" xr:uid="{3D5AE35A-1EB3-44AD-9F04-577B78978EA5}"/>
    <cellStyle name="Normal 5 4 3 2 3 5" xfId="20068" xr:uid="{DDD5C976-4E2B-4E98-9600-A7CDFC0EA458}"/>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ED3C3BAF-CAD1-4A21-878D-0BCE76702128}"/>
    <cellStyle name="Normal 5 4 3 2 4 2 2 2 2" xfId="36140" xr:uid="{B045C1A8-74BB-4941-A624-C91626834315}"/>
    <cellStyle name="Normal 5 4 3 2 4 2 2 3" xfId="26843" xr:uid="{4B412767-79C2-4963-B5CC-19BC67A409EA}"/>
    <cellStyle name="Normal 5 4 3 2 4 2 3" xfId="13327" xr:uid="{DAAA4D1E-EEBB-4A39-A2EB-74CD294E48DB}"/>
    <cellStyle name="Normal 5 4 3 2 4 2 3 2" xfId="31923" xr:uid="{DC132BAA-0205-4741-80A3-851E2BCEB765}"/>
    <cellStyle name="Normal 5 4 3 2 4 2 4" xfId="22626" xr:uid="{71C57062-82ED-47D7-8A8F-4929E76DB1E1}"/>
    <cellStyle name="Normal 5 4 3 2 4 3" xfId="6073" xr:uid="{00000000-0005-0000-0000-00000B1B0000}"/>
    <cellStyle name="Normal 5 4 3 2 4 3 2" xfId="15399" xr:uid="{128AE276-F310-49AC-A210-A8308B69EFF7}"/>
    <cellStyle name="Normal 5 4 3 2 4 3 2 2" xfId="33995" xr:uid="{4BC50229-CA80-4DDF-8980-6666B5224E29}"/>
    <cellStyle name="Normal 5 4 3 2 4 3 3" xfId="24698" xr:uid="{A20F64D4-5460-4CB0-8A9F-386DE05E8C9E}"/>
    <cellStyle name="Normal 5 4 3 2 4 4" xfId="11182" xr:uid="{414EF6E1-7F22-430E-B546-FC1FED858BBB}"/>
    <cellStyle name="Normal 5 4 3 2 4 4 2" xfId="29778" xr:uid="{59854123-6C6A-4C03-AA5A-9353A5567DB6}"/>
    <cellStyle name="Normal 5 4 3 2 4 5" xfId="20481" xr:uid="{E9B0EA69-F0EE-42F1-A201-C3C68FD72FD1}"/>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504ECB48-B144-4006-B095-9DA8DCCC4609}"/>
    <cellStyle name="Normal 5 4 3 2 5 2 2 2 2" xfId="36553" xr:uid="{9D699849-82C9-4DA8-836A-CE99308C119B}"/>
    <cellStyle name="Normal 5 4 3 2 5 2 2 3" xfId="27256" xr:uid="{86237A24-5D56-4B4B-9651-3344BC9DB348}"/>
    <cellStyle name="Normal 5 4 3 2 5 2 3" xfId="13740" xr:uid="{34097242-A6AF-4298-AB13-969954CF2A64}"/>
    <cellStyle name="Normal 5 4 3 2 5 2 3 2" xfId="32336" xr:uid="{7ADBEC2E-1F47-4BCB-BF71-02128074455C}"/>
    <cellStyle name="Normal 5 4 3 2 5 2 4" xfId="23039" xr:uid="{1CA84E6B-F705-4709-B6AF-A98D919D882B}"/>
    <cellStyle name="Normal 5 4 3 2 5 3" xfId="6486" xr:uid="{00000000-0005-0000-0000-00000F1B0000}"/>
    <cellStyle name="Normal 5 4 3 2 5 3 2" xfId="15812" xr:uid="{6A709300-0930-438D-BA00-EAF9ED1BDAD1}"/>
    <cellStyle name="Normal 5 4 3 2 5 3 2 2" xfId="34408" xr:uid="{10E31036-3EC0-4180-82B5-19EE3ED5304F}"/>
    <cellStyle name="Normal 5 4 3 2 5 3 3" xfId="25111" xr:uid="{30FED4E1-E77D-4CDA-8B6A-A8F6BEC9E07B}"/>
    <cellStyle name="Normal 5 4 3 2 5 4" xfId="11595" xr:uid="{17D52CD6-2F2A-41E8-8807-A3C77D843861}"/>
    <cellStyle name="Normal 5 4 3 2 5 4 2" xfId="30191" xr:uid="{A65CAD81-A80E-4F39-B1A5-5C4D54912E64}"/>
    <cellStyle name="Normal 5 4 3 2 5 5" xfId="20894" xr:uid="{76C3230F-1AFA-44C4-AA4A-3A57EAF4CEE1}"/>
    <cellStyle name="Normal 5 4 3 2 6" xfId="2616" xr:uid="{00000000-0005-0000-0000-0000101B0000}"/>
    <cellStyle name="Normal 5 4 3 2 6 2" xfId="6899" xr:uid="{00000000-0005-0000-0000-0000111B0000}"/>
    <cellStyle name="Normal 5 4 3 2 6 2 2" xfId="16225" xr:uid="{88359579-DB88-404B-95C5-7B5A5D8F9F16}"/>
    <cellStyle name="Normal 5 4 3 2 6 2 2 2" xfId="34821" xr:uid="{ECFC6238-FFC5-4ED3-B34A-4EE9677D8989}"/>
    <cellStyle name="Normal 5 4 3 2 6 2 3" xfId="25524" xr:uid="{926E76C3-79A4-4ADD-92AE-56BEF1A46FC6}"/>
    <cellStyle name="Normal 5 4 3 2 6 3" xfId="12008" xr:uid="{578069FA-0613-4FF8-871D-7E093CE5E44F}"/>
    <cellStyle name="Normal 5 4 3 2 6 3 2" xfId="30604" xr:uid="{458B8FD0-14F6-4E52-B1BA-29AA5E9600F9}"/>
    <cellStyle name="Normal 5 4 3 2 6 4" xfId="21307" xr:uid="{AD2C8632-5916-46CC-80B8-A5D962E41A1F}"/>
    <cellStyle name="Normal 5 4 3 2 7" xfId="4834" xr:uid="{00000000-0005-0000-0000-0000121B0000}"/>
    <cellStyle name="Normal 5 4 3 2 7 2" xfId="14160" xr:uid="{CC51ACBA-5132-4CAD-BA28-211CEED866EF}"/>
    <cellStyle name="Normal 5 4 3 2 7 2 2" xfId="32756" xr:uid="{71830DC0-D2B0-48DE-B1A7-022B737C87A2}"/>
    <cellStyle name="Normal 5 4 3 2 7 3" xfId="23459" xr:uid="{E841963B-BD9C-4E74-A68B-78835934B886}"/>
    <cellStyle name="Normal 5 4 3 2 8" xfId="9083" xr:uid="{206384C8-6AD8-4D28-8F99-3033A80D68FC}"/>
    <cellStyle name="Normal 5 4 3 2 8 2" xfId="18407" xr:uid="{CBB985E0-17B3-4569-8560-A602305B6A03}"/>
    <cellStyle name="Normal 5 4 3 2 8 2 2" xfId="37002" xr:uid="{4715FFD4-A0FD-4114-B808-64B4CDB107CD}"/>
    <cellStyle name="Normal 5 4 3 2 8 3" xfId="27705" xr:uid="{25431654-E119-4002-9D8D-DD3E629DEA97}"/>
    <cellStyle name="Normal 5 4 3 2 9" xfId="9943" xr:uid="{0FEBF4A2-C695-4C37-AE8B-4FA8E547E2DA}"/>
    <cellStyle name="Normal 5 4 3 2 9 2" xfId="28539" xr:uid="{605EE84D-D856-47D8-97C4-BE3C3A1DEBED}"/>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AB43C1CD-9116-462A-99BA-5C4646534A48}"/>
    <cellStyle name="Normal 5 4 3 3 2 2 2 2" xfId="35313" xr:uid="{164D2249-C2E7-4963-B208-ED201BC62DAD}"/>
    <cellStyle name="Normal 5 4 3 3 2 2 3" xfId="26016" xr:uid="{D90C8BB9-B35C-4968-833B-68839E0B5172}"/>
    <cellStyle name="Normal 5 4 3 3 2 3" xfId="12500" xr:uid="{BB197A30-9DEE-4EF1-BED3-0CE7F1CA185B}"/>
    <cellStyle name="Normal 5 4 3 3 2 3 2" xfId="31096" xr:uid="{25FE175E-8163-440F-81AA-4DC509AD96AC}"/>
    <cellStyle name="Normal 5 4 3 3 2 4" xfId="21799" xr:uid="{CCB7A8F4-B40B-45F2-A91E-E9E45C074E46}"/>
    <cellStyle name="Normal 5 4 3 3 3" xfId="5246" xr:uid="{00000000-0005-0000-0000-0000161B0000}"/>
    <cellStyle name="Normal 5 4 3 3 3 2" xfId="14572" xr:uid="{FC6D4DE7-15A1-48A0-9497-216D516E3E41}"/>
    <cellStyle name="Normal 5 4 3 3 3 2 2" xfId="33168" xr:uid="{8A452A3C-EAA5-4450-A468-4E91704A91A8}"/>
    <cellStyle name="Normal 5 4 3 3 3 3" xfId="23871" xr:uid="{64B6BD4D-2C38-4226-BABB-B012389B7527}"/>
    <cellStyle name="Normal 5 4 3 3 4" xfId="9301" xr:uid="{CB02BBE7-2E3D-4C67-A62E-BA84DE882039}"/>
    <cellStyle name="Normal 5 4 3 3 4 2" xfId="18616" xr:uid="{A5B8E9A8-5634-4034-95A7-29752EEAA050}"/>
    <cellStyle name="Normal 5 4 3 3 4 2 2" xfId="37210" xr:uid="{FECBA12A-184B-44DC-BFE7-43A1009292B4}"/>
    <cellStyle name="Normal 5 4 3 3 4 3" xfId="27913" xr:uid="{9B3F3BF8-7ECC-493C-946B-C7C81AA0CF80}"/>
    <cellStyle name="Normal 5 4 3 3 5" xfId="10355" xr:uid="{99A25CE9-2D40-472F-BB2D-7CCF4E6C1558}"/>
    <cellStyle name="Normal 5 4 3 3 5 2" xfId="28951" xr:uid="{0E1F8EFC-B4A8-4B95-B1FA-7003A8BD580B}"/>
    <cellStyle name="Normal 5 4 3 3 6" xfId="19654" xr:uid="{F57009F2-1AED-45A7-BB7F-2B482B66BD3B}"/>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219186B9-49E1-4611-9333-79C6795AB241}"/>
    <cellStyle name="Normal 5 4 3 4 2 2 2 2" xfId="35726" xr:uid="{811CA752-4FEE-4914-A11C-4B5A3FE05E10}"/>
    <cellStyle name="Normal 5 4 3 4 2 2 3" xfId="26429" xr:uid="{AD602D38-7FCB-4F38-BB08-EB8B58843F39}"/>
    <cellStyle name="Normal 5 4 3 4 2 3" xfId="12913" xr:uid="{64D90E94-A4E6-436B-9928-D5632AE3F4F4}"/>
    <cellStyle name="Normal 5 4 3 4 2 3 2" xfId="31509" xr:uid="{B5DC7C0B-3F61-467E-AE72-6D0C0A74941D}"/>
    <cellStyle name="Normal 5 4 3 4 2 4" xfId="22212" xr:uid="{C79B5807-403F-4F48-A9C8-8DE79BD5181E}"/>
    <cellStyle name="Normal 5 4 3 4 3" xfId="5659" xr:uid="{00000000-0005-0000-0000-00001A1B0000}"/>
    <cellStyle name="Normal 5 4 3 4 3 2" xfId="14985" xr:uid="{72CB7FF4-07D0-49F6-AE2C-23654D98B54A}"/>
    <cellStyle name="Normal 5 4 3 4 3 2 2" xfId="33581" xr:uid="{EE495A50-D6C4-454B-BBEF-85E7ACC1230B}"/>
    <cellStyle name="Normal 5 4 3 4 3 3" xfId="24284" xr:uid="{A1DC314B-1F07-49F1-BBCE-9A1056A45272}"/>
    <cellStyle name="Normal 5 4 3 4 4" xfId="10768" xr:uid="{FE5A69B9-5D2E-43EB-B54C-9DF8222ACA86}"/>
    <cellStyle name="Normal 5 4 3 4 4 2" xfId="29364" xr:uid="{E7F83C05-9D11-45BD-B475-34A3AC7542AA}"/>
    <cellStyle name="Normal 5 4 3 4 5" xfId="20067" xr:uid="{622C38B2-53D8-433A-814F-BA796D27D78D}"/>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09649ABE-2BC8-4ED4-B670-0E47E341CD7C}"/>
    <cellStyle name="Normal 5 4 3 5 2 2 2 2" xfId="36139" xr:uid="{43213889-56D9-420E-9479-7B4D93215D30}"/>
    <cellStyle name="Normal 5 4 3 5 2 2 3" xfId="26842" xr:uid="{DF75453B-26DD-437F-ABB9-00B72EAA77B7}"/>
    <cellStyle name="Normal 5 4 3 5 2 3" xfId="13326" xr:uid="{6A9A5E3D-D821-40EC-AD6E-DFA73A9A673F}"/>
    <cellStyle name="Normal 5 4 3 5 2 3 2" xfId="31922" xr:uid="{628C95F2-1D07-4CEB-9BDA-595709EE1943}"/>
    <cellStyle name="Normal 5 4 3 5 2 4" xfId="22625" xr:uid="{FDD3CD93-A8E8-4BE3-8555-71CFF98F10CD}"/>
    <cellStyle name="Normal 5 4 3 5 3" xfId="6072" xr:uid="{00000000-0005-0000-0000-00001E1B0000}"/>
    <cellStyle name="Normal 5 4 3 5 3 2" xfId="15398" xr:uid="{5FAB879C-2A70-498F-8906-A04F581D51A0}"/>
    <cellStyle name="Normal 5 4 3 5 3 2 2" xfId="33994" xr:uid="{493131BE-91E6-46F8-AEB0-127BAE29E707}"/>
    <cellStyle name="Normal 5 4 3 5 3 3" xfId="24697" xr:uid="{843466BC-C20A-4FEA-AF4A-D6C72D31FCD5}"/>
    <cellStyle name="Normal 5 4 3 5 4" xfId="11181" xr:uid="{DF4F68BA-9F90-4EB3-9D44-534A3DD52FF9}"/>
    <cellStyle name="Normal 5 4 3 5 4 2" xfId="29777" xr:uid="{06999515-745E-4C36-B9EC-3C7AB1C735F2}"/>
    <cellStyle name="Normal 5 4 3 5 5" xfId="20480" xr:uid="{7BD67CD5-8BA5-4BFB-BE1A-53C81D12389A}"/>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56FFC385-822F-4C3C-A732-0488ADC9BA49}"/>
    <cellStyle name="Normal 5 4 3 6 2 2 2 2" xfId="36552" xr:uid="{01325E2E-2A53-4568-9240-8BD6D29B080B}"/>
    <cellStyle name="Normal 5 4 3 6 2 2 3" xfId="27255" xr:uid="{2B64D2CE-2F71-44A6-B67A-1BF70750FF79}"/>
    <cellStyle name="Normal 5 4 3 6 2 3" xfId="13739" xr:uid="{98B0BCDA-2B08-4C54-B2DD-EA6F20FB14FD}"/>
    <cellStyle name="Normal 5 4 3 6 2 3 2" xfId="32335" xr:uid="{A7FCD8AA-0958-4234-9E7A-EA39B916EEF4}"/>
    <cellStyle name="Normal 5 4 3 6 2 4" xfId="23038" xr:uid="{7467AFB7-A1C2-4DF8-99D6-5E99295F053E}"/>
    <cellStyle name="Normal 5 4 3 6 3" xfId="6485" xr:uid="{00000000-0005-0000-0000-0000221B0000}"/>
    <cellStyle name="Normal 5 4 3 6 3 2" xfId="15811" xr:uid="{9AE97BC5-9A9D-4D33-A1D7-1BC8E8660B3D}"/>
    <cellStyle name="Normal 5 4 3 6 3 2 2" xfId="34407" xr:uid="{F8BC224E-2494-4217-8DE8-DD899FE19A12}"/>
    <cellStyle name="Normal 5 4 3 6 3 3" xfId="25110" xr:uid="{0BAA0D79-5436-437E-88CA-439859BF2373}"/>
    <cellStyle name="Normal 5 4 3 6 4" xfId="11594" xr:uid="{F16EDBF1-9FC2-4A0F-A460-F0A1F7D56D73}"/>
    <cellStyle name="Normal 5 4 3 6 4 2" xfId="30190" xr:uid="{F83E0308-DDFF-4B13-B83E-A5BBB93AA323}"/>
    <cellStyle name="Normal 5 4 3 6 5" xfId="20893" xr:uid="{A916AEC9-A28E-4476-A5E1-DFF256585C09}"/>
    <cellStyle name="Normal 5 4 3 7" xfId="2615" xr:uid="{00000000-0005-0000-0000-0000231B0000}"/>
    <cellStyle name="Normal 5 4 3 7 2" xfId="6898" xr:uid="{00000000-0005-0000-0000-0000241B0000}"/>
    <cellStyle name="Normal 5 4 3 7 2 2" xfId="16224" xr:uid="{9B136204-7057-46BA-84E8-171521AD6F15}"/>
    <cellStyle name="Normal 5 4 3 7 2 2 2" xfId="34820" xr:uid="{A4536099-07EA-4F5C-99C6-B5B69A513F9B}"/>
    <cellStyle name="Normal 5 4 3 7 2 3" xfId="25523" xr:uid="{2EE4832C-B239-4DED-87B3-10D7D92259D0}"/>
    <cellStyle name="Normal 5 4 3 7 3" xfId="12007" xr:uid="{C03DB1EC-17CF-4E2E-8044-89F82020B527}"/>
    <cellStyle name="Normal 5 4 3 7 3 2" xfId="30603" xr:uid="{C829FF91-280D-4D8F-95C3-74C22ABD8065}"/>
    <cellStyle name="Normal 5 4 3 7 4" xfId="21306" xr:uid="{F5792C65-EE7A-4F80-8B62-EE3FAAF7F2E7}"/>
    <cellStyle name="Normal 5 4 3 8" xfId="4833" xr:uid="{00000000-0005-0000-0000-0000251B0000}"/>
    <cellStyle name="Normal 5 4 3 8 2" xfId="14159" xr:uid="{D9955ABB-451F-4CB1-9964-5F757F271EB6}"/>
    <cellStyle name="Normal 5 4 3 8 2 2" xfId="32755" xr:uid="{1AA4CEE5-9B8D-4330-8F01-677DF368F0F7}"/>
    <cellStyle name="Normal 5 4 3 8 3" xfId="23458" xr:uid="{CE868E9A-7D91-48CD-A955-1A8652350C57}"/>
    <cellStyle name="Normal 5 4 3 9" xfId="8876" xr:uid="{D636A598-175F-46A4-8005-1A20EC6CCEC9}"/>
    <cellStyle name="Normal 5 4 3 9 2" xfId="18200" xr:uid="{CCD0B984-104A-4428-9B60-0A5342145C79}"/>
    <cellStyle name="Normal 5 4 3 9 2 2" xfId="36795" xr:uid="{CEE7AFAF-B1E8-4611-8F0E-7C15958109A1}"/>
    <cellStyle name="Normal 5 4 3 9 3" xfId="27498" xr:uid="{58CED102-43C8-4A33-8503-368C99BC50AC}"/>
    <cellStyle name="Normal 5 4 4" xfId="463" xr:uid="{00000000-0005-0000-0000-0000261B0000}"/>
    <cellStyle name="Normal 5 4 4 10" xfId="19243" xr:uid="{8BF8E6C5-26B8-4812-BF52-E9E5EBF06D2E}"/>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46202C32-0A87-4CD6-8EE2-B7C2EFBF3A9A}"/>
    <cellStyle name="Normal 5 4 4 2 2 2 2 2" xfId="35315" xr:uid="{419A9B73-6D97-425C-8AE9-6D32855418F7}"/>
    <cellStyle name="Normal 5 4 4 2 2 2 3" xfId="26018" xr:uid="{1F8E948F-830F-4F77-A62A-3404E187F5C4}"/>
    <cellStyle name="Normal 5 4 4 2 2 3" xfId="12502" xr:uid="{8BC4A88D-D529-45F5-8D2A-A3C57E0F9217}"/>
    <cellStyle name="Normal 5 4 4 2 2 3 2" xfId="31098" xr:uid="{F8FA98E5-6BA3-4958-8B52-C348CDCB8D95}"/>
    <cellStyle name="Normal 5 4 4 2 2 4" xfId="21801" xr:uid="{CC785608-12C1-4A84-903A-740864DF68ED}"/>
    <cellStyle name="Normal 5 4 4 2 3" xfId="5248" xr:uid="{00000000-0005-0000-0000-00002A1B0000}"/>
    <cellStyle name="Normal 5 4 4 2 3 2" xfId="14574" xr:uid="{2952F082-CE5E-46AE-A61D-F9B4CCBBCDCA}"/>
    <cellStyle name="Normal 5 4 4 2 3 2 2" xfId="33170" xr:uid="{051AF23D-843D-452F-9F02-42908B19B11F}"/>
    <cellStyle name="Normal 5 4 4 2 3 3" xfId="23873" xr:uid="{A7C055B2-5429-495D-A287-5FAFC7FD32AF}"/>
    <cellStyle name="Normal 5 4 4 2 4" xfId="9405" xr:uid="{F05DE0DC-A0AA-4CEB-9ABC-0D70F781B819}"/>
    <cellStyle name="Normal 5 4 4 2 4 2" xfId="18720" xr:uid="{E6A6D839-730B-4041-9EE9-6F1364AAFEDE}"/>
    <cellStyle name="Normal 5 4 4 2 4 2 2" xfId="37314" xr:uid="{F83E2CE2-CC31-4433-BAF6-656BC21DBD5D}"/>
    <cellStyle name="Normal 5 4 4 2 4 3" xfId="28017" xr:uid="{9E12DCC7-90AF-44E3-8E3C-CD53E15E1336}"/>
    <cellStyle name="Normal 5 4 4 2 5" xfId="10357" xr:uid="{C0460EA9-2970-44B9-BE1B-798FA79C6CF5}"/>
    <cellStyle name="Normal 5 4 4 2 5 2" xfId="28953" xr:uid="{42A7D07B-6CC8-4FFC-8CAB-92144DF5B2F7}"/>
    <cellStyle name="Normal 5 4 4 2 6" xfId="19656" xr:uid="{A0F3A515-00E4-484E-B729-4216F791885F}"/>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9CBF01B2-ECB9-459A-9FD8-A712690EEADB}"/>
    <cellStyle name="Normal 5 4 4 3 2 2 2 2" xfId="35728" xr:uid="{05EABECB-F6CF-48AC-BE41-D868D9A803E1}"/>
    <cellStyle name="Normal 5 4 4 3 2 2 3" xfId="26431" xr:uid="{E036F9D9-2E2D-4F48-B8B0-4944143584EA}"/>
    <cellStyle name="Normal 5 4 4 3 2 3" xfId="12915" xr:uid="{9C301211-D075-4FCC-BAB5-47647B36ACF6}"/>
    <cellStyle name="Normal 5 4 4 3 2 3 2" xfId="31511" xr:uid="{5142199B-7481-4000-96B3-FDB10C9CEBF0}"/>
    <cellStyle name="Normal 5 4 4 3 2 4" xfId="22214" xr:uid="{C8E8D329-D59F-4B77-ABAC-3BA1D77AE633}"/>
    <cellStyle name="Normal 5 4 4 3 3" xfId="5661" xr:uid="{00000000-0005-0000-0000-00002E1B0000}"/>
    <cellStyle name="Normal 5 4 4 3 3 2" xfId="14987" xr:uid="{ACFA9E02-8D5F-44F0-BF93-C441F9981FDC}"/>
    <cellStyle name="Normal 5 4 4 3 3 2 2" xfId="33583" xr:uid="{CD594740-7F64-4A80-8988-1AE2A4FE3877}"/>
    <cellStyle name="Normal 5 4 4 3 3 3" xfId="24286" xr:uid="{B5A23233-EE84-4FDE-852C-A12945143DFF}"/>
    <cellStyle name="Normal 5 4 4 3 4" xfId="10770" xr:uid="{C3C9F2E7-700D-41EC-8F92-B3E09DC414EC}"/>
    <cellStyle name="Normal 5 4 4 3 4 2" xfId="29366" xr:uid="{D28F5ADB-660C-4590-8D27-F9F6E6F2A181}"/>
    <cellStyle name="Normal 5 4 4 3 5" xfId="20069" xr:uid="{F45F1093-C788-4B67-8B7E-FDA4428BCA2B}"/>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CF442EC8-952C-4474-9865-3D8261FEFDB8}"/>
    <cellStyle name="Normal 5 4 4 4 2 2 2 2" xfId="36141" xr:uid="{BF8D9FEA-7FD9-41F4-952C-1577709C53FD}"/>
    <cellStyle name="Normal 5 4 4 4 2 2 3" xfId="26844" xr:uid="{8CB481C1-C56D-4C7A-A8D2-BB4C9E492BFF}"/>
    <cellStyle name="Normal 5 4 4 4 2 3" xfId="13328" xr:uid="{505300ED-E769-44E7-AEF8-C12211D6C28D}"/>
    <cellStyle name="Normal 5 4 4 4 2 3 2" xfId="31924" xr:uid="{F0A0EF55-EF92-4CBC-83A8-E2C9677D6E00}"/>
    <cellStyle name="Normal 5 4 4 4 2 4" xfId="22627" xr:uid="{1DDF6030-4D1F-4BB2-8D23-409312DC4651}"/>
    <cellStyle name="Normal 5 4 4 4 3" xfId="6074" xr:uid="{00000000-0005-0000-0000-0000321B0000}"/>
    <cellStyle name="Normal 5 4 4 4 3 2" xfId="15400" xr:uid="{36D8A043-E6AA-4475-8ADD-D12AF9D5E92A}"/>
    <cellStyle name="Normal 5 4 4 4 3 2 2" xfId="33996" xr:uid="{10136112-CFD8-4552-B76F-C62653CD3DDA}"/>
    <cellStyle name="Normal 5 4 4 4 3 3" xfId="24699" xr:uid="{01E704A8-6ACF-4F9E-9E3C-C5188C24E711}"/>
    <cellStyle name="Normal 5 4 4 4 4" xfId="11183" xr:uid="{9DCFBA8D-D4CE-45AE-8D35-0E2AF013FA6C}"/>
    <cellStyle name="Normal 5 4 4 4 4 2" xfId="29779" xr:uid="{9CBF11B6-C67D-4E5C-9568-B7BE8126B9B2}"/>
    <cellStyle name="Normal 5 4 4 4 5" xfId="20482" xr:uid="{9C4C76E1-7553-453F-AAE4-5D89E97D2825}"/>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A622E4BB-EB16-411A-AFE3-49C6E0DC95E2}"/>
    <cellStyle name="Normal 5 4 4 5 2 2 2 2" xfId="36554" xr:uid="{6ECA46F5-031B-49DD-85EB-67A36B173E35}"/>
    <cellStyle name="Normal 5 4 4 5 2 2 3" xfId="27257" xr:uid="{A0E9DE82-8DA3-4A31-8885-4A0BC7088D77}"/>
    <cellStyle name="Normal 5 4 4 5 2 3" xfId="13741" xr:uid="{858FC23A-00BE-41D6-8270-6DD6FCBA3CA8}"/>
    <cellStyle name="Normal 5 4 4 5 2 3 2" xfId="32337" xr:uid="{9F3B8479-566E-45C6-A1AC-28602CEFECC5}"/>
    <cellStyle name="Normal 5 4 4 5 2 4" xfId="23040" xr:uid="{D4BA2C0C-AFAE-48DE-8924-4EC8F8B78735}"/>
    <cellStyle name="Normal 5 4 4 5 3" xfId="6487" xr:uid="{00000000-0005-0000-0000-0000361B0000}"/>
    <cellStyle name="Normal 5 4 4 5 3 2" xfId="15813" xr:uid="{5604302F-E575-48F3-9434-2F1C202B0201}"/>
    <cellStyle name="Normal 5 4 4 5 3 2 2" xfId="34409" xr:uid="{996696C6-310A-4EB4-89C0-83DFF722C4FC}"/>
    <cellStyle name="Normal 5 4 4 5 3 3" xfId="25112" xr:uid="{EEA913ED-4771-4781-A4F0-D81E6D2FBF39}"/>
    <cellStyle name="Normal 5 4 4 5 4" xfId="11596" xr:uid="{15A51D14-8379-4F25-B11E-4EBCF54B9B2E}"/>
    <cellStyle name="Normal 5 4 4 5 4 2" xfId="30192" xr:uid="{68A84628-B5C6-4105-95D4-FD8D96DB6065}"/>
    <cellStyle name="Normal 5 4 4 5 5" xfId="20895" xr:uid="{B5A7BAD7-82F8-426A-B171-06B1A5AC93EC}"/>
    <cellStyle name="Normal 5 4 4 6" xfId="2617" xr:uid="{00000000-0005-0000-0000-0000371B0000}"/>
    <cellStyle name="Normal 5 4 4 6 2" xfId="6900" xr:uid="{00000000-0005-0000-0000-0000381B0000}"/>
    <cellStyle name="Normal 5 4 4 6 2 2" xfId="16226" xr:uid="{2B615539-7182-4BBB-ACE0-CEEB2066F208}"/>
    <cellStyle name="Normal 5 4 4 6 2 2 2" xfId="34822" xr:uid="{EEA6970A-090C-42AF-90FE-49EDF3BA6030}"/>
    <cellStyle name="Normal 5 4 4 6 2 3" xfId="25525" xr:uid="{CCAF713A-D116-49E6-8766-9F51FC4E5D2E}"/>
    <cellStyle name="Normal 5 4 4 6 3" xfId="12009" xr:uid="{6FFB0CD3-F51F-44BB-9375-2A6B3271954B}"/>
    <cellStyle name="Normal 5 4 4 6 3 2" xfId="30605" xr:uid="{CE85D052-AFB4-46F6-9685-9DCAA776E9D7}"/>
    <cellStyle name="Normal 5 4 4 6 4" xfId="21308" xr:uid="{8DF194CB-F6FA-4CFB-9457-6E3A21B0A0F7}"/>
    <cellStyle name="Normal 5 4 4 7" xfId="4835" xr:uid="{00000000-0005-0000-0000-0000391B0000}"/>
    <cellStyle name="Normal 5 4 4 7 2" xfId="14161" xr:uid="{7EE6BF5C-4341-4DE6-95F8-96A2AA692BFC}"/>
    <cellStyle name="Normal 5 4 4 7 2 2" xfId="32757" xr:uid="{60F7DE29-8C05-4690-A20F-68F4E924E696}"/>
    <cellStyle name="Normal 5 4 4 7 3" xfId="23460" xr:uid="{64A03AA0-C40C-40B8-ADE9-5848429EA675}"/>
    <cellStyle name="Normal 5 4 4 8" xfId="8980" xr:uid="{B1DB48A4-94CB-4CC2-8D4B-8FD478363D48}"/>
    <cellStyle name="Normal 5 4 4 8 2" xfId="18304" xr:uid="{DC0FC141-9176-461C-B5FE-A31646E2D100}"/>
    <cellStyle name="Normal 5 4 4 8 2 2" xfId="36899" xr:uid="{65FD9372-AA56-436C-831C-FBB07DF10E67}"/>
    <cellStyle name="Normal 5 4 4 8 3" xfId="27602" xr:uid="{2D795518-7484-4686-9DC0-7E557140638F}"/>
    <cellStyle name="Normal 5 4 4 9" xfId="9944" xr:uid="{4AD55A89-638C-4CBB-848D-7BA6A3A91022}"/>
    <cellStyle name="Normal 5 4 4 9 2" xfId="28540" xr:uid="{FDB2771D-7DFC-4641-BD5F-8F2F1D11963B}"/>
    <cellStyle name="Normal 5 4 5" xfId="930" xr:uid="{00000000-0005-0000-0000-00003A1B0000}"/>
    <cellStyle name="Normal 5 4 5 2" xfId="3164" xr:uid="{00000000-0005-0000-0000-00003B1B0000}"/>
    <cellStyle name="Normal 5 4 5 2 2" xfId="7386" xr:uid="{00000000-0005-0000-0000-00003C1B0000}"/>
    <cellStyle name="Normal 5 4 5 2 2 2" xfId="16712" xr:uid="{56B2F5D3-13DF-4393-BC17-EF973F36C0CB}"/>
    <cellStyle name="Normal 5 4 5 2 2 2 2" xfId="35308" xr:uid="{A91AF639-EE88-4E5E-9E71-5636A315822E}"/>
    <cellStyle name="Normal 5 4 5 2 2 3" xfId="26011" xr:uid="{B5F69F31-AE9D-4123-BD34-17B809CF09D1}"/>
    <cellStyle name="Normal 5 4 5 2 3" xfId="12495" xr:uid="{74F3FE54-9C2A-4292-8731-9D2A8195E7FF}"/>
    <cellStyle name="Normal 5 4 5 2 3 2" xfId="31091" xr:uid="{5BDA9212-A189-4F69-890D-AE0FC17F5D72}"/>
    <cellStyle name="Normal 5 4 5 2 4" xfId="21794" xr:uid="{18732070-7F6E-456B-924F-5D1E914D17D7}"/>
    <cellStyle name="Normal 5 4 5 3" xfId="5241" xr:uid="{00000000-0005-0000-0000-00003D1B0000}"/>
    <cellStyle name="Normal 5 4 5 3 2" xfId="14567" xr:uid="{2EDA41FF-B5E3-4416-AB9F-FBFDE2452EF1}"/>
    <cellStyle name="Normal 5 4 5 3 2 2" xfId="33163" xr:uid="{DBA0900E-708F-419E-8819-75CD2E43DD44}"/>
    <cellStyle name="Normal 5 4 5 3 3" xfId="23866" xr:uid="{4BF19033-2ACB-4FDB-8DC1-BCB099475277}"/>
    <cellStyle name="Normal 5 4 5 4" xfId="9197" xr:uid="{44FF0EFB-444B-4C40-B695-8C256ADB5563}"/>
    <cellStyle name="Normal 5 4 5 4 2" xfId="18513" xr:uid="{DFEBFC77-3D03-4806-81CA-8596014C5A7E}"/>
    <cellStyle name="Normal 5 4 5 4 2 2" xfId="37107" xr:uid="{C1D0583B-069D-4C26-8DED-8771710BA8CF}"/>
    <cellStyle name="Normal 5 4 5 4 3" xfId="27810" xr:uid="{33442F21-16CB-41E7-8F7C-B0FCF85F37DC}"/>
    <cellStyle name="Normal 5 4 5 5" xfId="10350" xr:uid="{7F3E616A-798B-493D-9F61-A0422DF994EC}"/>
    <cellStyle name="Normal 5 4 5 5 2" xfId="28946" xr:uid="{EC09BDD6-A456-45BD-84C3-512660F9F86C}"/>
    <cellStyle name="Normal 5 4 5 6" xfId="19649" xr:uid="{B2A3083C-5EB9-44DA-AC2D-E94B5EFEFE49}"/>
    <cellStyle name="Normal 5 4 6" xfId="1347" xr:uid="{00000000-0005-0000-0000-00003E1B0000}"/>
    <cellStyle name="Normal 5 4 6 2" xfId="3577" xr:uid="{00000000-0005-0000-0000-00003F1B0000}"/>
    <cellStyle name="Normal 5 4 6 2 2" xfId="7799" xr:uid="{00000000-0005-0000-0000-0000401B0000}"/>
    <cellStyle name="Normal 5 4 6 2 2 2" xfId="17125" xr:uid="{2251710D-1E6D-42CA-9DAA-9E78ADBB089F}"/>
    <cellStyle name="Normal 5 4 6 2 2 2 2" xfId="35721" xr:uid="{BF7DA0F9-EA4A-4A66-A0B2-B310BFF05785}"/>
    <cellStyle name="Normal 5 4 6 2 2 3" xfId="26424" xr:uid="{383A0C23-660F-44F8-9C16-243D7A29A62A}"/>
    <cellStyle name="Normal 5 4 6 2 3" xfId="12908" xr:uid="{F94139B0-5B66-405F-A79F-66A55FB57123}"/>
    <cellStyle name="Normal 5 4 6 2 3 2" xfId="31504" xr:uid="{DF8CAA52-8E8D-4920-8024-8EB831886496}"/>
    <cellStyle name="Normal 5 4 6 2 4" xfId="22207" xr:uid="{7E5C5287-B1E8-42F1-83CA-641EBF63DD35}"/>
    <cellStyle name="Normal 5 4 6 3" xfId="5654" xr:uid="{00000000-0005-0000-0000-0000411B0000}"/>
    <cellStyle name="Normal 5 4 6 3 2" xfId="14980" xr:uid="{30713DBA-462A-40CA-8251-75E8AE4A391B}"/>
    <cellStyle name="Normal 5 4 6 3 2 2" xfId="33576" xr:uid="{5A3ABFA4-7284-48DC-BD33-10CB4A3EF64B}"/>
    <cellStyle name="Normal 5 4 6 3 3" xfId="24279" xr:uid="{A93A8416-1096-4D7C-A6B7-2A27FA93CE37}"/>
    <cellStyle name="Normal 5 4 6 4" xfId="10763" xr:uid="{C9A5EBBD-B1CE-4875-BC4A-3A0A4C038BAD}"/>
    <cellStyle name="Normal 5 4 6 4 2" xfId="29359" xr:uid="{3CD62363-DAC3-4DB2-9CCC-78CB2AE6134E}"/>
    <cellStyle name="Normal 5 4 6 5" xfId="20062" xr:uid="{1F558D84-6CD1-4CB0-814C-AD8DB113FCEC}"/>
    <cellStyle name="Normal 5 4 7" xfId="1760" xr:uid="{00000000-0005-0000-0000-0000421B0000}"/>
    <cellStyle name="Normal 5 4 7 2" xfId="3990" xr:uid="{00000000-0005-0000-0000-0000431B0000}"/>
    <cellStyle name="Normal 5 4 7 2 2" xfId="8212" xr:uid="{00000000-0005-0000-0000-0000441B0000}"/>
    <cellStyle name="Normal 5 4 7 2 2 2" xfId="17538" xr:uid="{ED5F629F-2F8D-489C-AD91-64C50AA95D7C}"/>
    <cellStyle name="Normal 5 4 7 2 2 2 2" xfId="36134" xr:uid="{C12D92DA-24FB-4CB4-8287-E60A21EA8F42}"/>
    <cellStyle name="Normal 5 4 7 2 2 3" xfId="26837" xr:uid="{33194637-5F7F-4925-AD3A-BB9814F08009}"/>
    <cellStyle name="Normal 5 4 7 2 3" xfId="13321" xr:uid="{87EA9612-302F-4E46-B2D3-124FC94B8B84}"/>
    <cellStyle name="Normal 5 4 7 2 3 2" xfId="31917" xr:uid="{DAB15285-40CE-437D-9681-7E5AE3499490}"/>
    <cellStyle name="Normal 5 4 7 2 4" xfId="22620" xr:uid="{BD1115CD-46CC-421E-BEFA-925060D8D015}"/>
    <cellStyle name="Normal 5 4 7 3" xfId="6067" xr:uid="{00000000-0005-0000-0000-0000451B0000}"/>
    <cellStyle name="Normal 5 4 7 3 2" xfId="15393" xr:uid="{4C16573A-BEED-47FB-86BA-3BC880CCC673}"/>
    <cellStyle name="Normal 5 4 7 3 2 2" xfId="33989" xr:uid="{EDBA8E1C-5FC6-4560-AFE3-ACA893A51001}"/>
    <cellStyle name="Normal 5 4 7 3 3" xfId="24692" xr:uid="{5B5666B1-1DCC-4851-AD41-9837A0D2F037}"/>
    <cellStyle name="Normal 5 4 7 4" xfId="11176" xr:uid="{D63F31D6-BDB3-48EA-A314-F05C0B249D15}"/>
    <cellStyle name="Normal 5 4 7 4 2" xfId="29772" xr:uid="{A671099B-2ABF-4F11-BE5E-C82993F6EAC8}"/>
    <cellStyle name="Normal 5 4 7 5" xfId="20475" xr:uid="{525C22E4-21C6-491C-AF38-D34A89D59757}"/>
    <cellStyle name="Normal 5 4 8" xfId="2174" xr:uid="{00000000-0005-0000-0000-0000461B0000}"/>
    <cellStyle name="Normal 5 4 8 2" xfId="4403" xr:uid="{00000000-0005-0000-0000-0000471B0000}"/>
    <cellStyle name="Normal 5 4 8 2 2" xfId="8625" xr:uid="{00000000-0005-0000-0000-0000481B0000}"/>
    <cellStyle name="Normal 5 4 8 2 2 2" xfId="17951" xr:uid="{D280CEB5-D66B-42F0-8C73-8B87077BDAFB}"/>
    <cellStyle name="Normal 5 4 8 2 2 2 2" xfId="36547" xr:uid="{86BC5F5D-5B8B-404B-9AEE-8FFFEF78E6C6}"/>
    <cellStyle name="Normal 5 4 8 2 2 3" xfId="27250" xr:uid="{5CEAF82E-2872-4744-BED0-3A004B089231}"/>
    <cellStyle name="Normal 5 4 8 2 3" xfId="13734" xr:uid="{B3251AF4-C141-4447-A79D-37F2B425478C}"/>
    <cellStyle name="Normal 5 4 8 2 3 2" xfId="32330" xr:uid="{13045304-76CB-451F-83A6-00A39608686B}"/>
    <cellStyle name="Normal 5 4 8 2 4" xfId="23033" xr:uid="{59EDA998-D2F3-466B-B82B-C3844E82CD15}"/>
    <cellStyle name="Normal 5 4 8 3" xfId="6480" xr:uid="{00000000-0005-0000-0000-0000491B0000}"/>
    <cellStyle name="Normal 5 4 8 3 2" xfId="15806" xr:uid="{279297FF-51EA-466C-8E0C-FAD2B9067E56}"/>
    <cellStyle name="Normal 5 4 8 3 2 2" xfId="34402" xr:uid="{6417BAE1-C652-431C-9BAE-7B4276004FAE}"/>
    <cellStyle name="Normal 5 4 8 3 3" xfId="25105" xr:uid="{082BC24E-849D-4A2F-8C49-19B7DA488CA3}"/>
    <cellStyle name="Normal 5 4 8 4" xfId="11589" xr:uid="{B28F8AED-4B31-4685-8CD2-27D7335772E0}"/>
    <cellStyle name="Normal 5 4 8 4 2" xfId="30185" xr:uid="{F27E1367-38B0-448A-97B2-2D27DB626D0B}"/>
    <cellStyle name="Normal 5 4 8 5" xfId="20888" xr:uid="{35BCE7E4-6F79-4A67-81D6-40A47B5F20C3}"/>
    <cellStyle name="Normal 5 4 9" xfId="2610" xr:uid="{00000000-0005-0000-0000-00004A1B0000}"/>
    <cellStyle name="Normal 5 4 9 2" xfId="6893" xr:uid="{00000000-0005-0000-0000-00004B1B0000}"/>
    <cellStyle name="Normal 5 4 9 2 2" xfId="16219" xr:uid="{244C6C2A-4BAD-4890-A8A3-F2FE41ED4017}"/>
    <cellStyle name="Normal 5 4 9 2 2 2" xfId="34815" xr:uid="{9814E575-4C8E-4ADA-AAD4-959D65BBC654}"/>
    <cellStyle name="Normal 5 4 9 2 3" xfId="25518" xr:uid="{2D0A57D0-D82F-4FCB-BF4B-107D78EB01F2}"/>
    <cellStyle name="Normal 5 4 9 3" xfId="12002" xr:uid="{FA3EAC6E-E072-4565-9AC9-D91DD02511A0}"/>
    <cellStyle name="Normal 5 4 9 3 2" xfId="30598" xr:uid="{BF72E1EC-12B9-4F36-9D06-1F35E375CC95}"/>
    <cellStyle name="Normal 5 4 9 4" xfId="21301" xr:uid="{78F452E8-C474-4977-AE95-13248410AA9A}"/>
    <cellStyle name="Normal 5 5" xfId="464" xr:uid="{00000000-0005-0000-0000-00004C1B0000}"/>
    <cellStyle name="Normal 5 5 10" xfId="8826" xr:uid="{5746674A-546A-44BF-97FB-6D298BF3AD61}"/>
    <cellStyle name="Normal 5 5 10 2" xfId="18150" xr:uid="{FB6BB409-C938-4DA7-9777-8296F2FC14C7}"/>
    <cellStyle name="Normal 5 5 10 2 2" xfId="36745" xr:uid="{F8C333C6-8693-4C0F-B73A-60145E9FC756}"/>
    <cellStyle name="Normal 5 5 10 3" xfId="27448" xr:uid="{592509C0-4504-4924-BC21-3D6F2433BA8E}"/>
    <cellStyle name="Normal 5 5 11" xfId="9945" xr:uid="{174717D4-ACAB-4CE2-99F8-0AB8E03C9589}"/>
    <cellStyle name="Normal 5 5 11 2" xfId="28541" xr:uid="{201DCC6A-DBB7-4706-AD9E-DE487CF99B68}"/>
    <cellStyle name="Normal 5 5 12" xfId="19244" xr:uid="{534F2BA3-4865-4894-B545-11F54DB05F48}"/>
    <cellStyle name="Normal 5 5 2" xfId="465" xr:uid="{00000000-0005-0000-0000-00004D1B0000}"/>
    <cellStyle name="Normal 5 5 2 10" xfId="9946" xr:uid="{3AC89923-CA1E-43E7-8392-271F5A32DA1A}"/>
    <cellStyle name="Normal 5 5 2 10 2" xfId="28542" xr:uid="{AF6702CA-0297-40B1-80C5-9605492CF330}"/>
    <cellStyle name="Normal 5 5 2 11" xfId="19245" xr:uid="{9063BAF6-D84D-4BAD-9CF1-8240050DB568}"/>
    <cellStyle name="Normal 5 5 2 2" xfId="466" xr:uid="{00000000-0005-0000-0000-00004E1B0000}"/>
    <cellStyle name="Normal 5 5 2 2 10" xfId="19246" xr:uid="{0F39FC6E-4F1C-4B84-A3BF-0FF33A9B0B69}"/>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65067865-1380-489A-9777-2003AB1953D0}"/>
    <cellStyle name="Normal 5 5 2 2 2 2 2 2 2" xfId="35318" xr:uid="{9EAFBE53-4DA9-44FD-851B-D817BC9FAD16}"/>
    <cellStyle name="Normal 5 5 2 2 2 2 2 3" xfId="26021" xr:uid="{61AC5D42-A477-4356-9704-3FF93CEF88AC}"/>
    <cellStyle name="Normal 5 5 2 2 2 2 3" xfId="12505" xr:uid="{A71A71C2-C553-4570-844A-AC880CD7A561}"/>
    <cellStyle name="Normal 5 5 2 2 2 2 3 2" xfId="31101" xr:uid="{A094DE4F-7D2D-4EE3-9B28-A000DA929BA1}"/>
    <cellStyle name="Normal 5 5 2 2 2 2 4" xfId="21804" xr:uid="{363DBE7E-0131-4C60-B90F-B223C2430670}"/>
    <cellStyle name="Normal 5 5 2 2 2 3" xfId="5251" xr:uid="{00000000-0005-0000-0000-0000521B0000}"/>
    <cellStyle name="Normal 5 5 2 2 2 3 2" xfId="14577" xr:uid="{94B92EA4-EBBD-4DAD-A83E-0253CEA8650B}"/>
    <cellStyle name="Normal 5 5 2 2 2 3 2 2" xfId="33173" xr:uid="{AB2102B2-38CD-4B86-BE45-BCAAC97CEC34}"/>
    <cellStyle name="Normal 5 5 2 2 2 3 3" xfId="23876" xr:uid="{7DA411A2-E1E5-4622-96CE-16E6A7FABC7B}"/>
    <cellStyle name="Normal 5 5 2 2 2 4" xfId="9561" xr:uid="{FF1EB4DD-E23E-4228-816B-D59B021F724D}"/>
    <cellStyle name="Normal 5 5 2 2 2 4 2" xfId="18876" xr:uid="{51421067-9F32-48E4-B1E8-FE38548C3728}"/>
    <cellStyle name="Normal 5 5 2 2 2 4 2 2" xfId="37470" xr:uid="{00481CF2-2BFD-489B-A839-DF3005E9BD1E}"/>
    <cellStyle name="Normal 5 5 2 2 2 4 3" xfId="28173" xr:uid="{997008C9-9E4C-439C-874B-A19EA77DD828}"/>
    <cellStyle name="Normal 5 5 2 2 2 5" xfId="10360" xr:uid="{91782EDC-7ECB-4C2A-8727-3DF5B3363F7D}"/>
    <cellStyle name="Normal 5 5 2 2 2 5 2" xfId="28956" xr:uid="{CA9B4DE0-ECE9-4601-8D6C-D547D1FA647B}"/>
    <cellStyle name="Normal 5 5 2 2 2 6" xfId="19659" xr:uid="{71E92DCC-D420-4168-B39F-FF583EED23F1}"/>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386CBA45-326B-4E58-84B3-8DCD8A4275F6}"/>
    <cellStyle name="Normal 5 5 2 2 3 2 2 2 2" xfId="35731" xr:uid="{BA95E187-956D-402D-BF22-370D00807238}"/>
    <cellStyle name="Normal 5 5 2 2 3 2 2 3" xfId="26434" xr:uid="{E731EE8B-82F8-4B1A-85BF-6A6DA7DC0255}"/>
    <cellStyle name="Normal 5 5 2 2 3 2 3" xfId="12918" xr:uid="{9148A299-40F5-4D38-BA48-327505AAB5F6}"/>
    <cellStyle name="Normal 5 5 2 2 3 2 3 2" xfId="31514" xr:uid="{C9D2BBC7-7B10-4502-B0C4-D9A0FAC71B2D}"/>
    <cellStyle name="Normal 5 5 2 2 3 2 4" xfId="22217" xr:uid="{B9EC7536-F514-4CA8-B9C6-D4DBD36F568B}"/>
    <cellStyle name="Normal 5 5 2 2 3 3" xfId="5664" xr:uid="{00000000-0005-0000-0000-0000561B0000}"/>
    <cellStyle name="Normal 5 5 2 2 3 3 2" xfId="14990" xr:uid="{5E4E7A2A-AE92-43FC-A587-F5BAEA2FFECB}"/>
    <cellStyle name="Normal 5 5 2 2 3 3 2 2" xfId="33586" xr:uid="{72B7236D-890C-4F01-803E-8BE7B8945C78}"/>
    <cellStyle name="Normal 5 5 2 2 3 3 3" xfId="24289" xr:uid="{9C1C59EC-DB79-4CDE-A2C3-5A0B3D580109}"/>
    <cellStyle name="Normal 5 5 2 2 3 4" xfId="10773" xr:uid="{03786B54-FD31-4044-BD23-093E095633D8}"/>
    <cellStyle name="Normal 5 5 2 2 3 4 2" xfId="29369" xr:uid="{2C8316CB-B67B-4BEB-9603-ED4665DD46ED}"/>
    <cellStyle name="Normal 5 5 2 2 3 5" xfId="20072" xr:uid="{1DD58CE0-FB08-4355-BC11-6D018124F934}"/>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9FCCF665-F83B-41AE-BC0D-AEB0FE9D0010}"/>
    <cellStyle name="Normal 5 5 2 2 4 2 2 2 2" xfId="36144" xr:uid="{FACEADB1-6903-450A-985B-CB8EAC538EBF}"/>
    <cellStyle name="Normal 5 5 2 2 4 2 2 3" xfId="26847" xr:uid="{29C9723D-0063-465D-9166-1684F404F964}"/>
    <cellStyle name="Normal 5 5 2 2 4 2 3" xfId="13331" xr:uid="{5A8441CB-873F-4628-937F-6F627AAD5522}"/>
    <cellStyle name="Normal 5 5 2 2 4 2 3 2" xfId="31927" xr:uid="{0C704DD7-2E63-4971-A110-9199B1801D54}"/>
    <cellStyle name="Normal 5 5 2 2 4 2 4" xfId="22630" xr:uid="{D81E9A66-EEBF-466D-9003-3261BE415713}"/>
    <cellStyle name="Normal 5 5 2 2 4 3" xfId="6077" xr:uid="{00000000-0005-0000-0000-00005A1B0000}"/>
    <cellStyle name="Normal 5 5 2 2 4 3 2" xfId="15403" xr:uid="{24F6BE72-03DB-437C-B3DC-3B42D0153F23}"/>
    <cellStyle name="Normal 5 5 2 2 4 3 2 2" xfId="33999" xr:uid="{43AC40FF-2AC9-417D-92F2-D09A632EF269}"/>
    <cellStyle name="Normal 5 5 2 2 4 3 3" xfId="24702" xr:uid="{7C08C82C-1AE1-465E-BC34-EE149ABF6611}"/>
    <cellStyle name="Normal 5 5 2 2 4 4" xfId="11186" xr:uid="{DEE06CF5-C576-484C-A26A-EDC3E8AE1719}"/>
    <cellStyle name="Normal 5 5 2 2 4 4 2" xfId="29782" xr:uid="{637E5EA9-4948-406D-A80F-3947BC75DA27}"/>
    <cellStyle name="Normal 5 5 2 2 4 5" xfId="20485" xr:uid="{C4F79888-49DD-4F61-9C0F-846A3CF84449}"/>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144955A7-2AD4-4007-BC3C-CF3753C9AC3B}"/>
    <cellStyle name="Normal 5 5 2 2 5 2 2 2 2" xfId="36557" xr:uid="{247F47E2-1AE5-4D5B-9153-649CDA86D326}"/>
    <cellStyle name="Normal 5 5 2 2 5 2 2 3" xfId="27260" xr:uid="{ECF187CD-89B0-4679-A8CA-252C4656EA08}"/>
    <cellStyle name="Normal 5 5 2 2 5 2 3" xfId="13744" xr:uid="{9D120CEC-9CC9-4A0A-98D2-387A96F60533}"/>
    <cellStyle name="Normal 5 5 2 2 5 2 3 2" xfId="32340" xr:uid="{965AA169-DE99-4B95-B0B6-8E51D668A103}"/>
    <cellStyle name="Normal 5 5 2 2 5 2 4" xfId="23043" xr:uid="{F46FEA24-3856-4E79-A05C-8FE5815A5F7E}"/>
    <cellStyle name="Normal 5 5 2 2 5 3" xfId="6490" xr:uid="{00000000-0005-0000-0000-00005E1B0000}"/>
    <cellStyle name="Normal 5 5 2 2 5 3 2" xfId="15816" xr:uid="{29762345-05D6-425F-8FE9-B91BD48B22EA}"/>
    <cellStyle name="Normal 5 5 2 2 5 3 2 2" xfId="34412" xr:uid="{85319CC8-4F16-470A-94F4-E0B981D3D06C}"/>
    <cellStyle name="Normal 5 5 2 2 5 3 3" xfId="25115" xr:uid="{B12EE76C-8860-4191-AECA-EDD0B40895BB}"/>
    <cellStyle name="Normal 5 5 2 2 5 4" xfId="11599" xr:uid="{61400395-E002-426A-AF8D-BD1B33ADA4AE}"/>
    <cellStyle name="Normal 5 5 2 2 5 4 2" xfId="30195" xr:uid="{2557D565-13F2-4BAC-B5B3-F628BB8ACAF7}"/>
    <cellStyle name="Normal 5 5 2 2 5 5" xfId="20898" xr:uid="{D4534292-97C4-43D7-8949-10E6150CCD27}"/>
    <cellStyle name="Normal 5 5 2 2 6" xfId="2620" xr:uid="{00000000-0005-0000-0000-00005F1B0000}"/>
    <cellStyle name="Normal 5 5 2 2 6 2" xfId="6903" xr:uid="{00000000-0005-0000-0000-0000601B0000}"/>
    <cellStyle name="Normal 5 5 2 2 6 2 2" xfId="16229" xr:uid="{BED4A666-33A0-4097-817A-5D13E2F68630}"/>
    <cellStyle name="Normal 5 5 2 2 6 2 2 2" xfId="34825" xr:uid="{8B914CF5-2C31-4469-99A1-6E41CDEA8758}"/>
    <cellStyle name="Normal 5 5 2 2 6 2 3" xfId="25528" xr:uid="{FFE04AE9-23CB-4AE4-B205-20E78B811B9F}"/>
    <cellStyle name="Normal 5 5 2 2 6 3" xfId="12012" xr:uid="{64F427BB-0EE8-47F6-837E-DBF114F4BDD1}"/>
    <cellStyle name="Normal 5 5 2 2 6 3 2" xfId="30608" xr:uid="{EEC469C2-9A2A-4525-977C-E9AE2062A5EC}"/>
    <cellStyle name="Normal 5 5 2 2 6 4" xfId="21311" xr:uid="{D0653A06-D29A-4B13-A8C0-C7C57B4F5843}"/>
    <cellStyle name="Normal 5 5 2 2 7" xfId="4838" xr:uid="{00000000-0005-0000-0000-0000611B0000}"/>
    <cellStyle name="Normal 5 5 2 2 7 2" xfId="14164" xr:uid="{567C2AE8-A8AB-4CA0-AAC6-9FBA551E7F1E}"/>
    <cellStyle name="Normal 5 5 2 2 7 2 2" xfId="32760" xr:uid="{D9823E11-BACA-4085-A797-902A66A5D67B}"/>
    <cellStyle name="Normal 5 5 2 2 7 3" xfId="23463" xr:uid="{710A64DD-3379-4457-95F5-A132215C4765}"/>
    <cellStyle name="Normal 5 5 2 2 8" xfId="9136" xr:uid="{D41453B5-3BE6-4F01-B336-45A274529844}"/>
    <cellStyle name="Normal 5 5 2 2 8 2" xfId="18460" xr:uid="{A582BB90-237E-4130-832C-1DF9EF15E966}"/>
    <cellStyle name="Normal 5 5 2 2 8 2 2" xfId="37055" xr:uid="{D39CA24C-58AD-4FFA-A9DC-0747B62AF6B7}"/>
    <cellStyle name="Normal 5 5 2 2 8 3" xfId="27758" xr:uid="{EB6DB879-A4FC-4DF1-BFB0-3A474BB818A5}"/>
    <cellStyle name="Normal 5 5 2 2 9" xfId="9947" xr:uid="{5EA951A5-FBA6-4DEB-B80C-684DF95DBA31}"/>
    <cellStyle name="Normal 5 5 2 2 9 2" xfId="28543" xr:uid="{4168062D-7AC1-407B-8CC8-81B62B739B1F}"/>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3A895999-2263-40D1-9397-D245165A612E}"/>
    <cellStyle name="Normal 5 5 2 3 2 2 2 2" xfId="35317" xr:uid="{C5AD0FD2-5A32-402E-831C-F1E060C9C13F}"/>
    <cellStyle name="Normal 5 5 2 3 2 2 3" xfId="26020" xr:uid="{7A5916C2-63ED-4D58-8870-F19FF7EBEAD3}"/>
    <cellStyle name="Normal 5 5 2 3 2 3" xfId="12504" xr:uid="{D5A35D3D-023D-4F43-9BD6-D1C3DDD38189}"/>
    <cellStyle name="Normal 5 5 2 3 2 3 2" xfId="31100" xr:uid="{6E64A672-9AA4-456D-A0D3-D5342B189093}"/>
    <cellStyle name="Normal 5 5 2 3 2 4" xfId="21803" xr:uid="{3A6F7F51-779F-485E-9C1D-0519E1A5BB8C}"/>
    <cellStyle name="Normal 5 5 2 3 3" xfId="5250" xr:uid="{00000000-0005-0000-0000-0000651B0000}"/>
    <cellStyle name="Normal 5 5 2 3 3 2" xfId="14576" xr:uid="{A27CDBBA-715D-41FE-8D82-EE99C737B1DE}"/>
    <cellStyle name="Normal 5 5 2 3 3 2 2" xfId="33172" xr:uid="{3108C666-DFE4-4500-90CD-70034BE8346F}"/>
    <cellStyle name="Normal 5 5 2 3 3 3" xfId="23875" xr:uid="{CEEE5CEC-147C-4D86-9F69-BAEDDE41E2D7}"/>
    <cellStyle name="Normal 5 5 2 3 4" xfId="9354" xr:uid="{3251F49D-E700-469D-9840-28045D408641}"/>
    <cellStyle name="Normal 5 5 2 3 4 2" xfId="18669" xr:uid="{381C6B72-D8C6-4BFA-B97E-182C4412DE21}"/>
    <cellStyle name="Normal 5 5 2 3 4 2 2" xfId="37263" xr:uid="{606C26A9-08AA-4A03-8CD0-0EDC685EBA52}"/>
    <cellStyle name="Normal 5 5 2 3 4 3" xfId="27966" xr:uid="{CD14FB0D-F27B-44AC-AFFA-F1DFB90E62C7}"/>
    <cellStyle name="Normal 5 5 2 3 5" xfId="10359" xr:uid="{65265D73-632E-4FF5-ACCA-7406BC2A6198}"/>
    <cellStyle name="Normal 5 5 2 3 5 2" xfId="28955" xr:uid="{EFBF3BE9-420B-405F-B132-02F7E8E428E3}"/>
    <cellStyle name="Normal 5 5 2 3 6" xfId="19658" xr:uid="{F10790E6-66D7-4359-B697-621463C48F50}"/>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E194A00C-1CF5-420E-B219-A05186E1C6FC}"/>
    <cellStyle name="Normal 5 5 2 4 2 2 2 2" xfId="35730" xr:uid="{103217DC-380E-4845-8A69-221339EF670C}"/>
    <cellStyle name="Normal 5 5 2 4 2 2 3" xfId="26433" xr:uid="{A65B5A0B-D4B5-4E71-AF2B-1A5DA42E4BEE}"/>
    <cellStyle name="Normal 5 5 2 4 2 3" xfId="12917" xr:uid="{5A1D4F4A-B445-408D-8B0E-FC5853FF7DE9}"/>
    <cellStyle name="Normal 5 5 2 4 2 3 2" xfId="31513" xr:uid="{D344F56A-0C0F-4FB9-96B7-66BA40DA7D96}"/>
    <cellStyle name="Normal 5 5 2 4 2 4" xfId="22216" xr:uid="{BE313EC2-FF4B-47DA-8D8D-167F74D9F6B3}"/>
    <cellStyle name="Normal 5 5 2 4 3" xfId="5663" xr:uid="{00000000-0005-0000-0000-0000691B0000}"/>
    <cellStyle name="Normal 5 5 2 4 3 2" xfId="14989" xr:uid="{DB5C0E4A-1037-44D8-83A1-C23CE74A0F3C}"/>
    <cellStyle name="Normal 5 5 2 4 3 2 2" xfId="33585" xr:uid="{584C3122-7533-46D4-BFDC-3C7ECB78C1A9}"/>
    <cellStyle name="Normal 5 5 2 4 3 3" xfId="24288" xr:uid="{D9FCF740-8C39-4B6C-A49E-DF6DB906B986}"/>
    <cellStyle name="Normal 5 5 2 4 4" xfId="10772" xr:uid="{05D863E5-3B18-46FB-9BA7-63FEBC5BF2E2}"/>
    <cellStyle name="Normal 5 5 2 4 4 2" xfId="29368" xr:uid="{F93475A6-3271-4A5F-BDE9-5776EB501C62}"/>
    <cellStyle name="Normal 5 5 2 4 5" xfId="20071" xr:uid="{474DFF8A-FD40-4E50-86ED-ED5E154B7ECA}"/>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1A7B87B6-E59C-4390-B170-57E8E1C5637C}"/>
    <cellStyle name="Normal 5 5 2 5 2 2 2 2" xfId="36143" xr:uid="{28BC90D3-F7F0-465C-B21D-2243E385EFDE}"/>
    <cellStyle name="Normal 5 5 2 5 2 2 3" xfId="26846" xr:uid="{7E5508BC-39B5-49D3-A646-E713186FD4AC}"/>
    <cellStyle name="Normal 5 5 2 5 2 3" xfId="13330" xr:uid="{4B0B790E-62F0-4CD4-9F28-6C2C2AB0F3B3}"/>
    <cellStyle name="Normal 5 5 2 5 2 3 2" xfId="31926" xr:uid="{D176F2D1-1FF4-43C5-8E41-EBA9645D3CBE}"/>
    <cellStyle name="Normal 5 5 2 5 2 4" xfId="22629" xr:uid="{8378EA35-DC9C-478A-B0CC-CB1E4D3DA959}"/>
    <cellStyle name="Normal 5 5 2 5 3" xfId="6076" xr:uid="{00000000-0005-0000-0000-00006D1B0000}"/>
    <cellStyle name="Normal 5 5 2 5 3 2" xfId="15402" xr:uid="{203D8F06-DAC2-4FA5-BBFB-BF4F7A91D8DA}"/>
    <cellStyle name="Normal 5 5 2 5 3 2 2" xfId="33998" xr:uid="{34B1788E-6DEA-407E-B07F-B144D642487D}"/>
    <cellStyle name="Normal 5 5 2 5 3 3" xfId="24701" xr:uid="{698F073E-84D1-4491-85AE-9F181FB71BFB}"/>
    <cellStyle name="Normal 5 5 2 5 4" xfId="11185" xr:uid="{B66BF528-E8AA-4CEF-A5DA-BAEAEB1316A0}"/>
    <cellStyle name="Normal 5 5 2 5 4 2" xfId="29781" xr:uid="{764167B6-6446-448A-B120-2320087974D3}"/>
    <cellStyle name="Normal 5 5 2 5 5" xfId="20484" xr:uid="{D965CB4F-3258-4160-9412-2402391A5CE0}"/>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FFAA91C9-0A29-49AB-B949-14EFD00766DA}"/>
    <cellStyle name="Normal 5 5 2 6 2 2 2 2" xfId="36556" xr:uid="{031641E0-68B5-442D-AC15-D5BE2B301DC9}"/>
    <cellStyle name="Normal 5 5 2 6 2 2 3" xfId="27259" xr:uid="{CC2844ED-E152-4553-8184-8243A73BF6E1}"/>
    <cellStyle name="Normal 5 5 2 6 2 3" xfId="13743" xr:uid="{62D2F272-14A6-4622-8389-841358D545FE}"/>
    <cellStyle name="Normal 5 5 2 6 2 3 2" xfId="32339" xr:uid="{3F63E659-E28A-48AA-B831-F7C8523A083A}"/>
    <cellStyle name="Normal 5 5 2 6 2 4" xfId="23042" xr:uid="{CACB677C-7A2C-4BF9-AEA4-8BEBC840AA7D}"/>
    <cellStyle name="Normal 5 5 2 6 3" xfId="6489" xr:uid="{00000000-0005-0000-0000-0000711B0000}"/>
    <cellStyle name="Normal 5 5 2 6 3 2" xfId="15815" xr:uid="{2926B8B8-DA57-418D-B0BF-BD81684EAE8F}"/>
    <cellStyle name="Normal 5 5 2 6 3 2 2" xfId="34411" xr:uid="{0FD54334-3DEA-4C07-B57E-FD48D8543BDD}"/>
    <cellStyle name="Normal 5 5 2 6 3 3" xfId="25114" xr:uid="{1626AF06-C91E-4F6F-BCBD-39D3281A78C9}"/>
    <cellStyle name="Normal 5 5 2 6 4" xfId="11598" xr:uid="{606E3DF4-8317-487C-BFCB-805806060D47}"/>
    <cellStyle name="Normal 5 5 2 6 4 2" xfId="30194" xr:uid="{56BA6F94-B19E-4602-8862-8316030F5E42}"/>
    <cellStyle name="Normal 5 5 2 6 5" xfId="20897" xr:uid="{9550A12F-261C-42AB-99F5-F91B7321320C}"/>
    <cellStyle name="Normal 5 5 2 7" xfId="2619" xr:uid="{00000000-0005-0000-0000-0000721B0000}"/>
    <cellStyle name="Normal 5 5 2 7 2" xfId="6902" xr:uid="{00000000-0005-0000-0000-0000731B0000}"/>
    <cellStyle name="Normal 5 5 2 7 2 2" xfId="16228" xr:uid="{ECE8415D-4943-4A05-BD46-415E1E74E33C}"/>
    <cellStyle name="Normal 5 5 2 7 2 2 2" xfId="34824" xr:uid="{E1FA7498-CE09-4D4F-AD99-AF114AC28A0C}"/>
    <cellStyle name="Normal 5 5 2 7 2 3" xfId="25527" xr:uid="{F5462588-916E-4394-A598-6F12AE1659DB}"/>
    <cellStyle name="Normal 5 5 2 7 3" xfId="12011" xr:uid="{6172BA44-5BC9-4BDB-BBC6-ABA14757B95C}"/>
    <cellStyle name="Normal 5 5 2 7 3 2" xfId="30607" xr:uid="{7E72E3D5-55ED-4920-9590-A9CCBF4BDD00}"/>
    <cellStyle name="Normal 5 5 2 7 4" xfId="21310" xr:uid="{C7D1A35F-B460-4A25-BE30-C4D6300EF27B}"/>
    <cellStyle name="Normal 5 5 2 8" xfId="4837" xr:uid="{00000000-0005-0000-0000-0000741B0000}"/>
    <cellStyle name="Normal 5 5 2 8 2" xfId="14163" xr:uid="{15962F2E-ACD2-42D3-84A6-22F9339E57CF}"/>
    <cellStyle name="Normal 5 5 2 8 2 2" xfId="32759" xr:uid="{4D46725F-B8B3-43F8-8E2C-40BD85E482A3}"/>
    <cellStyle name="Normal 5 5 2 8 3" xfId="23462" xr:uid="{FCD6BC22-C7FD-4B7F-8F6C-B99B2B1DE4F0}"/>
    <cellStyle name="Normal 5 5 2 9" xfId="8929" xr:uid="{918246BA-1946-46D4-8BAF-6DC0C4DC8AC3}"/>
    <cellStyle name="Normal 5 5 2 9 2" xfId="18253" xr:uid="{5D5E6411-37DD-4484-81EF-774AADAEE7D2}"/>
    <cellStyle name="Normal 5 5 2 9 2 2" xfId="36848" xr:uid="{56269876-7D4D-4F85-BC89-A86ACCC43949}"/>
    <cellStyle name="Normal 5 5 2 9 3" xfId="27551" xr:uid="{D3A14F4B-ECDC-4142-8C97-02BED34596DD}"/>
    <cellStyle name="Normal 5 5 3" xfId="467" xr:uid="{00000000-0005-0000-0000-0000751B0000}"/>
    <cellStyle name="Normal 5 5 3 10" xfId="19247" xr:uid="{F23B40CB-6E68-4081-BCF0-A85C620F2F7D}"/>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4CEAAAD3-93C9-4BC1-83EE-E95353ADD5C8}"/>
    <cellStyle name="Normal 5 5 3 2 2 2 2 2" xfId="35319" xr:uid="{9F54CA84-C80D-4EDF-819C-92FE53B76B89}"/>
    <cellStyle name="Normal 5 5 3 2 2 2 3" xfId="26022" xr:uid="{E1281ADE-6DB1-42AD-B78B-EA141E57967B}"/>
    <cellStyle name="Normal 5 5 3 2 2 3" xfId="12506" xr:uid="{862E0D50-4B83-40B2-807B-C781B13B5F7F}"/>
    <cellStyle name="Normal 5 5 3 2 2 3 2" xfId="31102" xr:uid="{BA85F9FB-9660-4E46-AC00-9048E3016254}"/>
    <cellStyle name="Normal 5 5 3 2 2 4" xfId="21805" xr:uid="{3661F141-A256-4A79-98E1-F568B2EC9EB5}"/>
    <cellStyle name="Normal 5 5 3 2 3" xfId="5252" xr:uid="{00000000-0005-0000-0000-0000791B0000}"/>
    <cellStyle name="Normal 5 5 3 2 3 2" xfId="14578" xr:uid="{7513E56A-0285-4B5D-AAD0-D627428EF0B2}"/>
    <cellStyle name="Normal 5 5 3 2 3 2 2" xfId="33174" xr:uid="{02D8B762-8ADD-4133-AE70-E21C9BAEBBC7}"/>
    <cellStyle name="Normal 5 5 3 2 3 3" xfId="23877" xr:uid="{006EEFFD-A1E2-4B91-9406-CBEEF1DE25B8}"/>
    <cellStyle name="Normal 5 5 3 2 4" xfId="9458" xr:uid="{8AD16727-CFBF-4DB5-B58F-04D48E2B564D}"/>
    <cellStyle name="Normal 5 5 3 2 4 2" xfId="18773" xr:uid="{7E72D044-9A15-4DCF-AAE6-810915C08743}"/>
    <cellStyle name="Normal 5 5 3 2 4 2 2" xfId="37367" xr:uid="{39EF36F3-5762-46F6-8752-D2D2109FA513}"/>
    <cellStyle name="Normal 5 5 3 2 4 3" xfId="28070" xr:uid="{4118AEFA-A1E9-4C2F-A62F-F025814EEAD3}"/>
    <cellStyle name="Normal 5 5 3 2 5" xfId="10361" xr:uid="{F32700AA-356A-4ED4-895A-554D68B16EA1}"/>
    <cellStyle name="Normal 5 5 3 2 5 2" xfId="28957" xr:uid="{7EE18B95-82A1-43EC-B2E8-98682D570087}"/>
    <cellStyle name="Normal 5 5 3 2 6" xfId="19660" xr:uid="{8416F8E4-E61F-4DF1-B9CE-B266739F75BF}"/>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F561839D-A6F1-4293-8244-2F149EBC1A46}"/>
    <cellStyle name="Normal 5 5 3 3 2 2 2 2" xfId="35732" xr:uid="{788AE20B-4FBB-467F-BB6C-DFEFF4F300EC}"/>
    <cellStyle name="Normal 5 5 3 3 2 2 3" xfId="26435" xr:uid="{B3A19B93-4B35-45A8-A17A-3F328EDB6A62}"/>
    <cellStyle name="Normal 5 5 3 3 2 3" xfId="12919" xr:uid="{3E9DF667-67FE-4046-8D50-04CDE0AC9DE1}"/>
    <cellStyle name="Normal 5 5 3 3 2 3 2" xfId="31515" xr:uid="{8DB8EEAA-9174-4601-A043-F8FE24A11D36}"/>
    <cellStyle name="Normal 5 5 3 3 2 4" xfId="22218" xr:uid="{5D2D0E6C-C9DE-4B78-AA62-416023E66FAE}"/>
    <cellStyle name="Normal 5 5 3 3 3" xfId="5665" xr:uid="{00000000-0005-0000-0000-00007D1B0000}"/>
    <cellStyle name="Normal 5 5 3 3 3 2" xfId="14991" xr:uid="{46C1BE71-2C4D-4516-8FAC-F6E6FA270B6E}"/>
    <cellStyle name="Normal 5 5 3 3 3 2 2" xfId="33587" xr:uid="{59CDF6A0-3859-43B8-BE7F-4CB5FCA2BB6B}"/>
    <cellStyle name="Normal 5 5 3 3 3 3" xfId="24290" xr:uid="{FDCB0D24-EAFD-475A-AF26-D04AB82F9354}"/>
    <cellStyle name="Normal 5 5 3 3 4" xfId="10774" xr:uid="{F2ECD0BE-BEFF-4B67-9740-EECF0FAB5568}"/>
    <cellStyle name="Normal 5 5 3 3 4 2" xfId="29370" xr:uid="{BAA9B560-21EB-44A6-B646-AD7A44E34377}"/>
    <cellStyle name="Normal 5 5 3 3 5" xfId="20073" xr:uid="{5CA9EB6C-7CA1-4CB3-BBF8-98F15593C971}"/>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BD7DE195-5107-4DB2-BC2F-55518880DEF0}"/>
    <cellStyle name="Normal 5 5 3 4 2 2 2 2" xfId="36145" xr:uid="{CF81F942-25D1-40DF-A7FE-EB0A8C91E380}"/>
    <cellStyle name="Normal 5 5 3 4 2 2 3" xfId="26848" xr:uid="{254A260F-CBE5-4724-8326-3E5A64B2F4E8}"/>
    <cellStyle name="Normal 5 5 3 4 2 3" xfId="13332" xr:uid="{9BEC9F30-BC96-4E3C-A90D-F04F289A13A9}"/>
    <cellStyle name="Normal 5 5 3 4 2 3 2" xfId="31928" xr:uid="{D95E505D-8DFB-40F9-B211-B6FB477F2BFB}"/>
    <cellStyle name="Normal 5 5 3 4 2 4" xfId="22631" xr:uid="{574E4E29-545A-4221-B834-DAC20A80E5A4}"/>
    <cellStyle name="Normal 5 5 3 4 3" xfId="6078" xr:uid="{00000000-0005-0000-0000-0000811B0000}"/>
    <cellStyle name="Normal 5 5 3 4 3 2" xfId="15404" xr:uid="{B0B5BD2B-CA3F-4607-B05B-8956F4C27699}"/>
    <cellStyle name="Normal 5 5 3 4 3 2 2" xfId="34000" xr:uid="{90045124-71BB-424D-9498-3878171CEACD}"/>
    <cellStyle name="Normal 5 5 3 4 3 3" xfId="24703" xr:uid="{C1A6B0AB-7C5A-4130-8DDA-F9D1C2B3D442}"/>
    <cellStyle name="Normal 5 5 3 4 4" xfId="11187" xr:uid="{6C3E8C9B-C46B-4BFE-B85B-D742A7603927}"/>
    <cellStyle name="Normal 5 5 3 4 4 2" xfId="29783" xr:uid="{F8CF0EE3-DD94-49C0-BBBA-B2218255E362}"/>
    <cellStyle name="Normal 5 5 3 4 5" xfId="20486" xr:uid="{5452B372-B5E2-445E-8AEE-40A2B27CCF34}"/>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E27794EF-F4AC-4A79-9B03-AFBCA3B1BAA6}"/>
    <cellStyle name="Normal 5 5 3 5 2 2 2 2" xfId="36558" xr:uid="{AAB46124-34F7-48E6-9E3D-27DEEEBED07C}"/>
    <cellStyle name="Normal 5 5 3 5 2 2 3" xfId="27261" xr:uid="{9EC099C0-B679-4D6C-A8DE-7A662334617C}"/>
    <cellStyle name="Normal 5 5 3 5 2 3" xfId="13745" xr:uid="{D54B949A-8760-4DD4-9E98-F667586CB662}"/>
    <cellStyle name="Normal 5 5 3 5 2 3 2" xfId="32341" xr:uid="{BBFF114E-1981-468C-9D19-7C7E3D49ED1F}"/>
    <cellStyle name="Normal 5 5 3 5 2 4" xfId="23044" xr:uid="{7CCC8B41-2967-4D69-AD5C-292D864A04D8}"/>
    <cellStyle name="Normal 5 5 3 5 3" xfId="6491" xr:uid="{00000000-0005-0000-0000-0000851B0000}"/>
    <cellStyle name="Normal 5 5 3 5 3 2" xfId="15817" xr:uid="{BCB8D943-472B-4451-8958-EF7C930DC1EE}"/>
    <cellStyle name="Normal 5 5 3 5 3 2 2" xfId="34413" xr:uid="{62622B67-AC67-4C15-A3A3-975D26121748}"/>
    <cellStyle name="Normal 5 5 3 5 3 3" xfId="25116" xr:uid="{3275C7C0-78F2-42A2-BEFD-FC42753CD97C}"/>
    <cellStyle name="Normal 5 5 3 5 4" xfId="11600" xr:uid="{A253C399-3263-486D-8CD6-0AF23D8833B3}"/>
    <cellStyle name="Normal 5 5 3 5 4 2" xfId="30196" xr:uid="{E6BBC01F-BCBC-4175-B7B6-1E3A3A71AA8E}"/>
    <cellStyle name="Normal 5 5 3 5 5" xfId="20899" xr:uid="{1F7DC2D6-F174-4686-B9A8-C0DD333B8ACE}"/>
    <cellStyle name="Normal 5 5 3 6" xfId="2621" xr:uid="{00000000-0005-0000-0000-0000861B0000}"/>
    <cellStyle name="Normal 5 5 3 6 2" xfId="6904" xr:uid="{00000000-0005-0000-0000-0000871B0000}"/>
    <cellStyle name="Normal 5 5 3 6 2 2" xfId="16230" xr:uid="{BD081882-EBA9-453F-BAE3-DF1BC73512AB}"/>
    <cellStyle name="Normal 5 5 3 6 2 2 2" xfId="34826" xr:uid="{2FDEAF6C-9839-4EB0-9601-AF4EE18BE99A}"/>
    <cellStyle name="Normal 5 5 3 6 2 3" xfId="25529" xr:uid="{AEA2CBA7-ECF1-4DDD-B235-6AD983D64109}"/>
    <cellStyle name="Normal 5 5 3 6 3" xfId="12013" xr:uid="{6B8187E5-4D71-471A-9C04-27C398042DB7}"/>
    <cellStyle name="Normal 5 5 3 6 3 2" xfId="30609" xr:uid="{00DC03BD-4A7F-457E-B4D4-A437326527EC}"/>
    <cellStyle name="Normal 5 5 3 6 4" xfId="21312" xr:uid="{D631FBA0-162F-45AC-AE7D-5882D9F8B6F7}"/>
    <cellStyle name="Normal 5 5 3 7" xfId="4839" xr:uid="{00000000-0005-0000-0000-0000881B0000}"/>
    <cellStyle name="Normal 5 5 3 7 2" xfId="14165" xr:uid="{89477DA5-D392-42EA-951C-5D43E323C7DE}"/>
    <cellStyle name="Normal 5 5 3 7 2 2" xfId="32761" xr:uid="{8FA3C8E4-D9A2-4A0F-979D-7871A2B4151A}"/>
    <cellStyle name="Normal 5 5 3 7 3" xfId="23464" xr:uid="{4427A8E5-AA4E-4607-B85B-A9E549C8A5C8}"/>
    <cellStyle name="Normal 5 5 3 8" xfId="9033" xr:uid="{08F77EF7-8D03-42D9-B538-FE3582C4B971}"/>
    <cellStyle name="Normal 5 5 3 8 2" xfId="18357" xr:uid="{6651B5B8-F82C-4FFA-9977-2495168AE1E9}"/>
    <cellStyle name="Normal 5 5 3 8 2 2" xfId="36952" xr:uid="{D4299AB7-5B49-4A0D-AD69-AC14EDBC8708}"/>
    <cellStyle name="Normal 5 5 3 8 3" xfId="27655" xr:uid="{311ED528-47F0-483C-90E0-1695628771C8}"/>
    <cellStyle name="Normal 5 5 3 9" xfId="9948" xr:uid="{EB04B1EA-C73F-45BB-B39F-B816612E8840}"/>
    <cellStyle name="Normal 5 5 3 9 2" xfId="28544" xr:uid="{A113C3F2-A34B-4D65-BB16-E90CE7D7E16B}"/>
    <cellStyle name="Normal 5 5 4" xfId="938" xr:uid="{00000000-0005-0000-0000-0000891B0000}"/>
    <cellStyle name="Normal 5 5 4 2" xfId="3172" xr:uid="{00000000-0005-0000-0000-00008A1B0000}"/>
    <cellStyle name="Normal 5 5 4 2 2" xfId="7394" xr:uid="{00000000-0005-0000-0000-00008B1B0000}"/>
    <cellStyle name="Normal 5 5 4 2 2 2" xfId="16720" xr:uid="{4B3CB0E9-7808-47E5-881D-7987A69A4842}"/>
    <cellStyle name="Normal 5 5 4 2 2 2 2" xfId="35316" xr:uid="{7F84340D-1D0F-4D01-AC41-926533A5CB2C}"/>
    <cellStyle name="Normal 5 5 4 2 2 3" xfId="26019" xr:uid="{9EB7AA1A-19E8-46B6-9952-880B2ABABD6A}"/>
    <cellStyle name="Normal 5 5 4 2 3" xfId="12503" xr:uid="{350A8553-8D63-44C4-978C-7845A114D412}"/>
    <cellStyle name="Normal 5 5 4 2 3 2" xfId="31099" xr:uid="{30261210-47D5-44F2-AB42-C68794A907ED}"/>
    <cellStyle name="Normal 5 5 4 2 4" xfId="21802" xr:uid="{894026C6-687B-4AD9-BC24-7A93423DC722}"/>
    <cellStyle name="Normal 5 5 4 3" xfId="5249" xr:uid="{00000000-0005-0000-0000-00008C1B0000}"/>
    <cellStyle name="Normal 5 5 4 3 2" xfId="14575" xr:uid="{9FCE2B60-1900-4943-A886-D62678820E2C}"/>
    <cellStyle name="Normal 5 5 4 3 2 2" xfId="33171" xr:uid="{9144C18F-0407-4AC4-BCE7-2ACD3A149F6B}"/>
    <cellStyle name="Normal 5 5 4 3 3" xfId="23874" xr:uid="{7D865561-EB17-41D5-A964-6F76078E7F68}"/>
    <cellStyle name="Normal 5 5 4 4" xfId="9251" xr:uid="{4EAD9E35-D3C9-46BE-AE4D-29A1C6D5A6F7}"/>
    <cellStyle name="Normal 5 5 4 4 2" xfId="18566" xr:uid="{956094CC-328A-41C7-8AF3-F4364394C580}"/>
    <cellStyle name="Normal 5 5 4 4 2 2" xfId="37160" xr:uid="{C66DE323-3126-45E4-B2D2-90F6AFABD6B2}"/>
    <cellStyle name="Normal 5 5 4 4 3" xfId="27863" xr:uid="{D5C34014-3C1E-4CE2-9435-6B98C2DED50D}"/>
    <cellStyle name="Normal 5 5 4 5" xfId="10358" xr:uid="{8F28978B-D45C-4976-9F4B-C8C576A11B18}"/>
    <cellStyle name="Normal 5 5 4 5 2" xfId="28954" xr:uid="{E9AA6E10-8235-4BE1-B391-F5D6238627D7}"/>
    <cellStyle name="Normal 5 5 4 6" xfId="19657" xr:uid="{5ABD2345-916E-43BE-A0D1-7F4409CC027F}"/>
    <cellStyle name="Normal 5 5 5" xfId="1355" xr:uid="{00000000-0005-0000-0000-00008D1B0000}"/>
    <cellStyle name="Normal 5 5 5 2" xfId="3585" xr:uid="{00000000-0005-0000-0000-00008E1B0000}"/>
    <cellStyle name="Normal 5 5 5 2 2" xfId="7807" xr:uid="{00000000-0005-0000-0000-00008F1B0000}"/>
    <cellStyle name="Normal 5 5 5 2 2 2" xfId="17133" xr:uid="{701DAB6C-9116-466F-B991-1E88FC8FEA29}"/>
    <cellStyle name="Normal 5 5 5 2 2 2 2" xfId="35729" xr:uid="{80ECCB78-7CAE-4B63-A0BF-31C73F5E7E31}"/>
    <cellStyle name="Normal 5 5 5 2 2 3" xfId="26432" xr:uid="{1D0D2B4D-EB2C-4027-8663-B59A9ADE6374}"/>
    <cellStyle name="Normal 5 5 5 2 3" xfId="12916" xr:uid="{CF9FE383-5E4E-4F86-9DFD-A90955B6C417}"/>
    <cellStyle name="Normal 5 5 5 2 3 2" xfId="31512" xr:uid="{3690E381-3833-4592-B42A-50BBB684E4B1}"/>
    <cellStyle name="Normal 5 5 5 2 4" xfId="22215" xr:uid="{2072CF13-5400-4B8A-9675-4B7EE1A516F4}"/>
    <cellStyle name="Normal 5 5 5 3" xfId="5662" xr:uid="{00000000-0005-0000-0000-0000901B0000}"/>
    <cellStyle name="Normal 5 5 5 3 2" xfId="14988" xr:uid="{BEB69D63-8257-4502-A6CE-274AFDF55455}"/>
    <cellStyle name="Normal 5 5 5 3 2 2" xfId="33584" xr:uid="{CB3F6577-0D71-4C0B-9FBB-4B228C566BD6}"/>
    <cellStyle name="Normal 5 5 5 3 3" xfId="24287" xr:uid="{AA29D589-A5DA-448C-8A87-102811BD67B7}"/>
    <cellStyle name="Normal 5 5 5 4" xfId="10771" xr:uid="{C0391E0C-4C49-49C4-9C90-F796EA27B9B3}"/>
    <cellStyle name="Normal 5 5 5 4 2" xfId="29367" xr:uid="{A8A19527-4CB1-43C3-A492-961C3C0089C7}"/>
    <cellStyle name="Normal 5 5 5 5" xfId="20070" xr:uid="{CDA0F5B9-ED51-47AC-A8D9-A1563D8A741D}"/>
    <cellStyle name="Normal 5 5 6" xfId="1768" xr:uid="{00000000-0005-0000-0000-0000911B0000}"/>
    <cellStyle name="Normal 5 5 6 2" xfId="3998" xr:uid="{00000000-0005-0000-0000-0000921B0000}"/>
    <cellStyle name="Normal 5 5 6 2 2" xfId="8220" xr:uid="{00000000-0005-0000-0000-0000931B0000}"/>
    <cellStyle name="Normal 5 5 6 2 2 2" xfId="17546" xr:uid="{B4AE1F25-A698-4208-BA85-A9E5DA8E1DA4}"/>
    <cellStyle name="Normal 5 5 6 2 2 2 2" xfId="36142" xr:uid="{32057537-FEC2-491A-94D9-96B27E798B54}"/>
    <cellStyle name="Normal 5 5 6 2 2 3" xfId="26845" xr:uid="{B37FD662-CF1B-49A3-B6E3-A36E8CC579A8}"/>
    <cellStyle name="Normal 5 5 6 2 3" xfId="13329" xr:uid="{9D9EF7EE-A750-4216-A100-6404B73855F2}"/>
    <cellStyle name="Normal 5 5 6 2 3 2" xfId="31925" xr:uid="{4A267E79-1E4D-45B8-9F18-C975B53FE763}"/>
    <cellStyle name="Normal 5 5 6 2 4" xfId="22628" xr:uid="{A2E34B80-DE14-4A78-960F-21F38778A6FC}"/>
    <cellStyle name="Normal 5 5 6 3" xfId="6075" xr:uid="{00000000-0005-0000-0000-0000941B0000}"/>
    <cellStyle name="Normal 5 5 6 3 2" xfId="15401" xr:uid="{55DD3519-B6B2-4690-8368-216EFCFC79E9}"/>
    <cellStyle name="Normal 5 5 6 3 2 2" xfId="33997" xr:uid="{1ED6659D-75BE-4EB1-9CF3-25B547F761D2}"/>
    <cellStyle name="Normal 5 5 6 3 3" xfId="24700" xr:uid="{FE9D9C41-C056-4782-900D-75B5192690A5}"/>
    <cellStyle name="Normal 5 5 6 4" xfId="11184" xr:uid="{3B0F8D4A-6A7D-425D-AB5D-2A42E5745861}"/>
    <cellStyle name="Normal 5 5 6 4 2" xfId="29780" xr:uid="{ADB62622-5D24-49C0-BD97-96E9E42F63CA}"/>
    <cellStyle name="Normal 5 5 6 5" xfId="20483" xr:uid="{780BAAB9-5EF5-4069-884B-5CE27DD06986}"/>
    <cellStyle name="Normal 5 5 7" xfId="2182" xr:uid="{00000000-0005-0000-0000-0000951B0000}"/>
    <cellStyle name="Normal 5 5 7 2" xfId="4411" xr:uid="{00000000-0005-0000-0000-0000961B0000}"/>
    <cellStyle name="Normal 5 5 7 2 2" xfId="8633" xr:uid="{00000000-0005-0000-0000-0000971B0000}"/>
    <cellStyle name="Normal 5 5 7 2 2 2" xfId="17959" xr:uid="{955FFECF-EDE3-4DE3-865C-CC5896280C72}"/>
    <cellStyle name="Normal 5 5 7 2 2 2 2" xfId="36555" xr:uid="{79D702EE-6096-4E14-8B4D-B2EB913D997F}"/>
    <cellStyle name="Normal 5 5 7 2 2 3" xfId="27258" xr:uid="{B0F95FD0-A34D-4FF4-B87C-5D2592DE8B5B}"/>
    <cellStyle name="Normal 5 5 7 2 3" xfId="13742" xr:uid="{91050C53-8966-4ED6-B026-A8DDA70A719F}"/>
    <cellStyle name="Normal 5 5 7 2 3 2" xfId="32338" xr:uid="{95F1E09F-9336-427B-8FF4-74EBA9C3F816}"/>
    <cellStyle name="Normal 5 5 7 2 4" xfId="23041" xr:uid="{2E957DBE-ADF5-4266-89FE-72F5F824C094}"/>
    <cellStyle name="Normal 5 5 7 3" xfId="6488" xr:uid="{00000000-0005-0000-0000-0000981B0000}"/>
    <cellStyle name="Normal 5 5 7 3 2" xfId="15814" xr:uid="{0A639B87-B987-4624-A8AD-7FB6700F306A}"/>
    <cellStyle name="Normal 5 5 7 3 2 2" xfId="34410" xr:uid="{F358ECCE-2C6E-4799-8973-65502517C557}"/>
    <cellStyle name="Normal 5 5 7 3 3" xfId="25113" xr:uid="{EB583F5C-5ADE-49BD-8265-0805372F2067}"/>
    <cellStyle name="Normal 5 5 7 4" xfId="11597" xr:uid="{EDFD0BEB-5928-453B-AFD6-0B1A671A7794}"/>
    <cellStyle name="Normal 5 5 7 4 2" xfId="30193" xr:uid="{8E1EC253-3511-4045-99B0-C4E24F787770}"/>
    <cellStyle name="Normal 5 5 7 5" xfId="20896" xr:uid="{E51BDF60-A0DF-4A23-B4C9-DDEDB918D04A}"/>
    <cellStyle name="Normal 5 5 8" xfId="2618" xr:uid="{00000000-0005-0000-0000-0000991B0000}"/>
    <cellStyle name="Normal 5 5 8 2" xfId="6901" xr:uid="{00000000-0005-0000-0000-00009A1B0000}"/>
    <cellStyle name="Normal 5 5 8 2 2" xfId="16227" xr:uid="{A20C4DE5-E5DC-4D96-9A15-539094218EE6}"/>
    <cellStyle name="Normal 5 5 8 2 2 2" xfId="34823" xr:uid="{C4C2371B-9382-4270-A8FA-279F60370BA9}"/>
    <cellStyle name="Normal 5 5 8 2 3" xfId="25526" xr:uid="{89039ECE-D828-4FBB-8CD6-C394D57B9F97}"/>
    <cellStyle name="Normal 5 5 8 3" xfId="12010" xr:uid="{67819B1E-0242-4A8B-BA87-A8C346D802D5}"/>
    <cellStyle name="Normal 5 5 8 3 2" xfId="30606" xr:uid="{215560FA-A910-4932-A603-F8E2994631F1}"/>
    <cellStyle name="Normal 5 5 8 4" xfId="21309" xr:uid="{254BE7A5-8CD2-484E-863A-783D905BBB52}"/>
    <cellStyle name="Normal 5 5 9" xfId="4836" xr:uid="{00000000-0005-0000-0000-00009B1B0000}"/>
    <cellStyle name="Normal 5 5 9 2" xfId="14162" xr:uid="{4401148A-014C-491C-92C8-FB9079F4002B}"/>
    <cellStyle name="Normal 5 5 9 2 2" xfId="32758" xr:uid="{C33937CE-A5CB-4B86-B0F9-7642549018C7}"/>
    <cellStyle name="Normal 5 5 9 3" xfId="23461" xr:uid="{4046097F-1328-4C34-A59F-ED23D52E8225}"/>
    <cellStyle name="Normal 5 6" xfId="468" xr:uid="{00000000-0005-0000-0000-00009C1B0000}"/>
    <cellStyle name="Normal 5 6 10" xfId="9949" xr:uid="{FA091D15-569D-4A75-BFEB-406D54C069C9}"/>
    <cellStyle name="Normal 5 6 10 2" xfId="28545" xr:uid="{A670538A-D572-4DF6-98A2-3A518DB6822D}"/>
    <cellStyle name="Normal 5 6 11" xfId="19248" xr:uid="{3D779F28-0596-4829-8449-C360B2950513}"/>
    <cellStyle name="Normal 5 6 2" xfId="469" xr:uid="{00000000-0005-0000-0000-00009D1B0000}"/>
    <cellStyle name="Normal 5 6 2 10" xfId="19249" xr:uid="{971E35B6-FB80-40E0-A285-E659998DE392}"/>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389844CF-B8FC-4409-82AF-E1871830988B}"/>
    <cellStyle name="Normal 5 6 2 2 2 2 2 2" xfId="35321" xr:uid="{23E4EA58-BB02-443A-803C-D84FB9278381}"/>
    <cellStyle name="Normal 5 6 2 2 2 2 3" xfId="26024" xr:uid="{513D7B1C-8076-4EE0-8642-2435666B8037}"/>
    <cellStyle name="Normal 5 6 2 2 2 3" xfId="12508" xr:uid="{5E099FA7-B7F7-4725-839B-19A8C17BF0F4}"/>
    <cellStyle name="Normal 5 6 2 2 2 3 2" xfId="31104" xr:uid="{186A16E5-FDA7-48D1-8D8E-8F531E90DEEC}"/>
    <cellStyle name="Normal 5 6 2 2 2 4" xfId="21807" xr:uid="{83BB19CF-5550-4DC0-AF5B-57DDB23C7258}"/>
    <cellStyle name="Normal 5 6 2 2 3" xfId="5254" xr:uid="{00000000-0005-0000-0000-0000A11B0000}"/>
    <cellStyle name="Normal 5 6 2 2 3 2" xfId="14580" xr:uid="{A991D574-15D2-4FBC-A86B-89FEAF7D495A}"/>
    <cellStyle name="Normal 5 6 2 2 3 2 2" xfId="33176" xr:uid="{0A3A4F92-6ADA-479C-B6E5-7756FF3AB75E}"/>
    <cellStyle name="Normal 5 6 2 2 3 3" xfId="23879" xr:uid="{6C922C17-CA9B-437A-A0A0-1852AC2CEFED}"/>
    <cellStyle name="Normal 5 6 2 2 4" xfId="9476" xr:uid="{3B3E6CA1-4D97-4B11-99D5-4F82314AA0E0}"/>
    <cellStyle name="Normal 5 6 2 2 4 2" xfId="18791" xr:uid="{5BD39E02-22E9-44E4-8FBF-1FCB640B58C7}"/>
    <cellStyle name="Normal 5 6 2 2 4 2 2" xfId="37385" xr:uid="{C3BB4C98-D2C7-4599-96AF-D75573DD239A}"/>
    <cellStyle name="Normal 5 6 2 2 4 3" xfId="28088" xr:uid="{B1DC07A1-B6B3-438F-9737-D38DE0F41AAE}"/>
    <cellStyle name="Normal 5 6 2 2 5" xfId="10363" xr:uid="{D8118761-FEDE-466E-BFC6-929DA31FFA47}"/>
    <cellStyle name="Normal 5 6 2 2 5 2" xfId="28959" xr:uid="{F9D741CD-A0DD-4D14-8B8C-0E0C32C05E22}"/>
    <cellStyle name="Normal 5 6 2 2 6" xfId="19662" xr:uid="{88F8FEE5-7288-46C5-AFE5-05840BB0BE95}"/>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4AFE760F-D262-4243-BF70-AF948B7330C9}"/>
    <cellStyle name="Normal 5 6 2 3 2 2 2 2" xfId="35734" xr:uid="{206A9913-2369-44C8-9215-2CB56F4D42D1}"/>
    <cellStyle name="Normal 5 6 2 3 2 2 3" xfId="26437" xr:uid="{07BA4F29-EC08-4089-A16A-8D2B1E955F46}"/>
    <cellStyle name="Normal 5 6 2 3 2 3" xfId="12921" xr:uid="{8592FC43-E85D-4095-8D35-41329ADEFDDA}"/>
    <cellStyle name="Normal 5 6 2 3 2 3 2" xfId="31517" xr:uid="{7590E252-670F-41BE-B791-F7FB2A6D7305}"/>
    <cellStyle name="Normal 5 6 2 3 2 4" xfId="22220" xr:uid="{B909EFE5-2B72-4EB7-AF02-E1A823E81A76}"/>
    <cellStyle name="Normal 5 6 2 3 3" xfId="5667" xr:uid="{00000000-0005-0000-0000-0000A51B0000}"/>
    <cellStyle name="Normal 5 6 2 3 3 2" xfId="14993" xr:uid="{3EF026A4-C938-4499-89B2-D661BB9AB5D3}"/>
    <cellStyle name="Normal 5 6 2 3 3 2 2" xfId="33589" xr:uid="{B00F13ED-8A0A-4BA9-9F64-570FF3DDBBBC}"/>
    <cellStyle name="Normal 5 6 2 3 3 3" xfId="24292" xr:uid="{31CA7E2B-A2D7-41C1-A885-8CC5A2E8740E}"/>
    <cellStyle name="Normal 5 6 2 3 4" xfId="10776" xr:uid="{CD95068B-DBA0-4A2C-A356-CA97008A7BFC}"/>
    <cellStyle name="Normal 5 6 2 3 4 2" xfId="29372" xr:uid="{3D9D75B4-5A04-42F4-B46B-D25865653D39}"/>
    <cellStyle name="Normal 5 6 2 3 5" xfId="20075" xr:uid="{A063494B-33FD-4C04-86FB-6A30121922E6}"/>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ADE58A5A-B0DE-4D5B-988B-2E8D993F9482}"/>
    <cellStyle name="Normal 5 6 2 4 2 2 2 2" xfId="36147" xr:uid="{DED7AF72-3E24-4284-9FF8-55CFEF402789}"/>
    <cellStyle name="Normal 5 6 2 4 2 2 3" xfId="26850" xr:uid="{27BA1E0E-5E01-478C-8551-E55649F32EF5}"/>
    <cellStyle name="Normal 5 6 2 4 2 3" xfId="13334" xr:uid="{77A4359B-9876-4E0B-9778-011BC5D3E165}"/>
    <cellStyle name="Normal 5 6 2 4 2 3 2" xfId="31930" xr:uid="{4342E46F-5E5A-41A9-9BFE-95AF1A0801CA}"/>
    <cellStyle name="Normal 5 6 2 4 2 4" xfId="22633" xr:uid="{BA3C2313-3C48-4468-9FF3-21DE97BFA129}"/>
    <cellStyle name="Normal 5 6 2 4 3" xfId="6080" xr:uid="{00000000-0005-0000-0000-0000A91B0000}"/>
    <cellStyle name="Normal 5 6 2 4 3 2" xfId="15406" xr:uid="{C774F58F-F278-409C-BE92-395CFCD42EE3}"/>
    <cellStyle name="Normal 5 6 2 4 3 2 2" xfId="34002" xr:uid="{D3F54C8C-5584-4FC3-973F-B69A9B42DB68}"/>
    <cellStyle name="Normal 5 6 2 4 3 3" xfId="24705" xr:uid="{8755C88C-9884-4BB5-9C4F-0D4AAC6C8832}"/>
    <cellStyle name="Normal 5 6 2 4 4" xfId="11189" xr:uid="{F0BE9B40-77A8-4486-BB0F-3C5BA9779E50}"/>
    <cellStyle name="Normal 5 6 2 4 4 2" xfId="29785" xr:uid="{D4C681D1-42C3-4BAF-A6A2-37EE36A48957}"/>
    <cellStyle name="Normal 5 6 2 4 5" xfId="20488" xr:uid="{C069C15A-210F-44C8-8EE3-F4537772AE77}"/>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60FC5155-85F3-44CA-BB36-77A25D0D7ED4}"/>
    <cellStyle name="Normal 5 6 2 5 2 2 2 2" xfId="36560" xr:uid="{5EEA2F13-D459-44BB-AFF0-7F79307CC5E8}"/>
    <cellStyle name="Normal 5 6 2 5 2 2 3" xfId="27263" xr:uid="{565EC9D6-DA46-4403-A408-40D7EFFB842C}"/>
    <cellStyle name="Normal 5 6 2 5 2 3" xfId="13747" xr:uid="{4BCFDDB5-5A87-4AEB-ADA5-BA6F592782CA}"/>
    <cellStyle name="Normal 5 6 2 5 2 3 2" xfId="32343" xr:uid="{D3056DAE-DFF3-4C6A-A09D-741F7CBDD066}"/>
    <cellStyle name="Normal 5 6 2 5 2 4" xfId="23046" xr:uid="{B20AFC12-A656-4A2D-9D38-F2225CEB9CFE}"/>
    <cellStyle name="Normal 5 6 2 5 3" xfId="6493" xr:uid="{00000000-0005-0000-0000-0000AD1B0000}"/>
    <cellStyle name="Normal 5 6 2 5 3 2" xfId="15819" xr:uid="{B3F3A781-9D56-400A-AFF5-ED086B37E94B}"/>
    <cellStyle name="Normal 5 6 2 5 3 2 2" xfId="34415" xr:uid="{043B77CC-72FC-4FAF-8432-D1590A387996}"/>
    <cellStyle name="Normal 5 6 2 5 3 3" xfId="25118" xr:uid="{CB37B89B-8B47-4967-A1B7-06543F04CB04}"/>
    <cellStyle name="Normal 5 6 2 5 4" xfId="11602" xr:uid="{266C1839-8361-4D56-A7D9-6E3941A56400}"/>
    <cellStyle name="Normal 5 6 2 5 4 2" xfId="30198" xr:uid="{FA7464CA-8908-47E7-9145-980555BF8124}"/>
    <cellStyle name="Normal 5 6 2 5 5" xfId="20901" xr:uid="{230E5735-2CAC-435D-A9B5-E86B9AAED6D2}"/>
    <cellStyle name="Normal 5 6 2 6" xfId="2623" xr:uid="{00000000-0005-0000-0000-0000AE1B0000}"/>
    <cellStyle name="Normal 5 6 2 6 2" xfId="6906" xr:uid="{00000000-0005-0000-0000-0000AF1B0000}"/>
    <cellStyle name="Normal 5 6 2 6 2 2" xfId="16232" xr:uid="{FCBCE110-EF25-47A6-B29C-AB9F50242739}"/>
    <cellStyle name="Normal 5 6 2 6 2 2 2" xfId="34828" xr:uid="{2DBC7C0E-199D-4136-80D4-97D7DF7A6421}"/>
    <cellStyle name="Normal 5 6 2 6 2 3" xfId="25531" xr:uid="{34F1E32F-057D-4A94-A7E9-C690476A6B94}"/>
    <cellStyle name="Normal 5 6 2 6 3" xfId="12015" xr:uid="{DE47B6C9-645E-4D8B-8642-192BA815C635}"/>
    <cellStyle name="Normal 5 6 2 6 3 2" xfId="30611" xr:uid="{8F19A706-A545-48F8-B811-F6CBF15DA6F0}"/>
    <cellStyle name="Normal 5 6 2 6 4" xfId="21314" xr:uid="{46A9D2D5-2C6A-4852-82D5-AF4D290C5E83}"/>
    <cellStyle name="Normal 5 6 2 7" xfId="4841" xr:uid="{00000000-0005-0000-0000-0000B01B0000}"/>
    <cellStyle name="Normal 5 6 2 7 2" xfId="14167" xr:uid="{64A0E21D-4E68-4D3D-83E1-0DA429EBD360}"/>
    <cellStyle name="Normal 5 6 2 7 2 2" xfId="32763" xr:uid="{437FF2D9-F464-48FE-832C-CAF32A3C0F9D}"/>
    <cellStyle name="Normal 5 6 2 7 3" xfId="23466" xr:uid="{BB434BEE-2528-4357-B3C2-DCCEF51972A1}"/>
    <cellStyle name="Normal 5 6 2 8" xfId="9051" xr:uid="{97C72229-9AC1-4DA9-8A0B-8B4B6D970DE8}"/>
    <cellStyle name="Normal 5 6 2 8 2" xfId="18375" xr:uid="{7BE0F247-2F16-45D6-9445-B47FDECAD63D}"/>
    <cellStyle name="Normal 5 6 2 8 2 2" xfId="36970" xr:uid="{2F01E50A-0FF0-478C-8638-2604161EE856}"/>
    <cellStyle name="Normal 5 6 2 8 3" xfId="27673" xr:uid="{D17B112C-5454-4C93-8FFE-3C0A0BC9D132}"/>
    <cellStyle name="Normal 5 6 2 9" xfId="9950" xr:uid="{12008C5F-0314-424E-A277-ABF75CBD9BB4}"/>
    <cellStyle name="Normal 5 6 2 9 2" xfId="28546" xr:uid="{DE5998A1-8F29-4A78-8274-416CDAD8AB7C}"/>
    <cellStyle name="Normal 5 6 3" xfId="942" xr:uid="{00000000-0005-0000-0000-0000B11B0000}"/>
    <cellStyle name="Normal 5 6 3 2" xfId="3176" xr:uid="{00000000-0005-0000-0000-0000B21B0000}"/>
    <cellStyle name="Normal 5 6 3 2 2" xfId="7398" xr:uid="{00000000-0005-0000-0000-0000B31B0000}"/>
    <cellStyle name="Normal 5 6 3 2 2 2" xfId="16724" xr:uid="{838DBD60-9B4D-4788-82B2-61AA09832114}"/>
    <cellStyle name="Normal 5 6 3 2 2 2 2" xfId="35320" xr:uid="{4C30BC23-6238-420D-B3C3-7EF0E44FE76F}"/>
    <cellStyle name="Normal 5 6 3 2 2 3" xfId="26023" xr:uid="{2CE3544A-BC35-4ABE-AE9A-336222E44D8B}"/>
    <cellStyle name="Normal 5 6 3 2 3" xfId="12507" xr:uid="{A3A930E7-F0E7-4B55-9BB4-F0E91FBC3FD5}"/>
    <cellStyle name="Normal 5 6 3 2 3 2" xfId="31103" xr:uid="{A24AF9BA-78D0-4638-9E4F-912F8A657E21}"/>
    <cellStyle name="Normal 5 6 3 2 4" xfId="21806" xr:uid="{D4D90729-8844-4010-830B-68C298096F16}"/>
    <cellStyle name="Normal 5 6 3 3" xfId="5253" xr:uid="{00000000-0005-0000-0000-0000B41B0000}"/>
    <cellStyle name="Normal 5 6 3 3 2" xfId="14579" xr:uid="{0BA1F348-A211-4E21-9FC9-4C68B09EFEA9}"/>
    <cellStyle name="Normal 5 6 3 3 2 2" xfId="33175" xr:uid="{E6D5299A-D3A5-4A83-803A-1FC158B32505}"/>
    <cellStyle name="Normal 5 6 3 3 3" xfId="23878" xr:uid="{DBEDEB78-4EBD-4798-9677-9F63197E9C60}"/>
    <cellStyle name="Normal 5 6 3 4" xfId="9269" xr:uid="{7D6728A0-C210-4F3F-8114-143B9AE0BFB4}"/>
    <cellStyle name="Normal 5 6 3 4 2" xfId="18584" xr:uid="{7D2036A7-0BE4-4D8B-91F6-FF3ABB87317D}"/>
    <cellStyle name="Normal 5 6 3 4 2 2" xfId="37178" xr:uid="{CD59795B-BBC9-4D6F-A43D-257C879B2D99}"/>
    <cellStyle name="Normal 5 6 3 4 3" xfId="27881" xr:uid="{0D033EBC-66FB-4BC1-A092-575377490554}"/>
    <cellStyle name="Normal 5 6 3 5" xfId="10362" xr:uid="{61AEB990-1F37-4FF3-B261-B6AF4A44627C}"/>
    <cellStyle name="Normal 5 6 3 5 2" xfId="28958" xr:uid="{6D1D5117-9D62-4A7B-A63C-D1DB70EDA108}"/>
    <cellStyle name="Normal 5 6 3 6" xfId="19661" xr:uid="{6619248D-8864-4874-A0B2-013ADB6F2C56}"/>
    <cellStyle name="Normal 5 6 4" xfId="1359" xr:uid="{00000000-0005-0000-0000-0000B51B0000}"/>
    <cellStyle name="Normal 5 6 4 2" xfId="3589" xr:uid="{00000000-0005-0000-0000-0000B61B0000}"/>
    <cellStyle name="Normal 5 6 4 2 2" xfId="7811" xr:uid="{00000000-0005-0000-0000-0000B71B0000}"/>
    <cellStyle name="Normal 5 6 4 2 2 2" xfId="17137" xr:uid="{02FF8803-BB4D-444D-9222-CE328546DD22}"/>
    <cellStyle name="Normal 5 6 4 2 2 2 2" xfId="35733" xr:uid="{4D356E28-03D8-48D1-A1DD-70901B35D949}"/>
    <cellStyle name="Normal 5 6 4 2 2 3" xfId="26436" xr:uid="{FF377913-6813-4712-9A9F-BF42992FF238}"/>
    <cellStyle name="Normal 5 6 4 2 3" xfId="12920" xr:uid="{21DF198C-CB26-4AF9-BEF2-03780BFF8832}"/>
    <cellStyle name="Normal 5 6 4 2 3 2" xfId="31516" xr:uid="{599AB87B-9F3E-46E7-8CE4-08DB92CD1292}"/>
    <cellStyle name="Normal 5 6 4 2 4" xfId="22219" xr:uid="{C14E7668-459F-42D3-9E3D-29B114B98C17}"/>
    <cellStyle name="Normal 5 6 4 3" xfId="5666" xr:uid="{00000000-0005-0000-0000-0000B81B0000}"/>
    <cellStyle name="Normal 5 6 4 3 2" xfId="14992" xr:uid="{EB4BB690-66CD-4E70-A458-AAEDD6717EBA}"/>
    <cellStyle name="Normal 5 6 4 3 2 2" xfId="33588" xr:uid="{7F8DE0E0-49CA-44E0-BB74-6DDE3B82BEB0}"/>
    <cellStyle name="Normal 5 6 4 3 3" xfId="24291" xr:uid="{4F1CD30A-D1AF-4A76-BA2A-DAD30737E11E}"/>
    <cellStyle name="Normal 5 6 4 4" xfId="10775" xr:uid="{270849DA-4174-46B8-8500-2E7D542B7CBC}"/>
    <cellStyle name="Normal 5 6 4 4 2" xfId="29371" xr:uid="{C0EEFA60-E24A-4614-A020-945333065D05}"/>
    <cellStyle name="Normal 5 6 4 5" xfId="20074" xr:uid="{F921DED7-1C93-4D0C-9B9A-37A3DE608950}"/>
    <cellStyle name="Normal 5 6 5" xfId="1772" xr:uid="{00000000-0005-0000-0000-0000B91B0000}"/>
    <cellStyle name="Normal 5 6 5 2" xfId="4002" xr:uid="{00000000-0005-0000-0000-0000BA1B0000}"/>
    <cellStyle name="Normal 5 6 5 2 2" xfId="8224" xr:uid="{00000000-0005-0000-0000-0000BB1B0000}"/>
    <cellStyle name="Normal 5 6 5 2 2 2" xfId="17550" xr:uid="{1881C9F1-FDC4-4009-A389-6C4EACD59C79}"/>
    <cellStyle name="Normal 5 6 5 2 2 2 2" xfId="36146" xr:uid="{A57E31D5-DC94-4814-9968-94ECCA2A32F2}"/>
    <cellStyle name="Normal 5 6 5 2 2 3" xfId="26849" xr:uid="{AE768222-47C6-4DEF-9C1F-0C64499499C2}"/>
    <cellStyle name="Normal 5 6 5 2 3" xfId="13333" xr:uid="{DF734F57-51EB-48AB-B4B1-C6A834545912}"/>
    <cellStyle name="Normal 5 6 5 2 3 2" xfId="31929" xr:uid="{9827870C-FCB2-4ADF-B4E8-77CFC0EB6D87}"/>
    <cellStyle name="Normal 5 6 5 2 4" xfId="22632" xr:uid="{EFCDEE3E-EC55-4259-9608-CB95555E2942}"/>
    <cellStyle name="Normal 5 6 5 3" xfId="6079" xr:uid="{00000000-0005-0000-0000-0000BC1B0000}"/>
    <cellStyle name="Normal 5 6 5 3 2" xfId="15405" xr:uid="{98F291E0-44F6-4DBD-8BB4-900349D7C0E3}"/>
    <cellStyle name="Normal 5 6 5 3 2 2" xfId="34001" xr:uid="{C9702375-03B0-476F-AF63-966780708215}"/>
    <cellStyle name="Normal 5 6 5 3 3" xfId="24704" xr:uid="{D9F75A6E-9445-44F1-B6F7-560D50E3563E}"/>
    <cellStyle name="Normal 5 6 5 4" xfId="11188" xr:uid="{EEF68792-D904-4E3E-BF3E-86DD6C1B7DF7}"/>
    <cellStyle name="Normal 5 6 5 4 2" xfId="29784" xr:uid="{EAE0DCAD-51BC-4673-A318-86869490F774}"/>
    <cellStyle name="Normal 5 6 5 5" xfId="20487" xr:uid="{D9534B7A-9D26-4725-A309-618FE0FFEDF6}"/>
    <cellStyle name="Normal 5 6 6" xfId="2186" xr:uid="{00000000-0005-0000-0000-0000BD1B0000}"/>
    <cellStyle name="Normal 5 6 6 2" xfId="4415" xr:uid="{00000000-0005-0000-0000-0000BE1B0000}"/>
    <cellStyle name="Normal 5 6 6 2 2" xfId="8637" xr:uid="{00000000-0005-0000-0000-0000BF1B0000}"/>
    <cellStyle name="Normal 5 6 6 2 2 2" xfId="17963" xr:uid="{A7D6CFB5-3355-4645-B769-E6E9D0CA8590}"/>
    <cellStyle name="Normal 5 6 6 2 2 2 2" xfId="36559" xr:uid="{19DF1ED6-7086-459C-8227-31A37F2CE69D}"/>
    <cellStyle name="Normal 5 6 6 2 2 3" xfId="27262" xr:uid="{5DF9459B-F835-4777-99A6-B0EEE5A46FC4}"/>
    <cellStyle name="Normal 5 6 6 2 3" xfId="13746" xr:uid="{DD91700E-EB1F-4B94-90F5-891FDDDB5AE0}"/>
    <cellStyle name="Normal 5 6 6 2 3 2" xfId="32342" xr:uid="{8E44AC0A-04DF-4D4E-A58A-84B6AFDE71A0}"/>
    <cellStyle name="Normal 5 6 6 2 4" xfId="23045" xr:uid="{4615C1D7-FB5E-4518-BFE8-CE8F47EB39BA}"/>
    <cellStyle name="Normal 5 6 6 3" xfId="6492" xr:uid="{00000000-0005-0000-0000-0000C01B0000}"/>
    <cellStyle name="Normal 5 6 6 3 2" xfId="15818" xr:uid="{8950E477-9E9B-445F-9305-66836C723C16}"/>
    <cellStyle name="Normal 5 6 6 3 2 2" xfId="34414" xr:uid="{080BDF6F-A587-4B42-9C36-1230A591C7AC}"/>
    <cellStyle name="Normal 5 6 6 3 3" xfId="25117" xr:uid="{518BC361-0CED-4661-917C-BE5C093A2548}"/>
    <cellStyle name="Normal 5 6 6 4" xfId="11601" xr:uid="{530FDA2F-6BD1-49E0-AC87-B83F2B232033}"/>
    <cellStyle name="Normal 5 6 6 4 2" xfId="30197" xr:uid="{393A5409-BEA4-43D0-AED1-B15FCC3A3881}"/>
    <cellStyle name="Normal 5 6 6 5" xfId="20900" xr:uid="{54F041C0-847E-473B-8152-14E97131F1B4}"/>
    <cellStyle name="Normal 5 6 7" xfId="2622" xr:uid="{00000000-0005-0000-0000-0000C11B0000}"/>
    <cellStyle name="Normal 5 6 7 2" xfId="6905" xr:uid="{00000000-0005-0000-0000-0000C21B0000}"/>
    <cellStyle name="Normal 5 6 7 2 2" xfId="16231" xr:uid="{3AE6127B-596B-4577-BF4E-1902BF222FA9}"/>
    <cellStyle name="Normal 5 6 7 2 2 2" xfId="34827" xr:uid="{CB08B759-DD37-46C6-B744-CF91B46443BD}"/>
    <cellStyle name="Normal 5 6 7 2 3" xfId="25530" xr:uid="{C19D6983-CDB9-47C8-BACE-661F41B9F561}"/>
    <cellStyle name="Normal 5 6 7 3" xfId="12014" xr:uid="{9CFFCDBE-2DB1-48A8-8410-B8E0D29CE963}"/>
    <cellStyle name="Normal 5 6 7 3 2" xfId="30610" xr:uid="{B1FB3A7E-6967-4E4C-8FA8-6261A83CD434}"/>
    <cellStyle name="Normal 5 6 7 4" xfId="21313" xr:uid="{1A306345-AA28-4B60-959D-64C3B1F7536B}"/>
    <cellStyle name="Normal 5 6 8" xfId="4840" xr:uid="{00000000-0005-0000-0000-0000C31B0000}"/>
    <cellStyle name="Normal 5 6 8 2" xfId="14166" xr:uid="{2DB18CE3-E9C9-49D9-B4DA-F0EB931000F6}"/>
    <cellStyle name="Normal 5 6 8 2 2" xfId="32762" xr:uid="{D68A0A16-C031-4519-917E-1BF407678EC6}"/>
    <cellStyle name="Normal 5 6 8 3" xfId="23465" xr:uid="{0D74CA5A-C264-4B80-B6DB-DC759641E941}"/>
    <cellStyle name="Normal 5 6 9" xfId="8844" xr:uid="{91B947E4-8FF0-409F-B157-688724766D9F}"/>
    <cellStyle name="Normal 5 6 9 2" xfId="18168" xr:uid="{6D66FFAA-F05C-479C-A76B-6AABA6879346}"/>
    <cellStyle name="Normal 5 6 9 2 2" xfId="36763" xr:uid="{A47AC161-62BD-4B6A-A68B-F3473037CB49}"/>
    <cellStyle name="Normal 5 6 9 3" xfId="27466" xr:uid="{FDC7EDA6-F4A5-4D12-B91A-54D36DDBC0A9}"/>
    <cellStyle name="Normal 5 7" xfId="470" xr:uid="{00000000-0005-0000-0000-0000C41B0000}"/>
    <cellStyle name="Normal 5 7 10" xfId="19250" xr:uid="{18B24E3C-0364-4BA7-8A09-DE02ABC21EC4}"/>
    <cellStyle name="Normal 5 7 2" xfId="944" xr:uid="{00000000-0005-0000-0000-0000C51B0000}"/>
    <cellStyle name="Normal 5 7 2 2" xfId="3178" xr:uid="{00000000-0005-0000-0000-0000C61B0000}"/>
    <cellStyle name="Normal 5 7 2 2 2" xfId="7400" xr:uid="{00000000-0005-0000-0000-0000C71B0000}"/>
    <cellStyle name="Normal 5 7 2 2 2 2" xfId="16726" xr:uid="{C7D2952C-5DCE-462E-82B3-C92E67660E82}"/>
    <cellStyle name="Normal 5 7 2 2 2 2 2" xfId="35322" xr:uid="{3FC52B5A-4786-4639-84D9-3A2412490E64}"/>
    <cellStyle name="Normal 5 7 2 2 2 3" xfId="26025" xr:uid="{08F347F4-D4C4-4DBA-8852-F9608E686F15}"/>
    <cellStyle name="Normal 5 7 2 2 3" xfId="12509" xr:uid="{0B314F43-CB2A-48ED-BB97-FC0486F71438}"/>
    <cellStyle name="Normal 5 7 2 2 3 2" xfId="31105" xr:uid="{6515337D-C32C-40C6-BC5F-A0FC0AF6AB2F}"/>
    <cellStyle name="Normal 5 7 2 2 4" xfId="21808" xr:uid="{3954DB83-FBAE-48FC-AE6D-188F4FD2B3E3}"/>
    <cellStyle name="Normal 5 7 2 3" xfId="5255" xr:uid="{00000000-0005-0000-0000-0000C81B0000}"/>
    <cellStyle name="Normal 5 7 2 3 2" xfId="14581" xr:uid="{4957E090-D7B5-4065-A5E5-49EC437A7736}"/>
    <cellStyle name="Normal 5 7 2 3 2 2" xfId="33177" xr:uid="{B4233ED1-420F-4AF4-B6E6-F0F8F26EF5F1}"/>
    <cellStyle name="Normal 5 7 2 3 3" xfId="23880" xr:uid="{F3E27865-DE4D-4242-A345-7BD05F489588}"/>
    <cellStyle name="Normal 5 7 2 4" xfId="9385" xr:uid="{2E4A3B0A-2E42-41AC-9564-09D1598995A2}"/>
    <cellStyle name="Normal 5 7 2 4 2" xfId="18700" xr:uid="{7164B717-105E-46BE-9CEE-BEDDCDDC7B83}"/>
    <cellStyle name="Normal 5 7 2 4 2 2" xfId="37294" xr:uid="{AA56215B-199D-4261-B4BB-5D6F12A63084}"/>
    <cellStyle name="Normal 5 7 2 4 3" xfId="27997" xr:uid="{4A3F2E0C-8257-4B29-AB0B-A82682D1374D}"/>
    <cellStyle name="Normal 5 7 2 5" xfId="10364" xr:uid="{AE277120-0175-4AD2-A1FC-D08D4E4FB3DD}"/>
    <cellStyle name="Normal 5 7 2 5 2" xfId="28960" xr:uid="{0CEB5B5F-B2D6-4B06-B569-FB0619CA0265}"/>
    <cellStyle name="Normal 5 7 2 6" xfId="19663" xr:uid="{70C08A5E-7485-4C65-88F3-F07EC23EA36B}"/>
    <cellStyle name="Normal 5 7 3" xfId="1361" xr:uid="{00000000-0005-0000-0000-0000C91B0000}"/>
    <cellStyle name="Normal 5 7 3 2" xfId="3591" xr:uid="{00000000-0005-0000-0000-0000CA1B0000}"/>
    <cellStyle name="Normal 5 7 3 2 2" xfId="7813" xr:uid="{00000000-0005-0000-0000-0000CB1B0000}"/>
    <cellStyle name="Normal 5 7 3 2 2 2" xfId="17139" xr:uid="{4D9C60C4-8A50-4FD0-98C2-EC7C493150FF}"/>
    <cellStyle name="Normal 5 7 3 2 2 2 2" xfId="35735" xr:uid="{4C00CDE1-B247-406C-A601-09A0840E2DBB}"/>
    <cellStyle name="Normal 5 7 3 2 2 3" xfId="26438" xr:uid="{B3CB392A-5ED8-483B-8686-3B03DCCCC2E4}"/>
    <cellStyle name="Normal 5 7 3 2 3" xfId="12922" xr:uid="{FD5C45E2-CA97-4933-9602-BDA4B03CE94E}"/>
    <cellStyle name="Normal 5 7 3 2 3 2" xfId="31518" xr:uid="{90554938-E661-4C6C-86AF-64FD9D880816}"/>
    <cellStyle name="Normal 5 7 3 2 4" xfId="22221" xr:uid="{369A7D21-7E96-4C83-BB50-565A727A5674}"/>
    <cellStyle name="Normal 5 7 3 3" xfId="5668" xr:uid="{00000000-0005-0000-0000-0000CC1B0000}"/>
    <cellStyle name="Normal 5 7 3 3 2" xfId="14994" xr:uid="{0147ACE0-2D35-4F60-A508-F32F51419806}"/>
    <cellStyle name="Normal 5 7 3 3 2 2" xfId="33590" xr:uid="{383BF881-BE11-445A-A2DF-2721D5A4FA5E}"/>
    <cellStyle name="Normal 5 7 3 3 3" xfId="24293" xr:uid="{8318F91B-5B8D-4C7D-9B11-089953B637DA}"/>
    <cellStyle name="Normal 5 7 3 4" xfId="10777" xr:uid="{4BBCF20C-99EA-4E53-9AE6-235DDB57E70B}"/>
    <cellStyle name="Normal 5 7 3 4 2" xfId="29373" xr:uid="{FFECFA90-B55B-4F96-8D21-E843B45182F5}"/>
    <cellStyle name="Normal 5 7 3 5" xfId="20076" xr:uid="{4BC5BA53-8F9B-4C72-BEA8-E73BED69F244}"/>
    <cellStyle name="Normal 5 7 4" xfId="1774" xr:uid="{00000000-0005-0000-0000-0000CD1B0000}"/>
    <cellStyle name="Normal 5 7 4 2" xfId="4004" xr:uid="{00000000-0005-0000-0000-0000CE1B0000}"/>
    <cellStyle name="Normal 5 7 4 2 2" xfId="8226" xr:uid="{00000000-0005-0000-0000-0000CF1B0000}"/>
    <cellStyle name="Normal 5 7 4 2 2 2" xfId="17552" xr:uid="{C730D03F-CE38-4E1D-8F98-F9537B7A5ADC}"/>
    <cellStyle name="Normal 5 7 4 2 2 2 2" xfId="36148" xr:uid="{0C49BDA4-79D3-4AF5-828B-1BE06CCAAC5E}"/>
    <cellStyle name="Normal 5 7 4 2 2 3" xfId="26851" xr:uid="{7EF100BC-5853-4CEE-80F9-24EF26F25089}"/>
    <cellStyle name="Normal 5 7 4 2 3" xfId="13335" xr:uid="{24F4C241-F35A-403E-9334-5E491939FAE6}"/>
    <cellStyle name="Normal 5 7 4 2 3 2" xfId="31931" xr:uid="{B80A10BA-3EEB-45C0-A848-CBE24AFF1AEC}"/>
    <cellStyle name="Normal 5 7 4 2 4" xfId="22634" xr:uid="{1E75D57E-5244-4B47-A2E7-5C2E0173BD13}"/>
    <cellStyle name="Normal 5 7 4 3" xfId="6081" xr:uid="{00000000-0005-0000-0000-0000D01B0000}"/>
    <cellStyle name="Normal 5 7 4 3 2" xfId="15407" xr:uid="{21681468-97CF-4F5A-866F-E743B7F782DE}"/>
    <cellStyle name="Normal 5 7 4 3 2 2" xfId="34003" xr:uid="{44644045-46D3-4AA2-B428-E410038399F3}"/>
    <cellStyle name="Normal 5 7 4 3 3" xfId="24706" xr:uid="{1778346E-BFB8-4034-84CD-963989709E0E}"/>
    <cellStyle name="Normal 5 7 4 4" xfId="11190" xr:uid="{1BA2EA94-4C10-43BF-BFAA-0E1BB0EBA961}"/>
    <cellStyle name="Normal 5 7 4 4 2" xfId="29786" xr:uid="{5218570E-B696-4888-B66E-79043F764169}"/>
    <cellStyle name="Normal 5 7 4 5" xfId="20489" xr:uid="{2501B361-ACE2-4D60-B06C-CA574594146A}"/>
    <cellStyle name="Normal 5 7 5" xfId="2188" xr:uid="{00000000-0005-0000-0000-0000D11B0000}"/>
    <cellStyle name="Normal 5 7 5 2" xfId="4417" xr:uid="{00000000-0005-0000-0000-0000D21B0000}"/>
    <cellStyle name="Normal 5 7 5 2 2" xfId="8639" xr:uid="{00000000-0005-0000-0000-0000D31B0000}"/>
    <cellStyle name="Normal 5 7 5 2 2 2" xfId="17965" xr:uid="{E730C6F9-BCA8-4281-A0A6-BD38E4B50FC3}"/>
    <cellStyle name="Normal 5 7 5 2 2 2 2" xfId="36561" xr:uid="{346766F9-AF26-4404-A176-4A9412795D5E}"/>
    <cellStyle name="Normal 5 7 5 2 2 3" xfId="27264" xr:uid="{8A260D80-938E-4D76-8E65-0856E690D5A6}"/>
    <cellStyle name="Normal 5 7 5 2 3" xfId="13748" xr:uid="{3F55C1E3-4374-4659-B71D-10C61AFFA927}"/>
    <cellStyle name="Normal 5 7 5 2 3 2" xfId="32344" xr:uid="{DF9C910D-233F-4F37-8B46-37836E63D6D9}"/>
    <cellStyle name="Normal 5 7 5 2 4" xfId="23047" xr:uid="{3CE37449-3708-4A3C-A19C-F127F2FA4C78}"/>
    <cellStyle name="Normal 5 7 5 3" xfId="6494" xr:uid="{00000000-0005-0000-0000-0000D41B0000}"/>
    <cellStyle name="Normal 5 7 5 3 2" xfId="15820" xr:uid="{06D84978-DCC8-44F5-9587-C82A76BB0BB3}"/>
    <cellStyle name="Normal 5 7 5 3 2 2" xfId="34416" xr:uid="{8253CA6B-72E0-4AC7-BE9C-44972CAF8673}"/>
    <cellStyle name="Normal 5 7 5 3 3" xfId="25119" xr:uid="{794B3E15-49B7-4822-A3EC-D90FCDE7A470}"/>
    <cellStyle name="Normal 5 7 5 4" xfId="11603" xr:uid="{43379408-9396-4AB9-BC03-8098D4BC80A2}"/>
    <cellStyle name="Normal 5 7 5 4 2" xfId="30199" xr:uid="{9BF743A6-2692-4ED2-95B8-1F20AEFA93E8}"/>
    <cellStyle name="Normal 5 7 5 5" xfId="20902" xr:uid="{9026B3AD-4964-4DD9-935D-F61136EEBBBF}"/>
    <cellStyle name="Normal 5 7 6" xfId="2624" xr:uid="{00000000-0005-0000-0000-0000D51B0000}"/>
    <cellStyle name="Normal 5 7 6 2" xfId="6907" xr:uid="{00000000-0005-0000-0000-0000D61B0000}"/>
    <cellStyle name="Normal 5 7 6 2 2" xfId="16233" xr:uid="{3BCDE629-D553-43CA-B6BD-07CB6A8CB4A2}"/>
    <cellStyle name="Normal 5 7 6 2 2 2" xfId="34829" xr:uid="{C175C974-39DF-426B-B03A-05BAC6B61764}"/>
    <cellStyle name="Normal 5 7 6 2 3" xfId="25532" xr:uid="{414E3872-A914-4EA4-B3E7-7A5297F2969F}"/>
    <cellStyle name="Normal 5 7 6 3" xfId="12016" xr:uid="{A09D541D-26DB-4B6E-850C-38959B10AA33}"/>
    <cellStyle name="Normal 5 7 6 3 2" xfId="30612" xr:uid="{56244C46-D184-480E-8A26-7A6F0CB7C4FA}"/>
    <cellStyle name="Normal 5 7 6 4" xfId="21315" xr:uid="{44B5944C-E1CD-4534-9D60-83C8AE6521F5}"/>
    <cellStyle name="Normal 5 7 7" xfId="4842" xr:uid="{00000000-0005-0000-0000-0000D71B0000}"/>
    <cellStyle name="Normal 5 7 7 2" xfId="14168" xr:uid="{0403BBE3-6C3B-4D78-A5EE-FB759E5ABB54}"/>
    <cellStyle name="Normal 5 7 7 2 2" xfId="32764" xr:uid="{46F25093-B29F-4685-A47D-2AF975F0CFCC}"/>
    <cellStyle name="Normal 5 7 7 3" xfId="23467" xr:uid="{D97B9C20-F6B1-4E67-A225-973CD2CDD289}"/>
    <cellStyle name="Normal 5 7 8" xfId="8960" xr:uid="{F4BEC964-53C9-4393-B7F1-69B47FC1FF25}"/>
    <cellStyle name="Normal 5 7 8 2" xfId="18284" xr:uid="{55E7E6F2-0A86-451C-8BDE-03860CCF489D}"/>
    <cellStyle name="Normal 5 7 8 2 2" xfId="36879" xr:uid="{BE05ED50-1F44-4AF4-AC61-F1743B28D5C4}"/>
    <cellStyle name="Normal 5 7 8 3" xfId="27582" xr:uid="{728B3D4C-A07C-4FEB-8B40-DECB8AB67CFB}"/>
    <cellStyle name="Normal 5 7 9" xfId="9951" xr:uid="{1AADB48E-F143-46F8-8C26-7CC5DC01B8E2}"/>
    <cellStyle name="Normal 5 7 9 2" xfId="28547" xr:uid="{B6E92B08-3AEC-432C-8C87-BDFD5592EEB2}"/>
    <cellStyle name="Normal 5 8" xfId="880" xr:uid="{00000000-0005-0000-0000-0000D81B0000}"/>
    <cellStyle name="Normal 5 8 2" xfId="3115" xr:uid="{00000000-0005-0000-0000-0000D91B0000}"/>
    <cellStyle name="Normal 5 8 2 2" xfId="7337" xr:uid="{00000000-0005-0000-0000-0000DA1B0000}"/>
    <cellStyle name="Normal 5 8 2 2 2" xfId="16663" xr:uid="{B46656CC-E867-40E9-9D87-5ED55EE17863}"/>
    <cellStyle name="Normal 5 8 2 2 2 2" xfId="35259" xr:uid="{A25C9F77-C4E4-42B9-B85F-A47F5DBD56AE}"/>
    <cellStyle name="Normal 5 8 2 2 3" xfId="25962" xr:uid="{1EC5A889-77D0-49BE-9B0C-E935B363D32B}"/>
    <cellStyle name="Normal 5 8 2 3" xfId="12446" xr:uid="{DEF40454-C7E9-4A78-A1B9-C03FE0FAA063}"/>
    <cellStyle name="Normal 5 8 2 3 2" xfId="31042" xr:uid="{973169D3-2BD3-4306-9D81-BA4AF859AC39}"/>
    <cellStyle name="Normal 5 8 2 4" xfId="21745" xr:uid="{C1348865-249A-4816-AFCB-A205EF2550A2}"/>
    <cellStyle name="Normal 5 8 3" xfId="5192" xr:uid="{00000000-0005-0000-0000-0000DB1B0000}"/>
    <cellStyle name="Normal 5 8 3 2" xfId="14518" xr:uid="{03B0DB9F-9A2B-42B1-A112-6673AEB3D739}"/>
    <cellStyle name="Normal 5 8 3 2 2" xfId="33114" xr:uid="{A6196EB3-DF8A-44E0-A4EA-EE08C48FA72D}"/>
    <cellStyle name="Normal 5 8 3 3" xfId="23817" xr:uid="{D3EAFA2C-6955-4980-A73E-620AD76F3D5E}"/>
    <cellStyle name="Normal 5 8 4" xfId="9163" xr:uid="{44C7CAD4-DD7C-48E0-9142-8ED22123C662}"/>
    <cellStyle name="Normal 5 8 4 2" xfId="18481" xr:uid="{0714AB1E-DF97-4418-87A7-A475B991D0AF}"/>
    <cellStyle name="Normal 5 8 4 2 2" xfId="37075" xr:uid="{C1E62EB1-1893-4D05-A5BC-2A10E316AC13}"/>
    <cellStyle name="Normal 5 8 4 3" xfId="27778" xr:uid="{558E80F4-23D4-4490-B007-E510AA485385}"/>
    <cellStyle name="Normal 5 8 5" xfId="10301" xr:uid="{891D00EB-DF88-4D18-870A-8048A19234DA}"/>
    <cellStyle name="Normal 5 8 5 2" xfId="28897" xr:uid="{521005E7-9E8E-4813-80F8-C50E27247495}"/>
    <cellStyle name="Normal 5 8 6" xfId="19600" xr:uid="{387AF63B-B685-46F6-8476-B030212D1092}"/>
    <cellStyle name="Normal 5 9" xfId="1298" xr:uid="{00000000-0005-0000-0000-0000DC1B0000}"/>
    <cellStyle name="Normal 5 9 2" xfId="3528" xr:uid="{00000000-0005-0000-0000-0000DD1B0000}"/>
    <cellStyle name="Normal 5 9 2 2" xfId="7750" xr:uid="{00000000-0005-0000-0000-0000DE1B0000}"/>
    <cellStyle name="Normal 5 9 2 2 2" xfId="17076" xr:uid="{1367E199-0C25-4277-A0AF-31AC23F606DA}"/>
    <cellStyle name="Normal 5 9 2 2 2 2" xfId="35672" xr:uid="{A2A11B97-4E63-4B0D-824F-E5B9BE54A330}"/>
    <cellStyle name="Normal 5 9 2 2 3" xfId="26375" xr:uid="{0193FB6E-CCFE-40F4-AA84-D4836B6BDF26}"/>
    <cellStyle name="Normal 5 9 2 3" xfId="12859" xr:uid="{EDDA9141-54E4-4385-BFC9-9FF1F392C625}"/>
    <cellStyle name="Normal 5 9 2 3 2" xfId="31455" xr:uid="{595054BB-C97A-417E-8543-0FB7F9873940}"/>
    <cellStyle name="Normal 5 9 2 4" xfId="22158" xr:uid="{9165641F-6A6E-4BB4-B71A-A15B53ECBD39}"/>
    <cellStyle name="Normal 5 9 3" xfId="5605" xr:uid="{00000000-0005-0000-0000-0000DF1B0000}"/>
    <cellStyle name="Normal 5 9 3 2" xfId="14931" xr:uid="{A2DECACA-6580-424A-AF70-63065AB35B0B}"/>
    <cellStyle name="Normal 5 9 3 2 2" xfId="33527" xr:uid="{FF61D548-B00E-4A54-B4E2-B6915AEA264E}"/>
    <cellStyle name="Normal 5 9 3 3" xfId="24230" xr:uid="{33F458CF-EF8E-4299-947C-63A9DD34E4BE}"/>
    <cellStyle name="Normal 5 9 4" xfId="10714" xr:uid="{BDDEDADA-7D8A-4D70-817B-78A8299D49AB}"/>
    <cellStyle name="Normal 5 9 4 2" xfId="29310" xr:uid="{D86646B7-CDB1-4004-AF7F-FF559837B8AD}"/>
    <cellStyle name="Normal 5 9 5" xfId="20013" xr:uid="{C2E2DEB7-C5DE-4617-8208-EB0140C22CD5}"/>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A7B99716-B3D0-4CDD-B563-FBAF61767AD4}"/>
    <cellStyle name="Normal 8 10 2 2 2 2" xfId="36562" xr:uid="{A8493EF6-CDA9-465A-BFE8-1079C163FCF8}"/>
    <cellStyle name="Normal 8 10 2 2 3" xfId="27265" xr:uid="{D5EA9184-BF29-4410-BF3B-63F26C3803BE}"/>
    <cellStyle name="Normal 8 10 2 3" xfId="13749" xr:uid="{70795CFB-728D-4303-A2E0-1EC63A46BD69}"/>
    <cellStyle name="Normal 8 10 2 3 2" xfId="32345" xr:uid="{94396EE2-BA91-4D5C-9C87-8F9D4980A6F2}"/>
    <cellStyle name="Normal 8 10 2 4" xfId="23048" xr:uid="{DE81401E-6FFC-436E-B564-FCCD67D1E0A4}"/>
    <cellStyle name="Normal 8 10 3" xfId="6495" xr:uid="{00000000-0005-0000-0000-0000EB1B0000}"/>
    <cellStyle name="Normal 8 10 3 2" xfId="15821" xr:uid="{2BD0B342-47CA-4BD4-A886-C3BCA512F6B2}"/>
    <cellStyle name="Normal 8 10 3 2 2" xfId="34417" xr:uid="{840BB4AC-A93B-4414-85B6-3DA7074BCD39}"/>
    <cellStyle name="Normal 8 10 3 3" xfId="25120" xr:uid="{690B3585-2D54-4FA0-B8BE-C5E4125AA5FA}"/>
    <cellStyle name="Normal 8 10 4" xfId="11604" xr:uid="{A40164FD-A49A-4059-AC9B-B18F488A9954}"/>
    <cellStyle name="Normal 8 10 4 2" xfId="30200" xr:uid="{FCB6F14A-4673-4BCB-9274-49B16F4AB099}"/>
    <cellStyle name="Normal 8 10 5" xfId="20903" xr:uid="{3AFB565C-EE45-41D7-9BA3-B9B27F5D6AC9}"/>
    <cellStyle name="Normal 8 11" xfId="2625" xr:uid="{00000000-0005-0000-0000-0000EC1B0000}"/>
    <cellStyle name="Normal 8 11 2" xfId="6908" xr:uid="{00000000-0005-0000-0000-0000ED1B0000}"/>
    <cellStyle name="Normal 8 11 2 2" xfId="16234" xr:uid="{0747EA45-AEE4-447C-B3A9-B3415AECB1E2}"/>
    <cellStyle name="Normal 8 11 2 2 2" xfId="34830" xr:uid="{6CB20E3A-D9BD-447B-97B1-72B30DAC7F53}"/>
    <cellStyle name="Normal 8 11 2 3" xfId="25533" xr:uid="{5085E86D-C38D-4328-A099-93CBCC7038F2}"/>
    <cellStyle name="Normal 8 11 3" xfId="12017" xr:uid="{DCC59241-7434-4623-A3DC-92E5A46B3759}"/>
    <cellStyle name="Normal 8 11 3 2" xfId="30613" xr:uid="{7D4A0969-EF73-48FC-9AC2-2789FF51D0E4}"/>
    <cellStyle name="Normal 8 11 4" xfId="21316" xr:uid="{9C39C117-097F-4491-98A1-71D797056A92}"/>
    <cellStyle name="Normal 8 12" xfId="4843" xr:uid="{00000000-0005-0000-0000-0000EE1B0000}"/>
    <cellStyle name="Normal 8 12 2" xfId="14169" xr:uid="{3A3D9A91-5735-4E7F-B284-D73CED952979}"/>
    <cellStyle name="Normal 8 12 2 2" xfId="32765" xr:uid="{82464036-41A6-4CF9-82E5-193FD7D8C503}"/>
    <cellStyle name="Normal 8 12 3" xfId="23468" xr:uid="{81DC0C09-3C64-4B5B-9C38-42E1461278A4}"/>
    <cellStyle name="Normal 8 13" xfId="8742" xr:uid="{AF36CBBC-3EEB-4AC8-923B-65C7C2418AB0}"/>
    <cellStyle name="Normal 8 13 2" xfId="18066" xr:uid="{76C5546A-F7F7-40C7-B749-577693B9F411}"/>
    <cellStyle name="Normal 8 13 2 2" xfId="36661" xr:uid="{C0E07BC0-E1E8-4F73-87A8-72DEE27CD50A}"/>
    <cellStyle name="Normal 8 13 3" xfId="27364" xr:uid="{2EF2E9B2-F39A-45FD-B539-576A40114E73}"/>
    <cellStyle name="Normal 8 14" xfId="9952" xr:uid="{6E6B5E4C-6EE3-4D7D-BAE8-1428B06BC45B}"/>
    <cellStyle name="Normal 8 14 2" xfId="28548" xr:uid="{519CB978-1A01-4542-8450-930B48B0EAF5}"/>
    <cellStyle name="Normal 8 15" xfId="19251" xr:uid="{443E654E-1DD1-474D-B37A-9F58A9225EDB}"/>
    <cellStyle name="Normal 8 2" xfId="479" xr:uid="{00000000-0005-0000-0000-0000EF1B0000}"/>
    <cellStyle name="Normal 8 2 10" xfId="2626" xr:uid="{00000000-0005-0000-0000-0000F01B0000}"/>
    <cellStyle name="Normal 8 2 10 2" xfId="6909" xr:uid="{00000000-0005-0000-0000-0000F11B0000}"/>
    <cellStyle name="Normal 8 2 10 2 2" xfId="16235" xr:uid="{5B408BA5-3428-4501-9619-4E07A0805D6F}"/>
    <cellStyle name="Normal 8 2 10 2 2 2" xfId="34831" xr:uid="{45530319-B863-4954-96C3-243E35EA0C87}"/>
    <cellStyle name="Normal 8 2 10 2 3" xfId="25534" xr:uid="{EE4C5144-8979-4276-852C-EFE9EEBF11D8}"/>
    <cellStyle name="Normal 8 2 10 3" xfId="12018" xr:uid="{91D8459C-9905-4B3A-AB15-DDC0CB4F1216}"/>
    <cellStyle name="Normal 8 2 10 3 2" xfId="30614" xr:uid="{901A400E-5CB3-4E70-A775-13DD46A5CECA}"/>
    <cellStyle name="Normal 8 2 10 4" xfId="21317" xr:uid="{C8A1E922-79C9-4587-A88E-07E4BA70AEBA}"/>
    <cellStyle name="Normal 8 2 11" xfId="4844" xr:uid="{00000000-0005-0000-0000-0000F21B0000}"/>
    <cellStyle name="Normal 8 2 11 2" xfId="14170" xr:uid="{1A3895B6-73BF-4388-944D-D1C455C97105}"/>
    <cellStyle name="Normal 8 2 11 2 2" xfId="32766" xr:uid="{09C26859-F35B-41A1-9005-0D5F80CF174F}"/>
    <cellStyle name="Normal 8 2 11 3" xfId="23469" xr:uid="{5012FEDC-B274-4DC9-AA5A-59537C0D9B9F}"/>
    <cellStyle name="Normal 8 2 12" xfId="8751" xr:uid="{476D0553-3387-4D9F-B05B-56EC7A36F7A1}"/>
    <cellStyle name="Normal 8 2 12 2" xfId="18075" xr:uid="{8A6A136B-5A7C-4B2B-8D85-E898FAC54D50}"/>
    <cellStyle name="Normal 8 2 12 2 2" xfId="36670" xr:uid="{ED973A5C-FC98-4962-8E77-D8D536D187CF}"/>
    <cellStyle name="Normal 8 2 12 3" xfId="27373" xr:uid="{5FAAC73D-C587-4E7C-BD47-C389980588BD}"/>
    <cellStyle name="Normal 8 2 13" xfId="9953" xr:uid="{CB5D25F6-2D60-43CE-8AFD-3A0AF73ED795}"/>
    <cellStyle name="Normal 8 2 13 2" xfId="28549" xr:uid="{E7CA25F1-3291-42F3-AC29-5ED627F1F1D4}"/>
    <cellStyle name="Normal 8 2 14" xfId="19252" xr:uid="{3CE24E0C-28D9-46FD-94D6-1D55595C3E3E}"/>
    <cellStyle name="Normal 8 2 2" xfId="480" xr:uid="{00000000-0005-0000-0000-0000F31B0000}"/>
    <cellStyle name="Normal 8 2 2 10" xfId="4845" xr:uid="{00000000-0005-0000-0000-0000F41B0000}"/>
    <cellStyle name="Normal 8 2 2 10 2" xfId="14171" xr:uid="{9F59C1CB-A46B-46BA-A74A-5289584E08E2}"/>
    <cellStyle name="Normal 8 2 2 10 2 2" xfId="32767" xr:uid="{8062953E-C034-4353-A228-1042A950BB8A}"/>
    <cellStyle name="Normal 8 2 2 10 3" xfId="23470" xr:uid="{DDFA8D0F-0D6C-4C1C-BD64-09847D2D8F3B}"/>
    <cellStyle name="Normal 8 2 2 11" xfId="8783" xr:uid="{3C426022-C415-47DA-A8EF-1D6CE72527BD}"/>
    <cellStyle name="Normal 8 2 2 11 2" xfId="18107" xr:uid="{AD10C1A3-4E0A-4424-8154-6A6BA523ABC8}"/>
    <cellStyle name="Normal 8 2 2 11 2 2" xfId="36702" xr:uid="{D5027395-DE6B-4EDE-A83A-DFD2C88F2E3A}"/>
    <cellStyle name="Normal 8 2 2 11 3" xfId="27405" xr:uid="{6DA6A3EE-692B-4F19-8D46-C28517C92739}"/>
    <cellStyle name="Normal 8 2 2 12" xfId="9954" xr:uid="{0BF86C82-14FA-4C15-9DE8-CFBA02888CC4}"/>
    <cellStyle name="Normal 8 2 2 12 2" xfId="28550" xr:uid="{F11C6B43-A894-49EB-8604-1BFCCDA13A78}"/>
    <cellStyle name="Normal 8 2 2 13" xfId="19253" xr:uid="{51EF35E1-3915-4BCC-A193-E0B1F4FF142A}"/>
    <cellStyle name="Normal 8 2 2 2" xfId="481" xr:uid="{00000000-0005-0000-0000-0000F51B0000}"/>
    <cellStyle name="Normal 8 2 2 2 10" xfId="8836" xr:uid="{870E50AF-610D-4E0C-BDE0-389D6B32A0FA}"/>
    <cellStyle name="Normal 8 2 2 2 10 2" xfId="18160" xr:uid="{E6BBF749-DB3F-408D-9C5A-373C6ABF8E47}"/>
    <cellStyle name="Normal 8 2 2 2 10 2 2" xfId="36755" xr:uid="{309093E8-ABD8-486D-9904-3D61564735BE}"/>
    <cellStyle name="Normal 8 2 2 2 10 3" xfId="27458" xr:uid="{33317CB8-BB3D-4F29-8782-937EF96E19D9}"/>
    <cellStyle name="Normal 8 2 2 2 11" xfId="9955" xr:uid="{E44AAB0A-5FC5-4A4B-962D-1F0D82BE7785}"/>
    <cellStyle name="Normal 8 2 2 2 11 2" xfId="28551" xr:uid="{15259F27-ED5E-442A-962F-CD94F2CBDF4F}"/>
    <cellStyle name="Normal 8 2 2 2 12" xfId="19254" xr:uid="{916389FB-0B4E-4C76-83DA-574A8362ABDC}"/>
    <cellStyle name="Normal 8 2 2 2 2" xfId="482" xr:uid="{00000000-0005-0000-0000-0000F61B0000}"/>
    <cellStyle name="Normal 8 2 2 2 2 10" xfId="9956" xr:uid="{6AD067F6-F029-4E8B-8B79-3679A1ADEB8C}"/>
    <cellStyle name="Normal 8 2 2 2 2 10 2" xfId="28552" xr:uid="{007B2ABE-8E05-4C14-906E-6DADDC5289FE}"/>
    <cellStyle name="Normal 8 2 2 2 2 11" xfId="19255" xr:uid="{4B694406-F941-4C49-AF90-716093F196A1}"/>
    <cellStyle name="Normal 8 2 2 2 2 2" xfId="483" xr:uid="{00000000-0005-0000-0000-0000F71B0000}"/>
    <cellStyle name="Normal 8 2 2 2 2 2 10" xfId="19256" xr:uid="{3E565305-0D8F-4878-8ADC-115B71DC1611}"/>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609EA597-20A5-4353-8988-86CD8D4D8339}"/>
    <cellStyle name="Normal 8 2 2 2 2 2 2 2 2 2 2" xfId="35328" xr:uid="{31407BE3-C43A-4970-9F66-2FD0261408C8}"/>
    <cellStyle name="Normal 8 2 2 2 2 2 2 2 2 3" xfId="26031" xr:uid="{B5D059BE-8BF0-4ABE-8373-5E8DAFE48518}"/>
    <cellStyle name="Normal 8 2 2 2 2 2 2 2 3" xfId="12515" xr:uid="{7C6A0D49-D239-4C60-820D-1DF2C83CA8F3}"/>
    <cellStyle name="Normal 8 2 2 2 2 2 2 2 3 2" xfId="31111" xr:uid="{D10F527B-D493-4679-B9DA-3A0503CEEF04}"/>
    <cellStyle name="Normal 8 2 2 2 2 2 2 2 4" xfId="21814" xr:uid="{BAAD0642-229B-4CC6-B327-C59DE2DD9C5B}"/>
    <cellStyle name="Normal 8 2 2 2 2 2 2 3" xfId="5261" xr:uid="{00000000-0005-0000-0000-0000FB1B0000}"/>
    <cellStyle name="Normal 8 2 2 2 2 2 2 3 2" xfId="14587" xr:uid="{AC1E0A85-2DD5-42DF-A940-BB2B6C847E3D}"/>
    <cellStyle name="Normal 8 2 2 2 2 2 2 3 2 2" xfId="33183" xr:uid="{9502A282-5483-4028-ADDF-9144468F41C4}"/>
    <cellStyle name="Normal 8 2 2 2 2 2 2 3 3" xfId="23886" xr:uid="{6FF3D317-F0C9-4F7A-9F61-D955553FFA15}"/>
    <cellStyle name="Normal 8 2 2 2 2 2 2 4" xfId="9571" xr:uid="{B467C179-FE08-45F9-B1E6-E66379D80EBC}"/>
    <cellStyle name="Normal 8 2 2 2 2 2 2 4 2" xfId="18886" xr:uid="{FE3F37FC-492D-49E2-888F-89DEF179B7FD}"/>
    <cellStyle name="Normal 8 2 2 2 2 2 2 4 2 2" xfId="37480" xr:uid="{C99C1633-1B37-4BC9-A13D-FC7A7A3489DA}"/>
    <cellStyle name="Normal 8 2 2 2 2 2 2 4 3" xfId="28183" xr:uid="{90D51E7D-FE9F-4BCE-8627-50A1ABEF14F8}"/>
    <cellStyle name="Normal 8 2 2 2 2 2 2 5" xfId="10370" xr:uid="{337ED9E8-A057-4474-A522-ED79477542C4}"/>
    <cellStyle name="Normal 8 2 2 2 2 2 2 5 2" xfId="28966" xr:uid="{1586ED61-CB5C-4163-B6D6-FFD878D0A705}"/>
    <cellStyle name="Normal 8 2 2 2 2 2 2 6" xfId="19669" xr:uid="{FD41DFE8-4F7B-46CF-905C-D8F34EB81A8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6C2FAED3-A2F1-4A6E-B0E4-2379DCF10C37}"/>
    <cellStyle name="Normal 8 2 2 2 2 2 3 2 2 2 2" xfId="35741" xr:uid="{7086E585-C95A-4B84-9C2B-8F493B99C36D}"/>
    <cellStyle name="Normal 8 2 2 2 2 2 3 2 2 3" xfId="26444" xr:uid="{7B9F5AE4-7893-43F9-81CA-B73FA01680FB}"/>
    <cellStyle name="Normal 8 2 2 2 2 2 3 2 3" xfId="12928" xr:uid="{8A754941-569B-4952-9F4E-70478E10D78E}"/>
    <cellStyle name="Normal 8 2 2 2 2 2 3 2 3 2" xfId="31524" xr:uid="{CD88B155-4CD6-4D30-93E7-780C2FCFBE04}"/>
    <cellStyle name="Normal 8 2 2 2 2 2 3 2 4" xfId="22227" xr:uid="{AAEA001C-00BB-434C-96AF-66439E2CB704}"/>
    <cellStyle name="Normal 8 2 2 2 2 2 3 3" xfId="5674" xr:uid="{00000000-0005-0000-0000-0000FF1B0000}"/>
    <cellStyle name="Normal 8 2 2 2 2 2 3 3 2" xfId="15000" xr:uid="{1455FA90-DA66-460B-A85F-A276C8311624}"/>
    <cellStyle name="Normal 8 2 2 2 2 2 3 3 2 2" xfId="33596" xr:uid="{0827A8DC-18B7-4B48-BC33-D28E487FBAC8}"/>
    <cellStyle name="Normal 8 2 2 2 2 2 3 3 3" xfId="24299" xr:uid="{07410EE9-04B6-4EC9-AC6D-2C126E9B494A}"/>
    <cellStyle name="Normal 8 2 2 2 2 2 3 4" xfId="10783" xr:uid="{1B7DFE4A-C390-476F-86B5-9A430520317C}"/>
    <cellStyle name="Normal 8 2 2 2 2 2 3 4 2" xfId="29379" xr:uid="{2A0A4BEC-4FC5-4522-AA8B-095BCB872C72}"/>
    <cellStyle name="Normal 8 2 2 2 2 2 3 5" xfId="20082" xr:uid="{23DBC364-C5D4-4175-B53F-BA767B23B17C}"/>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EC277722-9EAC-4EDD-9291-3E25570A6C0E}"/>
    <cellStyle name="Normal 8 2 2 2 2 2 4 2 2 2 2" xfId="36154" xr:uid="{D09BAF93-EF3D-478B-B3AD-6A604F1735E6}"/>
    <cellStyle name="Normal 8 2 2 2 2 2 4 2 2 3" xfId="26857" xr:uid="{ACC659EA-D330-4ED5-94B4-6E182ED2FDDF}"/>
    <cellStyle name="Normal 8 2 2 2 2 2 4 2 3" xfId="13341" xr:uid="{BF1759FF-5A06-459E-89C5-25AC0C7088F9}"/>
    <cellStyle name="Normal 8 2 2 2 2 2 4 2 3 2" xfId="31937" xr:uid="{35A9F3D9-933A-472A-913F-08E620EE3FA7}"/>
    <cellStyle name="Normal 8 2 2 2 2 2 4 2 4" xfId="22640" xr:uid="{8AEDAC93-2EF3-4BC0-B8C6-B3FFE7074B19}"/>
    <cellStyle name="Normal 8 2 2 2 2 2 4 3" xfId="6087" xr:uid="{00000000-0005-0000-0000-0000031C0000}"/>
    <cellStyle name="Normal 8 2 2 2 2 2 4 3 2" xfId="15413" xr:uid="{46E23E0F-5128-421A-B02D-8A65930900A5}"/>
    <cellStyle name="Normal 8 2 2 2 2 2 4 3 2 2" xfId="34009" xr:uid="{69C06EBF-A96A-4CA3-ACC1-F606668729D1}"/>
    <cellStyle name="Normal 8 2 2 2 2 2 4 3 3" xfId="24712" xr:uid="{3B4A1191-30BC-4A2B-8D95-3473FCBB687B}"/>
    <cellStyle name="Normal 8 2 2 2 2 2 4 4" xfId="11196" xr:uid="{37F69E18-C87D-45FA-A369-D8561918AC33}"/>
    <cellStyle name="Normal 8 2 2 2 2 2 4 4 2" xfId="29792" xr:uid="{F9273350-9B14-4D35-86F3-EA332F22C1C9}"/>
    <cellStyle name="Normal 8 2 2 2 2 2 4 5" xfId="20495" xr:uid="{33FAB844-2753-42DD-B8B7-50A955B3C91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910E3A77-97FC-4374-AADD-F3D1C1EF93F5}"/>
    <cellStyle name="Normal 8 2 2 2 2 2 5 2 2 2 2" xfId="36567" xr:uid="{F36EA968-1FE9-42BA-91A7-D6908668013F}"/>
    <cellStyle name="Normal 8 2 2 2 2 2 5 2 2 3" xfId="27270" xr:uid="{A76CE86F-75C5-4F43-B359-96A951052BCA}"/>
    <cellStyle name="Normal 8 2 2 2 2 2 5 2 3" xfId="13754" xr:uid="{545164EB-A6AF-4491-9486-2990D06CB4E6}"/>
    <cellStyle name="Normal 8 2 2 2 2 2 5 2 3 2" xfId="32350" xr:uid="{D3D03737-4911-4F20-995B-E90373086A31}"/>
    <cellStyle name="Normal 8 2 2 2 2 2 5 2 4" xfId="23053" xr:uid="{68667DC5-A08D-4F89-B637-6D65858627B9}"/>
    <cellStyle name="Normal 8 2 2 2 2 2 5 3" xfId="6500" xr:uid="{00000000-0005-0000-0000-0000071C0000}"/>
    <cellStyle name="Normal 8 2 2 2 2 2 5 3 2" xfId="15826" xr:uid="{7584DA38-6FFA-4BAC-A341-4F3E3CE403CB}"/>
    <cellStyle name="Normal 8 2 2 2 2 2 5 3 2 2" xfId="34422" xr:uid="{5D0417DE-110E-44B8-AA8A-E8D2A001165A}"/>
    <cellStyle name="Normal 8 2 2 2 2 2 5 3 3" xfId="25125" xr:uid="{C260049C-5B78-409E-8626-F053ECF557A1}"/>
    <cellStyle name="Normal 8 2 2 2 2 2 5 4" xfId="11609" xr:uid="{80A77415-5645-4D81-B0E2-BBF576AEC1DB}"/>
    <cellStyle name="Normal 8 2 2 2 2 2 5 4 2" xfId="30205" xr:uid="{B72BB76A-4521-4050-8711-3DCDA4CAF33B}"/>
    <cellStyle name="Normal 8 2 2 2 2 2 5 5" xfId="20908" xr:uid="{B2C28251-AB5E-4FAD-ABEA-40EDB9ECC0FC}"/>
    <cellStyle name="Normal 8 2 2 2 2 2 6" xfId="2630" xr:uid="{00000000-0005-0000-0000-0000081C0000}"/>
    <cellStyle name="Normal 8 2 2 2 2 2 6 2" xfId="6913" xr:uid="{00000000-0005-0000-0000-0000091C0000}"/>
    <cellStyle name="Normal 8 2 2 2 2 2 6 2 2" xfId="16239" xr:uid="{A69B2D98-3BA0-406E-974A-B837B7DF941B}"/>
    <cellStyle name="Normal 8 2 2 2 2 2 6 2 2 2" xfId="34835" xr:uid="{566A7C1D-9673-473A-9CAF-C89183394F6F}"/>
    <cellStyle name="Normal 8 2 2 2 2 2 6 2 3" xfId="25538" xr:uid="{DEDDDC2C-94AF-4111-866F-641B130FD7E3}"/>
    <cellStyle name="Normal 8 2 2 2 2 2 6 3" xfId="12022" xr:uid="{85414502-A3C0-4F80-9DED-D4D9865A3A02}"/>
    <cellStyle name="Normal 8 2 2 2 2 2 6 3 2" xfId="30618" xr:uid="{000BA464-4EB6-405C-94E4-FE6EC054ABE8}"/>
    <cellStyle name="Normal 8 2 2 2 2 2 6 4" xfId="21321" xr:uid="{AACB1C8D-4375-444D-B5A5-883A834511E9}"/>
    <cellStyle name="Normal 8 2 2 2 2 2 7" xfId="4848" xr:uid="{00000000-0005-0000-0000-00000A1C0000}"/>
    <cellStyle name="Normal 8 2 2 2 2 2 7 2" xfId="14174" xr:uid="{D0A62225-CB98-4AEF-8D3E-3372A26CDFAD}"/>
    <cellStyle name="Normal 8 2 2 2 2 2 7 2 2" xfId="32770" xr:uid="{4CCC762F-E096-4171-8621-06884F759C85}"/>
    <cellStyle name="Normal 8 2 2 2 2 2 7 3" xfId="23473" xr:uid="{AD68B5D3-DFE4-46A3-B289-907FE28CFA1A}"/>
    <cellStyle name="Normal 8 2 2 2 2 2 8" xfId="9146" xr:uid="{0E570703-055D-406D-8BD9-575AF6037A75}"/>
    <cellStyle name="Normal 8 2 2 2 2 2 8 2" xfId="18470" xr:uid="{9DE49635-9F2A-4F7B-9D7F-461AB569E840}"/>
    <cellStyle name="Normal 8 2 2 2 2 2 8 2 2" xfId="37065" xr:uid="{E3F7C802-D114-489B-BB6F-2F6EA652043A}"/>
    <cellStyle name="Normal 8 2 2 2 2 2 8 3" xfId="27768" xr:uid="{FD263E06-E029-4376-A356-FD00238C15C4}"/>
    <cellStyle name="Normal 8 2 2 2 2 2 9" xfId="9957" xr:uid="{D3A4EC4B-65EB-4DF0-B5D1-E11B5B829942}"/>
    <cellStyle name="Normal 8 2 2 2 2 2 9 2" xfId="28553" xr:uid="{14E125B4-7B8A-4A05-8F16-D2C2F3F60963}"/>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AC1CF139-6939-438D-92D4-1840BDCF5794}"/>
    <cellStyle name="Normal 8 2 2 2 2 3 2 2 2 2" xfId="35327" xr:uid="{0FCB73A9-D66E-44BB-8A07-F37E10E46C1B}"/>
    <cellStyle name="Normal 8 2 2 2 2 3 2 2 3" xfId="26030" xr:uid="{2A270701-EC6E-45A4-A743-8AFBA78F7AC5}"/>
    <cellStyle name="Normal 8 2 2 2 2 3 2 3" xfId="12514" xr:uid="{63D05B11-810B-4220-8877-ED1A4DD7054C}"/>
    <cellStyle name="Normal 8 2 2 2 2 3 2 3 2" xfId="31110" xr:uid="{F770C8A6-9558-454D-9FD6-4305957F14D0}"/>
    <cellStyle name="Normal 8 2 2 2 2 3 2 4" xfId="21813" xr:uid="{656307B1-74D6-459C-BE59-0B59F64D8276}"/>
    <cellStyle name="Normal 8 2 2 2 2 3 3" xfId="5260" xr:uid="{00000000-0005-0000-0000-00000E1C0000}"/>
    <cellStyle name="Normal 8 2 2 2 2 3 3 2" xfId="14586" xr:uid="{7D3A31D0-2338-44B6-A4CD-E6D978563F90}"/>
    <cellStyle name="Normal 8 2 2 2 2 3 3 2 2" xfId="33182" xr:uid="{B08F9682-7256-4D37-8778-8936E1B20A32}"/>
    <cellStyle name="Normal 8 2 2 2 2 3 3 3" xfId="23885" xr:uid="{B9BA4974-FE17-4A30-8CE5-862503E6EAA6}"/>
    <cellStyle name="Normal 8 2 2 2 2 3 4" xfId="9364" xr:uid="{21426B7C-FC96-483C-B560-AC4767107497}"/>
    <cellStyle name="Normal 8 2 2 2 2 3 4 2" xfId="18679" xr:uid="{5AA77A95-5E29-4294-AEFE-1F3E5F4DAC42}"/>
    <cellStyle name="Normal 8 2 2 2 2 3 4 2 2" xfId="37273" xr:uid="{4BB4D173-B12C-4435-9DDA-C1EC8254A35A}"/>
    <cellStyle name="Normal 8 2 2 2 2 3 4 3" xfId="27976" xr:uid="{A3191CA2-EC09-44C9-884E-7EC34CF71EB2}"/>
    <cellStyle name="Normal 8 2 2 2 2 3 5" xfId="10369" xr:uid="{724DD793-1659-4ADC-8F99-86460BD1D372}"/>
    <cellStyle name="Normal 8 2 2 2 2 3 5 2" xfId="28965" xr:uid="{D765558B-A042-4507-8B6B-1F6360045A7D}"/>
    <cellStyle name="Normal 8 2 2 2 2 3 6" xfId="19668" xr:uid="{2265BE1C-04F5-44A3-B95B-6238EDD0B159}"/>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8BD9CA35-94BD-494A-92F6-1865DF4A305B}"/>
    <cellStyle name="Normal 8 2 2 2 2 4 2 2 2 2" xfId="35740" xr:uid="{7BD3DFDC-488C-4BF5-A410-F1677A4472B5}"/>
    <cellStyle name="Normal 8 2 2 2 2 4 2 2 3" xfId="26443" xr:uid="{84E03B14-2B22-4AA4-88C6-5E2FE41CED2A}"/>
    <cellStyle name="Normal 8 2 2 2 2 4 2 3" xfId="12927" xr:uid="{F1B9089B-2CBD-4ACD-8148-5BCAAC7971C7}"/>
    <cellStyle name="Normal 8 2 2 2 2 4 2 3 2" xfId="31523" xr:uid="{1469E944-1415-44CD-AF2C-AA929A8D9047}"/>
    <cellStyle name="Normal 8 2 2 2 2 4 2 4" xfId="22226" xr:uid="{05A87B65-BE19-4170-B4E0-AAD6F43BE26B}"/>
    <cellStyle name="Normal 8 2 2 2 2 4 3" xfId="5673" xr:uid="{00000000-0005-0000-0000-0000121C0000}"/>
    <cellStyle name="Normal 8 2 2 2 2 4 3 2" xfId="14999" xr:uid="{450814BF-158C-42A9-AD2B-13B5EE48CFC6}"/>
    <cellStyle name="Normal 8 2 2 2 2 4 3 2 2" xfId="33595" xr:uid="{A7CB2A00-2EE7-4689-8BAB-FFFAE8429842}"/>
    <cellStyle name="Normal 8 2 2 2 2 4 3 3" xfId="24298" xr:uid="{B917BB29-73F5-41D4-B5D2-27FF5A2D8947}"/>
    <cellStyle name="Normal 8 2 2 2 2 4 4" xfId="10782" xr:uid="{AA72C400-8C33-40AD-BBA7-B1C623B7C47D}"/>
    <cellStyle name="Normal 8 2 2 2 2 4 4 2" xfId="29378" xr:uid="{6CE5D6E3-EF74-4F78-BFC3-59B6E09FB289}"/>
    <cellStyle name="Normal 8 2 2 2 2 4 5" xfId="20081" xr:uid="{D26FD2A0-D92E-448C-8A9D-618F6547B313}"/>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CE97F7F1-F643-490C-B548-BBDBB604695A}"/>
    <cellStyle name="Normal 8 2 2 2 2 5 2 2 2 2" xfId="36153" xr:uid="{3F682805-4346-4C4E-9815-283BE78CE185}"/>
    <cellStyle name="Normal 8 2 2 2 2 5 2 2 3" xfId="26856" xr:uid="{42D08D54-6646-4D0C-A16B-88C018E629C5}"/>
    <cellStyle name="Normal 8 2 2 2 2 5 2 3" xfId="13340" xr:uid="{02BA44BE-EDE8-477B-8B2B-CD5CAF1208F4}"/>
    <cellStyle name="Normal 8 2 2 2 2 5 2 3 2" xfId="31936" xr:uid="{F299A40D-4726-4A3B-887A-453E0DF437ED}"/>
    <cellStyle name="Normal 8 2 2 2 2 5 2 4" xfId="22639" xr:uid="{0E907026-D435-45CD-82F4-09FDF4F01E4F}"/>
    <cellStyle name="Normal 8 2 2 2 2 5 3" xfId="6086" xr:uid="{00000000-0005-0000-0000-0000161C0000}"/>
    <cellStyle name="Normal 8 2 2 2 2 5 3 2" xfId="15412" xr:uid="{89DB8AFC-2E16-431A-A12B-BA1F554B9DB6}"/>
    <cellStyle name="Normal 8 2 2 2 2 5 3 2 2" xfId="34008" xr:uid="{ACD0D2CD-007D-4DAA-AA42-3C93BDEE1C9C}"/>
    <cellStyle name="Normal 8 2 2 2 2 5 3 3" xfId="24711" xr:uid="{B483FE84-D16A-4DEB-A49A-666C9C4A18CB}"/>
    <cellStyle name="Normal 8 2 2 2 2 5 4" xfId="11195" xr:uid="{9BA25399-5084-4FFC-AEB6-02BFF6353FC1}"/>
    <cellStyle name="Normal 8 2 2 2 2 5 4 2" xfId="29791" xr:uid="{44AFF63E-882C-49B4-B685-9C3B98A58D5D}"/>
    <cellStyle name="Normal 8 2 2 2 2 5 5" xfId="20494" xr:uid="{6A977541-B0A4-400F-830E-EFD0DF6F36F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3D2707FA-ADE7-40CA-8470-3FDE9C16FB22}"/>
    <cellStyle name="Normal 8 2 2 2 2 6 2 2 2 2" xfId="36566" xr:uid="{DAA0BBA0-2646-45DB-ACE0-875FACE90C07}"/>
    <cellStyle name="Normal 8 2 2 2 2 6 2 2 3" xfId="27269" xr:uid="{2849D50F-5BB6-42A9-B648-CE54CFD45C96}"/>
    <cellStyle name="Normal 8 2 2 2 2 6 2 3" xfId="13753" xr:uid="{776BAD3C-C1B5-496A-9956-B0F36E76590B}"/>
    <cellStyle name="Normal 8 2 2 2 2 6 2 3 2" xfId="32349" xr:uid="{DC086213-DDDB-4ED9-9F35-D5007A2E95DF}"/>
    <cellStyle name="Normal 8 2 2 2 2 6 2 4" xfId="23052" xr:uid="{A3B78C7B-1F41-4714-8BB2-B87A6D4455B6}"/>
    <cellStyle name="Normal 8 2 2 2 2 6 3" xfId="6499" xr:uid="{00000000-0005-0000-0000-00001A1C0000}"/>
    <cellStyle name="Normal 8 2 2 2 2 6 3 2" xfId="15825" xr:uid="{12E61AE4-0E74-4EEF-B755-27424BB8A5D7}"/>
    <cellStyle name="Normal 8 2 2 2 2 6 3 2 2" xfId="34421" xr:uid="{042F48F3-471B-4597-8293-8305993AE08E}"/>
    <cellStyle name="Normal 8 2 2 2 2 6 3 3" xfId="25124" xr:uid="{497EF043-7F3A-4FCD-A568-625C5311EAAC}"/>
    <cellStyle name="Normal 8 2 2 2 2 6 4" xfId="11608" xr:uid="{8F45AFD0-5222-479F-B111-4E43A8DE70E9}"/>
    <cellStyle name="Normal 8 2 2 2 2 6 4 2" xfId="30204" xr:uid="{B3C922A2-5935-46CE-BC6F-DB3B37BBE084}"/>
    <cellStyle name="Normal 8 2 2 2 2 6 5" xfId="20907" xr:uid="{3CF24592-A2F6-478B-98D7-E9EB981EFDBD}"/>
    <cellStyle name="Normal 8 2 2 2 2 7" xfId="2629" xr:uid="{00000000-0005-0000-0000-00001B1C0000}"/>
    <cellStyle name="Normal 8 2 2 2 2 7 2" xfId="6912" xr:uid="{00000000-0005-0000-0000-00001C1C0000}"/>
    <cellStyle name="Normal 8 2 2 2 2 7 2 2" xfId="16238" xr:uid="{4E1858C9-53A5-4D5D-B984-8D2BB4D412D4}"/>
    <cellStyle name="Normal 8 2 2 2 2 7 2 2 2" xfId="34834" xr:uid="{702A0E76-E962-480B-BD33-7167E479E480}"/>
    <cellStyle name="Normal 8 2 2 2 2 7 2 3" xfId="25537" xr:uid="{56DE2DF7-3C86-4826-B876-BA9846056524}"/>
    <cellStyle name="Normal 8 2 2 2 2 7 3" xfId="12021" xr:uid="{DE1919A2-FC23-4067-8FCB-D8056D675C57}"/>
    <cellStyle name="Normal 8 2 2 2 2 7 3 2" xfId="30617" xr:uid="{E9983925-1F26-446A-AB04-C8C92B52AD7E}"/>
    <cellStyle name="Normal 8 2 2 2 2 7 4" xfId="21320" xr:uid="{8B159E9D-C57B-4E59-8AFF-9020EC4B3F06}"/>
    <cellStyle name="Normal 8 2 2 2 2 8" xfId="4847" xr:uid="{00000000-0005-0000-0000-00001D1C0000}"/>
    <cellStyle name="Normal 8 2 2 2 2 8 2" xfId="14173" xr:uid="{4BC4696A-8FAE-4213-9C50-CBDC3DD264F9}"/>
    <cellStyle name="Normal 8 2 2 2 2 8 2 2" xfId="32769" xr:uid="{0EB69A83-9804-4A08-8DD3-CED495E5022C}"/>
    <cellStyle name="Normal 8 2 2 2 2 8 3" xfId="23472" xr:uid="{62040048-8E8E-4BB8-97EA-CDDFCE7C841D}"/>
    <cellStyle name="Normal 8 2 2 2 2 9" xfId="8939" xr:uid="{385BAC75-25D1-414A-8E33-9B6DCCA130DE}"/>
    <cellStyle name="Normal 8 2 2 2 2 9 2" xfId="18263" xr:uid="{B897E0D6-3659-49DB-99C7-E3060E1B2F01}"/>
    <cellStyle name="Normal 8 2 2 2 2 9 2 2" xfId="36858" xr:uid="{568B71A1-8555-4435-B4B3-D1C0BD6D383B}"/>
    <cellStyle name="Normal 8 2 2 2 2 9 3" xfId="27561" xr:uid="{61C7BA13-4D49-4E9C-B471-03E65FDC1585}"/>
    <cellStyle name="Normal 8 2 2 2 3" xfId="484" xr:uid="{00000000-0005-0000-0000-00001E1C0000}"/>
    <cellStyle name="Normal 8 2 2 2 3 10" xfId="19257" xr:uid="{FF0E0BA9-AA39-466A-98A8-21434F55A204}"/>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0F16559F-34C8-4791-A5CE-401A145EFA2D}"/>
    <cellStyle name="Normal 8 2 2 2 3 2 2 2 2 2" xfId="35329" xr:uid="{8F6AC29D-77F1-4B2E-B278-07F579A1571E}"/>
    <cellStyle name="Normal 8 2 2 2 3 2 2 2 3" xfId="26032" xr:uid="{74485E53-97C1-4549-ABDD-3C6E89937FB7}"/>
    <cellStyle name="Normal 8 2 2 2 3 2 2 3" xfId="12516" xr:uid="{0D88AB87-43BA-4928-8748-C3CB86E09DCC}"/>
    <cellStyle name="Normal 8 2 2 2 3 2 2 3 2" xfId="31112" xr:uid="{65E9B2BD-11CE-4138-91E8-4A6B37B264F4}"/>
    <cellStyle name="Normal 8 2 2 2 3 2 2 4" xfId="21815" xr:uid="{D98E3916-B97F-4F4E-8102-4F6B039EACA0}"/>
    <cellStyle name="Normal 8 2 2 2 3 2 3" xfId="5262" xr:uid="{00000000-0005-0000-0000-0000221C0000}"/>
    <cellStyle name="Normal 8 2 2 2 3 2 3 2" xfId="14588" xr:uid="{340AF4B3-0A5B-42F5-BEED-82B4A92D9097}"/>
    <cellStyle name="Normal 8 2 2 2 3 2 3 2 2" xfId="33184" xr:uid="{70E39E1A-995C-44F0-8784-B4A22FA7BDE9}"/>
    <cellStyle name="Normal 8 2 2 2 3 2 3 3" xfId="23887" xr:uid="{3C18E5FF-2398-48BC-B65C-5E3F09F33EAD}"/>
    <cellStyle name="Normal 8 2 2 2 3 2 4" xfId="9468" xr:uid="{8CC4AD0E-72B4-4935-8967-B171D7B5EF8D}"/>
    <cellStyle name="Normal 8 2 2 2 3 2 4 2" xfId="18783" xr:uid="{E26D60AA-ED08-4D94-A017-5DEBE473884A}"/>
    <cellStyle name="Normal 8 2 2 2 3 2 4 2 2" xfId="37377" xr:uid="{7C70577D-121E-4717-AFFC-4525BD75ACD3}"/>
    <cellStyle name="Normal 8 2 2 2 3 2 4 3" xfId="28080" xr:uid="{702699FC-CD25-4500-B748-83D4D5EF2A99}"/>
    <cellStyle name="Normal 8 2 2 2 3 2 5" xfId="10371" xr:uid="{FDF675B6-77DB-4D0D-B53D-8553006A9247}"/>
    <cellStyle name="Normal 8 2 2 2 3 2 5 2" xfId="28967" xr:uid="{94B497D1-9ED9-498A-889A-79827AC4FA5C}"/>
    <cellStyle name="Normal 8 2 2 2 3 2 6" xfId="19670" xr:uid="{3CE9F8E0-6AF3-44BF-8227-B9798E830FEF}"/>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818781F5-A953-4FBD-A283-6224B284C233}"/>
    <cellStyle name="Normal 8 2 2 2 3 3 2 2 2 2" xfId="35742" xr:uid="{9D53AC26-E563-4E78-8DEA-9469FD6A0FDE}"/>
    <cellStyle name="Normal 8 2 2 2 3 3 2 2 3" xfId="26445" xr:uid="{7DC6166C-EEA9-4695-92AC-E4D098D2D7B6}"/>
    <cellStyle name="Normal 8 2 2 2 3 3 2 3" xfId="12929" xr:uid="{AEB646BE-25B0-458C-84CE-7B2D43BEF790}"/>
    <cellStyle name="Normal 8 2 2 2 3 3 2 3 2" xfId="31525" xr:uid="{574B0FD0-6AF4-4373-B517-4C00A836159E}"/>
    <cellStyle name="Normal 8 2 2 2 3 3 2 4" xfId="22228" xr:uid="{3C5CB402-795D-40FF-A644-C0D045BB6F0F}"/>
    <cellStyle name="Normal 8 2 2 2 3 3 3" xfId="5675" xr:uid="{00000000-0005-0000-0000-0000261C0000}"/>
    <cellStyle name="Normal 8 2 2 2 3 3 3 2" xfId="15001" xr:uid="{D1A56DFB-60BB-449C-BFD0-3D2201BD7144}"/>
    <cellStyle name="Normal 8 2 2 2 3 3 3 2 2" xfId="33597" xr:uid="{D03AC42C-D5F1-46DE-8B6B-BD91E358E7DD}"/>
    <cellStyle name="Normal 8 2 2 2 3 3 3 3" xfId="24300" xr:uid="{F2814534-81D1-425E-9F80-BED17CD59B25}"/>
    <cellStyle name="Normal 8 2 2 2 3 3 4" xfId="10784" xr:uid="{451D4219-501B-4C27-9C02-121D1C9F64C9}"/>
    <cellStyle name="Normal 8 2 2 2 3 3 4 2" xfId="29380" xr:uid="{C99628D3-4141-4891-987A-FB70670DFAED}"/>
    <cellStyle name="Normal 8 2 2 2 3 3 5" xfId="20083" xr:uid="{DA5E420E-FAAF-4468-A347-CDB0DA9D4172}"/>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E1CB9E19-42EE-4F2B-BD15-BBE3101B6774}"/>
    <cellStyle name="Normal 8 2 2 2 3 4 2 2 2 2" xfId="36155" xr:uid="{60C391C9-FFDE-4385-AACD-872465EE4F20}"/>
    <cellStyle name="Normal 8 2 2 2 3 4 2 2 3" xfId="26858" xr:uid="{DF3319EE-555F-43B4-B64F-877B7FA79628}"/>
    <cellStyle name="Normal 8 2 2 2 3 4 2 3" xfId="13342" xr:uid="{8A4F3650-814B-4DAC-BCCB-A1E400EE7CEB}"/>
    <cellStyle name="Normal 8 2 2 2 3 4 2 3 2" xfId="31938" xr:uid="{6DAF0D34-1E28-4D00-81BF-68CB0399B019}"/>
    <cellStyle name="Normal 8 2 2 2 3 4 2 4" xfId="22641" xr:uid="{4D5D7B60-F47D-4716-B8C3-8BDE8D423B70}"/>
    <cellStyle name="Normal 8 2 2 2 3 4 3" xfId="6088" xr:uid="{00000000-0005-0000-0000-00002A1C0000}"/>
    <cellStyle name="Normal 8 2 2 2 3 4 3 2" xfId="15414" xr:uid="{185829C1-CF4D-4D20-96FF-F82D3122B47B}"/>
    <cellStyle name="Normal 8 2 2 2 3 4 3 2 2" xfId="34010" xr:uid="{5B2B054C-E713-464A-A446-82CE49A1422C}"/>
    <cellStyle name="Normal 8 2 2 2 3 4 3 3" xfId="24713" xr:uid="{207CCE86-E062-43DB-9B10-B8AC1DAF0EBF}"/>
    <cellStyle name="Normal 8 2 2 2 3 4 4" xfId="11197" xr:uid="{CAF655B6-A971-4881-B085-DA29B11AD0C0}"/>
    <cellStyle name="Normal 8 2 2 2 3 4 4 2" xfId="29793" xr:uid="{50AEE57E-8A7D-496B-B60E-2FED6E9DA5BD}"/>
    <cellStyle name="Normal 8 2 2 2 3 4 5" xfId="20496" xr:uid="{331CAE5B-7C56-4BA2-975E-CAF54292E5CD}"/>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53A0C099-FE16-4756-A944-014B804135BD}"/>
    <cellStyle name="Normal 8 2 2 2 3 5 2 2 2 2" xfId="36568" xr:uid="{7A66F4FF-3558-4764-97EC-5BC7CD819170}"/>
    <cellStyle name="Normal 8 2 2 2 3 5 2 2 3" xfId="27271" xr:uid="{B531B932-F0CA-4B21-B30D-BD66825C22FA}"/>
    <cellStyle name="Normal 8 2 2 2 3 5 2 3" xfId="13755" xr:uid="{5BE7FBE3-1EF7-4B27-9BC1-BD60C4E9EDDA}"/>
    <cellStyle name="Normal 8 2 2 2 3 5 2 3 2" xfId="32351" xr:uid="{F966BCB5-4134-4639-8831-9C6DB1E0CB77}"/>
    <cellStyle name="Normal 8 2 2 2 3 5 2 4" xfId="23054" xr:uid="{178A3089-A4C3-4B95-BEDB-2769AFBD317B}"/>
    <cellStyle name="Normal 8 2 2 2 3 5 3" xfId="6501" xr:uid="{00000000-0005-0000-0000-00002E1C0000}"/>
    <cellStyle name="Normal 8 2 2 2 3 5 3 2" xfId="15827" xr:uid="{700C7537-D5E8-426C-950E-F93D003EA984}"/>
    <cellStyle name="Normal 8 2 2 2 3 5 3 2 2" xfId="34423" xr:uid="{734455B2-780A-419D-BF25-D4EFD5AFB8AD}"/>
    <cellStyle name="Normal 8 2 2 2 3 5 3 3" xfId="25126" xr:uid="{CED1F414-A075-4127-8678-625E0AB02199}"/>
    <cellStyle name="Normal 8 2 2 2 3 5 4" xfId="11610" xr:uid="{7600D4BD-DB0A-4C2A-A63D-B66BE51F6214}"/>
    <cellStyle name="Normal 8 2 2 2 3 5 4 2" xfId="30206" xr:uid="{152999C8-322B-4896-B147-CDEF791F571E}"/>
    <cellStyle name="Normal 8 2 2 2 3 5 5" xfId="20909" xr:uid="{EC0F7D9D-9565-4BDD-8C5E-002B21908133}"/>
    <cellStyle name="Normal 8 2 2 2 3 6" xfId="2631" xr:uid="{00000000-0005-0000-0000-00002F1C0000}"/>
    <cellStyle name="Normal 8 2 2 2 3 6 2" xfId="6914" xr:uid="{00000000-0005-0000-0000-0000301C0000}"/>
    <cellStyle name="Normal 8 2 2 2 3 6 2 2" xfId="16240" xr:uid="{13EAD13B-F4B5-4A1A-A0D5-852A34237FC4}"/>
    <cellStyle name="Normal 8 2 2 2 3 6 2 2 2" xfId="34836" xr:uid="{9819C2E2-04C6-4E5C-9CB3-A94172610F97}"/>
    <cellStyle name="Normal 8 2 2 2 3 6 2 3" xfId="25539" xr:uid="{44F273D9-AE8C-46C1-9866-97B8A6C419F7}"/>
    <cellStyle name="Normal 8 2 2 2 3 6 3" xfId="12023" xr:uid="{53FB9F17-F46D-4964-B539-3DAF5734A190}"/>
    <cellStyle name="Normal 8 2 2 2 3 6 3 2" xfId="30619" xr:uid="{E6E8E65D-41BD-4D00-9ED3-519AD7FE549B}"/>
    <cellStyle name="Normal 8 2 2 2 3 6 4" xfId="21322" xr:uid="{B52C6B41-F172-4373-A2AA-C508556BE534}"/>
    <cellStyle name="Normal 8 2 2 2 3 7" xfId="4849" xr:uid="{00000000-0005-0000-0000-0000311C0000}"/>
    <cellStyle name="Normal 8 2 2 2 3 7 2" xfId="14175" xr:uid="{9AC7B371-4CDE-4D22-9EF7-1858137366B4}"/>
    <cellStyle name="Normal 8 2 2 2 3 7 2 2" xfId="32771" xr:uid="{D052E27D-C106-4722-85C8-D72E69B59A05}"/>
    <cellStyle name="Normal 8 2 2 2 3 7 3" xfId="23474" xr:uid="{4239AFDE-FB1A-430E-879B-0C7434BB10C5}"/>
    <cellStyle name="Normal 8 2 2 2 3 8" xfId="9043" xr:uid="{BAC463DF-40A7-4F07-ADD3-7274E57F505C}"/>
    <cellStyle name="Normal 8 2 2 2 3 8 2" xfId="18367" xr:uid="{764F53D1-DB38-4A32-B911-E91EAFF0BD76}"/>
    <cellStyle name="Normal 8 2 2 2 3 8 2 2" xfId="36962" xr:uid="{334C1477-43DE-4D8B-A635-446D97056902}"/>
    <cellStyle name="Normal 8 2 2 2 3 8 3" xfId="27665" xr:uid="{4D885255-B467-4EC1-8E4C-7416F93FA8A4}"/>
    <cellStyle name="Normal 8 2 2 2 3 9" xfId="9958" xr:uid="{30ADBA7B-52A3-48D5-982F-31ECE0C25C81}"/>
    <cellStyle name="Normal 8 2 2 2 3 9 2" xfId="28554" xr:uid="{061534CA-7C70-49E4-A084-075305E85D78}"/>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E5153FD1-854A-40FC-AFD9-C64B8B1E4464}"/>
    <cellStyle name="Normal 8 2 2 2 4 2 2 2 2" xfId="35326" xr:uid="{20806FDF-5C74-4E71-B60B-5C156E57FE99}"/>
    <cellStyle name="Normal 8 2 2 2 4 2 2 3" xfId="26029" xr:uid="{1D30E796-7E78-4983-8B9D-F2209C5B4AD4}"/>
    <cellStyle name="Normal 8 2 2 2 4 2 3" xfId="12513" xr:uid="{937C5001-B60B-42DE-B34C-228BF6AD9601}"/>
    <cellStyle name="Normal 8 2 2 2 4 2 3 2" xfId="31109" xr:uid="{20EBEA90-4935-4D97-9CF5-93F064952BAA}"/>
    <cellStyle name="Normal 8 2 2 2 4 2 4" xfId="21812" xr:uid="{B7984365-2E45-4D12-9FE2-73FC19FF6AE3}"/>
    <cellStyle name="Normal 8 2 2 2 4 3" xfId="5259" xr:uid="{00000000-0005-0000-0000-0000351C0000}"/>
    <cellStyle name="Normal 8 2 2 2 4 3 2" xfId="14585" xr:uid="{AEC7954E-9FF6-4751-A786-C6B89EFB3929}"/>
    <cellStyle name="Normal 8 2 2 2 4 3 2 2" xfId="33181" xr:uid="{6FAF2394-3EE5-45AF-B0FA-3FC3EE310D68}"/>
    <cellStyle name="Normal 8 2 2 2 4 3 3" xfId="23884" xr:uid="{B817C766-90D0-447A-AE2A-2EFC4CA17B78}"/>
    <cellStyle name="Normal 8 2 2 2 4 4" xfId="9261" xr:uid="{70C29865-A6DE-4682-9EB1-83E4E07FD0A7}"/>
    <cellStyle name="Normal 8 2 2 2 4 4 2" xfId="18576" xr:uid="{504016E5-AB45-48B5-B211-E9C3D2F9BBDE}"/>
    <cellStyle name="Normal 8 2 2 2 4 4 2 2" xfId="37170" xr:uid="{2E4C42A4-4FD0-4332-A066-9598BC9421BB}"/>
    <cellStyle name="Normal 8 2 2 2 4 4 3" xfId="27873" xr:uid="{D6CE5D87-C3CB-48E1-B01B-03C6591DF7D7}"/>
    <cellStyle name="Normal 8 2 2 2 4 5" xfId="10368" xr:uid="{88037405-D1F0-46B0-BB8B-846C0479694B}"/>
    <cellStyle name="Normal 8 2 2 2 4 5 2" xfId="28964" xr:uid="{1DAB9BBA-F911-406A-9A28-7A621809B00B}"/>
    <cellStyle name="Normal 8 2 2 2 4 6" xfId="19667" xr:uid="{DE1D469F-86E6-4777-8660-8F9EFF79F186}"/>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AD7B73E2-C26E-4054-A284-E7486ABA8256}"/>
    <cellStyle name="Normal 8 2 2 2 5 2 2 2 2" xfId="35739" xr:uid="{472B19D2-2E14-4B75-AF75-2F8A620BEAD4}"/>
    <cellStyle name="Normal 8 2 2 2 5 2 2 3" xfId="26442" xr:uid="{35EF623B-8F74-43A2-BF08-86F745060314}"/>
    <cellStyle name="Normal 8 2 2 2 5 2 3" xfId="12926" xr:uid="{923F96BC-F308-4F8E-8B6C-59B06B192B17}"/>
    <cellStyle name="Normal 8 2 2 2 5 2 3 2" xfId="31522" xr:uid="{EB5F4B42-6410-4BB3-AC50-A66CF1262173}"/>
    <cellStyle name="Normal 8 2 2 2 5 2 4" xfId="22225" xr:uid="{71AAAE2E-ADA0-4DFB-A6E4-69D382870AC1}"/>
    <cellStyle name="Normal 8 2 2 2 5 3" xfId="5672" xr:uid="{00000000-0005-0000-0000-0000391C0000}"/>
    <cellStyle name="Normal 8 2 2 2 5 3 2" xfId="14998" xr:uid="{9EC9DE13-1447-4DC8-9BF8-2F665A1A2AA7}"/>
    <cellStyle name="Normal 8 2 2 2 5 3 2 2" xfId="33594" xr:uid="{DA2A8CCB-91DE-4A2B-A8FF-FB1C9769535B}"/>
    <cellStyle name="Normal 8 2 2 2 5 3 3" xfId="24297" xr:uid="{0D16E6C0-06CB-4F69-97D3-5CDE62C5628B}"/>
    <cellStyle name="Normal 8 2 2 2 5 4" xfId="10781" xr:uid="{C6545002-4EDF-4D20-B2A0-D56CCF33AD6F}"/>
    <cellStyle name="Normal 8 2 2 2 5 4 2" xfId="29377" xr:uid="{B8664613-2072-4995-8802-1E912D317C9A}"/>
    <cellStyle name="Normal 8 2 2 2 5 5" xfId="20080" xr:uid="{F431D1E9-7FC3-4151-B23A-EB8AC62B6B7C}"/>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B67FB1E8-FD77-4D54-B9C3-714D7004DB50}"/>
    <cellStyle name="Normal 8 2 2 2 6 2 2 2 2" xfId="36152" xr:uid="{40F9C18C-B86F-405A-B1AF-60C3FA729FF2}"/>
    <cellStyle name="Normal 8 2 2 2 6 2 2 3" xfId="26855" xr:uid="{1709D06A-059C-4A9E-A9C9-F5485E92C7EF}"/>
    <cellStyle name="Normal 8 2 2 2 6 2 3" xfId="13339" xr:uid="{E323B178-4220-47DA-830B-839DD927F343}"/>
    <cellStyle name="Normal 8 2 2 2 6 2 3 2" xfId="31935" xr:uid="{CA23683B-937D-4EC7-A40B-6C4C8CC253EC}"/>
    <cellStyle name="Normal 8 2 2 2 6 2 4" xfId="22638" xr:uid="{F5FCA17A-A01E-439C-A9CD-4C81197F7200}"/>
    <cellStyle name="Normal 8 2 2 2 6 3" xfId="6085" xr:uid="{00000000-0005-0000-0000-00003D1C0000}"/>
    <cellStyle name="Normal 8 2 2 2 6 3 2" xfId="15411" xr:uid="{E55D4FE6-0D19-4AA9-9582-C34306531970}"/>
    <cellStyle name="Normal 8 2 2 2 6 3 2 2" xfId="34007" xr:uid="{E3B902AA-441E-4070-8EED-0B01C6FB2EF6}"/>
    <cellStyle name="Normal 8 2 2 2 6 3 3" xfId="24710" xr:uid="{525A2614-B117-4EC1-AE29-4A750FEEB2D6}"/>
    <cellStyle name="Normal 8 2 2 2 6 4" xfId="11194" xr:uid="{165C6825-E407-442B-BAB6-D16E1E0CA467}"/>
    <cellStyle name="Normal 8 2 2 2 6 4 2" xfId="29790" xr:uid="{2902EF41-2DC6-44E4-AB33-F46CE464F845}"/>
    <cellStyle name="Normal 8 2 2 2 6 5" xfId="20493" xr:uid="{09F3A623-F38D-4D10-B25A-79AC5C0989A7}"/>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47FF06E6-3C0C-488C-ADAE-E900FAC8742D}"/>
    <cellStyle name="Normal 8 2 2 2 7 2 2 2 2" xfId="36565" xr:uid="{CB6C1A50-C5E0-4B19-8C73-F631FF5EA97D}"/>
    <cellStyle name="Normal 8 2 2 2 7 2 2 3" xfId="27268" xr:uid="{F671DDED-81AC-4A14-B3DB-3355C0CF8940}"/>
    <cellStyle name="Normal 8 2 2 2 7 2 3" xfId="13752" xr:uid="{244046EE-ACD0-41E9-8D11-F4F139A684E6}"/>
    <cellStyle name="Normal 8 2 2 2 7 2 3 2" xfId="32348" xr:uid="{ABF88BAD-6CCC-4802-8ED9-8145F9D8CB66}"/>
    <cellStyle name="Normal 8 2 2 2 7 2 4" xfId="23051" xr:uid="{3793DB3A-FFF5-4EF0-9595-D1BF993796BE}"/>
    <cellStyle name="Normal 8 2 2 2 7 3" xfId="6498" xr:uid="{00000000-0005-0000-0000-0000411C0000}"/>
    <cellStyle name="Normal 8 2 2 2 7 3 2" xfId="15824" xr:uid="{887B939B-768A-41DC-82DE-44FA84B8EB17}"/>
    <cellStyle name="Normal 8 2 2 2 7 3 2 2" xfId="34420" xr:uid="{683BC9AE-59FD-4213-BFED-6DA4E8D7B6C3}"/>
    <cellStyle name="Normal 8 2 2 2 7 3 3" xfId="25123" xr:uid="{AA1101FB-2343-45D5-920E-F0C9540CAA51}"/>
    <cellStyle name="Normal 8 2 2 2 7 4" xfId="11607" xr:uid="{0F62E39A-89EB-4EBB-9C95-26B88E6BF781}"/>
    <cellStyle name="Normal 8 2 2 2 7 4 2" xfId="30203" xr:uid="{5116621B-E475-418B-AF58-08BCBFE0E466}"/>
    <cellStyle name="Normal 8 2 2 2 7 5" xfId="20906" xr:uid="{5CF97483-026B-4423-89C9-CE42F5A25EFF}"/>
    <cellStyle name="Normal 8 2 2 2 8" xfId="2628" xr:uid="{00000000-0005-0000-0000-0000421C0000}"/>
    <cellStyle name="Normal 8 2 2 2 8 2" xfId="6911" xr:uid="{00000000-0005-0000-0000-0000431C0000}"/>
    <cellStyle name="Normal 8 2 2 2 8 2 2" xfId="16237" xr:uid="{814247D3-9630-451C-8E20-4CA770F0850A}"/>
    <cellStyle name="Normal 8 2 2 2 8 2 2 2" xfId="34833" xr:uid="{6D1C5664-FA37-41C2-8CB4-16E515C4D6F3}"/>
    <cellStyle name="Normal 8 2 2 2 8 2 3" xfId="25536" xr:uid="{AC166134-FE1F-4011-8076-3EF9AF9A71C8}"/>
    <cellStyle name="Normal 8 2 2 2 8 3" xfId="12020" xr:uid="{25D3FE60-8BE4-49B6-A656-7D4EF94D04B3}"/>
    <cellStyle name="Normal 8 2 2 2 8 3 2" xfId="30616" xr:uid="{94F78CDC-9795-4EF5-8E85-23C35E396B41}"/>
    <cellStyle name="Normal 8 2 2 2 8 4" xfId="21319" xr:uid="{837FC356-2557-4FCB-805C-34CA97A4E26D}"/>
    <cellStyle name="Normal 8 2 2 2 9" xfId="4846" xr:uid="{00000000-0005-0000-0000-0000441C0000}"/>
    <cellStyle name="Normal 8 2 2 2 9 2" xfId="14172" xr:uid="{06B1F975-34F2-41FE-A733-0A2AD633B249}"/>
    <cellStyle name="Normal 8 2 2 2 9 2 2" xfId="32768" xr:uid="{754ADBB0-09CE-4D95-A532-BF7812C41CA5}"/>
    <cellStyle name="Normal 8 2 2 2 9 3" xfId="23471" xr:uid="{D9D0FB1E-EB71-464F-A0BA-5521B1D5A7F8}"/>
    <cellStyle name="Normal 8 2 2 3" xfId="485" xr:uid="{00000000-0005-0000-0000-0000451C0000}"/>
    <cellStyle name="Normal 8 2 2 3 10" xfId="9959" xr:uid="{D3B6EE84-C5B7-4DAD-A280-38A17D4A74B6}"/>
    <cellStyle name="Normal 8 2 2 3 10 2" xfId="28555" xr:uid="{129F8643-3B3F-4530-B50B-26107AFACDED}"/>
    <cellStyle name="Normal 8 2 2 3 11" xfId="19258" xr:uid="{37DBD34E-90DC-4B5E-B4E4-46CD5B20071D}"/>
    <cellStyle name="Normal 8 2 2 3 2" xfId="486" xr:uid="{00000000-0005-0000-0000-0000461C0000}"/>
    <cellStyle name="Normal 8 2 2 3 2 10" xfId="19259" xr:uid="{746C19C8-94DC-41E7-B9E6-91B42CBCEEFA}"/>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28EED367-244D-41DB-843C-71919B1C0FA0}"/>
    <cellStyle name="Normal 8 2 2 3 2 2 2 2 2 2" xfId="35331" xr:uid="{DFDE4B90-3706-4A6E-9992-CC02778600CC}"/>
    <cellStyle name="Normal 8 2 2 3 2 2 2 2 3" xfId="26034" xr:uid="{7D22B9F0-55F8-4C93-B692-A5297C16D195}"/>
    <cellStyle name="Normal 8 2 2 3 2 2 2 3" xfId="12518" xr:uid="{1FA934DB-9684-4AF7-AD2A-C047A3DA19BB}"/>
    <cellStyle name="Normal 8 2 2 3 2 2 2 3 2" xfId="31114" xr:uid="{0E035CAD-645D-4297-AF8D-0EB6FB61AD0D}"/>
    <cellStyle name="Normal 8 2 2 3 2 2 2 4" xfId="21817" xr:uid="{FA9F8427-BAF8-470C-B72A-86018355EDBD}"/>
    <cellStyle name="Normal 8 2 2 3 2 2 3" xfId="5264" xr:uid="{00000000-0005-0000-0000-00004A1C0000}"/>
    <cellStyle name="Normal 8 2 2 3 2 2 3 2" xfId="14590" xr:uid="{CACF99B9-79C0-444C-A4D8-9C4226AD99F6}"/>
    <cellStyle name="Normal 8 2 2 3 2 2 3 2 2" xfId="33186" xr:uid="{4B63FD28-99E9-4298-9431-15D2B731AC79}"/>
    <cellStyle name="Normal 8 2 2 3 2 2 3 3" xfId="23889" xr:uid="{BC176FF3-A5FD-456A-B4B9-813CC058A869}"/>
    <cellStyle name="Normal 8 2 2 3 2 2 4" xfId="9518" xr:uid="{FDE93D5E-A6D1-456B-8726-FC2AB8FD16A4}"/>
    <cellStyle name="Normal 8 2 2 3 2 2 4 2" xfId="18833" xr:uid="{75E981F4-2576-4CF6-A06B-501F0BD12706}"/>
    <cellStyle name="Normal 8 2 2 3 2 2 4 2 2" xfId="37427" xr:uid="{FBE3B11B-7765-4EB7-8B2E-D07DC3B29B95}"/>
    <cellStyle name="Normal 8 2 2 3 2 2 4 3" xfId="28130" xr:uid="{08A03D12-3157-4EF7-BADE-0F9A6099F59E}"/>
    <cellStyle name="Normal 8 2 2 3 2 2 5" xfId="10373" xr:uid="{D5663F72-4EB3-4582-A7BD-D41656FD657B}"/>
    <cellStyle name="Normal 8 2 2 3 2 2 5 2" xfId="28969" xr:uid="{837CDE22-5D4F-4A3E-A1A5-8A29ACDC1F10}"/>
    <cellStyle name="Normal 8 2 2 3 2 2 6" xfId="19672" xr:uid="{9282D84C-1D3A-435C-A45C-07032235C2B8}"/>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A51B84E1-A276-482B-ABCD-99187FAD5C91}"/>
    <cellStyle name="Normal 8 2 2 3 2 3 2 2 2 2" xfId="35744" xr:uid="{1E4A5B9E-E720-4454-B394-205DF34DFA06}"/>
    <cellStyle name="Normal 8 2 2 3 2 3 2 2 3" xfId="26447" xr:uid="{B57054E4-211D-4DD2-9E1E-BF5DD5F49D40}"/>
    <cellStyle name="Normal 8 2 2 3 2 3 2 3" xfId="12931" xr:uid="{E061B5B5-43B3-40C7-936F-5337AF57D7B2}"/>
    <cellStyle name="Normal 8 2 2 3 2 3 2 3 2" xfId="31527" xr:uid="{D425154A-4622-43E4-896F-52B4AFE552E2}"/>
    <cellStyle name="Normal 8 2 2 3 2 3 2 4" xfId="22230" xr:uid="{041B9900-8343-4D98-BEEA-7725CFFADBD2}"/>
    <cellStyle name="Normal 8 2 2 3 2 3 3" xfId="5677" xr:uid="{00000000-0005-0000-0000-00004E1C0000}"/>
    <cellStyle name="Normal 8 2 2 3 2 3 3 2" xfId="15003" xr:uid="{155DA12B-B9E4-479D-BFF6-A40D69B7A36B}"/>
    <cellStyle name="Normal 8 2 2 3 2 3 3 2 2" xfId="33599" xr:uid="{2C8AF6C9-5DAD-4B43-B5A8-5D3EE8EFEB14}"/>
    <cellStyle name="Normal 8 2 2 3 2 3 3 3" xfId="24302" xr:uid="{203881F4-70C8-46EE-A9F5-D697F6258F00}"/>
    <cellStyle name="Normal 8 2 2 3 2 3 4" xfId="10786" xr:uid="{72C72AFB-7C98-4D76-9556-3E04320536EB}"/>
    <cellStyle name="Normal 8 2 2 3 2 3 4 2" xfId="29382" xr:uid="{039F640E-B126-48AC-BB72-F0557A230802}"/>
    <cellStyle name="Normal 8 2 2 3 2 3 5" xfId="20085" xr:uid="{E3CE435D-874B-4853-BD48-7317A7AD26E4}"/>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8ABCE053-BA62-4A26-BF1B-EF509E7C9EA5}"/>
    <cellStyle name="Normal 8 2 2 3 2 4 2 2 2 2" xfId="36157" xr:uid="{F86AD806-8109-47AF-9484-924272181BE3}"/>
    <cellStyle name="Normal 8 2 2 3 2 4 2 2 3" xfId="26860" xr:uid="{4C8E1B5F-A782-4007-BB24-BDAA9BDB2B4D}"/>
    <cellStyle name="Normal 8 2 2 3 2 4 2 3" xfId="13344" xr:uid="{F35C8381-7880-4CD0-B52C-F55341E78A27}"/>
    <cellStyle name="Normal 8 2 2 3 2 4 2 3 2" xfId="31940" xr:uid="{DC75A064-86C6-422A-ADC6-4B1643D22466}"/>
    <cellStyle name="Normal 8 2 2 3 2 4 2 4" xfId="22643" xr:uid="{90B4A241-D9E6-4029-BB94-1DE04CF68ABA}"/>
    <cellStyle name="Normal 8 2 2 3 2 4 3" xfId="6090" xr:uid="{00000000-0005-0000-0000-0000521C0000}"/>
    <cellStyle name="Normal 8 2 2 3 2 4 3 2" xfId="15416" xr:uid="{A07BB7E0-49BC-41FD-8940-4428C72001E6}"/>
    <cellStyle name="Normal 8 2 2 3 2 4 3 2 2" xfId="34012" xr:uid="{D5F8E992-7DBF-49BE-B3FB-5AFAD2BAC28E}"/>
    <cellStyle name="Normal 8 2 2 3 2 4 3 3" xfId="24715" xr:uid="{BACADEA6-22C6-4F2E-B138-2EA84C89122F}"/>
    <cellStyle name="Normal 8 2 2 3 2 4 4" xfId="11199" xr:uid="{20E20586-4C8F-4AE8-8AA1-A59BFF2169A2}"/>
    <cellStyle name="Normal 8 2 2 3 2 4 4 2" xfId="29795" xr:uid="{0A932B6A-9F44-4CD3-9243-0D895A647EBF}"/>
    <cellStyle name="Normal 8 2 2 3 2 4 5" xfId="20498" xr:uid="{C847C30B-2DF6-444B-957E-8FE74B6B9857}"/>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CE6AAD7C-8ADC-4659-9F00-037BAAAFC902}"/>
    <cellStyle name="Normal 8 2 2 3 2 5 2 2 2 2" xfId="36570" xr:uid="{6A4ECB22-60CF-437E-83F0-97C63687877F}"/>
    <cellStyle name="Normal 8 2 2 3 2 5 2 2 3" xfId="27273" xr:uid="{304A30B8-4472-4264-899F-4C576425F0DB}"/>
    <cellStyle name="Normal 8 2 2 3 2 5 2 3" xfId="13757" xr:uid="{AD86DCCC-14B9-4700-8A1A-2DD1DBF94713}"/>
    <cellStyle name="Normal 8 2 2 3 2 5 2 3 2" xfId="32353" xr:uid="{58030689-E3ED-4DE0-AA72-016D10ECDB39}"/>
    <cellStyle name="Normal 8 2 2 3 2 5 2 4" xfId="23056" xr:uid="{63A0A9D1-B999-43F1-B798-BAE13E68B384}"/>
    <cellStyle name="Normal 8 2 2 3 2 5 3" xfId="6503" xr:uid="{00000000-0005-0000-0000-0000561C0000}"/>
    <cellStyle name="Normal 8 2 2 3 2 5 3 2" xfId="15829" xr:uid="{1E0FBDAB-CB05-4DA8-978B-4D857FDF8446}"/>
    <cellStyle name="Normal 8 2 2 3 2 5 3 2 2" xfId="34425" xr:uid="{416611D9-07F1-4F15-8E04-BDDE07EF0D4E}"/>
    <cellStyle name="Normal 8 2 2 3 2 5 3 3" xfId="25128" xr:uid="{3D989D75-F25E-4AE0-AFCA-531DA5337C00}"/>
    <cellStyle name="Normal 8 2 2 3 2 5 4" xfId="11612" xr:uid="{083F380E-B0D4-40E2-B424-DA92C87B5B67}"/>
    <cellStyle name="Normal 8 2 2 3 2 5 4 2" xfId="30208" xr:uid="{B1BED8E7-F401-4183-9115-BB298D8689BB}"/>
    <cellStyle name="Normal 8 2 2 3 2 5 5" xfId="20911" xr:uid="{8C42E24C-9829-4D00-87C9-1C766559B4DA}"/>
    <cellStyle name="Normal 8 2 2 3 2 6" xfId="2633" xr:uid="{00000000-0005-0000-0000-0000571C0000}"/>
    <cellStyle name="Normal 8 2 2 3 2 6 2" xfId="6916" xr:uid="{00000000-0005-0000-0000-0000581C0000}"/>
    <cellStyle name="Normal 8 2 2 3 2 6 2 2" xfId="16242" xr:uid="{72F79A9E-1857-4C39-A7C8-B6D60A158DC9}"/>
    <cellStyle name="Normal 8 2 2 3 2 6 2 2 2" xfId="34838" xr:uid="{4242B1E3-A99F-4F34-9030-65757BF9C3CC}"/>
    <cellStyle name="Normal 8 2 2 3 2 6 2 3" xfId="25541" xr:uid="{B65BCF7F-523F-4740-B37C-97F8EA0467FE}"/>
    <cellStyle name="Normal 8 2 2 3 2 6 3" xfId="12025" xr:uid="{8E1B5085-7833-4680-88ED-B8218CB11856}"/>
    <cellStyle name="Normal 8 2 2 3 2 6 3 2" xfId="30621" xr:uid="{97FE4B12-6569-485F-82E0-AD4BAF8642C4}"/>
    <cellStyle name="Normal 8 2 2 3 2 6 4" xfId="21324" xr:uid="{707F0FD3-3599-4BDF-9502-2B4039FB96DB}"/>
    <cellStyle name="Normal 8 2 2 3 2 7" xfId="4851" xr:uid="{00000000-0005-0000-0000-0000591C0000}"/>
    <cellStyle name="Normal 8 2 2 3 2 7 2" xfId="14177" xr:uid="{9E5E1E57-4350-4633-8BA8-05CEB672788E}"/>
    <cellStyle name="Normal 8 2 2 3 2 7 2 2" xfId="32773" xr:uid="{8A07C877-8EF0-4C09-BF50-276D5C942E92}"/>
    <cellStyle name="Normal 8 2 2 3 2 7 3" xfId="23476" xr:uid="{07588475-1131-4564-AA4D-A604DD8E5C74}"/>
    <cellStyle name="Normal 8 2 2 3 2 8" xfId="9093" xr:uid="{ADE34C72-BCCB-477C-B66A-BE7159CEB281}"/>
    <cellStyle name="Normal 8 2 2 3 2 8 2" xfId="18417" xr:uid="{5FEB2388-5715-4B3D-A949-C5465F46C464}"/>
    <cellStyle name="Normal 8 2 2 3 2 8 2 2" xfId="37012" xr:uid="{957A80D1-C35D-4D6B-AC84-130B1242CF37}"/>
    <cellStyle name="Normal 8 2 2 3 2 8 3" xfId="27715" xr:uid="{2A41FC85-5C4D-406A-B43B-8215CA038CAE}"/>
    <cellStyle name="Normal 8 2 2 3 2 9" xfId="9960" xr:uid="{50EBA3C8-2CEE-4EC8-BDD1-5A9B29FE78DF}"/>
    <cellStyle name="Normal 8 2 2 3 2 9 2" xfId="28556" xr:uid="{9E89885E-D092-4E6A-884F-682BD40E1F81}"/>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87F7D7A4-6E74-4B62-A7C2-B399E44EE0D3}"/>
    <cellStyle name="Normal 8 2 2 3 3 2 2 2 2" xfId="35330" xr:uid="{07635C98-844F-42E0-B73C-30966D75811C}"/>
    <cellStyle name="Normal 8 2 2 3 3 2 2 3" xfId="26033" xr:uid="{DADE38BF-FD67-461C-917B-499F4269C052}"/>
    <cellStyle name="Normal 8 2 2 3 3 2 3" xfId="12517" xr:uid="{232AA779-2AF6-47E4-ACDD-4F3EC1E5604C}"/>
    <cellStyle name="Normal 8 2 2 3 3 2 3 2" xfId="31113" xr:uid="{2C46A45E-7E32-4492-AB27-A77AE28DF74F}"/>
    <cellStyle name="Normal 8 2 2 3 3 2 4" xfId="21816" xr:uid="{0BD0E44A-AED0-4C3E-9AD8-31350E981C5F}"/>
    <cellStyle name="Normal 8 2 2 3 3 3" xfId="5263" xr:uid="{00000000-0005-0000-0000-00005D1C0000}"/>
    <cellStyle name="Normal 8 2 2 3 3 3 2" xfId="14589" xr:uid="{0A920B08-8944-45CC-8FA3-4F138B098566}"/>
    <cellStyle name="Normal 8 2 2 3 3 3 2 2" xfId="33185" xr:uid="{5F4060F6-47A1-4A23-978C-A35864444F8C}"/>
    <cellStyle name="Normal 8 2 2 3 3 3 3" xfId="23888" xr:uid="{212E73A5-A873-400F-AADF-62FFCFA3F401}"/>
    <cellStyle name="Normal 8 2 2 3 3 4" xfId="9311" xr:uid="{F4618F1E-1235-4269-B5C6-B09BE5034F6C}"/>
    <cellStyle name="Normal 8 2 2 3 3 4 2" xfId="18626" xr:uid="{B7DFAAF2-9B7F-48E9-85FB-326BD8A6D8BA}"/>
    <cellStyle name="Normal 8 2 2 3 3 4 2 2" xfId="37220" xr:uid="{12B41CD8-4110-4EAF-B65C-2994F5BD03EE}"/>
    <cellStyle name="Normal 8 2 2 3 3 4 3" xfId="27923" xr:uid="{B131F038-4807-4205-A395-3F7147E7F6A5}"/>
    <cellStyle name="Normal 8 2 2 3 3 5" xfId="10372" xr:uid="{82C21B15-272F-4AEA-BCFE-55589DC24F19}"/>
    <cellStyle name="Normal 8 2 2 3 3 5 2" xfId="28968" xr:uid="{D409BEEA-EBE9-4D21-BC6A-5BCED93FF619}"/>
    <cellStyle name="Normal 8 2 2 3 3 6" xfId="19671" xr:uid="{86FE3DCC-678E-4785-B8B9-3759F6671CA2}"/>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510F97CD-344C-4B5F-BA1E-61703535507D}"/>
    <cellStyle name="Normal 8 2 2 3 4 2 2 2 2" xfId="35743" xr:uid="{67BA3D89-1082-434C-AFAF-AE94074FAA7F}"/>
    <cellStyle name="Normal 8 2 2 3 4 2 2 3" xfId="26446" xr:uid="{7DA8A9FA-6038-47AF-8A7C-BC1A44A82C76}"/>
    <cellStyle name="Normal 8 2 2 3 4 2 3" xfId="12930" xr:uid="{E90BD89F-0508-47AD-9E32-6A80A10510C4}"/>
    <cellStyle name="Normal 8 2 2 3 4 2 3 2" xfId="31526" xr:uid="{3E91B84F-2103-4D7B-AD97-FC7038D9510B}"/>
    <cellStyle name="Normal 8 2 2 3 4 2 4" xfId="22229" xr:uid="{C2C12F1C-3F30-47EF-9AB9-FE186341E6E5}"/>
    <cellStyle name="Normal 8 2 2 3 4 3" xfId="5676" xr:uid="{00000000-0005-0000-0000-0000611C0000}"/>
    <cellStyle name="Normal 8 2 2 3 4 3 2" xfId="15002" xr:uid="{CF7DF096-554E-494B-8EB5-7A18A0A8E8E7}"/>
    <cellStyle name="Normal 8 2 2 3 4 3 2 2" xfId="33598" xr:uid="{2994C664-3B95-42CC-8131-8E21C6E9DC2E}"/>
    <cellStyle name="Normal 8 2 2 3 4 3 3" xfId="24301" xr:uid="{24E0839C-A78D-4333-8479-2B09FACAA51B}"/>
    <cellStyle name="Normal 8 2 2 3 4 4" xfId="10785" xr:uid="{8F94533E-4C44-4F8C-87A6-7722D909C14E}"/>
    <cellStyle name="Normal 8 2 2 3 4 4 2" xfId="29381" xr:uid="{90B78FDC-8A43-444F-847D-BB40C3962769}"/>
    <cellStyle name="Normal 8 2 2 3 4 5" xfId="20084" xr:uid="{AB9E67CA-F257-4D74-B483-ED9BC23A0D81}"/>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705DA54E-2567-4879-B910-9072EAC79877}"/>
    <cellStyle name="Normal 8 2 2 3 5 2 2 2 2" xfId="36156" xr:uid="{41B3C200-1EE9-43FE-8969-39504D743695}"/>
    <cellStyle name="Normal 8 2 2 3 5 2 2 3" xfId="26859" xr:uid="{8E1AA6BF-918B-4DCF-A57E-BD4C7C9080DF}"/>
    <cellStyle name="Normal 8 2 2 3 5 2 3" xfId="13343" xr:uid="{37D3C16A-6493-454B-A5CF-51D68B24D854}"/>
    <cellStyle name="Normal 8 2 2 3 5 2 3 2" xfId="31939" xr:uid="{892B56BF-C5D3-473E-9AC2-F5C50FB806AD}"/>
    <cellStyle name="Normal 8 2 2 3 5 2 4" xfId="22642" xr:uid="{F9201E10-FFD6-4D8B-A4D3-0D43DD38132D}"/>
    <cellStyle name="Normal 8 2 2 3 5 3" xfId="6089" xr:uid="{00000000-0005-0000-0000-0000651C0000}"/>
    <cellStyle name="Normal 8 2 2 3 5 3 2" xfId="15415" xr:uid="{AB85C4CF-B4FE-44F7-8109-F3F0CAF8AAFA}"/>
    <cellStyle name="Normal 8 2 2 3 5 3 2 2" xfId="34011" xr:uid="{FC839DF0-0437-4836-BD41-0F6993E82286}"/>
    <cellStyle name="Normal 8 2 2 3 5 3 3" xfId="24714" xr:uid="{1E67B104-62A6-4A62-B32E-F8E33F2B539E}"/>
    <cellStyle name="Normal 8 2 2 3 5 4" xfId="11198" xr:uid="{812BD45F-20DC-4E9D-93A8-939AD6F4AF6C}"/>
    <cellStyle name="Normal 8 2 2 3 5 4 2" xfId="29794" xr:uid="{77853D07-F35E-4133-AB45-62CCA66CD198}"/>
    <cellStyle name="Normal 8 2 2 3 5 5" xfId="20497" xr:uid="{17B1964E-9996-4082-987F-805C29821FF6}"/>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96006AE3-1600-469C-AC12-B8A2F797F169}"/>
    <cellStyle name="Normal 8 2 2 3 6 2 2 2 2" xfId="36569" xr:uid="{325D8DC1-2049-47A8-BD3B-5E65C17B02FE}"/>
    <cellStyle name="Normal 8 2 2 3 6 2 2 3" xfId="27272" xr:uid="{22FCADC9-E937-460F-856F-8F62C2A37204}"/>
    <cellStyle name="Normal 8 2 2 3 6 2 3" xfId="13756" xr:uid="{32B25509-60F9-4EC1-89DC-DB8018A721D0}"/>
    <cellStyle name="Normal 8 2 2 3 6 2 3 2" xfId="32352" xr:uid="{49FF52F9-CA46-437B-8BAA-FF36146BFD14}"/>
    <cellStyle name="Normal 8 2 2 3 6 2 4" xfId="23055" xr:uid="{0D57B08C-99F6-4CFC-AC83-54DE69276DCD}"/>
    <cellStyle name="Normal 8 2 2 3 6 3" xfId="6502" xr:uid="{00000000-0005-0000-0000-0000691C0000}"/>
    <cellStyle name="Normal 8 2 2 3 6 3 2" xfId="15828" xr:uid="{DD2E3365-65C3-4320-AD9B-B0B6509643EE}"/>
    <cellStyle name="Normal 8 2 2 3 6 3 2 2" xfId="34424" xr:uid="{207AAD24-C150-4525-86B0-A23593839BF9}"/>
    <cellStyle name="Normal 8 2 2 3 6 3 3" xfId="25127" xr:uid="{334DB5EA-2C0F-4A14-B7E9-F565D925F4AD}"/>
    <cellStyle name="Normal 8 2 2 3 6 4" xfId="11611" xr:uid="{D8C6AF9B-5085-4D1B-A213-9AE42F7D3543}"/>
    <cellStyle name="Normal 8 2 2 3 6 4 2" xfId="30207" xr:uid="{FC89EB11-1C1D-48BA-8B7C-6BB40F51191A}"/>
    <cellStyle name="Normal 8 2 2 3 6 5" xfId="20910" xr:uid="{AEDD4EBB-A7A1-459C-A32F-A9A03984311E}"/>
    <cellStyle name="Normal 8 2 2 3 7" xfId="2632" xr:uid="{00000000-0005-0000-0000-00006A1C0000}"/>
    <cellStyle name="Normal 8 2 2 3 7 2" xfId="6915" xr:uid="{00000000-0005-0000-0000-00006B1C0000}"/>
    <cellStyle name="Normal 8 2 2 3 7 2 2" xfId="16241" xr:uid="{2DA813B1-A06A-40D1-9CDD-B4C7C1B31260}"/>
    <cellStyle name="Normal 8 2 2 3 7 2 2 2" xfId="34837" xr:uid="{B457B86C-8384-42B3-9C01-0E4CCD0ED5D4}"/>
    <cellStyle name="Normal 8 2 2 3 7 2 3" xfId="25540" xr:uid="{7FD7F608-D728-4759-B909-BA4E0DC97CDC}"/>
    <cellStyle name="Normal 8 2 2 3 7 3" xfId="12024" xr:uid="{1B83C2C0-6727-48C1-BDD5-FE28165579A5}"/>
    <cellStyle name="Normal 8 2 2 3 7 3 2" xfId="30620" xr:uid="{2F1C6711-B5A8-44DA-9DC2-92F56B314B0D}"/>
    <cellStyle name="Normal 8 2 2 3 7 4" xfId="21323" xr:uid="{BA7553A3-A87F-42B3-A754-7178E4E3679F}"/>
    <cellStyle name="Normal 8 2 2 3 8" xfId="4850" xr:uid="{00000000-0005-0000-0000-00006C1C0000}"/>
    <cellStyle name="Normal 8 2 2 3 8 2" xfId="14176" xr:uid="{59481335-D0D4-485C-A219-198AD14B16CA}"/>
    <cellStyle name="Normal 8 2 2 3 8 2 2" xfId="32772" xr:uid="{98E0A99F-33C3-46C4-A1CC-0AF4B26F2F86}"/>
    <cellStyle name="Normal 8 2 2 3 8 3" xfId="23475" xr:uid="{25DA7BAF-E4C9-4EF3-80F8-D4B8A52B8616}"/>
    <cellStyle name="Normal 8 2 2 3 9" xfId="8886" xr:uid="{B2A45ACA-2377-4A40-A818-E7106AD46E30}"/>
    <cellStyle name="Normal 8 2 2 3 9 2" xfId="18210" xr:uid="{0A52A045-F40E-4949-85B1-BA51BE05BF92}"/>
    <cellStyle name="Normal 8 2 2 3 9 2 2" xfId="36805" xr:uid="{AAB98C05-2B0F-4475-B15C-270B7CB4230B}"/>
    <cellStyle name="Normal 8 2 2 3 9 3" xfId="27508" xr:uid="{7B4476BA-A851-4D15-9426-663C80216844}"/>
    <cellStyle name="Normal 8 2 2 4" xfId="487" xr:uid="{00000000-0005-0000-0000-00006D1C0000}"/>
    <cellStyle name="Normal 8 2 2 4 10" xfId="19260" xr:uid="{3F9CBC05-D22D-4219-9EC3-CB7BFC5DF309}"/>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42F49B50-BFD5-4C2E-980E-377A4F50FF1B}"/>
    <cellStyle name="Normal 8 2 2 4 2 2 2 2 2" xfId="35332" xr:uid="{3A89AEA5-1D68-4A79-9644-FBACAD385A45}"/>
    <cellStyle name="Normal 8 2 2 4 2 2 2 3" xfId="26035" xr:uid="{65CF6152-4EC3-4200-9954-704FF1D45E81}"/>
    <cellStyle name="Normal 8 2 2 4 2 2 3" xfId="12519" xr:uid="{ACC12E91-05A9-4FAE-900A-DB2C939C14DE}"/>
    <cellStyle name="Normal 8 2 2 4 2 2 3 2" xfId="31115" xr:uid="{EF90F4F0-B8B5-4938-8407-546F45F41DCA}"/>
    <cellStyle name="Normal 8 2 2 4 2 2 4" xfId="21818" xr:uid="{9636DFAA-35AA-4E8B-AE7F-9D4CB46F92E6}"/>
    <cellStyle name="Normal 8 2 2 4 2 3" xfId="5265" xr:uid="{00000000-0005-0000-0000-0000711C0000}"/>
    <cellStyle name="Normal 8 2 2 4 2 3 2" xfId="14591" xr:uid="{25CA61C8-6923-428D-8BC9-F78AE265C9C6}"/>
    <cellStyle name="Normal 8 2 2 4 2 3 2 2" xfId="33187" xr:uid="{43A581A6-041A-45D4-AED3-C6E1E32690E5}"/>
    <cellStyle name="Normal 8 2 2 4 2 3 3" xfId="23890" xr:uid="{239C4B19-92EE-417B-891E-EFA2251D3D15}"/>
    <cellStyle name="Normal 8 2 2 4 2 4" xfId="9415" xr:uid="{88D7FF95-DEA9-4369-BE01-487FC7B2B7E8}"/>
    <cellStyle name="Normal 8 2 2 4 2 4 2" xfId="18730" xr:uid="{2A98B601-1D8A-4AD3-80CE-CA924A3EBBE5}"/>
    <cellStyle name="Normal 8 2 2 4 2 4 2 2" xfId="37324" xr:uid="{97965673-A5D7-4895-A78D-A2A131B2F689}"/>
    <cellStyle name="Normal 8 2 2 4 2 4 3" xfId="28027" xr:uid="{679BFA58-8C55-4F47-81E0-8BBD5E7B274E}"/>
    <cellStyle name="Normal 8 2 2 4 2 5" xfId="10374" xr:uid="{0CA97F6D-9D8E-44AB-9C8B-FFDAD2463CA8}"/>
    <cellStyle name="Normal 8 2 2 4 2 5 2" xfId="28970" xr:uid="{9578CD98-AF60-4B7D-8ABF-CD06D4D15031}"/>
    <cellStyle name="Normal 8 2 2 4 2 6" xfId="19673" xr:uid="{7FFF1B80-6043-4734-A23F-CFAAABA4DB4A}"/>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E1B645F1-8FC6-4555-9F9E-E3C0DBCAE85B}"/>
    <cellStyle name="Normal 8 2 2 4 3 2 2 2 2" xfId="35745" xr:uid="{0920BCD0-651B-400E-8321-2456E5DAB379}"/>
    <cellStyle name="Normal 8 2 2 4 3 2 2 3" xfId="26448" xr:uid="{39A4385B-5C85-4D9B-A8AD-C3F6624FA3A7}"/>
    <cellStyle name="Normal 8 2 2 4 3 2 3" xfId="12932" xr:uid="{C23739F1-242D-4112-B8C0-90D251553648}"/>
    <cellStyle name="Normal 8 2 2 4 3 2 3 2" xfId="31528" xr:uid="{85C231FA-42C4-4C20-92DD-E16B9F661D6D}"/>
    <cellStyle name="Normal 8 2 2 4 3 2 4" xfId="22231" xr:uid="{FA62457F-52BA-42E7-A89E-0F82ECBDBAB1}"/>
    <cellStyle name="Normal 8 2 2 4 3 3" xfId="5678" xr:uid="{00000000-0005-0000-0000-0000751C0000}"/>
    <cellStyle name="Normal 8 2 2 4 3 3 2" xfId="15004" xr:uid="{E34D28E8-4DF3-40BA-B2E4-222967396DFA}"/>
    <cellStyle name="Normal 8 2 2 4 3 3 2 2" xfId="33600" xr:uid="{66F381DE-00EF-4C71-85F5-1D450AB68EC6}"/>
    <cellStyle name="Normal 8 2 2 4 3 3 3" xfId="24303" xr:uid="{4314DE28-87A7-4D39-B6AA-B62F463F20AC}"/>
    <cellStyle name="Normal 8 2 2 4 3 4" xfId="10787" xr:uid="{563991FC-69C3-40DE-AF1E-4CAD780DA2F4}"/>
    <cellStyle name="Normal 8 2 2 4 3 4 2" xfId="29383" xr:uid="{6EEC807B-285C-4DAA-A97C-45B212CED8AA}"/>
    <cellStyle name="Normal 8 2 2 4 3 5" xfId="20086" xr:uid="{34BC73A9-42E0-425C-91FD-7930C742EA2F}"/>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6B7E74D0-23EC-4CD3-AEC9-ECDC35A51239}"/>
    <cellStyle name="Normal 8 2 2 4 4 2 2 2 2" xfId="36158" xr:uid="{46965F6F-258A-4EC9-ACFC-A0373F5C460A}"/>
    <cellStyle name="Normal 8 2 2 4 4 2 2 3" xfId="26861" xr:uid="{1B76DC4C-9695-412E-A491-07AF7E70AF69}"/>
    <cellStyle name="Normal 8 2 2 4 4 2 3" xfId="13345" xr:uid="{ACA1685F-7F2D-4845-BDD8-2048760FAE1C}"/>
    <cellStyle name="Normal 8 2 2 4 4 2 3 2" xfId="31941" xr:uid="{30B5C4C3-FA6A-4DFC-8FDD-AEF3F5CB9CBA}"/>
    <cellStyle name="Normal 8 2 2 4 4 2 4" xfId="22644" xr:uid="{0D7E59ED-2A36-4449-955E-DE68FA6F1F1F}"/>
    <cellStyle name="Normal 8 2 2 4 4 3" xfId="6091" xr:uid="{00000000-0005-0000-0000-0000791C0000}"/>
    <cellStyle name="Normal 8 2 2 4 4 3 2" xfId="15417" xr:uid="{BAAF1B03-31C6-4310-8693-13FF72F5AA4C}"/>
    <cellStyle name="Normal 8 2 2 4 4 3 2 2" xfId="34013" xr:uid="{02641A22-E835-4AB5-9EB2-247FD224C72E}"/>
    <cellStyle name="Normal 8 2 2 4 4 3 3" xfId="24716" xr:uid="{96BF9F31-91D8-42CE-9E41-E524BCAA0E93}"/>
    <cellStyle name="Normal 8 2 2 4 4 4" xfId="11200" xr:uid="{C8DBA52D-59E2-4E49-9936-0E3BBA0DE885}"/>
    <cellStyle name="Normal 8 2 2 4 4 4 2" xfId="29796" xr:uid="{7F8320A4-648D-48F4-B8FD-9D0EAD756D99}"/>
    <cellStyle name="Normal 8 2 2 4 4 5" xfId="20499" xr:uid="{377AE6D2-7037-4115-8FD5-9FD7BE757AA4}"/>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9AA7CE20-94AA-43F3-B64C-3A9E3D95CDBD}"/>
    <cellStyle name="Normal 8 2 2 4 5 2 2 2 2" xfId="36571" xr:uid="{0B7B2BE0-6646-43A7-B4C6-36C6980DC964}"/>
    <cellStyle name="Normal 8 2 2 4 5 2 2 3" xfId="27274" xr:uid="{5B6084DD-7BC2-447B-9532-CC6E66DFEEC9}"/>
    <cellStyle name="Normal 8 2 2 4 5 2 3" xfId="13758" xr:uid="{9DB2A3B1-5E33-4F1B-81E3-AB94F11FEC8C}"/>
    <cellStyle name="Normal 8 2 2 4 5 2 3 2" xfId="32354" xr:uid="{BA412C4B-6691-4D24-AD85-BBC65BA39F36}"/>
    <cellStyle name="Normal 8 2 2 4 5 2 4" xfId="23057" xr:uid="{A76618C9-24E3-4B5B-A135-D93AED774DCE}"/>
    <cellStyle name="Normal 8 2 2 4 5 3" xfId="6504" xr:uid="{00000000-0005-0000-0000-00007D1C0000}"/>
    <cellStyle name="Normal 8 2 2 4 5 3 2" xfId="15830" xr:uid="{6B17EAF7-9A3D-451B-A91C-A7AD01AC3BCE}"/>
    <cellStyle name="Normal 8 2 2 4 5 3 2 2" xfId="34426" xr:uid="{51CA3C81-364A-4A4B-B768-A22ECB63441C}"/>
    <cellStyle name="Normal 8 2 2 4 5 3 3" xfId="25129" xr:uid="{4376CB6C-7502-4C4A-BD00-CF5813A64FE0}"/>
    <cellStyle name="Normal 8 2 2 4 5 4" xfId="11613" xr:uid="{BC920B59-4E07-4857-8092-36976CB177A9}"/>
    <cellStyle name="Normal 8 2 2 4 5 4 2" xfId="30209" xr:uid="{8AC3DFEF-2818-4EDD-9C78-F8B1E0052225}"/>
    <cellStyle name="Normal 8 2 2 4 5 5" xfId="20912" xr:uid="{26BDC6EB-18D1-4AC8-B92D-5C8B0E3A6492}"/>
    <cellStyle name="Normal 8 2 2 4 6" xfId="2634" xr:uid="{00000000-0005-0000-0000-00007E1C0000}"/>
    <cellStyle name="Normal 8 2 2 4 6 2" xfId="6917" xr:uid="{00000000-0005-0000-0000-00007F1C0000}"/>
    <cellStyle name="Normal 8 2 2 4 6 2 2" xfId="16243" xr:uid="{F8C0D3BB-8C69-4682-A473-6F85E915C2C8}"/>
    <cellStyle name="Normal 8 2 2 4 6 2 2 2" xfId="34839" xr:uid="{3D302A5E-FCA2-4CC6-908F-8ADBB67864B0}"/>
    <cellStyle name="Normal 8 2 2 4 6 2 3" xfId="25542" xr:uid="{F5B9554B-53CD-46EA-9A2E-FD3626F5E43A}"/>
    <cellStyle name="Normal 8 2 2 4 6 3" xfId="12026" xr:uid="{57A83E21-CDF0-471A-966E-9707847FC072}"/>
    <cellStyle name="Normal 8 2 2 4 6 3 2" xfId="30622" xr:uid="{03878730-A590-406F-9EA9-02B0761AC978}"/>
    <cellStyle name="Normal 8 2 2 4 6 4" xfId="21325" xr:uid="{04FC2A91-AC8E-4781-A156-2695157E8BC0}"/>
    <cellStyle name="Normal 8 2 2 4 7" xfId="4852" xr:uid="{00000000-0005-0000-0000-0000801C0000}"/>
    <cellStyle name="Normal 8 2 2 4 7 2" xfId="14178" xr:uid="{0B782C11-CFE2-4130-B91C-7BCDCF24FCFC}"/>
    <cellStyle name="Normal 8 2 2 4 7 2 2" xfId="32774" xr:uid="{282E0884-94B1-482C-8002-69D33E3A0C80}"/>
    <cellStyle name="Normal 8 2 2 4 7 3" xfId="23477" xr:uid="{2F6ACDD2-B308-4CBB-841E-EC58E113BF1D}"/>
    <cellStyle name="Normal 8 2 2 4 8" xfId="8990" xr:uid="{F08D85C9-EB04-4227-BEA0-1B51DDB63DFA}"/>
    <cellStyle name="Normal 8 2 2 4 8 2" xfId="18314" xr:uid="{0D51EF27-FF12-4817-A5DA-5B3D650ABA56}"/>
    <cellStyle name="Normal 8 2 2 4 8 2 2" xfId="36909" xr:uid="{A456B3E2-2BA7-4F6D-8D1B-2797487F2D4B}"/>
    <cellStyle name="Normal 8 2 2 4 8 3" xfId="27612" xr:uid="{EE91BB62-85B1-4D78-9D7D-8E87C7F5DD5A}"/>
    <cellStyle name="Normal 8 2 2 4 9" xfId="9961" xr:uid="{FAC1275B-15D8-4A93-BDEF-2C427B9DEAF5}"/>
    <cellStyle name="Normal 8 2 2 4 9 2" xfId="28557" xr:uid="{2A18A847-A8C5-4D85-87AB-6B2C67B40F50}"/>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E090ED7D-6D96-4901-9651-F08CC52BC2CA}"/>
    <cellStyle name="Normal 8 2 2 5 2 2 2 2" xfId="35325" xr:uid="{F2F4DF57-6761-4F52-9DE7-AD826D1C7AEE}"/>
    <cellStyle name="Normal 8 2 2 5 2 2 3" xfId="26028" xr:uid="{4D2B84AB-5EF2-4542-A4CE-118D6906A147}"/>
    <cellStyle name="Normal 8 2 2 5 2 3" xfId="12512" xr:uid="{0174529E-C2D3-46FF-9577-0AC80C2D9871}"/>
    <cellStyle name="Normal 8 2 2 5 2 3 2" xfId="31108" xr:uid="{976AD1BE-15B2-4D6B-AF68-B7B425C54B67}"/>
    <cellStyle name="Normal 8 2 2 5 2 4" xfId="21811" xr:uid="{D797A516-799E-4606-8EED-877D2A894634}"/>
    <cellStyle name="Normal 8 2 2 5 3" xfId="5258" xr:uid="{00000000-0005-0000-0000-0000841C0000}"/>
    <cellStyle name="Normal 8 2 2 5 3 2" xfId="14584" xr:uid="{53A2FA7A-8C16-434C-B9D8-FCDD8709561B}"/>
    <cellStyle name="Normal 8 2 2 5 3 2 2" xfId="33180" xr:uid="{4D9D6BA0-63F8-48F9-91AB-64E6D485DC09}"/>
    <cellStyle name="Normal 8 2 2 5 3 3" xfId="23883" xr:uid="{4826F7DD-B3AC-4507-8274-D7243A5D0CD5}"/>
    <cellStyle name="Normal 8 2 2 5 4" xfId="9207" xr:uid="{D4CDC4D2-5794-400F-B850-1B259D26C1FE}"/>
    <cellStyle name="Normal 8 2 2 5 4 2" xfId="18523" xr:uid="{CC006822-3325-456D-B44B-9DBC3EB4939B}"/>
    <cellStyle name="Normal 8 2 2 5 4 2 2" xfId="37117" xr:uid="{52E28BCA-4039-4696-BBD8-3602FFAD3BD7}"/>
    <cellStyle name="Normal 8 2 2 5 4 3" xfId="27820" xr:uid="{243E3F22-7314-40F9-A76F-9BE30E789B50}"/>
    <cellStyle name="Normal 8 2 2 5 5" xfId="10367" xr:uid="{A6637DCC-D924-4862-A5A7-58CB8EB449F4}"/>
    <cellStyle name="Normal 8 2 2 5 5 2" xfId="28963" xr:uid="{C2EB453C-1388-4BFB-B362-46541E21A6EF}"/>
    <cellStyle name="Normal 8 2 2 5 6" xfId="19666" xr:uid="{65947BAF-3A10-4213-9DB0-C54420616284}"/>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BE0CDC06-0D77-4551-ACC1-A9C8803401A1}"/>
    <cellStyle name="Normal 8 2 2 6 2 2 2 2" xfId="35738" xr:uid="{49A0BFD2-819C-474A-B964-EE302C9E8DA8}"/>
    <cellStyle name="Normal 8 2 2 6 2 2 3" xfId="26441" xr:uid="{DFB4B16B-1E1A-4593-8AFD-BD7BFA50FAE5}"/>
    <cellStyle name="Normal 8 2 2 6 2 3" xfId="12925" xr:uid="{D270AE3D-385D-4B49-BD0F-E459D99996B4}"/>
    <cellStyle name="Normal 8 2 2 6 2 3 2" xfId="31521" xr:uid="{3661FF73-90C8-482A-A870-04D70B2DAA75}"/>
    <cellStyle name="Normal 8 2 2 6 2 4" xfId="22224" xr:uid="{022FA595-FA1F-44D9-9A6D-1DDAD8812DE4}"/>
    <cellStyle name="Normal 8 2 2 6 3" xfId="5671" xr:uid="{00000000-0005-0000-0000-0000881C0000}"/>
    <cellStyle name="Normal 8 2 2 6 3 2" xfId="14997" xr:uid="{05FBEC30-A3F7-4CCA-B657-94526727B550}"/>
    <cellStyle name="Normal 8 2 2 6 3 2 2" xfId="33593" xr:uid="{F49A60CA-01D5-4B6B-8E01-86DB0AC8E85F}"/>
    <cellStyle name="Normal 8 2 2 6 3 3" xfId="24296" xr:uid="{D3A36384-CF43-4DAD-A992-D7FCE7920486}"/>
    <cellStyle name="Normal 8 2 2 6 4" xfId="10780" xr:uid="{3DE24C83-FCE4-4747-A79B-8686DC11EAB9}"/>
    <cellStyle name="Normal 8 2 2 6 4 2" xfId="29376" xr:uid="{F4FCCE5D-228F-45AC-8636-8DAC9F93B268}"/>
    <cellStyle name="Normal 8 2 2 6 5" xfId="20079" xr:uid="{A60CA779-E108-493D-9E0D-E1930ADA5761}"/>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15969831-793E-46B5-92C2-6B2D4AD09216}"/>
    <cellStyle name="Normal 8 2 2 7 2 2 2 2" xfId="36151" xr:uid="{C5131BD2-1C2F-473D-8A01-AE781FE19554}"/>
    <cellStyle name="Normal 8 2 2 7 2 2 3" xfId="26854" xr:uid="{33BD87BC-FFE4-4625-B749-84D0518478F4}"/>
    <cellStyle name="Normal 8 2 2 7 2 3" xfId="13338" xr:uid="{496DA07F-23D9-4C2F-B298-81E1D186F859}"/>
    <cellStyle name="Normal 8 2 2 7 2 3 2" xfId="31934" xr:uid="{A4E0EEC3-48F7-4450-AD09-FDF242920311}"/>
    <cellStyle name="Normal 8 2 2 7 2 4" xfId="22637" xr:uid="{7A59EE44-BFDE-4D72-9DC0-94CB61856687}"/>
    <cellStyle name="Normal 8 2 2 7 3" xfId="6084" xr:uid="{00000000-0005-0000-0000-00008C1C0000}"/>
    <cellStyle name="Normal 8 2 2 7 3 2" xfId="15410" xr:uid="{31F7A731-A506-4C58-98A1-EBE491CB7F90}"/>
    <cellStyle name="Normal 8 2 2 7 3 2 2" xfId="34006" xr:uid="{A756D2CB-1ADC-40FC-80E3-C7FE70347297}"/>
    <cellStyle name="Normal 8 2 2 7 3 3" xfId="24709" xr:uid="{F38C94ED-0197-4652-8953-3B7A4972762D}"/>
    <cellStyle name="Normal 8 2 2 7 4" xfId="11193" xr:uid="{C272A686-1791-4F17-9B99-4653A57311BE}"/>
    <cellStyle name="Normal 8 2 2 7 4 2" xfId="29789" xr:uid="{6A75CBCA-4B8C-4FAA-8B62-88C99D76619F}"/>
    <cellStyle name="Normal 8 2 2 7 5" xfId="20492" xr:uid="{24B26860-7386-41D9-875B-63EFC22616BF}"/>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632DBC02-7668-465A-A10B-2AC3E4DD24CF}"/>
    <cellStyle name="Normal 8 2 2 8 2 2 2 2" xfId="36564" xr:uid="{BCB05C9A-8596-4EAD-A4C9-423F537B4135}"/>
    <cellStyle name="Normal 8 2 2 8 2 2 3" xfId="27267" xr:uid="{2988580B-728F-4663-807F-1E673C630F37}"/>
    <cellStyle name="Normal 8 2 2 8 2 3" xfId="13751" xr:uid="{B33F8359-022A-4EB1-8036-BDF91581E416}"/>
    <cellStyle name="Normal 8 2 2 8 2 3 2" xfId="32347" xr:uid="{ACF5109A-BC25-4ADE-B026-9702B7C437D3}"/>
    <cellStyle name="Normal 8 2 2 8 2 4" xfId="23050" xr:uid="{964E7755-6A13-4670-BB0B-93DF89604735}"/>
    <cellStyle name="Normal 8 2 2 8 3" xfId="6497" xr:uid="{00000000-0005-0000-0000-0000901C0000}"/>
    <cellStyle name="Normal 8 2 2 8 3 2" xfId="15823" xr:uid="{78B2DAFA-3B3A-4142-9993-7CB2215C887F}"/>
    <cellStyle name="Normal 8 2 2 8 3 2 2" xfId="34419" xr:uid="{9AC58F2F-C7B7-47E1-8714-787C86E4BBED}"/>
    <cellStyle name="Normal 8 2 2 8 3 3" xfId="25122" xr:uid="{13A82B83-2A80-4958-91B6-20057208CB7A}"/>
    <cellStyle name="Normal 8 2 2 8 4" xfId="11606" xr:uid="{12845966-DF22-4FFD-A12E-E3A1AA015116}"/>
    <cellStyle name="Normal 8 2 2 8 4 2" xfId="30202" xr:uid="{53F3DDB8-B0F2-4760-962B-CCD0C05590C8}"/>
    <cellStyle name="Normal 8 2 2 8 5" xfId="20905" xr:uid="{2228B105-C06E-4457-8074-7493DAEA21A7}"/>
    <cellStyle name="Normal 8 2 2 9" xfId="2627" xr:uid="{00000000-0005-0000-0000-0000911C0000}"/>
    <cellStyle name="Normal 8 2 2 9 2" xfId="6910" xr:uid="{00000000-0005-0000-0000-0000921C0000}"/>
    <cellStyle name="Normal 8 2 2 9 2 2" xfId="16236" xr:uid="{49D9532F-A7B4-4570-B275-F17CC2774923}"/>
    <cellStyle name="Normal 8 2 2 9 2 2 2" xfId="34832" xr:uid="{7EF7EA40-2BCE-4350-A194-89E6CA38F17E}"/>
    <cellStyle name="Normal 8 2 2 9 2 3" xfId="25535" xr:uid="{66D686FC-E2D9-4E52-A633-D94603481929}"/>
    <cellStyle name="Normal 8 2 2 9 3" xfId="12019" xr:uid="{6BA0B8E8-DBD9-4E70-9D06-48BF74A95E58}"/>
    <cellStyle name="Normal 8 2 2 9 3 2" xfId="30615" xr:uid="{6BEDB6E3-ADAF-459B-8AF8-731650A9AF26}"/>
    <cellStyle name="Normal 8 2 2 9 4" xfId="21318" xr:uid="{2C764094-3922-423D-A3C4-3B5F78A67216}"/>
    <cellStyle name="Normal 8 2 3" xfId="488" xr:uid="{00000000-0005-0000-0000-0000931C0000}"/>
    <cellStyle name="Normal 8 2 3 10" xfId="8835" xr:uid="{2F0FB8B3-D08B-41EB-93AB-2D83A1BD6036}"/>
    <cellStyle name="Normal 8 2 3 10 2" xfId="18159" xr:uid="{852F845F-29B1-43BA-AAA8-44DF69AEF9BC}"/>
    <cellStyle name="Normal 8 2 3 10 2 2" xfId="36754" xr:uid="{EBD41ECE-C4F8-4E11-836B-CCC4E7B562EE}"/>
    <cellStyle name="Normal 8 2 3 10 3" xfId="27457" xr:uid="{DF6AAABF-F339-4835-9A2F-485C6DC23C0D}"/>
    <cellStyle name="Normal 8 2 3 11" xfId="9962" xr:uid="{90575D7E-5485-423C-AAE9-137BC4D22608}"/>
    <cellStyle name="Normal 8 2 3 11 2" xfId="28558" xr:uid="{5487F824-2CBE-48A5-A6CC-7F8528B9BCE7}"/>
    <cellStyle name="Normal 8 2 3 12" xfId="19261" xr:uid="{07ED2D76-BCB6-4D87-9C98-0B9856E1CF15}"/>
    <cellStyle name="Normal 8 2 3 2" xfId="489" xr:uid="{00000000-0005-0000-0000-0000941C0000}"/>
    <cellStyle name="Normal 8 2 3 2 10" xfId="9963" xr:uid="{5188FB2D-AC4C-46BE-AB27-DA47FFC1DCDC}"/>
    <cellStyle name="Normal 8 2 3 2 10 2" xfId="28559" xr:uid="{13E956AF-1ECC-4531-899B-1CE66A1FCFD9}"/>
    <cellStyle name="Normal 8 2 3 2 11" xfId="19262" xr:uid="{CA32A3ED-D99A-429E-A27D-0B8A90011539}"/>
    <cellStyle name="Normal 8 2 3 2 2" xfId="490" xr:uid="{00000000-0005-0000-0000-0000951C0000}"/>
    <cellStyle name="Normal 8 2 3 2 2 10" xfId="19263" xr:uid="{621787DF-8D44-45E8-89BB-45075CD536FD}"/>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7923B08D-EA0D-4ECB-AC97-039E6417DAD8}"/>
    <cellStyle name="Normal 8 2 3 2 2 2 2 2 2 2" xfId="35335" xr:uid="{259C21DB-7DAC-4956-80CA-CD1B5234838B}"/>
    <cellStyle name="Normal 8 2 3 2 2 2 2 2 3" xfId="26038" xr:uid="{E1FADA7C-9E57-44C1-97BB-5C9D165F4749}"/>
    <cellStyle name="Normal 8 2 3 2 2 2 2 3" xfId="12522" xr:uid="{0D061D58-7013-4D9F-AE38-37796781798D}"/>
    <cellStyle name="Normal 8 2 3 2 2 2 2 3 2" xfId="31118" xr:uid="{D20506A1-10C9-4368-9529-8803878BCA91}"/>
    <cellStyle name="Normal 8 2 3 2 2 2 2 4" xfId="21821" xr:uid="{A56CC6A9-F437-4BDD-91DD-AA52FCB72199}"/>
    <cellStyle name="Normal 8 2 3 2 2 2 3" xfId="5268" xr:uid="{00000000-0005-0000-0000-0000991C0000}"/>
    <cellStyle name="Normal 8 2 3 2 2 2 3 2" xfId="14594" xr:uid="{B69AD1C0-FF75-4CE6-9DC2-D31016C3A2E3}"/>
    <cellStyle name="Normal 8 2 3 2 2 2 3 2 2" xfId="33190" xr:uid="{10B061E3-936F-4CB6-9792-57E623233AFB}"/>
    <cellStyle name="Normal 8 2 3 2 2 2 3 3" xfId="23893" xr:uid="{B54A1AC2-BEF9-4AEB-9BDF-588B0E2627F3}"/>
    <cellStyle name="Normal 8 2 3 2 2 2 4" xfId="9570" xr:uid="{BA9732E0-D9E4-47DB-882D-D871A821FA55}"/>
    <cellStyle name="Normal 8 2 3 2 2 2 4 2" xfId="18885" xr:uid="{B6F49C48-239A-45F5-A282-AC0A69A14E95}"/>
    <cellStyle name="Normal 8 2 3 2 2 2 4 2 2" xfId="37479" xr:uid="{942A5040-8E3C-44C6-9C3B-EB03AA263316}"/>
    <cellStyle name="Normal 8 2 3 2 2 2 4 3" xfId="28182" xr:uid="{3FA61808-4A5D-4FC3-A779-DCAB33C37BC0}"/>
    <cellStyle name="Normal 8 2 3 2 2 2 5" xfId="10377" xr:uid="{6C4CFCE1-7416-4060-B927-6E874FCEF869}"/>
    <cellStyle name="Normal 8 2 3 2 2 2 5 2" xfId="28973" xr:uid="{14C279E2-7413-4715-9EB8-6D481CC23427}"/>
    <cellStyle name="Normal 8 2 3 2 2 2 6" xfId="19676" xr:uid="{DD4D7825-CF3E-4043-8D1F-AE029FDED126}"/>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6C9AB0CE-9DF3-4BB3-BC12-D7844DB81FFC}"/>
    <cellStyle name="Normal 8 2 3 2 2 3 2 2 2 2" xfId="35748" xr:uid="{01799E42-9FA5-4531-8112-0A6778BE25FD}"/>
    <cellStyle name="Normal 8 2 3 2 2 3 2 2 3" xfId="26451" xr:uid="{14334B0E-6C3C-4467-90F4-22F365829B1B}"/>
    <cellStyle name="Normal 8 2 3 2 2 3 2 3" xfId="12935" xr:uid="{A25A7492-D1F5-4C27-9E6F-4CA1F873B516}"/>
    <cellStyle name="Normal 8 2 3 2 2 3 2 3 2" xfId="31531" xr:uid="{E26AAE8B-3E6B-46F6-82F3-D54C6F3E919B}"/>
    <cellStyle name="Normal 8 2 3 2 2 3 2 4" xfId="22234" xr:uid="{F8BCDB83-ECA6-4685-B51D-37BD75086D6D}"/>
    <cellStyle name="Normal 8 2 3 2 2 3 3" xfId="5681" xr:uid="{00000000-0005-0000-0000-00009D1C0000}"/>
    <cellStyle name="Normal 8 2 3 2 2 3 3 2" xfId="15007" xr:uid="{B79A621A-A766-49BD-A26A-E36602228961}"/>
    <cellStyle name="Normal 8 2 3 2 2 3 3 2 2" xfId="33603" xr:uid="{79A28971-384D-4468-9A8D-161E2E7C32E2}"/>
    <cellStyle name="Normal 8 2 3 2 2 3 3 3" xfId="24306" xr:uid="{DFF8ABBD-D65F-46B0-B7C2-C71CF6091D70}"/>
    <cellStyle name="Normal 8 2 3 2 2 3 4" xfId="10790" xr:uid="{47DEBC69-2DBF-4171-BCD5-ECE5887B1D16}"/>
    <cellStyle name="Normal 8 2 3 2 2 3 4 2" xfId="29386" xr:uid="{A81CD48D-7610-4966-BEB8-900CDDD32C66}"/>
    <cellStyle name="Normal 8 2 3 2 2 3 5" xfId="20089" xr:uid="{E6688E24-344F-4111-A739-9702DF82C889}"/>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A1908BEE-F399-4EDE-B7FA-5E5047571F8E}"/>
    <cellStyle name="Normal 8 2 3 2 2 4 2 2 2 2" xfId="36161" xr:uid="{B6BCDC1F-8307-476D-92D2-CF11FAE93F38}"/>
    <cellStyle name="Normal 8 2 3 2 2 4 2 2 3" xfId="26864" xr:uid="{04463024-8582-4CD9-83E7-0A22B869F619}"/>
    <cellStyle name="Normal 8 2 3 2 2 4 2 3" xfId="13348" xr:uid="{AC11311A-468D-488C-A0F2-8BDC15E90D35}"/>
    <cellStyle name="Normal 8 2 3 2 2 4 2 3 2" xfId="31944" xr:uid="{12069985-11CC-4799-9A06-53CD15FAC624}"/>
    <cellStyle name="Normal 8 2 3 2 2 4 2 4" xfId="22647" xr:uid="{66783F97-D62B-417A-BA01-E2D1C04F7B39}"/>
    <cellStyle name="Normal 8 2 3 2 2 4 3" xfId="6094" xr:uid="{00000000-0005-0000-0000-0000A11C0000}"/>
    <cellStyle name="Normal 8 2 3 2 2 4 3 2" xfId="15420" xr:uid="{7059A212-6589-4006-B149-F3ADF13A0781}"/>
    <cellStyle name="Normal 8 2 3 2 2 4 3 2 2" xfId="34016" xr:uid="{7A7675DB-AC26-4BEC-A445-E639E586CBAF}"/>
    <cellStyle name="Normal 8 2 3 2 2 4 3 3" xfId="24719" xr:uid="{220EEDF5-E119-464F-A56E-78A204EC0BAD}"/>
    <cellStyle name="Normal 8 2 3 2 2 4 4" xfId="11203" xr:uid="{DDD2876C-B023-440B-8F86-677C5AB89183}"/>
    <cellStyle name="Normal 8 2 3 2 2 4 4 2" xfId="29799" xr:uid="{74959095-C362-4D56-A06F-C617A25E7A01}"/>
    <cellStyle name="Normal 8 2 3 2 2 4 5" xfId="20502" xr:uid="{0FD33920-7EB4-4CCB-8C0B-FB8FE40027C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EFCD2D12-C2A0-4AA5-973B-79DA70A5741B}"/>
    <cellStyle name="Normal 8 2 3 2 2 5 2 2 2 2" xfId="36574" xr:uid="{041889B7-DA95-4B77-867C-4C678F31976B}"/>
    <cellStyle name="Normal 8 2 3 2 2 5 2 2 3" xfId="27277" xr:uid="{A8EF88E1-A9D1-4ED8-A6E3-090AF19EAC35}"/>
    <cellStyle name="Normal 8 2 3 2 2 5 2 3" xfId="13761" xr:uid="{2D23DDD3-54F5-42D4-80E5-ED4CBDD55F2A}"/>
    <cellStyle name="Normal 8 2 3 2 2 5 2 3 2" xfId="32357" xr:uid="{819494F4-8710-4ECE-8664-F1E3851E083B}"/>
    <cellStyle name="Normal 8 2 3 2 2 5 2 4" xfId="23060" xr:uid="{A2DEEF3C-3533-4457-929E-9AAF2F096FDE}"/>
    <cellStyle name="Normal 8 2 3 2 2 5 3" xfId="6507" xr:uid="{00000000-0005-0000-0000-0000A51C0000}"/>
    <cellStyle name="Normal 8 2 3 2 2 5 3 2" xfId="15833" xr:uid="{5A0915BC-E223-41B4-93BA-4396D4AEB28F}"/>
    <cellStyle name="Normal 8 2 3 2 2 5 3 2 2" xfId="34429" xr:uid="{C40D48F7-91BD-472D-90AC-A6DF13684E46}"/>
    <cellStyle name="Normal 8 2 3 2 2 5 3 3" xfId="25132" xr:uid="{0A18A039-C973-4D50-B807-AD65EAFA974F}"/>
    <cellStyle name="Normal 8 2 3 2 2 5 4" xfId="11616" xr:uid="{BDC2F4EF-563D-4EF7-B31A-D325FC34EE21}"/>
    <cellStyle name="Normal 8 2 3 2 2 5 4 2" xfId="30212" xr:uid="{AC9C727D-0CB3-43E3-9930-EEF43E73F0B9}"/>
    <cellStyle name="Normal 8 2 3 2 2 5 5" xfId="20915" xr:uid="{2920FFBF-47B1-4000-9CDE-53AC2B64EEE3}"/>
    <cellStyle name="Normal 8 2 3 2 2 6" xfId="2637" xr:uid="{00000000-0005-0000-0000-0000A61C0000}"/>
    <cellStyle name="Normal 8 2 3 2 2 6 2" xfId="6920" xr:uid="{00000000-0005-0000-0000-0000A71C0000}"/>
    <cellStyle name="Normal 8 2 3 2 2 6 2 2" xfId="16246" xr:uid="{71D3397D-050F-45EA-A590-298C30FA417A}"/>
    <cellStyle name="Normal 8 2 3 2 2 6 2 2 2" xfId="34842" xr:uid="{307AE52C-1863-4BA2-9B3B-2947B2F9E4EF}"/>
    <cellStyle name="Normal 8 2 3 2 2 6 2 3" xfId="25545" xr:uid="{80C090CA-30D5-4CD7-9CFE-654FDEF48C24}"/>
    <cellStyle name="Normal 8 2 3 2 2 6 3" xfId="12029" xr:uid="{CAA7D04C-68AE-4C71-8D61-FAE1B9A6A5B5}"/>
    <cellStyle name="Normal 8 2 3 2 2 6 3 2" xfId="30625" xr:uid="{DC18C992-F5DA-417D-89D8-010909F0F5FF}"/>
    <cellStyle name="Normal 8 2 3 2 2 6 4" xfId="21328" xr:uid="{B2162AE1-70B0-42AC-9ACF-C550C1ADB5AF}"/>
    <cellStyle name="Normal 8 2 3 2 2 7" xfId="4855" xr:uid="{00000000-0005-0000-0000-0000A81C0000}"/>
    <cellStyle name="Normal 8 2 3 2 2 7 2" xfId="14181" xr:uid="{5A620F73-AE19-4D81-BBE6-0AB493C3CA08}"/>
    <cellStyle name="Normal 8 2 3 2 2 7 2 2" xfId="32777" xr:uid="{C7C33B5D-7575-46C9-BFB5-6AAC50340BC2}"/>
    <cellStyle name="Normal 8 2 3 2 2 7 3" xfId="23480" xr:uid="{2320CDE5-20CA-485E-8002-B8B20041165A}"/>
    <cellStyle name="Normal 8 2 3 2 2 8" xfId="9145" xr:uid="{C71E6005-187D-4837-92B4-619AF06B3A3B}"/>
    <cellStyle name="Normal 8 2 3 2 2 8 2" xfId="18469" xr:uid="{52D19C5B-7575-47E8-883E-58A52C5A42DC}"/>
    <cellStyle name="Normal 8 2 3 2 2 8 2 2" xfId="37064" xr:uid="{BC9D40F0-BC46-4AC6-8D7A-DCD523FAEDF8}"/>
    <cellStyle name="Normal 8 2 3 2 2 8 3" xfId="27767" xr:uid="{786CC3B1-BADB-4452-87D2-E77068B59941}"/>
    <cellStyle name="Normal 8 2 3 2 2 9" xfId="9964" xr:uid="{89C8C676-6E24-4AF0-B5BE-0BE4A1EA04E9}"/>
    <cellStyle name="Normal 8 2 3 2 2 9 2" xfId="28560" xr:uid="{374366D9-CABE-4220-8D30-7528C0EAF811}"/>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73D04EF9-8A3F-4B55-B7D3-215E7800EEC5}"/>
    <cellStyle name="Normal 8 2 3 2 3 2 2 2 2" xfId="35334" xr:uid="{56C134EC-2845-4782-9424-6477023B820B}"/>
    <cellStyle name="Normal 8 2 3 2 3 2 2 3" xfId="26037" xr:uid="{E8DDB7C0-757B-43F3-83D7-5CD06A0718E8}"/>
    <cellStyle name="Normal 8 2 3 2 3 2 3" xfId="12521" xr:uid="{29CDA724-288D-4CD8-8A62-304B1B0B7DAB}"/>
    <cellStyle name="Normal 8 2 3 2 3 2 3 2" xfId="31117" xr:uid="{80FE0896-AAC2-46D2-8F4D-3F8AE7754C29}"/>
    <cellStyle name="Normal 8 2 3 2 3 2 4" xfId="21820" xr:uid="{DF084853-C3BD-4DD9-A6F2-8072F7A91A97}"/>
    <cellStyle name="Normal 8 2 3 2 3 3" xfId="5267" xr:uid="{00000000-0005-0000-0000-0000AC1C0000}"/>
    <cellStyle name="Normal 8 2 3 2 3 3 2" xfId="14593" xr:uid="{A83E8DA4-B689-4E13-BB51-97CFA3F6D46C}"/>
    <cellStyle name="Normal 8 2 3 2 3 3 2 2" xfId="33189" xr:uid="{3416E852-2EBD-4E31-B3F0-5CCD34291D28}"/>
    <cellStyle name="Normal 8 2 3 2 3 3 3" xfId="23892" xr:uid="{452AACF3-FB58-4E9C-A114-B9AAAFDD9C40}"/>
    <cellStyle name="Normal 8 2 3 2 3 4" xfId="9363" xr:uid="{C94C6C98-A8BC-4AC9-B084-0D2219E89AA8}"/>
    <cellStyle name="Normal 8 2 3 2 3 4 2" xfId="18678" xr:uid="{5B913BAA-357F-47C6-AAEB-D0D61DD86811}"/>
    <cellStyle name="Normal 8 2 3 2 3 4 2 2" xfId="37272" xr:uid="{58BA0CFC-7501-4A3A-8CD3-4377C10ACDA2}"/>
    <cellStyle name="Normal 8 2 3 2 3 4 3" xfId="27975" xr:uid="{4C4B4D56-4B97-4401-914C-4E8A8FB589F0}"/>
    <cellStyle name="Normal 8 2 3 2 3 5" xfId="10376" xr:uid="{31FA08A9-717A-4CFF-96B6-B9CD6122606A}"/>
    <cellStyle name="Normal 8 2 3 2 3 5 2" xfId="28972" xr:uid="{91221009-07E9-475C-A6DF-D75233DFBE6F}"/>
    <cellStyle name="Normal 8 2 3 2 3 6" xfId="19675" xr:uid="{8537ECC8-BCA8-4988-868B-602B1D09177C}"/>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30079211-63B0-4044-A5C1-13F679864571}"/>
    <cellStyle name="Normal 8 2 3 2 4 2 2 2 2" xfId="35747" xr:uid="{3E077119-DAD7-44F9-9A29-1483E0F0BD1E}"/>
    <cellStyle name="Normal 8 2 3 2 4 2 2 3" xfId="26450" xr:uid="{E88282F5-0F00-4F6A-BAA0-34F87BA0F3AE}"/>
    <cellStyle name="Normal 8 2 3 2 4 2 3" xfId="12934" xr:uid="{60043406-FE12-4A1B-BC4B-E541CC7ABBCD}"/>
    <cellStyle name="Normal 8 2 3 2 4 2 3 2" xfId="31530" xr:uid="{F47E3460-526F-4982-A31B-C287280FF388}"/>
    <cellStyle name="Normal 8 2 3 2 4 2 4" xfId="22233" xr:uid="{5E9AFAD7-42EE-49E6-BFFF-21DB7E2FA1B3}"/>
    <cellStyle name="Normal 8 2 3 2 4 3" xfId="5680" xr:uid="{00000000-0005-0000-0000-0000B01C0000}"/>
    <cellStyle name="Normal 8 2 3 2 4 3 2" xfId="15006" xr:uid="{158915E4-EE21-4021-9F02-A7EB2A50EF50}"/>
    <cellStyle name="Normal 8 2 3 2 4 3 2 2" xfId="33602" xr:uid="{D8E37F9A-43E5-4886-97A1-3166DB1AEC53}"/>
    <cellStyle name="Normal 8 2 3 2 4 3 3" xfId="24305" xr:uid="{F567FD27-3C5A-436C-977A-9D5C307F914A}"/>
    <cellStyle name="Normal 8 2 3 2 4 4" xfId="10789" xr:uid="{491180F4-315A-426C-AF90-C8B05980E25F}"/>
    <cellStyle name="Normal 8 2 3 2 4 4 2" xfId="29385" xr:uid="{F4DCC627-CA9E-4CAA-8933-8528E2858A35}"/>
    <cellStyle name="Normal 8 2 3 2 4 5" xfId="20088" xr:uid="{CC72CC4A-A7BD-4416-9D08-649D7D2CF21F}"/>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73A0B059-B1D9-433A-94BD-3A074CED6050}"/>
    <cellStyle name="Normal 8 2 3 2 5 2 2 2 2" xfId="36160" xr:uid="{15D9D871-D313-4C74-BE1F-7954034D75D2}"/>
    <cellStyle name="Normal 8 2 3 2 5 2 2 3" xfId="26863" xr:uid="{0D527072-38B9-4FE4-BEB8-03FF297FAD77}"/>
    <cellStyle name="Normal 8 2 3 2 5 2 3" xfId="13347" xr:uid="{0F3A87C0-E605-4E94-90EA-51CA1439A173}"/>
    <cellStyle name="Normal 8 2 3 2 5 2 3 2" xfId="31943" xr:uid="{6F9D9F5E-986A-4AA7-B532-987068505F9E}"/>
    <cellStyle name="Normal 8 2 3 2 5 2 4" xfId="22646" xr:uid="{D866E418-93B5-4193-883F-09AFBB309B99}"/>
    <cellStyle name="Normal 8 2 3 2 5 3" xfId="6093" xr:uid="{00000000-0005-0000-0000-0000B41C0000}"/>
    <cellStyle name="Normal 8 2 3 2 5 3 2" xfId="15419" xr:uid="{99BEF199-42DD-4C05-B430-8FCB642F9FF0}"/>
    <cellStyle name="Normal 8 2 3 2 5 3 2 2" xfId="34015" xr:uid="{504F3768-10FE-4C60-9374-10EF31C61826}"/>
    <cellStyle name="Normal 8 2 3 2 5 3 3" xfId="24718" xr:uid="{85F9F570-1BE0-423B-963B-453A7D80D412}"/>
    <cellStyle name="Normal 8 2 3 2 5 4" xfId="11202" xr:uid="{FEA3DFFD-E95A-4F84-855D-905209EA9ADA}"/>
    <cellStyle name="Normal 8 2 3 2 5 4 2" xfId="29798" xr:uid="{05E0A7A7-FBED-4DD1-88D2-AEC6013F7753}"/>
    <cellStyle name="Normal 8 2 3 2 5 5" xfId="20501" xr:uid="{5ABF7171-7232-4F60-9B0E-E83832AEA7FC}"/>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189E808D-1866-4B44-8B00-712F3A692B2F}"/>
    <cellStyle name="Normal 8 2 3 2 6 2 2 2 2" xfId="36573" xr:uid="{37714B57-8D61-41E6-9800-EA42AA36E474}"/>
    <cellStyle name="Normal 8 2 3 2 6 2 2 3" xfId="27276" xr:uid="{264C8037-E596-4686-9BDB-EADE1C3A95E4}"/>
    <cellStyle name="Normal 8 2 3 2 6 2 3" xfId="13760" xr:uid="{59391D2E-C557-4107-98B8-3371A8E6C322}"/>
    <cellStyle name="Normal 8 2 3 2 6 2 3 2" xfId="32356" xr:uid="{3B34DC6D-1D94-452D-AA45-EAB4CF6E685A}"/>
    <cellStyle name="Normal 8 2 3 2 6 2 4" xfId="23059" xr:uid="{471692F0-EB10-4D52-9C1E-807CA0CB9C48}"/>
    <cellStyle name="Normal 8 2 3 2 6 3" xfId="6506" xr:uid="{00000000-0005-0000-0000-0000B81C0000}"/>
    <cellStyle name="Normal 8 2 3 2 6 3 2" xfId="15832" xr:uid="{7F3C0F44-6E38-406F-B461-A04A68763E42}"/>
    <cellStyle name="Normal 8 2 3 2 6 3 2 2" xfId="34428" xr:uid="{3E966793-8615-4956-A6B7-9F722504D77F}"/>
    <cellStyle name="Normal 8 2 3 2 6 3 3" xfId="25131" xr:uid="{55613436-35AC-43EF-8D30-DA2166E87837}"/>
    <cellStyle name="Normal 8 2 3 2 6 4" xfId="11615" xr:uid="{72F0913C-19B8-436A-9257-6967F16E9167}"/>
    <cellStyle name="Normal 8 2 3 2 6 4 2" xfId="30211" xr:uid="{85AB979C-65D6-438F-86D4-948BADB735DE}"/>
    <cellStyle name="Normal 8 2 3 2 6 5" xfId="20914" xr:uid="{EDBB52D5-C8C4-4F64-8EFC-431486682C2C}"/>
    <cellStyle name="Normal 8 2 3 2 7" xfId="2636" xr:uid="{00000000-0005-0000-0000-0000B91C0000}"/>
    <cellStyle name="Normal 8 2 3 2 7 2" xfId="6919" xr:uid="{00000000-0005-0000-0000-0000BA1C0000}"/>
    <cellStyle name="Normal 8 2 3 2 7 2 2" xfId="16245" xr:uid="{FB9B2239-586B-4D62-BB3D-5763543D2021}"/>
    <cellStyle name="Normal 8 2 3 2 7 2 2 2" xfId="34841" xr:uid="{5BA8EC9B-E1AD-4CFC-8F04-C61B540F5AE5}"/>
    <cellStyle name="Normal 8 2 3 2 7 2 3" xfId="25544" xr:uid="{E93E177C-6AC8-401F-90B6-2E3C00588AA5}"/>
    <cellStyle name="Normal 8 2 3 2 7 3" xfId="12028" xr:uid="{0B8F6E73-5067-40DA-AEC1-0FD9BC24D07A}"/>
    <cellStyle name="Normal 8 2 3 2 7 3 2" xfId="30624" xr:uid="{061E74EA-38ED-420D-B5A9-F78F464D0A11}"/>
    <cellStyle name="Normal 8 2 3 2 7 4" xfId="21327" xr:uid="{3F48F059-9347-4875-BDF1-3128C307578E}"/>
    <cellStyle name="Normal 8 2 3 2 8" xfId="4854" xr:uid="{00000000-0005-0000-0000-0000BB1C0000}"/>
    <cellStyle name="Normal 8 2 3 2 8 2" xfId="14180" xr:uid="{F1696FBD-0990-4224-B43E-DF2F6F90E814}"/>
    <cellStyle name="Normal 8 2 3 2 8 2 2" xfId="32776" xr:uid="{B53CC687-B8F7-4556-8DE6-9908FB631366}"/>
    <cellStyle name="Normal 8 2 3 2 8 3" xfId="23479" xr:uid="{2B633A03-726E-4035-A8DD-D09AD1017277}"/>
    <cellStyle name="Normal 8 2 3 2 9" xfId="8938" xr:uid="{1EAF77CE-4DC3-40DC-AA9D-31320D478EE9}"/>
    <cellStyle name="Normal 8 2 3 2 9 2" xfId="18262" xr:uid="{680F60C8-8B31-4EDE-9C6E-4C3CEC6BE15C}"/>
    <cellStyle name="Normal 8 2 3 2 9 2 2" xfId="36857" xr:uid="{9DFFC01E-4BD1-469C-8728-777775F77633}"/>
    <cellStyle name="Normal 8 2 3 2 9 3" xfId="27560" xr:uid="{2838C914-B8A0-4377-8AAA-0CAD94FA83B7}"/>
    <cellStyle name="Normal 8 2 3 3" xfId="491" xr:uid="{00000000-0005-0000-0000-0000BC1C0000}"/>
    <cellStyle name="Normal 8 2 3 3 10" xfId="19264" xr:uid="{A6D2C3CB-F8AB-4917-B981-E1AD49526C6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448A19D5-C2D8-40A6-AF82-3B3F479A046D}"/>
    <cellStyle name="Normal 8 2 3 3 2 2 2 2 2" xfId="35336" xr:uid="{B0E211E2-6FE4-4743-9157-926373CED8AB}"/>
    <cellStyle name="Normal 8 2 3 3 2 2 2 3" xfId="26039" xr:uid="{F3A1738B-F672-4FBD-AE2A-F708E69BB7E3}"/>
    <cellStyle name="Normal 8 2 3 3 2 2 3" xfId="12523" xr:uid="{ACEA679F-6F0A-4869-B839-3E09C7A1AB1B}"/>
    <cellStyle name="Normal 8 2 3 3 2 2 3 2" xfId="31119" xr:uid="{F7D6AEF5-D7AF-4748-9DF5-4533DE2A4CE9}"/>
    <cellStyle name="Normal 8 2 3 3 2 2 4" xfId="21822" xr:uid="{485FBF48-7504-43DB-85DC-834763B45A93}"/>
    <cellStyle name="Normal 8 2 3 3 2 3" xfId="5269" xr:uid="{00000000-0005-0000-0000-0000C01C0000}"/>
    <cellStyle name="Normal 8 2 3 3 2 3 2" xfId="14595" xr:uid="{0F715F4E-B911-4702-ACFC-A48DCFA46A64}"/>
    <cellStyle name="Normal 8 2 3 3 2 3 2 2" xfId="33191" xr:uid="{3200ED4A-B252-4BEF-AB00-CAC8D45EBEEF}"/>
    <cellStyle name="Normal 8 2 3 3 2 3 3" xfId="23894" xr:uid="{F760E901-03BE-4C99-98AF-4CD6E8492E84}"/>
    <cellStyle name="Normal 8 2 3 3 2 4" xfId="9467" xr:uid="{C16001D7-8508-4511-808F-E990F8EA0FE3}"/>
    <cellStyle name="Normal 8 2 3 3 2 4 2" xfId="18782" xr:uid="{4BB43879-4D94-446B-BF6C-1D6A0F8AEFE5}"/>
    <cellStyle name="Normal 8 2 3 3 2 4 2 2" xfId="37376" xr:uid="{173CC596-D416-4077-8A04-D4424EB44A3A}"/>
    <cellStyle name="Normal 8 2 3 3 2 4 3" xfId="28079" xr:uid="{0755164D-A9DA-4139-9515-5E25A6C45791}"/>
    <cellStyle name="Normal 8 2 3 3 2 5" xfId="10378" xr:uid="{D5E739A2-1B83-4D7F-8FA6-75B5C67AF12B}"/>
    <cellStyle name="Normal 8 2 3 3 2 5 2" xfId="28974" xr:uid="{BE4BB405-F071-456C-8982-1A216B181574}"/>
    <cellStyle name="Normal 8 2 3 3 2 6" xfId="19677" xr:uid="{36F1B206-4320-4D63-865A-51DA98C21B03}"/>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306D5D62-1F0A-43A7-B946-E78560AFD936}"/>
    <cellStyle name="Normal 8 2 3 3 3 2 2 2 2" xfId="35749" xr:uid="{BBB00531-3546-4BC6-A600-BAD72D8134D3}"/>
    <cellStyle name="Normal 8 2 3 3 3 2 2 3" xfId="26452" xr:uid="{D4AE74BA-A39E-4544-A20C-4672061905C0}"/>
    <cellStyle name="Normal 8 2 3 3 3 2 3" xfId="12936" xr:uid="{8CEE149B-AFA7-4245-893F-8FA3E33754C2}"/>
    <cellStyle name="Normal 8 2 3 3 3 2 3 2" xfId="31532" xr:uid="{434CF491-AEE8-4D22-BE87-2DE2CB158C16}"/>
    <cellStyle name="Normal 8 2 3 3 3 2 4" xfId="22235" xr:uid="{96127AC8-AC88-48E1-94D5-3744F1171559}"/>
    <cellStyle name="Normal 8 2 3 3 3 3" xfId="5682" xr:uid="{00000000-0005-0000-0000-0000C41C0000}"/>
    <cellStyle name="Normal 8 2 3 3 3 3 2" xfId="15008" xr:uid="{D8F02734-E108-4D3D-83E2-29ADB1B9A68C}"/>
    <cellStyle name="Normal 8 2 3 3 3 3 2 2" xfId="33604" xr:uid="{D98E9FA3-C188-4859-9133-16D9D19C5E47}"/>
    <cellStyle name="Normal 8 2 3 3 3 3 3" xfId="24307" xr:uid="{05EB5088-C2C5-49ED-B381-A4DC034E12F4}"/>
    <cellStyle name="Normal 8 2 3 3 3 4" xfId="10791" xr:uid="{F9C18CA8-56F0-4B7C-8C1E-4C65AB582BB4}"/>
    <cellStyle name="Normal 8 2 3 3 3 4 2" xfId="29387" xr:uid="{DDA4869B-85F1-4A41-B3E6-46C9F4BAC564}"/>
    <cellStyle name="Normal 8 2 3 3 3 5" xfId="20090" xr:uid="{5A95CF1A-CE02-447F-9355-2E7E49CF0ADC}"/>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236BA646-925C-4D21-91A5-16E10FDA6643}"/>
    <cellStyle name="Normal 8 2 3 3 4 2 2 2 2" xfId="36162" xr:uid="{6E90D66B-F03D-4C5E-8935-C95736048C3F}"/>
    <cellStyle name="Normal 8 2 3 3 4 2 2 3" xfId="26865" xr:uid="{1BC0AEAA-47C4-4B9A-AF61-6ED381D7A49D}"/>
    <cellStyle name="Normal 8 2 3 3 4 2 3" xfId="13349" xr:uid="{D8600410-18F5-4D89-B5E7-289643E412F7}"/>
    <cellStyle name="Normal 8 2 3 3 4 2 3 2" xfId="31945" xr:uid="{26F59383-7156-46A7-B1BE-377BFAB7DB14}"/>
    <cellStyle name="Normal 8 2 3 3 4 2 4" xfId="22648" xr:uid="{4E9B9168-A304-4756-8EA3-8AAA897CD27C}"/>
    <cellStyle name="Normal 8 2 3 3 4 3" xfId="6095" xr:uid="{00000000-0005-0000-0000-0000C81C0000}"/>
    <cellStyle name="Normal 8 2 3 3 4 3 2" xfId="15421" xr:uid="{1E6F80AF-C054-49C3-AF8E-DD0F0F7EE792}"/>
    <cellStyle name="Normal 8 2 3 3 4 3 2 2" xfId="34017" xr:uid="{A8200F3E-02E0-4163-9872-5E127ECB1E83}"/>
    <cellStyle name="Normal 8 2 3 3 4 3 3" xfId="24720" xr:uid="{845E1C8A-E3BA-436F-819A-9913A63A3B14}"/>
    <cellStyle name="Normal 8 2 3 3 4 4" xfId="11204" xr:uid="{D6545546-DBD8-4400-8C33-191F73184BCE}"/>
    <cellStyle name="Normal 8 2 3 3 4 4 2" xfId="29800" xr:uid="{9AD02286-0E5D-4543-ABFF-6319A13203E3}"/>
    <cellStyle name="Normal 8 2 3 3 4 5" xfId="20503" xr:uid="{61E22D92-BF33-4CEA-AC48-B84FE8F2089E}"/>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A4F83D87-FEFC-4DCD-8DA7-FD4F382E5C07}"/>
    <cellStyle name="Normal 8 2 3 3 5 2 2 2 2" xfId="36575" xr:uid="{C6D0A3B5-5564-4D67-AF37-C523A558F0BA}"/>
    <cellStyle name="Normal 8 2 3 3 5 2 2 3" xfId="27278" xr:uid="{A5849B60-8352-4016-A4EF-6A09D8696E38}"/>
    <cellStyle name="Normal 8 2 3 3 5 2 3" xfId="13762" xr:uid="{9EA0CC1E-00FB-4FB2-9020-2D001D4B9960}"/>
    <cellStyle name="Normal 8 2 3 3 5 2 3 2" xfId="32358" xr:uid="{36C4D15B-15AE-47E1-A13C-27750351A20F}"/>
    <cellStyle name="Normal 8 2 3 3 5 2 4" xfId="23061" xr:uid="{F78C66DE-9055-4ED2-A6AD-C11BDDE217DE}"/>
    <cellStyle name="Normal 8 2 3 3 5 3" xfId="6508" xr:uid="{00000000-0005-0000-0000-0000CC1C0000}"/>
    <cellStyle name="Normal 8 2 3 3 5 3 2" xfId="15834" xr:uid="{C31A4975-6754-401F-9B3C-6F8D504AD377}"/>
    <cellStyle name="Normal 8 2 3 3 5 3 2 2" xfId="34430" xr:uid="{D3107398-C2A0-4562-A43E-A6D3748DE02D}"/>
    <cellStyle name="Normal 8 2 3 3 5 3 3" xfId="25133" xr:uid="{21BA9F1E-CE6C-4223-B9A5-B93DD85BB885}"/>
    <cellStyle name="Normal 8 2 3 3 5 4" xfId="11617" xr:uid="{B3514E0A-E9FA-4739-A77E-9FC5C5B045B1}"/>
    <cellStyle name="Normal 8 2 3 3 5 4 2" xfId="30213" xr:uid="{3095D5EE-7944-4244-9A27-968FC9D46007}"/>
    <cellStyle name="Normal 8 2 3 3 5 5" xfId="20916" xr:uid="{7BB5D984-5DF5-40BC-BD90-857285D4EC87}"/>
    <cellStyle name="Normal 8 2 3 3 6" xfId="2638" xr:uid="{00000000-0005-0000-0000-0000CD1C0000}"/>
    <cellStyle name="Normal 8 2 3 3 6 2" xfId="6921" xr:uid="{00000000-0005-0000-0000-0000CE1C0000}"/>
    <cellStyle name="Normal 8 2 3 3 6 2 2" xfId="16247" xr:uid="{9E71F617-9C4A-4392-8931-FDDCD630FD43}"/>
    <cellStyle name="Normal 8 2 3 3 6 2 2 2" xfId="34843" xr:uid="{BCE46AD6-5999-465F-8C66-034C8205D4BA}"/>
    <cellStyle name="Normal 8 2 3 3 6 2 3" xfId="25546" xr:uid="{AA3E987A-B264-4052-B0E0-39A86A35D79A}"/>
    <cellStyle name="Normal 8 2 3 3 6 3" xfId="12030" xr:uid="{286BB0E2-8653-42FB-A9A2-B0D228B257A8}"/>
    <cellStyle name="Normal 8 2 3 3 6 3 2" xfId="30626" xr:uid="{44B37AF4-0C2B-46D1-BB1A-22D40CF4D22D}"/>
    <cellStyle name="Normal 8 2 3 3 6 4" xfId="21329" xr:uid="{B3252B2E-C4F3-4153-BDF1-D5AE88FDEE2B}"/>
    <cellStyle name="Normal 8 2 3 3 7" xfId="4856" xr:uid="{00000000-0005-0000-0000-0000CF1C0000}"/>
    <cellStyle name="Normal 8 2 3 3 7 2" xfId="14182" xr:uid="{D24A8584-0582-41D5-8DF5-B28B03404E36}"/>
    <cellStyle name="Normal 8 2 3 3 7 2 2" xfId="32778" xr:uid="{768DE4EC-A0DF-4B4F-9EF6-F381931437F5}"/>
    <cellStyle name="Normal 8 2 3 3 7 3" xfId="23481" xr:uid="{08882DDD-B618-4323-82FC-1A75BAD89184}"/>
    <cellStyle name="Normal 8 2 3 3 8" xfId="9042" xr:uid="{D820ED39-BAB1-48C1-A68D-2017E247E432}"/>
    <cellStyle name="Normal 8 2 3 3 8 2" xfId="18366" xr:uid="{6B815DB0-B1CE-4C2E-BF48-11DA6ED013F9}"/>
    <cellStyle name="Normal 8 2 3 3 8 2 2" xfId="36961" xr:uid="{17E28A16-705C-4337-A35D-B88D5D80C7C8}"/>
    <cellStyle name="Normal 8 2 3 3 8 3" xfId="27664" xr:uid="{647F62EF-BCA7-477F-BB10-71AE01A63FDF}"/>
    <cellStyle name="Normal 8 2 3 3 9" xfId="9965" xr:uid="{FC6C35E7-8D1E-4CC8-ADF2-E6EA93726359}"/>
    <cellStyle name="Normal 8 2 3 3 9 2" xfId="28561" xr:uid="{7A095181-DAAA-4CB3-B008-8B8FA2D6386F}"/>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A412AD32-7A0F-48E8-BA75-C9475BE98F07}"/>
    <cellStyle name="Normal 8 2 3 4 2 2 2 2" xfId="35333" xr:uid="{5F3198E0-33D7-4F75-98F6-E458049D7BE3}"/>
    <cellStyle name="Normal 8 2 3 4 2 2 3" xfId="26036" xr:uid="{144A272C-889D-4979-B360-111B7B7E5895}"/>
    <cellStyle name="Normal 8 2 3 4 2 3" xfId="12520" xr:uid="{6BD1C963-6D2B-4E7D-9500-A4B9538667AF}"/>
    <cellStyle name="Normal 8 2 3 4 2 3 2" xfId="31116" xr:uid="{39621983-EE2B-4F90-86CE-660E5F6AF5CC}"/>
    <cellStyle name="Normal 8 2 3 4 2 4" xfId="21819" xr:uid="{1CA03361-E325-454D-8E2C-063976B4314F}"/>
    <cellStyle name="Normal 8 2 3 4 3" xfId="5266" xr:uid="{00000000-0005-0000-0000-0000D31C0000}"/>
    <cellStyle name="Normal 8 2 3 4 3 2" xfId="14592" xr:uid="{F5B81AFB-D150-4CAF-AF8E-0FE7C86EB085}"/>
    <cellStyle name="Normal 8 2 3 4 3 2 2" xfId="33188" xr:uid="{F2B5A20D-C42D-43E8-806A-2C61A1466222}"/>
    <cellStyle name="Normal 8 2 3 4 3 3" xfId="23891" xr:uid="{420B4129-8ACF-44D5-8681-594348B25400}"/>
    <cellStyle name="Normal 8 2 3 4 4" xfId="9260" xr:uid="{70FF5A16-C89A-42B7-A603-E23A7C2F443C}"/>
    <cellStyle name="Normal 8 2 3 4 4 2" xfId="18575" xr:uid="{DCE6CAB0-D8F3-4954-A50A-65EDD259548F}"/>
    <cellStyle name="Normal 8 2 3 4 4 2 2" xfId="37169" xr:uid="{08B0DDCB-0D16-490C-A5D9-4393D9DF2C89}"/>
    <cellStyle name="Normal 8 2 3 4 4 3" xfId="27872" xr:uid="{D1CE5B38-7368-44F3-975D-2C10B3089E5E}"/>
    <cellStyle name="Normal 8 2 3 4 5" xfId="10375" xr:uid="{5F814044-E1AA-403D-A2FA-2280B00CC4D4}"/>
    <cellStyle name="Normal 8 2 3 4 5 2" xfId="28971" xr:uid="{E452854E-3536-4267-8C8F-682D6FFA61CE}"/>
    <cellStyle name="Normal 8 2 3 4 6" xfId="19674" xr:uid="{C73257E4-C735-4367-9EFE-FE6E8CE519BE}"/>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5AC8FBAA-1566-4C1D-923E-D1472A52F283}"/>
    <cellStyle name="Normal 8 2 3 5 2 2 2 2" xfId="35746" xr:uid="{2526D648-99A0-4D83-A5D8-B0E6921B46A6}"/>
    <cellStyle name="Normal 8 2 3 5 2 2 3" xfId="26449" xr:uid="{3BC6DC4D-18E6-42F2-BA63-9DC60C782A09}"/>
    <cellStyle name="Normal 8 2 3 5 2 3" xfId="12933" xr:uid="{425A9D5B-05E2-4E29-8617-81FABCC29B67}"/>
    <cellStyle name="Normal 8 2 3 5 2 3 2" xfId="31529" xr:uid="{5FCF9382-0496-458E-A975-29FA9E586D10}"/>
    <cellStyle name="Normal 8 2 3 5 2 4" xfId="22232" xr:uid="{7093DECF-7706-4B39-BE26-3408A48D2C78}"/>
    <cellStyle name="Normal 8 2 3 5 3" xfId="5679" xr:uid="{00000000-0005-0000-0000-0000D71C0000}"/>
    <cellStyle name="Normal 8 2 3 5 3 2" xfId="15005" xr:uid="{CD49E8DA-13E8-4C1C-AC37-B207D38B15E1}"/>
    <cellStyle name="Normal 8 2 3 5 3 2 2" xfId="33601" xr:uid="{3022204C-AF2E-4599-BF7F-2BFE5A4ADECF}"/>
    <cellStyle name="Normal 8 2 3 5 3 3" xfId="24304" xr:uid="{E1E78F0C-D2CD-4F27-B3F9-23B1849F9E57}"/>
    <cellStyle name="Normal 8 2 3 5 4" xfId="10788" xr:uid="{7A4B9B63-9111-4BB0-A412-0E36FE62FA01}"/>
    <cellStyle name="Normal 8 2 3 5 4 2" xfId="29384" xr:uid="{7052F27F-454F-4E28-90C8-2486080E9683}"/>
    <cellStyle name="Normal 8 2 3 5 5" xfId="20087" xr:uid="{FE53B41A-1B4C-45C3-960C-AF55B66B6444}"/>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79EBD177-FE82-4F99-A0A7-BEB5F18E3A34}"/>
    <cellStyle name="Normal 8 2 3 6 2 2 2 2" xfId="36159" xr:uid="{AD927BCE-B0AD-4216-8A20-0EAF3D0CCEA3}"/>
    <cellStyle name="Normal 8 2 3 6 2 2 3" xfId="26862" xr:uid="{6D9E9F16-9F51-49A1-8203-128874878F65}"/>
    <cellStyle name="Normal 8 2 3 6 2 3" xfId="13346" xr:uid="{108CA684-CEE7-45A1-BBDA-5C13487805E1}"/>
    <cellStyle name="Normal 8 2 3 6 2 3 2" xfId="31942" xr:uid="{A9DDE2AA-77FA-4234-B270-CC60F71FAE4F}"/>
    <cellStyle name="Normal 8 2 3 6 2 4" xfId="22645" xr:uid="{BDB3AECE-E83C-4C4A-84F0-135A6A4875C9}"/>
    <cellStyle name="Normal 8 2 3 6 3" xfId="6092" xr:uid="{00000000-0005-0000-0000-0000DB1C0000}"/>
    <cellStyle name="Normal 8 2 3 6 3 2" xfId="15418" xr:uid="{0374FDB2-6F2E-4987-B163-6FD38D998F52}"/>
    <cellStyle name="Normal 8 2 3 6 3 2 2" xfId="34014" xr:uid="{2C79D579-24F8-4D4C-9700-0F20B28E7856}"/>
    <cellStyle name="Normal 8 2 3 6 3 3" xfId="24717" xr:uid="{8CE22CD4-4930-43A8-AF70-7003014CD6D3}"/>
    <cellStyle name="Normal 8 2 3 6 4" xfId="11201" xr:uid="{86790884-750A-4464-90BF-59289715A0A1}"/>
    <cellStyle name="Normal 8 2 3 6 4 2" xfId="29797" xr:uid="{4966C9CD-DB3C-4E48-B447-7F26BE3865E6}"/>
    <cellStyle name="Normal 8 2 3 6 5" xfId="20500" xr:uid="{AD40DA6A-C211-42AD-AF13-18D75598E650}"/>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9B5C9921-BEF1-43A5-9272-B5368B209F48}"/>
    <cellStyle name="Normal 8 2 3 7 2 2 2 2" xfId="36572" xr:uid="{2C2618E4-EF4F-400F-915E-30AD83C32741}"/>
    <cellStyle name="Normal 8 2 3 7 2 2 3" xfId="27275" xr:uid="{F82980D9-4163-4661-8E33-BF2209C0DC0A}"/>
    <cellStyle name="Normal 8 2 3 7 2 3" xfId="13759" xr:uid="{7E1FCCCF-4DAE-4235-BF24-26521DCD1DBE}"/>
    <cellStyle name="Normal 8 2 3 7 2 3 2" xfId="32355" xr:uid="{2A1377A0-12EB-4A78-8495-209AB72ABD40}"/>
    <cellStyle name="Normal 8 2 3 7 2 4" xfId="23058" xr:uid="{EE8E0AA2-32C0-4FAA-8C83-A07F99AE549B}"/>
    <cellStyle name="Normal 8 2 3 7 3" xfId="6505" xr:uid="{00000000-0005-0000-0000-0000DF1C0000}"/>
    <cellStyle name="Normal 8 2 3 7 3 2" xfId="15831" xr:uid="{E52D2DEA-634F-422D-8FE6-EDA49E3FA67D}"/>
    <cellStyle name="Normal 8 2 3 7 3 2 2" xfId="34427" xr:uid="{585C1214-9341-45D0-8671-E120AC73F9B3}"/>
    <cellStyle name="Normal 8 2 3 7 3 3" xfId="25130" xr:uid="{C8A17027-EFE2-414E-AA37-26F4CCE67EA7}"/>
    <cellStyle name="Normal 8 2 3 7 4" xfId="11614" xr:uid="{D7721891-1B5B-480E-B563-EF9042464775}"/>
    <cellStyle name="Normal 8 2 3 7 4 2" xfId="30210" xr:uid="{A983528B-44AD-4FEA-A9A2-BB444B1C23DE}"/>
    <cellStyle name="Normal 8 2 3 7 5" xfId="20913" xr:uid="{E433B005-AFCD-4B38-937E-9D08A7134B55}"/>
    <cellStyle name="Normal 8 2 3 8" xfId="2635" xr:uid="{00000000-0005-0000-0000-0000E01C0000}"/>
    <cellStyle name="Normal 8 2 3 8 2" xfId="6918" xr:uid="{00000000-0005-0000-0000-0000E11C0000}"/>
    <cellStyle name="Normal 8 2 3 8 2 2" xfId="16244" xr:uid="{F8EFD989-473A-4D3D-A95B-287DF2376C6E}"/>
    <cellStyle name="Normal 8 2 3 8 2 2 2" xfId="34840" xr:uid="{7174093A-01D0-4510-957C-4C2DF520A9E2}"/>
    <cellStyle name="Normal 8 2 3 8 2 3" xfId="25543" xr:uid="{47202545-AC8E-4118-AFB2-7D78AD282491}"/>
    <cellStyle name="Normal 8 2 3 8 3" xfId="12027" xr:uid="{F8532C67-B1DF-4F38-ABD0-75B435D0FAAD}"/>
    <cellStyle name="Normal 8 2 3 8 3 2" xfId="30623" xr:uid="{56D783EC-6CC7-4556-AD58-BF2B58BEEB59}"/>
    <cellStyle name="Normal 8 2 3 8 4" xfId="21326" xr:uid="{175D8A2A-E5BA-4A4D-9319-03A9B181C7A4}"/>
    <cellStyle name="Normal 8 2 3 9" xfId="4853" xr:uid="{00000000-0005-0000-0000-0000E21C0000}"/>
    <cellStyle name="Normal 8 2 3 9 2" xfId="14179" xr:uid="{27C1FA3A-26BD-4F6E-BF51-79916C4EDE8D}"/>
    <cellStyle name="Normal 8 2 3 9 2 2" xfId="32775" xr:uid="{1F47D5D3-38DD-4401-A706-1C92E202C871}"/>
    <cellStyle name="Normal 8 2 3 9 3" xfId="23478" xr:uid="{4FD63813-9C1F-4085-A55C-AC01AC4574D5}"/>
    <cellStyle name="Normal 8 2 4" xfId="492" xr:uid="{00000000-0005-0000-0000-0000E31C0000}"/>
    <cellStyle name="Normal 8 2 4 10" xfId="9966" xr:uid="{C56A5473-DC9C-463E-B3CA-2226F3859007}"/>
    <cellStyle name="Normal 8 2 4 10 2" xfId="28562" xr:uid="{162225D2-0DDE-4273-AAFE-A263B79480AB}"/>
    <cellStyle name="Normal 8 2 4 11" xfId="19265" xr:uid="{05B690D4-2A65-467E-A411-1506C852F06A}"/>
    <cellStyle name="Normal 8 2 4 2" xfId="493" xr:uid="{00000000-0005-0000-0000-0000E41C0000}"/>
    <cellStyle name="Normal 8 2 4 2 10" xfId="19266" xr:uid="{D868D550-84C8-4DF0-9E5B-CC983F562DCE}"/>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E086459F-1038-489F-86AB-000306230AC3}"/>
    <cellStyle name="Normal 8 2 4 2 2 2 2 2 2" xfId="35338" xr:uid="{6DB5BA58-47EA-4C19-8DD8-69D45C55B0A8}"/>
    <cellStyle name="Normal 8 2 4 2 2 2 2 3" xfId="26041" xr:uid="{D810948E-BA4D-4F71-BDA2-01376F2DC1CF}"/>
    <cellStyle name="Normal 8 2 4 2 2 2 3" xfId="12525" xr:uid="{98CA0C5F-9487-46E2-8A4C-711D527F507B}"/>
    <cellStyle name="Normal 8 2 4 2 2 2 3 2" xfId="31121" xr:uid="{38B45133-1763-4AA2-9515-904382858373}"/>
    <cellStyle name="Normal 8 2 4 2 2 2 4" xfId="21824" xr:uid="{B8C24912-24F9-416E-98B2-CBB3860D6DA2}"/>
    <cellStyle name="Normal 8 2 4 2 2 3" xfId="5271" xr:uid="{00000000-0005-0000-0000-0000E81C0000}"/>
    <cellStyle name="Normal 8 2 4 2 2 3 2" xfId="14597" xr:uid="{A142FE5A-CD9F-4759-9304-D122745D8915}"/>
    <cellStyle name="Normal 8 2 4 2 2 3 2 2" xfId="33193" xr:uid="{7277BB94-8FFB-41DA-B043-EFCDD09BCAD1}"/>
    <cellStyle name="Normal 8 2 4 2 2 3 3" xfId="23896" xr:uid="{A932834A-BB9C-4312-8A47-EF7BD94CA727}"/>
    <cellStyle name="Normal 8 2 4 2 2 4" xfId="9486" xr:uid="{9F6EBE4C-F02F-43A6-A388-D5EACB1B3099}"/>
    <cellStyle name="Normal 8 2 4 2 2 4 2" xfId="18801" xr:uid="{012C9F31-E542-4000-B0A9-B1727BE63E78}"/>
    <cellStyle name="Normal 8 2 4 2 2 4 2 2" xfId="37395" xr:uid="{3399BF3B-1448-408E-9910-907B1C128A5B}"/>
    <cellStyle name="Normal 8 2 4 2 2 4 3" xfId="28098" xr:uid="{422149C2-94B2-4047-8707-47EA282369AB}"/>
    <cellStyle name="Normal 8 2 4 2 2 5" xfId="10380" xr:uid="{34EEDCE7-C3B7-48D7-81ED-AF4D83A5C363}"/>
    <cellStyle name="Normal 8 2 4 2 2 5 2" xfId="28976" xr:uid="{23AE5CAC-971E-4263-AAA0-35E5657376C8}"/>
    <cellStyle name="Normal 8 2 4 2 2 6" xfId="19679" xr:uid="{617B7B46-4258-4B74-84F2-F842EEB32F5C}"/>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A431F54C-DC2A-4125-8A6D-415FD3726670}"/>
    <cellStyle name="Normal 8 2 4 2 3 2 2 2 2" xfId="35751" xr:uid="{BA9120E7-A8A2-48A0-8D4F-D017BF5B2E64}"/>
    <cellStyle name="Normal 8 2 4 2 3 2 2 3" xfId="26454" xr:uid="{55113214-4A02-44AC-B4EA-BF39B0E47CE1}"/>
    <cellStyle name="Normal 8 2 4 2 3 2 3" xfId="12938" xr:uid="{457506BC-2428-4BE4-966B-1AB3B1BB9303}"/>
    <cellStyle name="Normal 8 2 4 2 3 2 3 2" xfId="31534" xr:uid="{10FDFB30-55EA-4E13-8EAE-93DABD211158}"/>
    <cellStyle name="Normal 8 2 4 2 3 2 4" xfId="22237" xr:uid="{F6C08207-A278-4901-A121-84D520F76FFC}"/>
    <cellStyle name="Normal 8 2 4 2 3 3" xfId="5684" xr:uid="{00000000-0005-0000-0000-0000EC1C0000}"/>
    <cellStyle name="Normal 8 2 4 2 3 3 2" xfId="15010" xr:uid="{4ABBD277-335D-427B-9000-077781DAF36A}"/>
    <cellStyle name="Normal 8 2 4 2 3 3 2 2" xfId="33606" xr:uid="{9686CA45-4A34-4F20-9B86-FFE60377FB7C}"/>
    <cellStyle name="Normal 8 2 4 2 3 3 3" xfId="24309" xr:uid="{87B7167C-49FC-4D63-BCB0-FC8481A318C2}"/>
    <cellStyle name="Normal 8 2 4 2 3 4" xfId="10793" xr:uid="{DF8A6190-7E26-4812-BB4E-C467C8683C65}"/>
    <cellStyle name="Normal 8 2 4 2 3 4 2" xfId="29389" xr:uid="{CC26E96E-801B-4164-8291-8E15D7033451}"/>
    <cellStyle name="Normal 8 2 4 2 3 5" xfId="20092" xr:uid="{AE115061-47E6-411D-B892-BAD696F4F936}"/>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84EE9D06-76D9-44D6-BBA5-2ED5E359986C}"/>
    <cellStyle name="Normal 8 2 4 2 4 2 2 2 2" xfId="36164" xr:uid="{86B7E967-0DAD-469C-8CB8-DF7EAA57F999}"/>
    <cellStyle name="Normal 8 2 4 2 4 2 2 3" xfId="26867" xr:uid="{FB0238BC-86E5-46CD-A973-70CD7F010178}"/>
    <cellStyle name="Normal 8 2 4 2 4 2 3" xfId="13351" xr:uid="{291E3E2F-C7CD-46F7-893B-5FAF5EF69682}"/>
    <cellStyle name="Normal 8 2 4 2 4 2 3 2" xfId="31947" xr:uid="{0636447D-03BD-427E-BCA6-B1B647282E0A}"/>
    <cellStyle name="Normal 8 2 4 2 4 2 4" xfId="22650" xr:uid="{DCCEC85E-0D92-4772-8E37-3BB7C3BCA33F}"/>
    <cellStyle name="Normal 8 2 4 2 4 3" xfId="6097" xr:uid="{00000000-0005-0000-0000-0000F01C0000}"/>
    <cellStyle name="Normal 8 2 4 2 4 3 2" xfId="15423" xr:uid="{A42A10D9-EBB0-427C-BD35-C3B5E5A5BB3E}"/>
    <cellStyle name="Normal 8 2 4 2 4 3 2 2" xfId="34019" xr:uid="{448C7D15-8C93-4017-A8DA-0BD51ECA3C43}"/>
    <cellStyle name="Normal 8 2 4 2 4 3 3" xfId="24722" xr:uid="{1A5DC851-12ED-489F-AE4E-EF1011E9202F}"/>
    <cellStyle name="Normal 8 2 4 2 4 4" xfId="11206" xr:uid="{43C13D6C-DB49-4984-9107-26500E712FC5}"/>
    <cellStyle name="Normal 8 2 4 2 4 4 2" xfId="29802" xr:uid="{2F90E388-5257-4FE1-9427-6BDCEA065D2C}"/>
    <cellStyle name="Normal 8 2 4 2 4 5" xfId="20505" xr:uid="{CA75C3FB-446D-4D67-9824-31213EC70DBD}"/>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C42B0A55-0555-487E-947F-8BDB88522FD1}"/>
    <cellStyle name="Normal 8 2 4 2 5 2 2 2 2" xfId="36577" xr:uid="{13F6F93C-1B28-459C-A8D9-1CBBBED58DF8}"/>
    <cellStyle name="Normal 8 2 4 2 5 2 2 3" xfId="27280" xr:uid="{B8CC9DF4-92C2-4406-B0C4-1BF3171DAC12}"/>
    <cellStyle name="Normal 8 2 4 2 5 2 3" xfId="13764" xr:uid="{20E69092-4527-48BF-84A8-AB8EE99959C5}"/>
    <cellStyle name="Normal 8 2 4 2 5 2 3 2" xfId="32360" xr:uid="{1FD79B05-F339-4CAF-82B4-BEA73668C8C4}"/>
    <cellStyle name="Normal 8 2 4 2 5 2 4" xfId="23063" xr:uid="{318878AF-C345-4728-A2E6-B3A0F0A857FE}"/>
    <cellStyle name="Normal 8 2 4 2 5 3" xfId="6510" xr:uid="{00000000-0005-0000-0000-0000F41C0000}"/>
    <cellStyle name="Normal 8 2 4 2 5 3 2" xfId="15836" xr:uid="{DAAC3512-B69B-4367-BC0D-FD32A425DA9F}"/>
    <cellStyle name="Normal 8 2 4 2 5 3 2 2" xfId="34432" xr:uid="{D228002D-E7D4-4785-88B0-0FF298441A60}"/>
    <cellStyle name="Normal 8 2 4 2 5 3 3" xfId="25135" xr:uid="{B50B6CFA-2DAB-4B62-A875-9E118C17123A}"/>
    <cellStyle name="Normal 8 2 4 2 5 4" xfId="11619" xr:uid="{51B9D978-0696-46F3-BAA3-058895E0B10F}"/>
    <cellStyle name="Normal 8 2 4 2 5 4 2" xfId="30215" xr:uid="{4915893D-0BD0-4A94-906E-410246B37227}"/>
    <cellStyle name="Normal 8 2 4 2 5 5" xfId="20918" xr:uid="{26CAE3B4-B270-405A-AEE0-35D0E84C54A6}"/>
    <cellStyle name="Normal 8 2 4 2 6" xfId="2640" xr:uid="{00000000-0005-0000-0000-0000F51C0000}"/>
    <cellStyle name="Normal 8 2 4 2 6 2" xfId="6923" xr:uid="{00000000-0005-0000-0000-0000F61C0000}"/>
    <cellStyle name="Normal 8 2 4 2 6 2 2" xfId="16249" xr:uid="{DE775912-6C01-4246-A4CD-34EB1D50B04E}"/>
    <cellStyle name="Normal 8 2 4 2 6 2 2 2" xfId="34845" xr:uid="{0D0CACBA-B100-4F88-AA07-D68C13605B06}"/>
    <cellStyle name="Normal 8 2 4 2 6 2 3" xfId="25548" xr:uid="{A2871091-0673-4BBF-BF56-49906EB4F754}"/>
    <cellStyle name="Normal 8 2 4 2 6 3" xfId="12032" xr:uid="{BD7AD8F2-B378-434D-A75E-69016A3CE71C}"/>
    <cellStyle name="Normal 8 2 4 2 6 3 2" xfId="30628" xr:uid="{958622A9-0474-4CB8-9B35-2F7F8610690D}"/>
    <cellStyle name="Normal 8 2 4 2 6 4" xfId="21331" xr:uid="{FBF2F0B8-FE5E-453F-BFA5-A00F3D898F5C}"/>
    <cellStyle name="Normal 8 2 4 2 7" xfId="4858" xr:uid="{00000000-0005-0000-0000-0000F71C0000}"/>
    <cellStyle name="Normal 8 2 4 2 7 2" xfId="14184" xr:uid="{D532A05B-EEB0-44DD-83A2-9E9AE6514EAD}"/>
    <cellStyle name="Normal 8 2 4 2 7 2 2" xfId="32780" xr:uid="{26190CC6-4283-42C1-B806-7F9DD1DFDD8C}"/>
    <cellStyle name="Normal 8 2 4 2 7 3" xfId="23483" xr:uid="{73464D5A-DAC1-45D9-8ECF-88D0BAAE69E2}"/>
    <cellStyle name="Normal 8 2 4 2 8" xfId="9061" xr:uid="{7295DB82-9441-436C-AA3E-91B68F6E59B3}"/>
    <cellStyle name="Normal 8 2 4 2 8 2" xfId="18385" xr:uid="{A42F4483-330A-4F31-A2DE-4E1084815448}"/>
    <cellStyle name="Normal 8 2 4 2 8 2 2" xfId="36980" xr:uid="{0E4DB0C5-036C-45BC-B432-8682325EFC02}"/>
    <cellStyle name="Normal 8 2 4 2 8 3" xfId="27683" xr:uid="{D93827C5-CF5E-499A-88CD-CE17E72736C4}"/>
    <cellStyle name="Normal 8 2 4 2 9" xfId="9967" xr:uid="{1B9255F6-9603-4D26-A1D8-E699F8D8C25D}"/>
    <cellStyle name="Normal 8 2 4 2 9 2" xfId="28563" xr:uid="{D9E61797-94CB-499C-BCA5-1C7C493BEDC9}"/>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93501575-42CD-4003-97FC-0F36FE387A56}"/>
    <cellStyle name="Normal 8 2 4 3 2 2 2 2" xfId="35337" xr:uid="{5D3A372F-82F7-40DC-86ED-F90213255219}"/>
    <cellStyle name="Normal 8 2 4 3 2 2 3" xfId="26040" xr:uid="{382C38D7-6042-4FA7-ACDB-511F645F48BA}"/>
    <cellStyle name="Normal 8 2 4 3 2 3" xfId="12524" xr:uid="{1400EFD4-017A-4355-B3B3-94A37F727E58}"/>
    <cellStyle name="Normal 8 2 4 3 2 3 2" xfId="31120" xr:uid="{90C4C0AC-592F-4ECA-8D1B-1D973DCBFD28}"/>
    <cellStyle name="Normal 8 2 4 3 2 4" xfId="21823" xr:uid="{1A7DE6E8-D064-475C-A1B8-2359B63F44FB}"/>
    <cellStyle name="Normal 8 2 4 3 3" xfId="5270" xr:uid="{00000000-0005-0000-0000-0000FB1C0000}"/>
    <cellStyle name="Normal 8 2 4 3 3 2" xfId="14596" xr:uid="{AC560081-C7F5-4A89-8F93-CA565CECF739}"/>
    <cellStyle name="Normal 8 2 4 3 3 2 2" xfId="33192" xr:uid="{E02D0BB2-008C-41FD-A519-1EC6E2C7958B}"/>
    <cellStyle name="Normal 8 2 4 3 3 3" xfId="23895" xr:uid="{386B3F80-E910-4929-895D-6AC8AB82522D}"/>
    <cellStyle name="Normal 8 2 4 3 4" xfId="9279" xr:uid="{BA09D30D-BEBA-4223-83E6-57FB46A1EFA8}"/>
    <cellStyle name="Normal 8 2 4 3 4 2" xfId="18594" xr:uid="{6FF2EE06-64ED-4966-B991-8252C2A20DB6}"/>
    <cellStyle name="Normal 8 2 4 3 4 2 2" xfId="37188" xr:uid="{192D421E-6383-46BD-9915-F61BDF8D7DE5}"/>
    <cellStyle name="Normal 8 2 4 3 4 3" xfId="27891" xr:uid="{B6F00A61-61C2-445A-A077-D7D9CD9E3382}"/>
    <cellStyle name="Normal 8 2 4 3 5" xfId="10379" xr:uid="{BD3568B9-708D-4B6F-9934-B3C286B1D12F}"/>
    <cellStyle name="Normal 8 2 4 3 5 2" xfId="28975" xr:uid="{DD693C8C-9758-47C1-9DEA-7791C446421D}"/>
    <cellStyle name="Normal 8 2 4 3 6" xfId="19678" xr:uid="{801AC21A-E82B-4829-A7C9-5FD29F8A3B9D}"/>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AA8D19C8-0E1D-4E44-A15A-EF155D96DBBF}"/>
    <cellStyle name="Normal 8 2 4 4 2 2 2 2" xfId="35750" xr:uid="{BAFA6BFC-B0F4-4DE3-B048-373C3ACB4DC0}"/>
    <cellStyle name="Normal 8 2 4 4 2 2 3" xfId="26453" xr:uid="{CF0ABFBE-8634-4D15-BEE3-30876D0A50EE}"/>
    <cellStyle name="Normal 8 2 4 4 2 3" xfId="12937" xr:uid="{E43BAB74-883E-4B16-BA48-A661EEF91029}"/>
    <cellStyle name="Normal 8 2 4 4 2 3 2" xfId="31533" xr:uid="{8C39310D-BC74-482E-90A5-152C7FCEDBEC}"/>
    <cellStyle name="Normal 8 2 4 4 2 4" xfId="22236" xr:uid="{591E9069-558B-47AB-A58E-2BAFF2BFB96E}"/>
    <cellStyle name="Normal 8 2 4 4 3" xfId="5683" xr:uid="{00000000-0005-0000-0000-0000FF1C0000}"/>
    <cellStyle name="Normal 8 2 4 4 3 2" xfId="15009" xr:uid="{82AF01F6-17AC-4D66-945E-42970679AB45}"/>
    <cellStyle name="Normal 8 2 4 4 3 2 2" xfId="33605" xr:uid="{4B62ED5A-1E11-4461-B256-A0E1B2E71DAB}"/>
    <cellStyle name="Normal 8 2 4 4 3 3" xfId="24308" xr:uid="{6C653A9C-D02E-4768-A025-5E5C20C5C51B}"/>
    <cellStyle name="Normal 8 2 4 4 4" xfId="10792" xr:uid="{282DA62A-BA78-4FDA-BF97-357103807844}"/>
    <cellStyle name="Normal 8 2 4 4 4 2" xfId="29388" xr:uid="{8E7C4EA7-3497-4994-997F-69F79F651D28}"/>
    <cellStyle name="Normal 8 2 4 4 5" xfId="20091" xr:uid="{CF9662A8-3323-4A01-A2F9-F7C558B0D01F}"/>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CC8D3E39-F59E-4955-837E-99D96B6C9595}"/>
    <cellStyle name="Normal 8 2 4 5 2 2 2 2" xfId="36163" xr:uid="{F8ABEF04-1834-4E3D-84D0-8DA14011B9C8}"/>
    <cellStyle name="Normal 8 2 4 5 2 2 3" xfId="26866" xr:uid="{FAE567D1-16B7-4606-92B2-2D8AD9998A3C}"/>
    <cellStyle name="Normal 8 2 4 5 2 3" xfId="13350" xr:uid="{2CBC6D11-B5D9-4D7A-8CA2-F3B8D54D839A}"/>
    <cellStyle name="Normal 8 2 4 5 2 3 2" xfId="31946" xr:uid="{AAA9D20C-1910-4CEB-9A5D-1A289861A307}"/>
    <cellStyle name="Normal 8 2 4 5 2 4" xfId="22649" xr:uid="{90B21F9F-8125-4239-B002-510C93A9979C}"/>
    <cellStyle name="Normal 8 2 4 5 3" xfId="6096" xr:uid="{00000000-0005-0000-0000-0000031D0000}"/>
    <cellStyle name="Normal 8 2 4 5 3 2" xfId="15422" xr:uid="{D3ED4255-CE7D-496D-98D5-62E931113FA6}"/>
    <cellStyle name="Normal 8 2 4 5 3 2 2" xfId="34018" xr:uid="{7089F58B-33A2-4B3E-8C5C-3C581172CBD4}"/>
    <cellStyle name="Normal 8 2 4 5 3 3" xfId="24721" xr:uid="{A28D0FDD-CDF9-46D0-BBD8-31CD2B4AF48D}"/>
    <cellStyle name="Normal 8 2 4 5 4" xfId="11205" xr:uid="{8317B30F-C70B-4D20-95F5-F409F97CCF54}"/>
    <cellStyle name="Normal 8 2 4 5 4 2" xfId="29801" xr:uid="{960B5495-7442-47B4-A2A7-EC902F181503}"/>
    <cellStyle name="Normal 8 2 4 5 5" xfId="20504" xr:uid="{368D053F-D56F-422C-89D1-B86B4202AD3F}"/>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594C33FE-DF1D-42A9-B032-07763B3459EF}"/>
    <cellStyle name="Normal 8 2 4 6 2 2 2 2" xfId="36576" xr:uid="{E80DFE33-5618-4393-A180-3BE90708F738}"/>
    <cellStyle name="Normal 8 2 4 6 2 2 3" xfId="27279" xr:uid="{E744A60B-B0FC-4642-AD8B-82AC9DD8CBBC}"/>
    <cellStyle name="Normal 8 2 4 6 2 3" xfId="13763" xr:uid="{950A5A2B-82DC-4391-B1AF-B00E4E3EEFDC}"/>
    <cellStyle name="Normal 8 2 4 6 2 3 2" xfId="32359" xr:uid="{0025BD53-3F94-4E44-8CDB-72C8C25D8E66}"/>
    <cellStyle name="Normal 8 2 4 6 2 4" xfId="23062" xr:uid="{8D8868F6-CFAC-44DB-8549-800A7C782D2A}"/>
    <cellStyle name="Normal 8 2 4 6 3" xfId="6509" xr:uid="{00000000-0005-0000-0000-0000071D0000}"/>
    <cellStyle name="Normal 8 2 4 6 3 2" xfId="15835" xr:uid="{66BD42D3-3FAC-4966-8E4B-AE08066FCBFD}"/>
    <cellStyle name="Normal 8 2 4 6 3 2 2" xfId="34431" xr:uid="{5B65BB92-4A6B-41F8-BB8C-0C6C0F237C70}"/>
    <cellStyle name="Normal 8 2 4 6 3 3" xfId="25134" xr:uid="{3BBC1FD8-25A1-4687-AB41-01082A609030}"/>
    <cellStyle name="Normal 8 2 4 6 4" xfId="11618" xr:uid="{F0AA37C4-BED2-46E3-A98C-45F049E04241}"/>
    <cellStyle name="Normal 8 2 4 6 4 2" xfId="30214" xr:uid="{E60AF866-7B52-4596-A68C-5F071D543E59}"/>
    <cellStyle name="Normal 8 2 4 6 5" xfId="20917" xr:uid="{C9A7A084-8EA6-4A59-A84F-443158CE221F}"/>
    <cellStyle name="Normal 8 2 4 7" xfId="2639" xr:uid="{00000000-0005-0000-0000-0000081D0000}"/>
    <cellStyle name="Normal 8 2 4 7 2" xfId="6922" xr:uid="{00000000-0005-0000-0000-0000091D0000}"/>
    <cellStyle name="Normal 8 2 4 7 2 2" xfId="16248" xr:uid="{B2E3F93C-0E12-4425-AD1C-A9E4C663C65E}"/>
    <cellStyle name="Normal 8 2 4 7 2 2 2" xfId="34844" xr:uid="{605E1AB9-8809-47D3-9264-9DBB6E521712}"/>
    <cellStyle name="Normal 8 2 4 7 2 3" xfId="25547" xr:uid="{1E56CD7C-D2C1-4A68-8BF6-B233471A7B1D}"/>
    <cellStyle name="Normal 8 2 4 7 3" xfId="12031" xr:uid="{36E035AD-3155-4B23-B6BC-151B7EA8B93E}"/>
    <cellStyle name="Normal 8 2 4 7 3 2" xfId="30627" xr:uid="{88E5B24A-0327-4437-956C-7CB58145D341}"/>
    <cellStyle name="Normal 8 2 4 7 4" xfId="21330" xr:uid="{8680C3DA-226F-4899-975E-0623B855EA0B}"/>
    <cellStyle name="Normal 8 2 4 8" xfId="4857" xr:uid="{00000000-0005-0000-0000-00000A1D0000}"/>
    <cellStyle name="Normal 8 2 4 8 2" xfId="14183" xr:uid="{74DDECE7-720C-4135-8057-04851234FA3A}"/>
    <cellStyle name="Normal 8 2 4 8 2 2" xfId="32779" xr:uid="{D25601FF-2394-45E2-82D2-003D627A7FC7}"/>
    <cellStyle name="Normal 8 2 4 8 3" xfId="23482" xr:uid="{1D1DC5DA-901D-4E66-9DC8-4C8E7BDC3C9F}"/>
    <cellStyle name="Normal 8 2 4 9" xfId="8854" xr:uid="{F1F9C500-F3E2-475A-983E-BD697F4BACD1}"/>
    <cellStyle name="Normal 8 2 4 9 2" xfId="18178" xr:uid="{37EA54E7-20FD-4429-A633-C4691559D029}"/>
    <cellStyle name="Normal 8 2 4 9 2 2" xfId="36773" xr:uid="{49861DAC-9135-45A2-B0E8-B47EBD0BF93F}"/>
    <cellStyle name="Normal 8 2 4 9 3" xfId="27476" xr:uid="{4141F1B4-99CE-4615-9526-B17B9CE7402A}"/>
    <cellStyle name="Normal 8 2 5" xfId="494" xr:uid="{00000000-0005-0000-0000-00000B1D0000}"/>
    <cellStyle name="Normal 8 2 5 10" xfId="19267" xr:uid="{7B4C623B-228A-441F-A80B-6BE4459E22D7}"/>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6B151CC8-861A-4469-9425-D4767E405AB2}"/>
    <cellStyle name="Normal 8 2 5 2 2 2 2 2" xfId="35339" xr:uid="{6E47D762-542D-4305-A8D6-891981F075AC}"/>
    <cellStyle name="Normal 8 2 5 2 2 2 3" xfId="26042" xr:uid="{179353EC-68CF-4FB6-8CA5-234D32152D55}"/>
    <cellStyle name="Normal 8 2 5 2 2 3" xfId="12526" xr:uid="{73E2BA22-CAB5-45C4-BAB2-DF02D099F69E}"/>
    <cellStyle name="Normal 8 2 5 2 2 3 2" xfId="31122" xr:uid="{4A4D4355-12CC-4764-9A3E-D3AF0FA18074}"/>
    <cellStyle name="Normal 8 2 5 2 2 4" xfId="21825" xr:uid="{4ABF055A-D5FE-4519-A7A6-870C4D36686A}"/>
    <cellStyle name="Normal 8 2 5 2 3" xfId="5272" xr:uid="{00000000-0005-0000-0000-00000F1D0000}"/>
    <cellStyle name="Normal 8 2 5 2 3 2" xfId="14598" xr:uid="{F24CEB47-5733-4158-A3C7-55B50688ACCE}"/>
    <cellStyle name="Normal 8 2 5 2 3 2 2" xfId="33194" xr:uid="{9B840B68-33B3-46A8-B5C8-9024BCD10EA3}"/>
    <cellStyle name="Normal 8 2 5 2 3 3" xfId="23897" xr:uid="{995EDF46-99A4-4C4B-A340-BF81EF7B442C}"/>
    <cellStyle name="Normal 8 2 5 2 4" xfId="9395" xr:uid="{D5766EF3-6042-484F-B510-7448518CF571}"/>
    <cellStyle name="Normal 8 2 5 2 4 2" xfId="18710" xr:uid="{9F36D3BA-A193-4368-9228-B39AC7EDB23F}"/>
    <cellStyle name="Normal 8 2 5 2 4 2 2" xfId="37304" xr:uid="{0E8EB748-72F7-4CF3-91EE-A099C032614A}"/>
    <cellStyle name="Normal 8 2 5 2 4 3" xfId="28007" xr:uid="{3BD4DAF0-F215-4164-8815-2F5AC66A1421}"/>
    <cellStyle name="Normal 8 2 5 2 5" xfId="10381" xr:uid="{1C27D262-2362-4C8E-B823-F9B5CC188629}"/>
    <cellStyle name="Normal 8 2 5 2 5 2" xfId="28977" xr:uid="{7318ADA4-055B-4D6A-BF7D-9621E17BF189}"/>
    <cellStyle name="Normal 8 2 5 2 6" xfId="19680" xr:uid="{FB3B63F4-F73B-4031-8994-885BE40B9B10}"/>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E0118E83-AD18-41C8-8189-6FF56D5B0380}"/>
    <cellStyle name="Normal 8 2 5 3 2 2 2 2" xfId="35752" xr:uid="{F2967654-5AC6-4B52-B305-A2326C7565C4}"/>
    <cellStyle name="Normal 8 2 5 3 2 2 3" xfId="26455" xr:uid="{D1375E11-2025-461B-B329-1DB61F3F2DEF}"/>
    <cellStyle name="Normal 8 2 5 3 2 3" xfId="12939" xr:uid="{706F8D98-E647-434B-9E64-83FA46221CF8}"/>
    <cellStyle name="Normal 8 2 5 3 2 3 2" xfId="31535" xr:uid="{02E37713-781F-4D2E-B22E-C0A2FEA2C35F}"/>
    <cellStyle name="Normal 8 2 5 3 2 4" xfId="22238" xr:uid="{DD3838A3-2FD5-4F10-A5E0-81C335A29771}"/>
    <cellStyle name="Normal 8 2 5 3 3" xfId="5685" xr:uid="{00000000-0005-0000-0000-0000131D0000}"/>
    <cellStyle name="Normal 8 2 5 3 3 2" xfId="15011" xr:uid="{83FD57A2-CF02-4408-9B30-5338E31BC787}"/>
    <cellStyle name="Normal 8 2 5 3 3 2 2" xfId="33607" xr:uid="{FD3C63BA-F906-4E01-814C-936C897B44CD}"/>
    <cellStyle name="Normal 8 2 5 3 3 3" xfId="24310" xr:uid="{4BF409F6-D9B4-4E2F-B105-C279002AC290}"/>
    <cellStyle name="Normal 8 2 5 3 4" xfId="10794" xr:uid="{91127D89-EAA5-4BBA-8F10-BAFC2E9078DD}"/>
    <cellStyle name="Normal 8 2 5 3 4 2" xfId="29390" xr:uid="{C061ADCC-5398-4199-A928-871F39EA1008}"/>
    <cellStyle name="Normal 8 2 5 3 5" xfId="20093" xr:uid="{DA097F7F-61A0-441D-BA4F-0BF4DB9DF328}"/>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0FB7178C-F924-4D72-836D-B6EC47F7574E}"/>
    <cellStyle name="Normal 8 2 5 4 2 2 2 2" xfId="36165" xr:uid="{A2E2F77B-BD56-4844-86C3-94297DD73F18}"/>
    <cellStyle name="Normal 8 2 5 4 2 2 3" xfId="26868" xr:uid="{226E9E4B-EDC0-41B3-98F9-586B32EC9F6D}"/>
    <cellStyle name="Normal 8 2 5 4 2 3" xfId="13352" xr:uid="{218CFB77-71C9-4DD9-B4A9-69434763973B}"/>
    <cellStyle name="Normal 8 2 5 4 2 3 2" xfId="31948" xr:uid="{93F85202-09DA-4475-9762-70E459B9D5F0}"/>
    <cellStyle name="Normal 8 2 5 4 2 4" xfId="22651" xr:uid="{29102B17-E2C1-45A3-B4BA-3FFE4CC856EF}"/>
    <cellStyle name="Normal 8 2 5 4 3" xfId="6098" xr:uid="{00000000-0005-0000-0000-0000171D0000}"/>
    <cellStyle name="Normal 8 2 5 4 3 2" xfId="15424" xr:uid="{855A2C11-23FA-4B2D-A1B3-02F7B97E944A}"/>
    <cellStyle name="Normal 8 2 5 4 3 2 2" xfId="34020" xr:uid="{15EDF0C9-F7FB-43DD-9E62-57E3318ED54C}"/>
    <cellStyle name="Normal 8 2 5 4 3 3" xfId="24723" xr:uid="{521158FA-4060-4D76-9C51-9404A6C523D9}"/>
    <cellStyle name="Normal 8 2 5 4 4" xfId="11207" xr:uid="{6154300D-C267-4502-991D-7F0E5CC6FEA5}"/>
    <cellStyle name="Normal 8 2 5 4 4 2" xfId="29803" xr:uid="{72C107CD-1F27-4797-B08F-79B1DB1CE348}"/>
    <cellStyle name="Normal 8 2 5 4 5" xfId="20506" xr:uid="{C216161A-4159-4139-80ED-103BE1F5FCD5}"/>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CAD3181A-0C8F-47EA-8D8B-42027133C3A3}"/>
    <cellStyle name="Normal 8 2 5 5 2 2 2 2" xfId="36578" xr:uid="{E9FA61F0-C7BC-43F2-BC6F-209B491C0EE8}"/>
    <cellStyle name="Normal 8 2 5 5 2 2 3" xfId="27281" xr:uid="{AED95BBD-A15E-4B2B-928B-D719C6628BC4}"/>
    <cellStyle name="Normal 8 2 5 5 2 3" xfId="13765" xr:uid="{9B3D6003-CB1B-4E48-ADFF-5FBE984D792D}"/>
    <cellStyle name="Normal 8 2 5 5 2 3 2" xfId="32361" xr:uid="{88E37776-7C36-4B9F-9205-30084CB458F7}"/>
    <cellStyle name="Normal 8 2 5 5 2 4" xfId="23064" xr:uid="{88F73B14-1AC8-4024-B84F-37673F10B3BA}"/>
    <cellStyle name="Normal 8 2 5 5 3" xfId="6511" xr:uid="{00000000-0005-0000-0000-00001B1D0000}"/>
    <cellStyle name="Normal 8 2 5 5 3 2" xfId="15837" xr:uid="{3360FAF1-58F0-4A12-A080-34D13F3B7FA6}"/>
    <cellStyle name="Normal 8 2 5 5 3 2 2" xfId="34433" xr:uid="{0F90A130-1177-403F-90F3-BF7A6A97557B}"/>
    <cellStyle name="Normal 8 2 5 5 3 3" xfId="25136" xr:uid="{2056F2FF-2916-4003-A129-5F11A9A0B8FA}"/>
    <cellStyle name="Normal 8 2 5 5 4" xfId="11620" xr:uid="{0B3A6458-D332-4BC3-AE79-34D343E58D9D}"/>
    <cellStyle name="Normal 8 2 5 5 4 2" xfId="30216" xr:uid="{194259D8-025F-4B2C-BAFD-932FF45D5C4C}"/>
    <cellStyle name="Normal 8 2 5 5 5" xfId="20919" xr:uid="{191D4246-980C-4428-90AE-5D66F346A1D1}"/>
    <cellStyle name="Normal 8 2 5 6" xfId="2641" xr:uid="{00000000-0005-0000-0000-00001C1D0000}"/>
    <cellStyle name="Normal 8 2 5 6 2" xfId="6924" xr:uid="{00000000-0005-0000-0000-00001D1D0000}"/>
    <cellStyle name="Normal 8 2 5 6 2 2" xfId="16250" xr:uid="{49FCE4CC-E632-4CDE-9934-84B346967312}"/>
    <cellStyle name="Normal 8 2 5 6 2 2 2" xfId="34846" xr:uid="{23437697-233D-4E82-9C9F-210AF9564F8B}"/>
    <cellStyle name="Normal 8 2 5 6 2 3" xfId="25549" xr:uid="{B4650448-CAB6-475B-8087-2CF624CCE887}"/>
    <cellStyle name="Normal 8 2 5 6 3" xfId="12033" xr:uid="{A1031834-54AC-4FCA-8E73-83D403644C33}"/>
    <cellStyle name="Normal 8 2 5 6 3 2" xfId="30629" xr:uid="{1DF81A8C-1F0F-40D1-A8E8-2A3DBD222E7B}"/>
    <cellStyle name="Normal 8 2 5 6 4" xfId="21332" xr:uid="{937035AE-1F36-4536-905C-D1557BFF47B8}"/>
    <cellStyle name="Normal 8 2 5 7" xfId="4859" xr:uid="{00000000-0005-0000-0000-00001E1D0000}"/>
    <cellStyle name="Normal 8 2 5 7 2" xfId="14185" xr:uid="{1371E64E-C596-4097-B1C4-E415E3AC5482}"/>
    <cellStyle name="Normal 8 2 5 7 2 2" xfId="32781" xr:uid="{A644C0C9-D151-42C8-87B6-920813B5DAEF}"/>
    <cellStyle name="Normal 8 2 5 7 3" xfId="23484" xr:uid="{EE328DB1-B64A-4D34-B4BF-47710BCF9E55}"/>
    <cellStyle name="Normal 8 2 5 8" xfId="8970" xr:uid="{7E9ACEFF-1680-45D8-BC32-8CA9BA1D63D4}"/>
    <cellStyle name="Normal 8 2 5 8 2" xfId="18294" xr:uid="{5C55DF62-D429-4851-AD11-AF56E527F089}"/>
    <cellStyle name="Normal 8 2 5 8 2 2" xfId="36889" xr:uid="{2C1838AA-7BC6-4E2A-A290-59D89BFAD63F}"/>
    <cellStyle name="Normal 8 2 5 8 3" xfId="27592" xr:uid="{3B6D3419-52B0-48E0-A088-8F97A52C0A1A}"/>
    <cellStyle name="Normal 8 2 5 9" xfId="9968" xr:uid="{4284902F-A794-4075-A0B2-017D0BCF4D36}"/>
    <cellStyle name="Normal 8 2 5 9 2" xfId="28564" xr:uid="{7D911605-13DD-4E35-9E6A-A69B5A02FF0D}"/>
    <cellStyle name="Normal 8 2 6" xfId="946" xr:uid="{00000000-0005-0000-0000-00001F1D0000}"/>
    <cellStyle name="Normal 8 2 6 2" xfId="3180" xr:uid="{00000000-0005-0000-0000-0000201D0000}"/>
    <cellStyle name="Normal 8 2 6 2 2" xfId="7402" xr:uid="{00000000-0005-0000-0000-0000211D0000}"/>
    <cellStyle name="Normal 8 2 6 2 2 2" xfId="16728" xr:uid="{1F9AB1AB-B15D-4069-9972-5675CA58AB4D}"/>
    <cellStyle name="Normal 8 2 6 2 2 2 2" xfId="35324" xr:uid="{F0B45461-246D-457F-9042-5AC722AFFBED}"/>
    <cellStyle name="Normal 8 2 6 2 2 3" xfId="26027" xr:uid="{57D3FFF0-21F3-42F9-A2F5-36AA7764A8B2}"/>
    <cellStyle name="Normal 8 2 6 2 3" xfId="12511" xr:uid="{52B62540-9FED-4881-8F78-B11564EEC552}"/>
    <cellStyle name="Normal 8 2 6 2 3 2" xfId="31107" xr:uid="{4B5CC910-0CB8-4F14-BA9D-218CB5E05177}"/>
    <cellStyle name="Normal 8 2 6 2 4" xfId="21810" xr:uid="{D6659C64-35A5-42E4-A8D2-C34F7A33DC55}"/>
    <cellStyle name="Normal 8 2 6 3" xfId="5257" xr:uid="{00000000-0005-0000-0000-0000221D0000}"/>
    <cellStyle name="Normal 8 2 6 3 2" xfId="14583" xr:uid="{266F902D-5825-4360-92DE-0DD9378E3A73}"/>
    <cellStyle name="Normal 8 2 6 3 2 2" xfId="33179" xr:uid="{D85FE0EF-A4C0-49F9-A1DE-0A8B69AEC688}"/>
    <cellStyle name="Normal 8 2 6 3 3" xfId="23882" xr:uid="{C1FEC4F6-FA17-480C-BC9E-217058C5C9C1}"/>
    <cellStyle name="Normal 8 2 6 4" xfId="9173" xr:uid="{C36295B3-E6F0-4A6D-AEE5-72C8177C13EE}"/>
    <cellStyle name="Normal 8 2 6 4 2" xfId="18491" xr:uid="{9E05B34F-42DC-4FF8-8061-2EF6B16264FB}"/>
    <cellStyle name="Normal 8 2 6 4 2 2" xfId="37085" xr:uid="{1B04D162-7272-4CEB-BF9E-5971D35065BE}"/>
    <cellStyle name="Normal 8 2 6 4 3" xfId="27788" xr:uid="{41EEA98B-9042-4665-8D5D-C9A43F57038B}"/>
    <cellStyle name="Normal 8 2 6 5" xfId="10366" xr:uid="{751AF64A-7677-48C6-8E6A-827CE6A89646}"/>
    <cellStyle name="Normal 8 2 6 5 2" xfId="28962" xr:uid="{5920DE7E-FE08-4DD5-8AC9-228A9F12EE34}"/>
    <cellStyle name="Normal 8 2 6 6" xfId="19665" xr:uid="{F18C3686-6BD4-4652-93A3-1694B1F2E2EE}"/>
    <cellStyle name="Normal 8 2 7" xfId="1363" xr:uid="{00000000-0005-0000-0000-0000231D0000}"/>
    <cellStyle name="Normal 8 2 7 2" xfId="3593" xr:uid="{00000000-0005-0000-0000-0000241D0000}"/>
    <cellStyle name="Normal 8 2 7 2 2" xfId="7815" xr:uid="{00000000-0005-0000-0000-0000251D0000}"/>
    <cellStyle name="Normal 8 2 7 2 2 2" xfId="17141" xr:uid="{6A39085E-4046-46E0-A93E-22D6039BB3D5}"/>
    <cellStyle name="Normal 8 2 7 2 2 2 2" xfId="35737" xr:uid="{C3FB0C07-783C-448E-B6D1-33ACEE265C37}"/>
    <cellStyle name="Normal 8 2 7 2 2 3" xfId="26440" xr:uid="{BDEDDCA9-35F5-4139-8CD0-D0682A889E5E}"/>
    <cellStyle name="Normal 8 2 7 2 3" xfId="12924" xr:uid="{2F32EF84-28F3-48BE-BC20-9928EB93CD24}"/>
    <cellStyle name="Normal 8 2 7 2 3 2" xfId="31520" xr:uid="{0020596F-D4DF-45DD-A071-BCD05D8B5467}"/>
    <cellStyle name="Normal 8 2 7 2 4" xfId="22223" xr:uid="{A21C1EE9-A4A1-4C16-A4EC-4ECBC380BA33}"/>
    <cellStyle name="Normal 8 2 7 3" xfId="5670" xr:uid="{00000000-0005-0000-0000-0000261D0000}"/>
    <cellStyle name="Normal 8 2 7 3 2" xfId="14996" xr:uid="{5FBCC5DF-0633-4295-9B10-4B25075EBFBA}"/>
    <cellStyle name="Normal 8 2 7 3 2 2" xfId="33592" xr:uid="{10A18A62-82B6-48FE-8C77-80A48AE6B81D}"/>
    <cellStyle name="Normal 8 2 7 3 3" xfId="24295" xr:uid="{A7C7172E-A9C8-49E2-BAE0-429F0A03F06E}"/>
    <cellStyle name="Normal 8 2 7 4" xfId="10779" xr:uid="{27E2B9B9-64A8-4312-BBC4-0404F462B4D4}"/>
    <cellStyle name="Normal 8 2 7 4 2" xfId="29375" xr:uid="{F543F323-3DE7-45A0-8E4F-D6CCF92F5B93}"/>
    <cellStyle name="Normal 8 2 7 5" xfId="20078" xr:uid="{70B16C9F-3004-4EA3-8D59-3971614DEB08}"/>
    <cellStyle name="Normal 8 2 8" xfId="1776" xr:uid="{00000000-0005-0000-0000-0000271D0000}"/>
    <cellStyle name="Normal 8 2 8 2" xfId="4006" xr:uid="{00000000-0005-0000-0000-0000281D0000}"/>
    <cellStyle name="Normal 8 2 8 2 2" xfId="8228" xr:uid="{00000000-0005-0000-0000-0000291D0000}"/>
    <cellStyle name="Normal 8 2 8 2 2 2" xfId="17554" xr:uid="{C8E0642A-EFB4-4654-B812-769DD1237975}"/>
    <cellStyle name="Normal 8 2 8 2 2 2 2" xfId="36150" xr:uid="{778E915B-BA47-46DF-81BE-369E33E4F737}"/>
    <cellStyle name="Normal 8 2 8 2 2 3" xfId="26853" xr:uid="{D5DC2A54-FDA9-457D-987B-3752B2AED513}"/>
    <cellStyle name="Normal 8 2 8 2 3" xfId="13337" xr:uid="{F72BF55D-BC31-46E2-8CF5-423A1EAB45CF}"/>
    <cellStyle name="Normal 8 2 8 2 3 2" xfId="31933" xr:uid="{F0315BB1-4C8B-4110-9468-CCB0043063B5}"/>
    <cellStyle name="Normal 8 2 8 2 4" xfId="22636" xr:uid="{E011726B-0FB7-4E4F-A7EE-02D2B5984613}"/>
    <cellStyle name="Normal 8 2 8 3" xfId="6083" xr:uid="{00000000-0005-0000-0000-00002A1D0000}"/>
    <cellStyle name="Normal 8 2 8 3 2" xfId="15409" xr:uid="{5226EAFB-FD6D-4152-9FD5-F8B7C6F86710}"/>
    <cellStyle name="Normal 8 2 8 3 2 2" xfId="34005" xr:uid="{8E51690D-E53A-4829-8090-0E0132D5E541}"/>
    <cellStyle name="Normal 8 2 8 3 3" xfId="24708" xr:uid="{F013D511-A060-4A5C-9F74-C1C51D266D9D}"/>
    <cellStyle name="Normal 8 2 8 4" xfId="11192" xr:uid="{97802C5F-7E87-47FE-B547-AE398511CC56}"/>
    <cellStyle name="Normal 8 2 8 4 2" xfId="29788" xr:uid="{01C21387-E90F-49A7-8988-A415DB3CC32C}"/>
    <cellStyle name="Normal 8 2 8 5" xfId="20491" xr:uid="{5917F2BC-27A4-45BB-929F-D2454164A064}"/>
    <cellStyle name="Normal 8 2 9" xfId="2190" xr:uid="{00000000-0005-0000-0000-00002B1D0000}"/>
    <cellStyle name="Normal 8 2 9 2" xfId="4419" xr:uid="{00000000-0005-0000-0000-00002C1D0000}"/>
    <cellStyle name="Normal 8 2 9 2 2" xfId="8641" xr:uid="{00000000-0005-0000-0000-00002D1D0000}"/>
    <cellStyle name="Normal 8 2 9 2 2 2" xfId="17967" xr:uid="{B940CE6D-74F7-48F7-8183-EEC770DCDA84}"/>
    <cellStyle name="Normal 8 2 9 2 2 2 2" xfId="36563" xr:uid="{30B56839-18F6-4BB7-80C7-9A96002F89AF}"/>
    <cellStyle name="Normal 8 2 9 2 2 3" xfId="27266" xr:uid="{710AF2E9-45DD-4784-88B9-5C48932D605B}"/>
    <cellStyle name="Normal 8 2 9 2 3" xfId="13750" xr:uid="{2EEA2CEF-2053-42E3-A741-F967B469A519}"/>
    <cellStyle name="Normal 8 2 9 2 3 2" xfId="32346" xr:uid="{C9C16D2F-A6B6-470F-8100-60F2D1EDDF1B}"/>
    <cellStyle name="Normal 8 2 9 2 4" xfId="23049" xr:uid="{AB4E53AA-E717-4046-B3D5-AE062CB2C987}"/>
    <cellStyle name="Normal 8 2 9 3" xfId="6496" xr:uid="{00000000-0005-0000-0000-00002E1D0000}"/>
    <cellStyle name="Normal 8 2 9 3 2" xfId="15822" xr:uid="{D643E003-9586-4E8A-9A98-BD7DF2552C14}"/>
    <cellStyle name="Normal 8 2 9 3 2 2" xfId="34418" xr:uid="{34CD2732-6277-406B-98CB-E191D6BDB96A}"/>
    <cellStyle name="Normal 8 2 9 3 3" xfId="25121" xr:uid="{108D5991-8ED8-459D-BC2E-602CEE529B1E}"/>
    <cellStyle name="Normal 8 2 9 4" xfId="11605" xr:uid="{5851A33D-ADE0-49E8-AD07-C9E3F12E5782}"/>
    <cellStyle name="Normal 8 2 9 4 2" xfId="30201" xr:uid="{0ADBD999-03FC-4298-8DA8-1CE5E42FF26F}"/>
    <cellStyle name="Normal 8 2 9 5" xfId="20904" xr:uid="{B230A2CC-36F7-448C-BB84-E398E8487E1C}"/>
    <cellStyle name="Normal 8 3" xfId="495" xr:uid="{00000000-0005-0000-0000-00002F1D0000}"/>
    <cellStyle name="Normal 8 3 10" xfId="4860" xr:uid="{00000000-0005-0000-0000-0000301D0000}"/>
    <cellStyle name="Normal 8 3 10 2" xfId="14186" xr:uid="{C5BF5D6A-8C09-4DBF-B3F9-402CE296246A}"/>
    <cellStyle name="Normal 8 3 10 2 2" xfId="32782" xr:uid="{0D6D9604-FFCD-481D-A736-5781100CA21E}"/>
    <cellStyle name="Normal 8 3 10 3" xfId="23485" xr:uid="{E586B7BF-3F0A-4134-AE73-1CCEB1CF7A2F}"/>
    <cellStyle name="Normal 8 3 11" xfId="8774" xr:uid="{81BDDADD-940D-4F3A-BD6C-7E4719C8A3D2}"/>
    <cellStyle name="Normal 8 3 11 2" xfId="18098" xr:uid="{299B4C5F-BF23-44E2-A55A-5E892DC2F907}"/>
    <cellStyle name="Normal 8 3 11 2 2" xfId="36693" xr:uid="{1E14FF6D-57AE-48BB-A43C-547273EEB518}"/>
    <cellStyle name="Normal 8 3 11 3" xfId="27396" xr:uid="{CD7F739B-392A-4110-8FAD-436EE909401B}"/>
    <cellStyle name="Normal 8 3 12" xfId="9969" xr:uid="{7A23F6A2-61D7-4690-9725-59379FA68630}"/>
    <cellStyle name="Normal 8 3 12 2" xfId="28565" xr:uid="{42E23AE9-8280-499F-A3EB-92D75DE1226F}"/>
    <cellStyle name="Normal 8 3 13" xfId="19268" xr:uid="{FC24D02F-BAF1-43F1-91F0-135528CE7A47}"/>
    <cellStyle name="Normal 8 3 2" xfId="496" xr:uid="{00000000-0005-0000-0000-0000311D0000}"/>
    <cellStyle name="Normal 8 3 2 10" xfId="8837" xr:uid="{392842AA-84B1-4A71-AE94-A1B631487B7E}"/>
    <cellStyle name="Normal 8 3 2 10 2" xfId="18161" xr:uid="{E7F9985A-C54F-4181-BC12-287604DD129C}"/>
    <cellStyle name="Normal 8 3 2 10 2 2" xfId="36756" xr:uid="{0ECFF855-45FC-4368-AE9B-572A5C2C2580}"/>
    <cellStyle name="Normal 8 3 2 10 3" xfId="27459" xr:uid="{6DDDC1B8-23A6-4864-BC4B-F4B8AEB8B6C9}"/>
    <cellStyle name="Normal 8 3 2 11" xfId="9970" xr:uid="{921B8488-D8E3-4F77-BC38-34788FD5BA89}"/>
    <cellStyle name="Normal 8 3 2 11 2" xfId="28566" xr:uid="{6994D52C-701E-4679-B948-DF2DFA179695}"/>
    <cellStyle name="Normal 8 3 2 12" xfId="19269" xr:uid="{5976412A-5FAB-473F-96E0-D24F9127E1DC}"/>
    <cellStyle name="Normal 8 3 2 2" xfId="497" xr:uid="{00000000-0005-0000-0000-0000321D0000}"/>
    <cellStyle name="Normal 8 3 2 2 10" xfId="9971" xr:uid="{6CD9B8B6-2A30-4145-B9CE-08CB4D7CCEA8}"/>
    <cellStyle name="Normal 8 3 2 2 10 2" xfId="28567" xr:uid="{EAD31619-4880-4CCA-87EA-7FF6131D4512}"/>
    <cellStyle name="Normal 8 3 2 2 11" xfId="19270" xr:uid="{A5F104A7-0771-496D-869C-F2CD900A9839}"/>
    <cellStyle name="Normal 8 3 2 2 2" xfId="498" xr:uid="{00000000-0005-0000-0000-0000331D0000}"/>
    <cellStyle name="Normal 8 3 2 2 2 10" xfId="19271" xr:uid="{0A3EF2A4-0089-4A25-97F2-A1C36710B998}"/>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D2801904-2CA8-4D63-8979-C09B797CFF9B}"/>
    <cellStyle name="Normal 8 3 2 2 2 2 2 2 2 2" xfId="35343" xr:uid="{4B511C8A-650E-43B9-B539-21D72EA4C77F}"/>
    <cellStyle name="Normal 8 3 2 2 2 2 2 2 3" xfId="26046" xr:uid="{D6816FAF-1890-4F2E-88F8-DB53750856EB}"/>
    <cellStyle name="Normal 8 3 2 2 2 2 2 3" xfId="12530" xr:uid="{65EFC52D-6129-423A-8C93-EF830F8C4BBD}"/>
    <cellStyle name="Normal 8 3 2 2 2 2 2 3 2" xfId="31126" xr:uid="{860784F9-A3CA-4378-8FDB-2274FEED8BDB}"/>
    <cellStyle name="Normal 8 3 2 2 2 2 2 4" xfId="21829" xr:uid="{82B6E64D-D83B-4464-A2EE-1ACC5F298A66}"/>
    <cellStyle name="Normal 8 3 2 2 2 2 3" xfId="5276" xr:uid="{00000000-0005-0000-0000-0000371D0000}"/>
    <cellStyle name="Normal 8 3 2 2 2 2 3 2" xfId="14602" xr:uid="{4DFE2BCE-6FEB-441D-8F8A-B586E3EEE624}"/>
    <cellStyle name="Normal 8 3 2 2 2 2 3 2 2" xfId="33198" xr:uid="{E2251917-35B1-4423-9787-25A13C49B23A}"/>
    <cellStyle name="Normal 8 3 2 2 2 2 3 3" xfId="23901" xr:uid="{52BF348F-312C-4968-A9E7-35069F8279BF}"/>
    <cellStyle name="Normal 8 3 2 2 2 2 4" xfId="9572" xr:uid="{83269435-2305-4677-BD8B-8CB801DC108A}"/>
    <cellStyle name="Normal 8 3 2 2 2 2 4 2" xfId="18887" xr:uid="{C8E0E5A4-B4F7-405E-8FE2-28B5A8A857FC}"/>
    <cellStyle name="Normal 8 3 2 2 2 2 4 2 2" xfId="37481" xr:uid="{0F7CDD81-00CF-46E0-AA5F-C7FCD2D7106B}"/>
    <cellStyle name="Normal 8 3 2 2 2 2 4 3" xfId="28184" xr:uid="{DAC24591-1BA3-43C2-A932-4CD62163CFDD}"/>
    <cellStyle name="Normal 8 3 2 2 2 2 5" xfId="10385" xr:uid="{A84DF725-633F-443C-AAAA-DE6C6CE926FC}"/>
    <cellStyle name="Normal 8 3 2 2 2 2 5 2" xfId="28981" xr:uid="{C4D1F229-591A-4961-84F5-7E17A6036E72}"/>
    <cellStyle name="Normal 8 3 2 2 2 2 6" xfId="19684" xr:uid="{0C4BF115-CD68-45A0-999E-AED72B44EE18}"/>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8C65F36A-8B03-4325-B490-A22FAF0D94FD}"/>
    <cellStyle name="Normal 8 3 2 2 2 3 2 2 2 2" xfId="35756" xr:uid="{9DD459F0-12EC-46BF-AEFF-DED68CD57EA0}"/>
    <cellStyle name="Normal 8 3 2 2 2 3 2 2 3" xfId="26459" xr:uid="{26A4116B-3F3A-4644-80B8-CA75C6F679FC}"/>
    <cellStyle name="Normal 8 3 2 2 2 3 2 3" xfId="12943" xr:uid="{E8EC7991-7FD2-498B-A5B4-2371564CE918}"/>
    <cellStyle name="Normal 8 3 2 2 2 3 2 3 2" xfId="31539" xr:uid="{8214E064-AFF9-4962-86E0-07254F7A7088}"/>
    <cellStyle name="Normal 8 3 2 2 2 3 2 4" xfId="22242" xr:uid="{F60F1D94-B6BB-43C5-9693-CEEA5DAF0E3B}"/>
    <cellStyle name="Normal 8 3 2 2 2 3 3" xfId="5689" xr:uid="{00000000-0005-0000-0000-00003B1D0000}"/>
    <cellStyle name="Normal 8 3 2 2 2 3 3 2" xfId="15015" xr:uid="{16E54752-B78D-4900-8ACE-81AA9AF9C149}"/>
    <cellStyle name="Normal 8 3 2 2 2 3 3 2 2" xfId="33611" xr:uid="{E2D799E6-B54C-491A-B167-99A49DD61977}"/>
    <cellStyle name="Normal 8 3 2 2 2 3 3 3" xfId="24314" xr:uid="{671A37B7-0EB7-4FF2-8421-0533734AD25F}"/>
    <cellStyle name="Normal 8 3 2 2 2 3 4" xfId="10798" xr:uid="{A1F0951F-04FA-4A6D-BB09-98417335D63F}"/>
    <cellStyle name="Normal 8 3 2 2 2 3 4 2" xfId="29394" xr:uid="{85A264E4-FE41-4346-8FA6-B198872F0134}"/>
    <cellStyle name="Normal 8 3 2 2 2 3 5" xfId="20097" xr:uid="{49300CF2-6B25-4EB0-BAFE-F3E9C881D2E1}"/>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3F5979E0-DEA3-4727-8E87-44F336307DCD}"/>
    <cellStyle name="Normal 8 3 2 2 2 4 2 2 2 2" xfId="36169" xr:uid="{2059ED92-7718-4759-9A13-68A2E3757FDB}"/>
    <cellStyle name="Normal 8 3 2 2 2 4 2 2 3" xfId="26872" xr:uid="{556723B7-C42F-4899-8A12-40001617C8A0}"/>
    <cellStyle name="Normal 8 3 2 2 2 4 2 3" xfId="13356" xr:uid="{5721173D-30C4-40FE-9A7D-58B364F12605}"/>
    <cellStyle name="Normal 8 3 2 2 2 4 2 3 2" xfId="31952" xr:uid="{01DC83E6-495D-48A5-B17D-F9E022209B86}"/>
    <cellStyle name="Normal 8 3 2 2 2 4 2 4" xfId="22655" xr:uid="{2FCBC4D4-6F6C-4429-ADF0-9672D80E3E8D}"/>
    <cellStyle name="Normal 8 3 2 2 2 4 3" xfId="6102" xr:uid="{00000000-0005-0000-0000-00003F1D0000}"/>
    <cellStyle name="Normal 8 3 2 2 2 4 3 2" xfId="15428" xr:uid="{4FBF16CC-22AF-4A06-81FE-34771F939CF4}"/>
    <cellStyle name="Normal 8 3 2 2 2 4 3 2 2" xfId="34024" xr:uid="{C8BB8C46-8F90-415C-9268-7F68714F79B3}"/>
    <cellStyle name="Normal 8 3 2 2 2 4 3 3" xfId="24727" xr:uid="{1EC63797-C847-4B1E-B461-52FF89EAA112}"/>
    <cellStyle name="Normal 8 3 2 2 2 4 4" xfId="11211" xr:uid="{1484E394-DFD0-4E8A-8068-FB2C30974702}"/>
    <cellStyle name="Normal 8 3 2 2 2 4 4 2" xfId="29807" xr:uid="{378964FD-2453-4970-AE36-018E6F59331D}"/>
    <cellStyle name="Normal 8 3 2 2 2 4 5" xfId="20510" xr:uid="{35B77B8E-5868-4A56-90B7-04D32870303D}"/>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5F8F9B1C-B637-497A-A2BE-68DC99B40DF5}"/>
    <cellStyle name="Normal 8 3 2 2 2 5 2 2 2 2" xfId="36582" xr:uid="{2E7C9554-31C1-4EC9-8645-0A131BC80E44}"/>
    <cellStyle name="Normal 8 3 2 2 2 5 2 2 3" xfId="27285" xr:uid="{FE75BA3F-D062-4585-B7E5-E841FBE32955}"/>
    <cellStyle name="Normal 8 3 2 2 2 5 2 3" xfId="13769" xr:uid="{905B33B3-BC5C-42E5-8942-E9E94D5393A2}"/>
    <cellStyle name="Normal 8 3 2 2 2 5 2 3 2" xfId="32365" xr:uid="{A301DFA7-5A5C-4C04-A0AB-3C9536700D03}"/>
    <cellStyle name="Normal 8 3 2 2 2 5 2 4" xfId="23068" xr:uid="{A2BE48F1-BF51-49DD-90CE-856B33C1518C}"/>
    <cellStyle name="Normal 8 3 2 2 2 5 3" xfId="6515" xr:uid="{00000000-0005-0000-0000-0000431D0000}"/>
    <cellStyle name="Normal 8 3 2 2 2 5 3 2" xfId="15841" xr:uid="{9EB37A3C-B98D-4B34-9399-C39C43982038}"/>
    <cellStyle name="Normal 8 3 2 2 2 5 3 2 2" xfId="34437" xr:uid="{8AC36A4A-00C1-4D96-99FC-5ECD41917A4F}"/>
    <cellStyle name="Normal 8 3 2 2 2 5 3 3" xfId="25140" xr:uid="{6B350BA4-649D-4098-8E3D-BABE4A9C1863}"/>
    <cellStyle name="Normal 8 3 2 2 2 5 4" xfId="11624" xr:uid="{0A07F043-F4FB-4E2D-8F23-5D528270F317}"/>
    <cellStyle name="Normal 8 3 2 2 2 5 4 2" xfId="30220" xr:uid="{51AA3E5F-1E5F-48BD-BC86-BBC4E9075736}"/>
    <cellStyle name="Normal 8 3 2 2 2 5 5" xfId="20923" xr:uid="{12C97D33-EF35-4F29-9B0A-C10A3B05348B}"/>
    <cellStyle name="Normal 8 3 2 2 2 6" xfId="2645" xr:uid="{00000000-0005-0000-0000-0000441D0000}"/>
    <cellStyle name="Normal 8 3 2 2 2 6 2" xfId="6928" xr:uid="{00000000-0005-0000-0000-0000451D0000}"/>
    <cellStyle name="Normal 8 3 2 2 2 6 2 2" xfId="16254" xr:uid="{CCA0FB28-A005-4549-8C31-8BAE68056077}"/>
    <cellStyle name="Normal 8 3 2 2 2 6 2 2 2" xfId="34850" xr:uid="{41F24B66-155A-4127-A6C2-98B784419210}"/>
    <cellStyle name="Normal 8 3 2 2 2 6 2 3" xfId="25553" xr:uid="{0ABBAB2E-6649-457E-A724-51AC94BA0C5E}"/>
    <cellStyle name="Normal 8 3 2 2 2 6 3" xfId="12037" xr:uid="{118C8783-2FDB-4291-B193-DB9635FB84A8}"/>
    <cellStyle name="Normal 8 3 2 2 2 6 3 2" xfId="30633" xr:uid="{DD4AFB20-783A-4646-AFAD-B819E57115F4}"/>
    <cellStyle name="Normal 8 3 2 2 2 6 4" xfId="21336" xr:uid="{1973027F-F262-4785-9776-467B3A417BCD}"/>
    <cellStyle name="Normal 8 3 2 2 2 7" xfId="4863" xr:uid="{00000000-0005-0000-0000-0000461D0000}"/>
    <cellStyle name="Normal 8 3 2 2 2 7 2" xfId="14189" xr:uid="{AA57B250-A072-4BC9-AC03-E49F42A044ED}"/>
    <cellStyle name="Normal 8 3 2 2 2 7 2 2" xfId="32785" xr:uid="{73A7EE8E-2DF4-4513-9AC5-88D6BE5C5EF7}"/>
    <cellStyle name="Normal 8 3 2 2 2 7 3" xfId="23488" xr:uid="{9A33F968-ED4A-479B-8203-4C39091C19F3}"/>
    <cellStyle name="Normal 8 3 2 2 2 8" xfId="9147" xr:uid="{16780743-13F5-44BF-919B-157B86988913}"/>
    <cellStyle name="Normal 8 3 2 2 2 8 2" xfId="18471" xr:uid="{84F50A36-1BDA-4462-84FC-A7FF6BB2B5AD}"/>
    <cellStyle name="Normal 8 3 2 2 2 8 2 2" xfId="37066" xr:uid="{A02ADD7E-26C5-41D3-BDA3-B62950E354EC}"/>
    <cellStyle name="Normal 8 3 2 2 2 8 3" xfId="27769" xr:uid="{5444D521-D25D-45E7-B28D-639EB925166D}"/>
    <cellStyle name="Normal 8 3 2 2 2 9" xfId="9972" xr:uid="{8EF40D4F-7A8C-43BD-BE0E-A8F08CCC6F4B}"/>
    <cellStyle name="Normal 8 3 2 2 2 9 2" xfId="28568" xr:uid="{E95C34A7-4DE3-43FE-9D52-13A217299818}"/>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8C77FF54-4A74-4019-A027-BE1717E532E3}"/>
    <cellStyle name="Normal 8 3 2 2 3 2 2 2 2" xfId="35342" xr:uid="{67C05494-EEB0-46FE-B790-51FC89271D1B}"/>
    <cellStyle name="Normal 8 3 2 2 3 2 2 3" xfId="26045" xr:uid="{FC78AAB5-51E6-4057-9EFD-A27DF1F653C0}"/>
    <cellStyle name="Normal 8 3 2 2 3 2 3" xfId="12529" xr:uid="{ADFCF839-335B-47E4-AE82-747A663B7EE4}"/>
    <cellStyle name="Normal 8 3 2 2 3 2 3 2" xfId="31125" xr:uid="{91ED91A9-AA87-4B1C-94AC-02CB1BFCD3A4}"/>
    <cellStyle name="Normal 8 3 2 2 3 2 4" xfId="21828" xr:uid="{78344C5C-D87F-4EF3-803C-2A9E9AD02709}"/>
    <cellStyle name="Normal 8 3 2 2 3 3" xfId="5275" xr:uid="{00000000-0005-0000-0000-00004A1D0000}"/>
    <cellStyle name="Normal 8 3 2 2 3 3 2" xfId="14601" xr:uid="{BB9D3E16-7FDD-4911-A89D-599AB9AFEC9D}"/>
    <cellStyle name="Normal 8 3 2 2 3 3 2 2" xfId="33197" xr:uid="{D67D6F01-FB03-4947-ABE9-1009C8E61E82}"/>
    <cellStyle name="Normal 8 3 2 2 3 3 3" xfId="23900" xr:uid="{F8CAA782-0A05-4751-AB14-DCD52235A1E9}"/>
    <cellStyle name="Normal 8 3 2 2 3 4" xfId="9365" xr:uid="{47FF7C14-7484-41B9-856F-11398F7B2C7C}"/>
    <cellStyle name="Normal 8 3 2 2 3 4 2" xfId="18680" xr:uid="{2ACB2EB9-18A7-4CF5-A01E-B30511F92D19}"/>
    <cellStyle name="Normal 8 3 2 2 3 4 2 2" xfId="37274" xr:uid="{8F550325-F1C4-4DBA-AB3E-5062A9543B05}"/>
    <cellStyle name="Normal 8 3 2 2 3 4 3" xfId="27977" xr:uid="{FF0B97A8-5A7A-49C3-809B-05D525F1ED00}"/>
    <cellStyle name="Normal 8 3 2 2 3 5" xfId="10384" xr:uid="{DF60B39F-1E6A-4A98-BCE0-9E05D3F50981}"/>
    <cellStyle name="Normal 8 3 2 2 3 5 2" xfId="28980" xr:uid="{326CD95A-E75F-40E0-9920-270B247CB1C9}"/>
    <cellStyle name="Normal 8 3 2 2 3 6" xfId="19683" xr:uid="{0FB398EB-39E9-4921-80A5-FEF7D20121C4}"/>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6727EDEA-1AEC-426C-BBC7-B4EAE8CE7A83}"/>
    <cellStyle name="Normal 8 3 2 2 4 2 2 2 2" xfId="35755" xr:uid="{57AFFE20-1BAD-478A-AE30-37F9738FBC0B}"/>
    <cellStyle name="Normal 8 3 2 2 4 2 2 3" xfId="26458" xr:uid="{F6ED6884-EF07-426C-A307-58A98F87FF52}"/>
    <cellStyle name="Normal 8 3 2 2 4 2 3" xfId="12942" xr:uid="{CDF01901-D607-4C20-9A33-A973029EF6BC}"/>
    <cellStyle name="Normal 8 3 2 2 4 2 3 2" xfId="31538" xr:uid="{B5F826DA-E4EC-4E4E-8390-58B34A38B1D6}"/>
    <cellStyle name="Normal 8 3 2 2 4 2 4" xfId="22241" xr:uid="{65757838-3CF3-4D1A-BBDC-C3ABC0DAB4AA}"/>
    <cellStyle name="Normal 8 3 2 2 4 3" xfId="5688" xr:uid="{00000000-0005-0000-0000-00004E1D0000}"/>
    <cellStyle name="Normal 8 3 2 2 4 3 2" xfId="15014" xr:uid="{E0CCEADD-7B2A-4D10-B838-5F232FB850B0}"/>
    <cellStyle name="Normal 8 3 2 2 4 3 2 2" xfId="33610" xr:uid="{66DF4776-CE44-4137-A999-188A7F167DBE}"/>
    <cellStyle name="Normal 8 3 2 2 4 3 3" xfId="24313" xr:uid="{F551CF64-86E4-451D-ACE4-0F394AD39EBD}"/>
    <cellStyle name="Normal 8 3 2 2 4 4" xfId="10797" xr:uid="{A43B3CD0-D0EB-4E6B-B23C-9E9F542BE2FA}"/>
    <cellStyle name="Normal 8 3 2 2 4 4 2" xfId="29393" xr:uid="{3F9D03C0-0A2E-4D57-9CB9-68C24DB67813}"/>
    <cellStyle name="Normal 8 3 2 2 4 5" xfId="20096" xr:uid="{27957A9D-D5B4-49CE-A878-9BC332D12B19}"/>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8749258A-3D6F-41F0-9977-0FB41BF0D0BC}"/>
    <cellStyle name="Normal 8 3 2 2 5 2 2 2 2" xfId="36168" xr:uid="{9CD5CAAF-4A94-4404-AFBE-039B5E7D09FC}"/>
    <cellStyle name="Normal 8 3 2 2 5 2 2 3" xfId="26871" xr:uid="{6E510107-568C-4156-8CEB-E9F41D8DD92A}"/>
    <cellStyle name="Normal 8 3 2 2 5 2 3" xfId="13355" xr:uid="{3DEE5BFF-F3B3-449B-8BF2-7FA47CC10208}"/>
    <cellStyle name="Normal 8 3 2 2 5 2 3 2" xfId="31951" xr:uid="{9CD3BB0D-A7FF-4F37-8DFE-2BDC6F31AEAE}"/>
    <cellStyle name="Normal 8 3 2 2 5 2 4" xfId="22654" xr:uid="{F573FBAF-31A8-4C8B-8E00-223D513E7A4C}"/>
    <cellStyle name="Normal 8 3 2 2 5 3" xfId="6101" xr:uid="{00000000-0005-0000-0000-0000521D0000}"/>
    <cellStyle name="Normal 8 3 2 2 5 3 2" xfId="15427" xr:uid="{1E4E202A-DE15-4BD7-8BFA-7EA3B69F4DF8}"/>
    <cellStyle name="Normal 8 3 2 2 5 3 2 2" xfId="34023" xr:uid="{06A7CB6A-D6E2-4546-B195-795757A59F61}"/>
    <cellStyle name="Normal 8 3 2 2 5 3 3" xfId="24726" xr:uid="{2E486DC1-954B-4A28-9699-075E2FEB718A}"/>
    <cellStyle name="Normal 8 3 2 2 5 4" xfId="11210" xr:uid="{030C7780-F6FB-4B0E-82F4-6EB106B09902}"/>
    <cellStyle name="Normal 8 3 2 2 5 4 2" xfId="29806" xr:uid="{C83E0864-8FB9-4FDC-9E60-65D5B83C82F5}"/>
    <cellStyle name="Normal 8 3 2 2 5 5" xfId="20509" xr:uid="{23E166C3-A104-4CD5-93FD-723EB71AAFF0}"/>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96BD9A96-ED8C-46C4-BF1B-A342E22FD4D7}"/>
    <cellStyle name="Normal 8 3 2 2 6 2 2 2 2" xfId="36581" xr:uid="{6A54E8BF-F453-4D1F-8D06-BC59E8FD7E84}"/>
    <cellStyle name="Normal 8 3 2 2 6 2 2 3" xfId="27284" xr:uid="{94ABAFFE-860D-4245-B044-C7F3FA4285C9}"/>
    <cellStyle name="Normal 8 3 2 2 6 2 3" xfId="13768" xr:uid="{D58D8A07-6601-47DE-B111-1A8EBD908EF4}"/>
    <cellStyle name="Normal 8 3 2 2 6 2 3 2" xfId="32364" xr:uid="{CF892FB3-52FD-4F5F-B75B-900065EB41EB}"/>
    <cellStyle name="Normal 8 3 2 2 6 2 4" xfId="23067" xr:uid="{C4D57FE3-2CC1-4DD4-8679-74BF1157B636}"/>
    <cellStyle name="Normal 8 3 2 2 6 3" xfId="6514" xr:uid="{00000000-0005-0000-0000-0000561D0000}"/>
    <cellStyle name="Normal 8 3 2 2 6 3 2" xfId="15840" xr:uid="{EDD4DE37-20A2-477B-A005-3B102D2781E7}"/>
    <cellStyle name="Normal 8 3 2 2 6 3 2 2" xfId="34436" xr:uid="{4346432F-A787-4DAF-BC79-48B0B1A773A9}"/>
    <cellStyle name="Normal 8 3 2 2 6 3 3" xfId="25139" xr:uid="{7A31D41E-9096-467C-8F14-7F899E94444B}"/>
    <cellStyle name="Normal 8 3 2 2 6 4" xfId="11623" xr:uid="{237F869E-962B-4D02-B661-7926CE87A419}"/>
    <cellStyle name="Normal 8 3 2 2 6 4 2" xfId="30219" xr:uid="{9664642D-DB19-4634-B060-1D0E2C0DDDD8}"/>
    <cellStyle name="Normal 8 3 2 2 6 5" xfId="20922" xr:uid="{685BEB9A-D2CC-4454-9155-D56C12BA6DC1}"/>
    <cellStyle name="Normal 8 3 2 2 7" xfId="2644" xr:uid="{00000000-0005-0000-0000-0000571D0000}"/>
    <cellStyle name="Normal 8 3 2 2 7 2" xfId="6927" xr:uid="{00000000-0005-0000-0000-0000581D0000}"/>
    <cellStyle name="Normal 8 3 2 2 7 2 2" xfId="16253" xr:uid="{DADD4C8E-410F-4A49-B30F-0495647807B4}"/>
    <cellStyle name="Normal 8 3 2 2 7 2 2 2" xfId="34849" xr:uid="{2843F62A-5BB0-47DC-A8A7-EBCE9421F9ED}"/>
    <cellStyle name="Normal 8 3 2 2 7 2 3" xfId="25552" xr:uid="{FDD827BA-A9A8-44B2-9288-684224F33335}"/>
    <cellStyle name="Normal 8 3 2 2 7 3" xfId="12036" xr:uid="{E870D680-197D-431F-A6A5-15C2DFB4C40A}"/>
    <cellStyle name="Normal 8 3 2 2 7 3 2" xfId="30632" xr:uid="{90B624DF-9C80-4B96-90AD-19587EE2E1C8}"/>
    <cellStyle name="Normal 8 3 2 2 7 4" xfId="21335" xr:uid="{83EDD55F-37E6-40DE-A7B6-A41CE7B8AFF3}"/>
    <cellStyle name="Normal 8 3 2 2 8" xfId="4862" xr:uid="{00000000-0005-0000-0000-0000591D0000}"/>
    <cellStyle name="Normal 8 3 2 2 8 2" xfId="14188" xr:uid="{EB6CFB1F-11D9-4C6F-82AA-E79EE6E5A08C}"/>
    <cellStyle name="Normal 8 3 2 2 8 2 2" xfId="32784" xr:uid="{8EB97CAB-52D5-41D8-9F4A-7F5095F5ECE2}"/>
    <cellStyle name="Normal 8 3 2 2 8 3" xfId="23487" xr:uid="{6E24EA7A-0962-4586-9C5F-97E82AF46751}"/>
    <cellStyle name="Normal 8 3 2 2 9" xfId="8940" xr:uid="{63944EF0-E10A-4406-A758-3BD135650136}"/>
    <cellStyle name="Normal 8 3 2 2 9 2" xfId="18264" xr:uid="{62B4833F-161A-4B36-BBD8-1EC395D8C5F8}"/>
    <cellStyle name="Normal 8 3 2 2 9 2 2" xfId="36859" xr:uid="{6775B21F-ADD1-4E04-A5A3-18755C068EAA}"/>
    <cellStyle name="Normal 8 3 2 2 9 3" xfId="27562" xr:uid="{9A709481-E0B5-4DAC-8C40-296FE362BEFB}"/>
    <cellStyle name="Normal 8 3 2 3" xfId="499" xr:uid="{00000000-0005-0000-0000-00005A1D0000}"/>
    <cellStyle name="Normal 8 3 2 3 10" xfId="19272" xr:uid="{3D6CC59D-4576-4559-BB86-5CF6A78415C5}"/>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07C61848-7910-4DCD-BB73-9EF2B3E1282C}"/>
    <cellStyle name="Normal 8 3 2 3 2 2 2 2 2" xfId="35344" xr:uid="{74EEDFDB-DA29-4509-92C3-9AE9B27168B3}"/>
    <cellStyle name="Normal 8 3 2 3 2 2 2 3" xfId="26047" xr:uid="{DCE6BA42-3B74-4CB4-9274-F0FB103F8D90}"/>
    <cellStyle name="Normal 8 3 2 3 2 2 3" xfId="12531" xr:uid="{783EDD43-9248-4267-BA1B-AF251EF339A6}"/>
    <cellStyle name="Normal 8 3 2 3 2 2 3 2" xfId="31127" xr:uid="{99527D9A-C5C0-449D-BBF4-82F0CA9AA38C}"/>
    <cellStyle name="Normal 8 3 2 3 2 2 4" xfId="21830" xr:uid="{2D5F474D-4F62-4E8E-B252-D050428B5DD2}"/>
    <cellStyle name="Normal 8 3 2 3 2 3" xfId="5277" xr:uid="{00000000-0005-0000-0000-00005E1D0000}"/>
    <cellStyle name="Normal 8 3 2 3 2 3 2" xfId="14603" xr:uid="{3C4D840D-CDC7-42FB-A6CC-99F662EE0F7F}"/>
    <cellStyle name="Normal 8 3 2 3 2 3 2 2" xfId="33199" xr:uid="{8C1D81AD-9D9A-4065-9DC5-82C75895D997}"/>
    <cellStyle name="Normal 8 3 2 3 2 3 3" xfId="23902" xr:uid="{F6AC2A26-8E87-412E-9082-29BA33D23859}"/>
    <cellStyle name="Normal 8 3 2 3 2 4" xfId="9469" xr:uid="{7CA6C380-A6E9-4AF4-A29A-E40C8E9B5B5F}"/>
    <cellStyle name="Normal 8 3 2 3 2 4 2" xfId="18784" xr:uid="{F85CE399-9B15-4877-B024-CD649BAC3C94}"/>
    <cellStyle name="Normal 8 3 2 3 2 4 2 2" xfId="37378" xr:uid="{F5F9839C-3CB8-45A5-8874-31425C87C7C5}"/>
    <cellStyle name="Normal 8 3 2 3 2 4 3" xfId="28081" xr:uid="{093BF86D-26B5-44DD-80A1-4F9244B6B40C}"/>
    <cellStyle name="Normal 8 3 2 3 2 5" xfId="10386" xr:uid="{CC89994A-3E79-4A01-B3EC-2358AAC7BF63}"/>
    <cellStyle name="Normal 8 3 2 3 2 5 2" xfId="28982" xr:uid="{EC4A4723-E0AA-48BE-927C-D4CE6F8A6DAF}"/>
    <cellStyle name="Normal 8 3 2 3 2 6" xfId="19685" xr:uid="{1B70781B-AD5C-4AAA-880F-DF612C420464}"/>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A1D6C3AE-0783-4690-BD24-34790C385A24}"/>
    <cellStyle name="Normal 8 3 2 3 3 2 2 2 2" xfId="35757" xr:uid="{372ED9D0-D46E-4ECA-B94D-CD09C459B191}"/>
    <cellStyle name="Normal 8 3 2 3 3 2 2 3" xfId="26460" xr:uid="{51FA18E6-34AE-419C-87A2-067444BED972}"/>
    <cellStyle name="Normal 8 3 2 3 3 2 3" xfId="12944" xr:uid="{6E009CDE-C86F-4E6C-AD53-9D779140CE37}"/>
    <cellStyle name="Normal 8 3 2 3 3 2 3 2" xfId="31540" xr:uid="{FC3D6E41-D9F1-486F-B90F-636470DB82FD}"/>
    <cellStyle name="Normal 8 3 2 3 3 2 4" xfId="22243" xr:uid="{6DF826AA-4D1C-48B4-9BAB-057600658E79}"/>
    <cellStyle name="Normal 8 3 2 3 3 3" xfId="5690" xr:uid="{00000000-0005-0000-0000-0000621D0000}"/>
    <cellStyle name="Normal 8 3 2 3 3 3 2" xfId="15016" xr:uid="{24951003-40D9-49A4-94EB-F98C3187E824}"/>
    <cellStyle name="Normal 8 3 2 3 3 3 2 2" xfId="33612" xr:uid="{AA8C76BD-1C0A-4244-A36F-B7F3227FE3EF}"/>
    <cellStyle name="Normal 8 3 2 3 3 3 3" xfId="24315" xr:uid="{96F3EEFD-F01C-4782-87FD-FC0A4189CBCD}"/>
    <cellStyle name="Normal 8 3 2 3 3 4" xfId="10799" xr:uid="{E83D776E-FA67-4F4A-AD40-C64B5092B1E7}"/>
    <cellStyle name="Normal 8 3 2 3 3 4 2" xfId="29395" xr:uid="{865DD3EB-D378-4FDB-BFBA-E74CA910FC8C}"/>
    <cellStyle name="Normal 8 3 2 3 3 5" xfId="20098" xr:uid="{D0B1A8A8-D72E-420C-A038-4801F4DDC3B0}"/>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2C12ADB7-D10F-45A3-A33E-CBFDDA39D742}"/>
    <cellStyle name="Normal 8 3 2 3 4 2 2 2 2" xfId="36170" xr:uid="{C4E4EFB0-3745-415C-83AF-31BA48253BB9}"/>
    <cellStyle name="Normal 8 3 2 3 4 2 2 3" xfId="26873" xr:uid="{96106787-B038-4D54-B2E9-1115CB997A4D}"/>
    <cellStyle name="Normal 8 3 2 3 4 2 3" xfId="13357" xr:uid="{8BA51C49-F890-4718-82CC-EBA4FE0149AC}"/>
    <cellStyle name="Normal 8 3 2 3 4 2 3 2" xfId="31953" xr:uid="{5E322BEC-A18A-4F73-AB7C-2FB5299C9B0A}"/>
    <cellStyle name="Normal 8 3 2 3 4 2 4" xfId="22656" xr:uid="{B0F7F2F9-2563-42B8-BCBB-7854FB5ED1A0}"/>
    <cellStyle name="Normal 8 3 2 3 4 3" xfId="6103" xr:uid="{00000000-0005-0000-0000-0000661D0000}"/>
    <cellStyle name="Normal 8 3 2 3 4 3 2" xfId="15429" xr:uid="{1B9A61E5-58A2-429C-82FD-3C31AF8FC043}"/>
    <cellStyle name="Normal 8 3 2 3 4 3 2 2" xfId="34025" xr:uid="{F6C63E97-8867-41BB-ACB0-37A631F85BE2}"/>
    <cellStyle name="Normal 8 3 2 3 4 3 3" xfId="24728" xr:uid="{D7AAF845-17D9-47B8-8E8B-B5FF98BE26DA}"/>
    <cellStyle name="Normal 8 3 2 3 4 4" xfId="11212" xr:uid="{2D21CEE0-4243-4FFC-9126-DF78A1C854FA}"/>
    <cellStyle name="Normal 8 3 2 3 4 4 2" xfId="29808" xr:uid="{5E035937-13AA-4065-8852-FA6294E6963D}"/>
    <cellStyle name="Normal 8 3 2 3 4 5" xfId="20511" xr:uid="{DE7C6688-8B81-4B36-8805-FB9073696DE7}"/>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4E6A1D19-FD4F-41BB-A64D-AF13861DDE97}"/>
    <cellStyle name="Normal 8 3 2 3 5 2 2 2 2" xfId="36583" xr:uid="{4FE295CB-98F8-4707-8155-5AB113F66AAB}"/>
    <cellStyle name="Normal 8 3 2 3 5 2 2 3" xfId="27286" xr:uid="{08FB6A4F-CCF6-46B2-8A05-7E36A96E9715}"/>
    <cellStyle name="Normal 8 3 2 3 5 2 3" xfId="13770" xr:uid="{8ED9E0B8-982D-4769-B7B4-AEBF1761D33C}"/>
    <cellStyle name="Normal 8 3 2 3 5 2 3 2" xfId="32366" xr:uid="{8783582F-1803-4D33-A76C-1A6F2DC9A0FD}"/>
    <cellStyle name="Normal 8 3 2 3 5 2 4" xfId="23069" xr:uid="{434A807D-9E42-4AE6-BC07-DFA201F324B0}"/>
    <cellStyle name="Normal 8 3 2 3 5 3" xfId="6516" xr:uid="{00000000-0005-0000-0000-00006A1D0000}"/>
    <cellStyle name="Normal 8 3 2 3 5 3 2" xfId="15842" xr:uid="{FA9EB5FA-D984-4D47-8FF0-0B5A205420EB}"/>
    <cellStyle name="Normal 8 3 2 3 5 3 2 2" xfId="34438" xr:uid="{6ECE4927-AF9C-45D4-9069-11796046CC38}"/>
    <cellStyle name="Normal 8 3 2 3 5 3 3" xfId="25141" xr:uid="{DD754F3B-C727-4E52-9364-67E82C12563F}"/>
    <cellStyle name="Normal 8 3 2 3 5 4" xfId="11625" xr:uid="{6BDC4785-F178-4B85-B588-2D6646C9FD1F}"/>
    <cellStyle name="Normal 8 3 2 3 5 4 2" xfId="30221" xr:uid="{00144460-6A73-4B06-8659-86E2F5C2CA01}"/>
    <cellStyle name="Normal 8 3 2 3 5 5" xfId="20924" xr:uid="{29FD3AED-2DE9-4EC6-BB49-3F5C4BD7A688}"/>
    <cellStyle name="Normal 8 3 2 3 6" xfId="2646" xr:uid="{00000000-0005-0000-0000-00006B1D0000}"/>
    <cellStyle name="Normal 8 3 2 3 6 2" xfId="6929" xr:uid="{00000000-0005-0000-0000-00006C1D0000}"/>
    <cellStyle name="Normal 8 3 2 3 6 2 2" xfId="16255" xr:uid="{83785768-C2E2-4C43-9105-135EE0EDF44E}"/>
    <cellStyle name="Normal 8 3 2 3 6 2 2 2" xfId="34851" xr:uid="{C9EC3AB2-2FA2-43A9-8134-33CD8D76F09E}"/>
    <cellStyle name="Normal 8 3 2 3 6 2 3" xfId="25554" xr:uid="{1B0EE09E-EEB5-41EF-8748-530F1E7163FE}"/>
    <cellStyle name="Normal 8 3 2 3 6 3" xfId="12038" xr:uid="{4ADA6809-FD38-4975-A1BC-10F93A969F5A}"/>
    <cellStyle name="Normal 8 3 2 3 6 3 2" xfId="30634" xr:uid="{E888B09D-B8BC-4F82-8300-4A797B745C53}"/>
    <cellStyle name="Normal 8 3 2 3 6 4" xfId="21337" xr:uid="{4B957F1B-CDCE-4530-82B9-49942362CCD2}"/>
    <cellStyle name="Normal 8 3 2 3 7" xfId="4864" xr:uid="{00000000-0005-0000-0000-00006D1D0000}"/>
    <cellStyle name="Normal 8 3 2 3 7 2" xfId="14190" xr:uid="{E3B4343F-77D5-4631-8512-223D71D0C23D}"/>
    <cellStyle name="Normal 8 3 2 3 7 2 2" xfId="32786" xr:uid="{87EB554C-E177-473E-B566-D0C3B312DDBB}"/>
    <cellStyle name="Normal 8 3 2 3 7 3" xfId="23489" xr:uid="{08AE755C-04D5-4A49-BCD2-E23E1F4C9482}"/>
    <cellStyle name="Normal 8 3 2 3 8" xfId="9044" xr:uid="{5ED49706-9CA9-4EE9-B01D-112CD1DB587C}"/>
    <cellStyle name="Normal 8 3 2 3 8 2" xfId="18368" xr:uid="{10F587F8-E9C7-4842-92BC-6E02606028AA}"/>
    <cellStyle name="Normal 8 3 2 3 8 2 2" xfId="36963" xr:uid="{BC952E81-9C6E-4A42-86B8-257F1D761A5C}"/>
    <cellStyle name="Normal 8 3 2 3 8 3" xfId="27666" xr:uid="{A2D7A987-3EAE-45A5-A70B-C6E1E323ED4A}"/>
    <cellStyle name="Normal 8 3 2 3 9" xfId="9973" xr:uid="{D9494729-1EC0-4192-8720-2B611C153455}"/>
    <cellStyle name="Normal 8 3 2 3 9 2" xfId="28569" xr:uid="{C4A8B12C-479E-47EB-B440-B71110A1B3A1}"/>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CD72A912-B2E2-47D5-9DE6-2C5E51623894}"/>
    <cellStyle name="Normal 8 3 2 4 2 2 2 2" xfId="35341" xr:uid="{94C3D807-9053-459F-AE5E-2CE7D825D992}"/>
    <cellStyle name="Normal 8 3 2 4 2 2 3" xfId="26044" xr:uid="{EFEE48CE-3217-4BF2-A7EF-6064B3ACEC19}"/>
    <cellStyle name="Normal 8 3 2 4 2 3" xfId="12528" xr:uid="{D191A654-6153-41F5-B64B-1C9FBB234C2B}"/>
    <cellStyle name="Normal 8 3 2 4 2 3 2" xfId="31124" xr:uid="{063C1A6F-152D-419D-9C8A-45C67FFE86BE}"/>
    <cellStyle name="Normal 8 3 2 4 2 4" xfId="21827" xr:uid="{C5BFC3A7-6686-4217-99D2-4748F284224A}"/>
    <cellStyle name="Normal 8 3 2 4 3" xfId="5274" xr:uid="{00000000-0005-0000-0000-0000711D0000}"/>
    <cellStyle name="Normal 8 3 2 4 3 2" xfId="14600" xr:uid="{2551911E-7D33-4797-8A5E-38E5E1A21F07}"/>
    <cellStyle name="Normal 8 3 2 4 3 2 2" xfId="33196" xr:uid="{EBD1E4BE-2D33-4E89-A7C6-13268E38FC6D}"/>
    <cellStyle name="Normal 8 3 2 4 3 3" xfId="23899" xr:uid="{4C65BA12-1A9D-47BB-B58F-E5D74CCE9232}"/>
    <cellStyle name="Normal 8 3 2 4 4" xfId="9262" xr:uid="{8842595C-CD28-4B10-9BE6-37883B4C2AA9}"/>
    <cellStyle name="Normal 8 3 2 4 4 2" xfId="18577" xr:uid="{7307E10E-D9B2-4142-A423-6D5CDF37D7B8}"/>
    <cellStyle name="Normal 8 3 2 4 4 2 2" xfId="37171" xr:uid="{51AE66D2-4579-4002-9680-4E1CE3DF6B34}"/>
    <cellStyle name="Normal 8 3 2 4 4 3" xfId="27874" xr:uid="{548283BB-1E80-49A7-A499-BFE5AD25D3D0}"/>
    <cellStyle name="Normal 8 3 2 4 5" xfId="10383" xr:uid="{688A0566-C959-4BAB-B7DE-C2ACC89CADCA}"/>
    <cellStyle name="Normal 8 3 2 4 5 2" xfId="28979" xr:uid="{88E40953-8D81-40A2-9F92-440CC06E2EE0}"/>
    <cellStyle name="Normal 8 3 2 4 6" xfId="19682" xr:uid="{C0FB8BAE-CF47-4E84-9447-3AF613A78911}"/>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F5F6E61B-3670-48E1-807E-B055C2E66EB6}"/>
    <cellStyle name="Normal 8 3 2 5 2 2 2 2" xfId="35754" xr:uid="{84006110-35AC-496C-9D2D-2EAC6EC19546}"/>
    <cellStyle name="Normal 8 3 2 5 2 2 3" xfId="26457" xr:uid="{0FA09081-AEC3-4000-AA81-6AFD8716358B}"/>
    <cellStyle name="Normal 8 3 2 5 2 3" xfId="12941" xr:uid="{600FA064-2555-4A93-B298-0DA36843F3BA}"/>
    <cellStyle name="Normal 8 3 2 5 2 3 2" xfId="31537" xr:uid="{41C1E3D6-D340-431A-B72C-D538A5E5A45D}"/>
    <cellStyle name="Normal 8 3 2 5 2 4" xfId="22240" xr:uid="{DED34679-D83D-4605-831F-3AC0BF19AA52}"/>
    <cellStyle name="Normal 8 3 2 5 3" xfId="5687" xr:uid="{00000000-0005-0000-0000-0000751D0000}"/>
    <cellStyle name="Normal 8 3 2 5 3 2" xfId="15013" xr:uid="{7349E5D1-35D5-4A0E-8BAD-76657A4309B5}"/>
    <cellStyle name="Normal 8 3 2 5 3 2 2" xfId="33609" xr:uid="{891E1398-E6D8-45D0-8961-8ED633E6F145}"/>
    <cellStyle name="Normal 8 3 2 5 3 3" xfId="24312" xr:uid="{8125AF29-55FA-4DD9-931C-D5385A501F29}"/>
    <cellStyle name="Normal 8 3 2 5 4" xfId="10796" xr:uid="{184D4A89-E529-4CB2-AD32-ED126878AEC1}"/>
    <cellStyle name="Normal 8 3 2 5 4 2" xfId="29392" xr:uid="{7E5A1DDE-F249-4A95-8DDA-AA9F2BCB13D2}"/>
    <cellStyle name="Normal 8 3 2 5 5" xfId="20095" xr:uid="{C39D38FC-7984-48E0-9E18-E050DDDBE14F}"/>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AC28C438-4FFC-471D-9DE4-94D170D1CF3A}"/>
    <cellStyle name="Normal 8 3 2 6 2 2 2 2" xfId="36167" xr:uid="{D55C50AA-0F8A-45E0-903E-397D92E4E457}"/>
    <cellStyle name="Normal 8 3 2 6 2 2 3" xfId="26870" xr:uid="{5024B61B-78CA-4E98-BC4B-D3A7400195BE}"/>
    <cellStyle name="Normal 8 3 2 6 2 3" xfId="13354" xr:uid="{8D52B7A0-5A19-4BF4-B61D-E2B9EF0F4AC2}"/>
    <cellStyle name="Normal 8 3 2 6 2 3 2" xfId="31950" xr:uid="{FE5F709C-1414-4018-8CAB-41D8A7B099A4}"/>
    <cellStyle name="Normal 8 3 2 6 2 4" xfId="22653" xr:uid="{A30B3C4E-F0FB-4F8D-8A74-342C5536550A}"/>
    <cellStyle name="Normal 8 3 2 6 3" xfId="6100" xr:uid="{00000000-0005-0000-0000-0000791D0000}"/>
    <cellStyle name="Normal 8 3 2 6 3 2" xfId="15426" xr:uid="{C7500BC5-213B-4539-8C46-1304B0DB2639}"/>
    <cellStyle name="Normal 8 3 2 6 3 2 2" xfId="34022" xr:uid="{86872FD7-0425-48A6-A250-3DFDE62C18C2}"/>
    <cellStyle name="Normal 8 3 2 6 3 3" xfId="24725" xr:uid="{2932820E-3C8C-42C4-A4E8-04290154A698}"/>
    <cellStyle name="Normal 8 3 2 6 4" xfId="11209" xr:uid="{964C616E-9498-4ABE-A6BE-3B96CB7B205F}"/>
    <cellStyle name="Normal 8 3 2 6 4 2" xfId="29805" xr:uid="{6F0121D1-A9BC-4FDD-ACE0-D06E7D64758C}"/>
    <cellStyle name="Normal 8 3 2 6 5" xfId="20508" xr:uid="{34BE5BB5-3C51-4AE7-8C9F-B6A3483A1590}"/>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D392B5E3-40F7-462B-B453-D11449FCB723}"/>
    <cellStyle name="Normal 8 3 2 7 2 2 2 2" xfId="36580" xr:uid="{E84BD065-6C2E-435D-9D6E-4C85E0E96D0F}"/>
    <cellStyle name="Normal 8 3 2 7 2 2 3" xfId="27283" xr:uid="{33BF078E-643E-4B08-BA9C-7AE367E3A608}"/>
    <cellStyle name="Normal 8 3 2 7 2 3" xfId="13767" xr:uid="{B4699B4D-5FAD-4166-BF92-B1456044E284}"/>
    <cellStyle name="Normal 8 3 2 7 2 3 2" xfId="32363" xr:uid="{525439C0-24E1-46A6-8789-067E8F525ABA}"/>
    <cellStyle name="Normal 8 3 2 7 2 4" xfId="23066" xr:uid="{69E66296-04D4-471E-958F-D6AA295CD3D7}"/>
    <cellStyle name="Normal 8 3 2 7 3" xfId="6513" xr:uid="{00000000-0005-0000-0000-00007D1D0000}"/>
    <cellStyle name="Normal 8 3 2 7 3 2" xfId="15839" xr:uid="{86712110-2F3E-4D35-B281-8C4E6E787032}"/>
    <cellStyle name="Normal 8 3 2 7 3 2 2" xfId="34435" xr:uid="{75CA304E-2AB9-4BAB-95FA-7719778E165A}"/>
    <cellStyle name="Normal 8 3 2 7 3 3" xfId="25138" xr:uid="{EF1CAC03-84A7-4682-A395-BA6CFB14117E}"/>
    <cellStyle name="Normal 8 3 2 7 4" xfId="11622" xr:uid="{99891805-A365-4D3C-8759-2E9F92CC5B24}"/>
    <cellStyle name="Normal 8 3 2 7 4 2" xfId="30218" xr:uid="{11A21CE6-3855-4F9A-9309-89568F99C444}"/>
    <cellStyle name="Normal 8 3 2 7 5" xfId="20921" xr:uid="{63F12DA1-4321-48B9-8ECB-CE71969EDC40}"/>
    <cellStyle name="Normal 8 3 2 8" xfId="2643" xr:uid="{00000000-0005-0000-0000-00007E1D0000}"/>
    <cellStyle name="Normal 8 3 2 8 2" xfId="6926" xr:uid="{00000000-0005-0000-0000-00007F1D0000}"/>
    <cellStyle name="Normal 8 3 2 8 2 2" xfId="16252" xr:uid="{99EE0E28-CDDC-4926-A3C9-452D406D991C}"/>
    <cellStyle name="Normal 8 3 2 8 2 2 2" xfId="34848" xr:uid="{1D5F1D78-AA4E-49B0-97CC-3D98CD2676B7}"/>
    <cellStyle name="Normal 8 3 2 8 2 3" xfId="25551" xr:uid="{EE624E4A-D053-44AF-BF2A-CBFA36029415}"/>
    <cellStyle name="Normal 8 3 2 8 3" xfId="12035" xr:uid="{B9A4E244-6C43-4E44-B275-638B6D544F4A}"/>
    <cellStyle name="Normal 8 3 2 8 3 2" xfId="30631" xr:uid="{BFA127DB-2A42-4ADC-A2FD-A650BF19CDA9}"/>
    <cellStyle name="Normal 8 3 2 8 4" xfId="21334" xr:uid="{EB4A1168-4B55-48FF-9B97-891BD2A7FFB5}"/>
    <cellStyle name="Normal 8 3 2 9" xfId="4861" xr:uid="{00000000-0005-0000-0000-0000801D0000}"/>
    <cellStyle name="Normal 8 3 2 9 2" xfId="14187" xr:uid="{F9C2D33E-5502-4BE8-B145-7C1A0F28E57A}"/>
    <cellStyle name="Normal 8 3 2 9 2 2" xfId="32783" xr:uid="{4BB51E73-9318-4BBA-BB19-D57E1BD6F4A9}"/>
    <cellStyle name="Normal 8 3 2 9 3" xfId="23486" xr:uid="{4D4E7C93-633F-4DF7-96AB-AB3CBD4D593A}"/>
    <cellStyle name="Normal 8 3 3" xfId="500" xr:uid="{00000000-0005-0000-0000-0000811D0000}"/>
    <cellStyle name="Normal 8 3 3 10" xfId="9974" xr:uid="{5EB84D5D-5592-493F-BD30-B312F8CB1F68}"/>
    <cellStyle name="Normal 8 3 3 10 2" xfId="28570" xr:uid="{C303BA19-06C4-4DA2-9443-B3E581D8DCB1}"/>
    <cellStyle name="Normal 8 3 3 11" xfId="19273" xr:uid="{5A7FFD5A-B043-45F9-8752-045045A79C6B}"/>
    <cellStyle name="Normal 8 3 3 2" xfId="501" xr:uid="{00000000-0005-0000-0000-0000821D0000}"/>
    <cellStyle name="Normal 8 3 3 2 10" xfId="19274" xr:uid="{530F9491-69D3-42C6-836A-5C6680F51A25}"/>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84C0A799-E1C9-4201-B253-AE65970859B9}"/>
    <cellStyle name="Normal 8 3 3 2 2 2 2 2 2" xfId="35346" xr:uid="{8D32D15F-F0EA-4E86-97F8-BC5AFB3E800B}"/>
    <cellStyle name="Normal 8 3 3 2 2 2 2 3" xfId="26049" xr:uid="{5B6FED2A-A861-4ED1-A7F9-2A82FEF1940B}"/>
    <cellStyle name="Normal 8 3 3 2 2 2 3" xfId="12533" xr:uid="{B03336F7-8149-4C32-B721-B88542005620}"/>
    <cellStyle name="Normal 8 3 3 2 2 2 3 2" xfId="31129" xr:uid="{79E92559-1DDF-4295-AF2F-BDBB4DCFFF1A}"/>
    <cellStyle name="Normal 8 3 3 2 2 2 4" xfId="21832" xr:uid="{033540F5-F1C0-473F-B85E-F8060016FA0C}"/>
    <cellStyle name="Normal 8 3 3 2 2 3" xfId="5279" xr:uid="{00000000-0005-0000-0000-0000861D0000}"/>
    <cellStyle name="Normal 8 3 3 2 2 3 2" xfId="14605" xr:uid="{46054EB0-951F-4074-A93B-08D3D73CF3FF}"/>
    <cellStyle name="Normal 8 3 3 2 2 3 2 2" xfId="33201" xr:uid="{08FC0229-9EC5-401A-9384-A7E9EDEBE378}"/>
    <cellStyle name="Normal 8 3 3 2 2 3 3" xfId="23904" xr:uid="{7EFBC888-258B-40DC-9D63-D62D67A3E98E}"/>
    <cellStyle name="Normal 8 3 3 2 2 4" xfId="9509" xr:uid="{3B4378D3-7C51-4B91-822B-758528BFF352}"/>
    <cellStyle name="Normal 8 3 3 2 2 4 2" xfId="18824" xr:uid="{5A0D07CB-1F27-47D6-BD15-8987C6F7A0E9}"/>
    <cellStyle name="Normal 8 3 3 2 2 4 2 2" xfId="37418" xr:uid="{50521D5E-1DD1-48C2-BD51-5FCFADD6C8DE}"/>
    <cellStyle name="Normal 8 3 3 2 2 4 3" xfId="28121" xr:uid="{39AE8B66-F325-43FA-A74B-4B3447D46349}"/>
    <cellStyle name="Normal 8 3 3 2 2 5" xfId="10388" xr:uid="{F0431FB4-336D-4D1A-B848-0B16854E3A8D}"/>
    <cellStyle name="Normal 8 3 3 2 2 5 2" xfId="28984" xr:uid="{9634CAF3-AA3E-4B41-8DEB-AC0DAB342538}"/>
    <cellStyle name="Normal 8 3 3 2 2 6" xfId="19687" xr:uid="{B7243D27-89AE-4072-B48B-6638CB249470}"/>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511A4263-3CA1-4123-B987-28FE1E6A8D58}"/>
    <cellStyle name="Normal 8 3 3 2 3 2 2 2 2" xfId="35759" xr:uid="{6BCBB5B8-6704-4520-BB67-87C15DF3E182}"/>
    <cellStyle name="Normal 8 3 3 2 3 2 2 3" xfId="26462" xr:uid="{92FBB696-BCD8-44A7-83B8-8349BCA5393A}"/>
    <cellStyle name="Normal 8 3 3 2 3 2 3" xfId="12946" xr:uid="{E77B6785-8C8E-449D-926A-498C6982D1BC}"/>
    <cellStyle name="Normal 8 3 3 2 3 2 3 2" xfId="31542" xr:uid="{DB9F7084-E540-4758-B198-81BF35D121D6}"/>
    <cellStyle name="Normal 8 3 3 2 3 2 4" xfId="22245" xr:uid="{67E70041-3229-4D25-B5A1-3B3F849A8682}"/>
    <cellStyle name="Normal 8 3 3 2 3 3" xfId="5692" xr:uid="{00000000-0005-0000-0000-00008A1D0000}"/>
    <cellStyle name="Normal 8 3 3 2 3 3 2" xfId="15018" xr:uid="{282E578D-9A18-441E-A705-EDA3A7BBE619}"/>
    <cellStyle name="Normal 8 3 3 2 3 3 2 2" xfId="33614" xr:uid="{A9027D89-54DD-42E2-B301-24BF5F0A8899}"/>
    <cellStyle name="Normal 8 3 3 2 3 3 3" xfId="24317" xr:uid="{A9FC9F54-EF04-4BF6-BB24-3827B94E18A6}"/>
    <cellStyle name="Normal 8 3 3 2 3 4" xfId="10801" xr:uid="{4402AC62-2A57-4145-AB6B-42455A1DBD8F}"/>
    <cellStyle name="Normal 8 3 3 2 3 4 2" xfId="29397" xr:uid="{5C696D54-D25A-4ECC-8D6F-930713212E1C}"/>
    <cellStyle name="Normal 8 3 3 2 3 5" xfId="20100" xr:uid="{C3C665FA-B49A-448A-8B58-C828066D18A1}"/>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2EF1534D-035C-40A9-AFAA-49B18CBE0C3D}"/>
    <cellStyle name="Normal 8 3 3 2 4 2 2 2 2" xfId="36172" xr:uid="{FF6FABCF-52C2-48E2-B9C8-82D543A1A520}"/>
    <cellStyle name="Normal 8 3 3 2 4 2 2 3" xfId="26875" xr:uid="{E80DC599-8961-4E82-9132-679008BAC5F2}"/>
    <cellStyle name="Normal 8 3 3 2 4 2 3" xfId="13359" xr:uid="{76E5464C-DE63-44E4-92A7-8005098F5466}"/>
    <cellStyle name="Normal 8 3 3 2 4 2 3 2" xfId="31955" xr:uid="{EC326E78-33D9-4967-8DAB-43F9484A24AA}"/>
    <cellStyle name="Normal 8 3 3 2 4 2 4" xfId="22658" xr:uid="{C3A77D13-EA38-48E1-B476-E694C751840D}"/>
    <cellStyle name="Normal 8 3 3 2 4 3" xfId="6105" xr:uid="{00000000-0005-0000-0000-00008E1D0000}"/>
    <cellStyle name="Normal 8 3 3 2 4 3 2" xfId="15431" xr:uid="{25973BE9-D7FF-43A3-9DD7-5C363BA63295}"/>
    <cellStyle name="Normal 8 3 3 2 4 3 2 2" xfId="34027" xr:uid="{C31229EB-AB6E-4283-BC25-6DF196E05740}"/>
    <cellStyle name="Normal 8 3 3 2 4 3 3" xfId="24730" xr:uid="{DEDDB63C-D23F-4046-B716-EF14E330FE9E}"/>
    <cellStyle name="Normal 8 3 3 2 4 4" xfId="11214" xr:uid="{58E20535-1566-43B3-8EFE-F6EF3E5DEEC1}"/>
    <cellStyle name="Normal 8 3 3 2 4 4 2" xfId="29810" xr:uid="{85F56576-19DD-4136-B6B6-6CA9C84821AD}"/>
    <cellStyle name="Normal 8 3 3 2 4 5" xfId="20513" xr:uid="{D681756A-6297-4EB2-81C4-2CB0AE6865F3}"/>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ED5F1EB7-9F65-4106-8D7C-D98E8FDB2C75}"/>
    <cellStyle name="Normal 8 3 3 2 5 2 2 2 2" xfId="36585" xr:uid="{F785CB93-BFF6-46F7-A9A5-5B4F5BB690A1}"/>
    <cellStyle name="Normal 8 3 3 2 5 2 2 3" xfId="27288" xr:uid="{A6290DB3-2DA1-427C-8FB5-BC146A515286}"/>
    <cellStyle name="Normal 8 3 3 2 5 2 3" xfId="13772" xr:uid="{CF4F47CF-F91C-436F-A121-2CCB6727697D}"/>
    <cellStyle name="Normal 8 3 3 2 5 2 3 2" xfId="32368" xr:uid="{2E12420F-C612-454B-800A-7B2A91D7118D}"/>
    <cellStyle name="Normal 8 3 3 2 5 2 4" xfId="23071" xr:uid="{E53CA72D-DB6A-49F5-A8FB-CBC67CCCC63A}"/>
    <cellStyle name="Normal 8 3 3 2 5 3" xfId="6518" xr:uid="{00000000-0005-0000-0000-0000921D0000}"/>
    <cellStyle name="Normal 8 3 3 2 5 3 2" xfId="15844" xr:uid="{64AA23C0-DCFA-4D10-8833-BDD6A0404171}"/>
    <cellStyle name="Normal 8 3 3 2 5 3 2 2" xfId="34440" xr:uid="{2203B18E-BC26-4D3F-9714-1C983CB3ED88}"/>
    <cellStyle name="Normal 8 3 3 2 5 3 3" xfId="25143" xr:uid="{85A46831-273D-4F3D-9452-1C106DF46143}"/>
    <cellStyle name="Normal 8 3 3 2 5 4" xfId="11627" xr:uid="{AD66872E-D4B8-48AC-A53A-FFD690059D29}"/>
    <cellStyle name="Normal 8 3 3 2 5 4 2" xfId="30223" xr:uid="{6CDBA18B-92BF-4107-9AAA-9A87D18D2868}"/>
    <cellStyle name="Normal 8 3 3 2 5 5" xfId="20926" xr:uid="{2BF80A07-173D-438D-9F0B-F02C29D882CB}"/>
    <cellStyle name="Normal 8 3 3 2 6" xfId="2648" xr:uid="{00000000-0005-0000-0000-0000931D0000}"/>
    <cellStyle name="Normal 8 3 3 2 6 2" xfId="6931" xr:uid="{00000000-0005-0000-0000-0000941D0000}"/>
    <cellStyle name="Normal 8 3 3 2 6 2 2" xfId="16257" xr:uid="{D3F798E4-392D-493B-94F8-5885521FCA35}"/>
    <cellStyle name="Normal 8 3 3 2 6 2 2 2" xfId="34853" xr:uid="{D8F07DB1-8C20-4667-8993-8E41CC1EA3FE}"/>
    <cellStyle name="Normal 8 3 3 2 6 2 3" xfId="25556" xr:uid="{8ED2A37A-C8CF-4B59-AC2B-628367978753}"/>
    <cellStyle name="Normal 8 3 3 2 6 3" xfId="12040" xr:uid="{3E406347-6645-4646-AE25-2E29959BF6EA}"/>
    <cellStyle name="Normal 8 3 3 2 6 3 2" xfId="30636" xr:uid="{E010E268-EA92-40DA-86F7-2A53FF02CA0D}"/>
    <cellStyle name="Normal 8 3 3 2 6 4" xfId="21339" xr:uid="{63E44650-C475-4F00-90DC-8326C1456D8F}"/>
    <cellStyle name="Normal 8 3 3 2 7" xfId="4866" xr:uid="{00000000-0005-0000-0000-0000951D0000}"/>
    <cellStyle name="Normal 8 3 3 2 7 2" xfId="14192" xr:uid="{5EAA4EF6-F991-4E9E-A6E4-227F36E7968B}"/>
    <cellStyle name="Normal 8 3 3 2 7 2 2" xfId="32788" xr:uid="{67EDF45D-0347-4860-AC9F-2CBD57904B4E}"/>
    <cellStyle name="Normal 8 3 3 2 7 3" xfId="23491" xr:uid="{08537E50-8405-4DCE-B614-A09BD7FEC7F9}"/>
    <cellStyle name="Normal 8 3 3 2 8" xfId="9084" xr:uid="{94243AB7-0454-4C95-8E94-054E46718167}"/>
    <cellStyle name="Normal 8 3 3 2 8 2" xfId="18408" xr:uid="{F860B9C4-5D6A-4BA1-916E-72EA6CB356C9}"/>
    <cellStyle name="Normal 8 3 3 2 8 2 2" xfId="37003" xr:uid="{DA708238-FD2D-476C-A7AB-58F8346ACA0A}"/>
    <cellStyle name="Normal 8 3 3 2 8 3" xfId="27706" xr:uid="{BB0D7634-0757-4A5E-A898-D00F2E55BF4B}"/>
    <cellStyle name="Normal 8 3 3 2 9" xfId="9975" xr:uid="{E4D51503-2C88-4BD3-A2E9-600E243C09CA}"/>
    <cellStyle name="Normal 8 3 3 2 9 2" xfId="28571" xr:uid="{FF5B007A-F06F-4DEF-95FB-514E05986F8E}"/>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EA9D44CA-D8F0-4980-87AC-03068EA3241A}"/>
    <cellStyle name="Normal 8 3 3 3 2 2 2 2" xfId="35345" xr:uid="{E1EA3832-46E2-45EF-A344-19604EC15F20}"/>
    <cellStyle name="Normal 8 3 3 3 2 2 3" xfId="26048" xr:uid="{69B6617D-DEE9-46CC-83A8-94BDDF9F08BD}"/>
    <cellStyle name="Normal 8 3 3 3 2 3" xfId="12532" xr:uid="{10CD3CB3-F939-479B-BB93-4FCCE54C55EA}"/>
    <cellStyle name="Normal 8 3 3 3 2 3 2" xfId="31128" xr:uid="{AE07BCF9-D9A4-4985-84E1-2B5B0D0B4C57}"/>
    <cellStyle name="Normal 8 3 3 3 2 4" xfId="21831" xr:uid="{BE91A337-78A4-4ECF-9165-B6C640A5043D}"/>
    <cellStyle name="Normal 8 3 3 3 3" xfId="5278" xr:uid="{00000000-0005-0000-0000-0000991D0000}"/>
    <cellStyle name="Normal 8 3 3 3 3 2" xfId="14604" xr:uid="{01583291-76DE-4950-B7F6-BEFA2B14BB99}"/>
    <cellStyle name="Normal 8 3 3 3 3 2 2" xfId="33200" xr:uid="{59DA321C-4823-4E60-97A4-BBDAD7CEEBDA}"/>
    <cellStyle name="Normal 8 3 3 3 3 3" xfId="23903" xr:uid="{60DFD382-ED88-4630-BA49-5238677E0DB7}"/>
    <cellStyle name="Normal 8 3 3 3 4" xfId="9302" xr:uid="{3985B908-2B56-4F9B-BEA3-8962926FD004}"/>
    <cellStyle name="Normal 8 3 3 3 4 2" xfId="18617" xr:uid="{5B8856F8-585F-4700-8225-E6D6F9314501}"/>
    <cellStyle name="Normal 8 3 3 3 4 2 2" xfId="37211" xr:uid="{AB55663C-2691-4172-8421-92A7F25FF8F2}"/>
    <cellStyle name="Normal 8 3 3 3 4 3" xfId="27914" xr:uid="{D35908B2-7566-4C5E-A8F7-0F8721A892DB}"/>
    <cellStyle name="Normal 8 3 3 3 5" xfId="10387" xr:uid="{C5BF730F-E31E-46BD-8930-CDE85DB887AB}"/>
    <cellStyle name="Normal 8 3 3 3 5 2" xfId="28983" xr:uid="{2B6BFD56-00A2-42AC-AE83-07CAEBA7ED5C}"/>
    <cellStyle name="Normal 8 3 3 3 6" xfId="19686" xr:uid="{09FE9241-A8D3-4380-8BAF-2A2A8C228641}"/>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799F1901-FAA7-4991-A3F6-8E85C69C8722}"/>
    <cellStyle name="Normal 8 3 3 4 2 2 2 2" xfId="35758" xr:uid="{BF654AB0-C04D-4001-B01B-D0643EFA2BDE}"/>
    <cellStyle name="Normal 8 3 3 4 2 2 3" xfId="26461" xr:uid="{1625318C-C5CB-4DB8-BD09-DD750862FE16}"/>
    <cellStyle name="Normal 8 3 3 4 2 3" xfId="12945" xr:uid="{43AEF52E-0FFA-45C4-AD39-D6B1BA89FC10}"/>
    <cellStyle name="Normal 8 3 3 4 2 3 2" xfId="31541" xr:uid="{A150B362-DA17-4DA3-989D-0A1B40FE1932}"/>
    <cellStyle name="Normal 8 3 3 4 2 4" xfId="22244" xr:uid="{373841BD-2CB4-423C-AA2A-8C78B4A610FE}"/>
    <cellStyle name="Normal 8 3 3 4 3" xfId="5691" xr:uid="{00000000-0005-0000-0000-00009D1D0000}"/>
    <cellStyle name="Normal 8 3 3 4 3 2" xfId="15017" xr:uid="{3CE7D977-52EC-4EFE-856F-176A5C77F032}"/>
    <cellStyle name="Normal 8 3 3 4 3 2 2" xfId="33613" xr:uid="{039C4185-E1AE-4F00-92EF-E29AC8272262}"/>
    <cellStyle name="Normal 8 3 3 4 3 3" xfId="24316" xr:uid="{85A4D389-82CB-4111-8549-43CBD61F9F0E}"/>
    <cellStyle name="Normal 8 3 3 4 4" xfId="10800" xr:uid="{3736E3FC-74A6-462C-81DC-E22C95E0AC85}"/>
    <cellStyle name="Normal 8 3 3 4 4 2" xfId="29396" xr:uid="{C844B81A-8B61-45FA-B195-F7DFA55FA956}"/>
    <cellStyle name="Normal 8 3 3 4 5" xfId="20099" xr:uid="{012BB9C7-A66D-40DA-972A-61D849A37548}"/>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5B3F6C81-7A5E-44D7-8F2E-1CF3A253DAB2}"/>
    <cellStyle name="Normal 8 3 3 5 2 2 2 2" xfId="36171" xr:uid="{DC6FCDB5-2813-473B-9C58-7A8505734987}"/>
    <cellStyle name="Normal 8 3 3 5 2 2 3" xfId="26874" xr:uid="{6508BCFB-286D-452E-9F7B-A37ACF0F3C17}"/>
    <cellStyle name="Normal 8 3 3 5 2 3" xfId="13358" xr:uid="{E4BDFA21-453D-4167-AF73-0168207BDC2B}"/>
    <cellStyle name="Normal 8 3 3 5 2 3 2" xfId="31954" xr:uid="{727803A5-B715-4C5C-96EE-EF0AE9E46776}"/>
    <cellStyle name="Normal 8 3 3 5 2 4" xfId="22657" xr:uid="{E72FB91A-7BB1-4AA0-8ED5-FE79E7BFE9D5}"/>
    <cellStyle name="Normal 8 3 3 5 3" xfId="6104" xr:uid="{00000000-0005-0000-0000-0000A11D0000}"/>
    <cellStyle name="Normal 8 3 3 5 3 2" xfId="15430" xr:uid="{5D80EBDB-AA49-4385-BA5C-2915AB8D27B6}"/>
    <cellStyle name="Normal 8 3 3 5 3 2 2" xfId="34026" xr:uid="{B107ACFA-BFB2-41AD-851F-48933B6BC6BB}"/>
    <cellStyle name="Normal 8 3 3 5 3 3" xfId="24729" xr:uid="{ECA4B2D3-23CB-4CBC-A8DD-6DA1F74F1C85}"/>
    <cellStyle name="Normal 8 3 3 5 4" xfId="11213" xr:uid="{F7A5A456-3981-4072-9287-2B03DFCB3F0B}"/>
    <cellStyle name="Normal 8 3 3 5 4 2" xfId="29809" xr:uid="{A8C88793-41BC-4832-BAAD-A554622EF000}"/>
    <cellStyle name="Normal 8 3 3 5 5" xfId="20512" xr:uid="{EE6E7B97-B470-4000-89B0-635BF7C03C80}"/>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21B6FD87-93EE-4AEC-95BF-E58E32AA61B8}"/>
    <cellStyle name="Normal 8 3 3 6 2 2 2 2" xfId="36584" xr:uid="{019FC069-B0BE-4CFA-8F07-5D7C32FCD434}"/>
    <cellStyle name="Normal 8 3 3 6 2 2 3" xfId="27287" xr:uid="{8F0F3C25-B78B-438A-B279-E9050B40E4AB}"/>
    <cellStyle name="Normal 8 3 3 6 2 3" xfId="13771" xr:uid="{88EBF159-2DA2-42D9-A7F0-8345F8D71712}"/>
    <cellStyle name="Normal 8 3 3 6 2 3 2" xfId="32367" xr:uid="{A5ED5B66-B9D1-420E-A9CA-34FB4F7DE1A6}"/>
    <cellStyle name="Normal 8 3 3 6 2 4" xfId="23070" xr:uid="{889638B1-A2B4-4FFE-8690-31644138C6FF}"/>
    <cellStyle name="Normal 8 3 3 6 3" xfId="6517" xr:uid="{00000000-0005-0000-0000-0000A51D0000}"/>
    <cellStyle name="Normal 8 3 3 6 3 2" xfId="15843" xr:uid="{123DF81B-CA1C-4C4C-99AE-521C1C9CD672}"/>
    <cellStyle name="Normal 8 3 3 6 3 2 2" xfId="34439" xr:uid="{C23B51B5-8E82-4159-9745-C8BA065B4C46}"/>
    <cellStyle name="Normal 8 3 3 6 3 3" xfId="25142" xr:uid="{EEEFBF83-8343-4127-95DD-97B6CDD3DF6A}"/>
    <cellStyle name="Normal 8 3 3 6 4" xfId="11626" xr:uid="{7C8EED0B-0EB7-4DCC-81EA-6B59C0C470DA}"/>
    <cellStyle name="Normal 8 3 3 6 4 2" xfId="30222" xr:uid="{3FB31A82-7CC3-4037-8AAB-42454092AB96}"/>
    <cellStyle name="Normal 8 3 3 6 5" xfId="20925" xr:uid="{55968B0D-DB28-4256-AC77-138DBCD6A454}"/>
    <cellStyle name="Normal 8 3 3 7" xfId="2647" xr:uid="{00000000-0005-0000-0000-0000A61D0000}"/>
    <cellStyle name="Normal 8 3 3 7 2" xfId="6930" xr:uid="{00000000-0005-0000-0000-0000A71D0000}"/>
    <cellStyle name="Normal 8 3 3 7 2 2" xfId="16256" xr:uid="{AF2131CD-255A-4B0C-B831-CA4B57663231}"/>
    <cellStyle name="Normal 8 3 3 7 2 2 2" xfId="34852" xr:uid="{8B552411-B9BD-429F-A851-36C665261B12}"/>
    <cellStyle name="Normal 8 3 3 7 2 3" xfId="25555" xr:uid="{678539FC-96FB-4AAD-A736-3B6C76C1909D}"/>
    <cellStyle name="Normal 8 3 3 7 3" xfId="12039" xr:uid="{DD7FFD0D-03D7-45D4-86E5-99421903395D}"/>
    <cellStyle name="Normal 8 3 3 7 3 2" xfId="30635" xr:uid="{5746A862-57B8-423F-A355-E25639FBEC34}"/>
    <cellStyle name="Normal 8 3 3 7 4" xfId="21338" xr:uid="{19693E6C-730D-49BD-AE17-1E98D55E8E65}"/>
    <cellStyle name="Normal 8 3 3 8" xfId="4865" xr:uid="{00000000-0005-0000-0000-0000A81D0000}"/>
    <cellStyle name="Normal 8 3 3 8 2" xfId="14191" xr:uid="{5E2D26CD-A391-47E3-B1E3-B61365716BD1}"/>
    <cellStyle name="Normal 8 3 3 8 2 2" xfId="32787" xr:uid="{6E422344-50B9-4F36-BD6E-9184C2A3B2C2}"/>
    <cellStyle name="Normal 8 3 3 8 3" xfId="23490" xr:uid="{939093C8-7CA9-48EF-B49F-CCC8448A49A6}"/>
    <cellStyle name="Normal 8 3 3 9" xfId="8877" xr:uid="{4F8231E3-800E-43E7-B1B6-9633EBFFFFE1}"/>
    <cellStyle name="Normal 8 3 3 9 2" xfId="18201" xr:uid="{B2367347-D4DD-4D26-A893-FE65BCD4D599}"/>
    <cellStyle name="Normal 8 3 3 9 2 2" xfId="36796" xr:uid="{39A72DD4-8876-450F-B4A3-A21A848AF203}"/>
    <cellStyle name="Normal 8 3 3 9 3" xfId="27499" xr:uid="{58C4A602-5A21-4F94-9904-EEAB33E61281}"/>
    <cellStyle name="Normal 8 3 4" xfId="502" xr:uid="{00000000-0005-0000-0000-0000A91D0000}"/>
    <cellStyle name="Normal 8 3 4 10" xfId="19275" xr:uid="{3F59EF65-8F90-42D0-8825-4DFD5BFB5643}"/>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6AEFE5FC-1FCB-4082-989C-8244E1FC0CC5}"/>
    <cellStyle name="Normal 8 3 4 2 2 2 2 2" xfId="35347" xr:uid="{23C0CFE0-B05D-4974-B85C-74A42D715918}"/>
    <cellStyle name="Normal 8 3 4 2 2 2 3" xfId="26050" xr:uid="{E4249CEF-523F-4136-8BD9-84D70260E0FF}"/>
    <cellStyle name="Normal 8 3 4 2 2 3" xfId="12534" xr:uid="{EA089B6C-4A13-4BEE-BED4-6B44CD03F365}"/>
    <cellStyle name="Normal 8 3 4 2 2 3 2" xfId="31130" xr:uid="{EF8B936C-7DA4-4AFE-BE68-EAE7BF7417BB}"/>
    <cellStyle name="Normal 8 3 4 2 2 4" xfId="21833" xr:uid="{DB4FC6F6-6756-4A5C-B258-7903ED5AD405}"/>
    <cellStyle name="Normal 8 3 4 2 3" xfId="5280" xr:uid="{00000000-0005-0000-0000-0000AD1D0000}"/>
    <cellStyle name="Normal 8 3 4 2 3 2" xfId="14606" xr:uid="{482F48AD-7C48-4686-B2CC-274D2C59471C}"/>
    <cellStyle name="Normal 8 3 4 2 3 2 2" xfId="33202" xr:uid="{D5CA197B-AE3F-42E3-899D-4B1193987052}"/>
    <cellStyle name="Normal 8 3 4 2 3 3" xfId="23905" xr:uid="{22CC5462-6991-4E0E-92F5-9F2DFB24ADED}"/>
    <cellStyle name="Normal 8 3 4 2 4" xfId="9406" xr:uid="{8751BE45-E47B-4A0A-B0DE-04C14FAEA88D}"/>
    <cellStyle name="Normal 8 3 4 2 4 2" xfId="18721" xr:uid="{A73C327C-B724-446A-A3A3-A14CA5C3D449}"/>
    <cellStyle name="Normal 8 3 4 2 4 2 2" xfId="37315" xr:uid="{E10218E0-594A-480E-B336-B15BC256DC0A}"/>
    <cellStyle name="Normal 8 3 4 2 4 3" xfId="28018" xr:uid="{4BF6E071-6369-4C3D-99E9-0A0CBF7759CA}"/>
    <cellStyle name="Normal 8 3 4 2 5" xfId="10389" xr:uid="{E4F4EB16-1449-454C-A23F-5035D3F132A8}"/>
    <cellStyle name="Normal 8 3 4 2 5 2" xfId="28985" xr:uid="{8567A8BC-CC78-4541-9BF9-725DD4EB2858}"/>
    <cellStyle name="Normal 8 3 4 2 6" xfId="19688" xr:uid="{FA7BD4E7-4E6A-4E0D-BC4B-BBE9798BC296}"/>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22560850-1474-4132-972F-3F3867749230}"/>
    <cellStyle name="Normal 8 3 4 3 2 2 2 2" xfId="35760" xr:uid="{11D108ED-5B02-4F68-B2D8-6FF6E435F067}"/>
    <cellStyle name="Normal 8 3 4 3 2 2 3" xfId="26463" xr:uid="{DD7CC015-D432-4A4D-A514-4F01E7C2A6D2}"/>
    <cellStyle name="Normal 8 3 4 3 2 3" xfId="12947" xr:uid="{E670082C-CF02-4F95-81ED-6EBBBE37D7AF}"/>
    <cellStyle name="Normal 8 3 4 3 2 3 2" xfId="31543" xr:uid="{15AD9C95-B09A-424F-ACF1-0BC13F440E7E}"/>
    <cellStyle name="Normal 8 3 4 3 2 4" xfId="22246" xr:uid="{4F42E8AA-7CAD-40B2-B408-7955158ECB82}"/>
    <cellStyle name="Normal 8 3 4 3 3" xfId="5693" xr:uid="{00000000-0005-0000-0000-0000B11D0000}"/>
    <cellStyle name="Normal 8 3 4 3 3 2" xfId="15019" xr:uid="{E9BCE0F2-05E1-4F4B-9D90-090FC2840179}"/>
    <cellStyle name="Normal 8 3 4 3 3 2 2" xfId="33615" xr:uid="{1B0FE1C0-F2A0-4284-92C0-8AF1C5D3F221}"/>
    <cellStyle name="Normal 8 3 4 3 3 3" xfId="24318" xr:uid="{D7A35D02-C035-4460-8D38-AC6F4D53FEBD}"/>
    <cellStyle name="Normal 8 3 4 3 4" xfId="10802" xr:uid="{DC1AB130-C8AA-4B10-86B6-C78E925AC6F4}"/>
    <cellStyle name="Normal 8 3 4 3 4 2" xfId="29398" xr:uid="{85A78DDA-D37C-459F-AD00-83DD9DDA4236}"/>
    <cellStyle name="Normal 8 3 4 3 5" xfId="20101" xr:uid="{B0DFFA81-93B2-4F29-A917-6F761CF2736C}"/>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C47658A7-1B29-4D1B-8D1D-74E2FE235E70}"/>
    <cellStyle name="Normal 8 3 4 4 2 2 2 2" xfId="36173" xr:uid="{402088ED-0581-4C84-8D69-41B1214D4778}"/>
    <cellStyle name="Normal 8 3 4 4 2 2 3" xfId="26876" xr:uid="{81D56A29-2F32-417B-9993-AE02FE618CCC}"/>
    <cellStyle name="Normal 8 3 4 4 2 3" xfId="13360" xr:uid="{9B583C1B-B66A-4D73-A184-989968097183}"/>
    <cellStyle name="Normal 8 3 4 4 2 3 2" xfId="31956" xr:uid="{B24EEE3F-7EE0-46D8-8280-596DC0B0EBBD}"/>
    <cellStyle name="Normal 8 3 4 4 2 4" xfId="22659" xr:uid="{7FF0649B-8566-40EA-889F-F27CF0FD6A72}"/>
    <cellStyle name="Normal 8 3 4 4 3" xfId="6106" xr:uid="{00000000-0005-0000-0000-0000B51D0000}"/>
    <cellStyle name="Normal 8 3 4 4 3 2" xfId="15432" xr:uid="{8ABF16FC-3213-4EA4-A63F-A7216A41E52E}"/>
    <cellStyle name="Normal 8 3 4 4 3 2 2" xfId="34028" xr:uid="{E3C4C995-713B-4BE8-8289-D4DB4DEB8F3F}"/>
    <cellStyle name="Normal 8 3 4 4 3 3" xfId="24731" xr:uid="{FF876CBF-DF0F-46EE-9908-E30D98F0EEBA}"/>
    <cellStyle name="Normal 8 3 4 4 4" xfId="11215" xr:uid="{2B75DEDB-B3A1-4144-B8ED-E5F08220F2EC}"/>
    <cellStyle name="Normal 8 3 4 4 4 2" xfId="29811" xr:uid="{8B5F8392-4D38-441C-BA52-518FA92BC171}"/>
    <cellStyle name="Normal 8 3 4 4 5" xfId="20514" xr:uid="{3B39F440-21EF-411A-BECA-B62C7643BC76}"/>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043FAD66-B783-40B2-9637-EF61E502E54F}"/>
    <cellStyle name="Normal 8 3 4 5 2 2 2 2" xfId="36586" xr:uid="{84F1ABA5-8975-4143-9E53-4FF6D2B083E3}"/>
    <cellStyle name="Normal 8 3 4 5 2 2 3" xfId="27289" xr:uid="{52049BE5-686A-4A14-9139-AB8EE1C02324}"/>
    <cellStyle name="Normal 8 3 4 5 2 3" xfId="13773" xr:uid="{007908FF-E8D8-4E19-9CEA-417A7A751A77}"/>
    <cellStyle name="Normal 8 3 4 5 2 3 2" xfId="32369" xr:uid="{4E6B2D65-E8B5-4081-BCF2-6BE9455640EC}"/>
    <cellStyle name="Normal 8 3 4 5 2 4" xfId="23072" xr:uid="{0D0401BA-690E-46D2-A1DC-3DB07092DDB7}"/>
    <cellStyle name="Normal 8 3 4 5 3" xfId="6519" xr:uid="{00000000-0005-0000-0000-0000B91D0000}"/>
    <cellStyle name="Normal 8 3 4 5 3 2" xfId="15845" xr:uid="{BB81826C-DC76-423B-982D-8D93306ABD13}"/>
    <cellStyle name="Normal 8 3 4 5 3 2 2" xfId="34441" xr:uid="{09B665C3-3873-4337-A10A-975EEA32993B}"/>
    <cellStyle name="Normal 8 3 4 5 3 3" xfId="25144" xr:uid="{DFBB02EE-EDCE-4DDF-B2EE-C414B22CABCC}"/>
    <cellStyle name="Normal 8 3 4 5 4" xfId="11628" xr:uid="{D1D55CF9-38DA-483C-B35E-CED4D11F2E18}"/>
    <cellStyle name="Normal 8 3 4 5 4 2" xfId="30224" xr:uid="{F5F0F77D-A1C8-417D-88B2-DC2D5470ECE4}"/>
    <cellStyle name="Normal 8 3 4 5 5" xfId="20927" xr:uid="{DBFC0371-43A8-49CE-AC0C-60C8296ADD72}"/>
    <cellStyle name="Normal 8 3 4 6" xfId="2649" xr:uid="{00000000-0005-0000-0000-0000BA1D0000}"/>
    <cellStyle name="Normal 8 3 4 6 2" xfId="6932" xr:uid="{00000000-0005-0000-0000-0000BB1D0000}"/>
    <cellStyle name="Normal 8 3 4 6 2 2" xfId="16258" xr:uid="{6D1AA3A9-0C36-4ADE-B65A-89867068D713}"/>
    <cellStyle name="Normal 8 3 4 6 2 2 2" xfId="34854" xr:uid="{112A1917-82D0-409B-89BD-48E24B66F4A2}"/>
    <cellStyle name="Normal 8 3 4 6 2 3" xfId="25557" xr:uid="{68EA463F-809B-4342-B0CF-F99F45C09537}"/>
    <cellStyle name="Normal 8 3 4 6 3" xfId="12041" xr:uid="{E96D68C5-8C4A-44D0-9A16-CB5427AE0FA5}"/>
    <cellStyle name="Normal 8 3 4 6 3 2" xfId="30637" xr:uid="{28307027-07D6-408D-99FA-7D7323E35406}"/>
    <cellStyle name="Normal 8 3 4 6 4" xfId="21340" xr:uid="{CD1C4120-9FD3-430B-80EE-1DEA682C548F}"/>
    <cellStyle name="Normal 8 3 4 7" xfId="4867" xr:uid="{00000000-0005-0000-0000-0000BC1D0000}"/>
    <cellStyle name="Normal 8 3 4 7 2" xfId="14193" xr:uid="{23552A3E-27C8-44B8-BA08-D9DACDBA9813}"/>
    <cellStyle name="Normal 8 3 4 7 2 2" xfId="32789" xr:uid="{153DB22B-DC60-43B7-ABFD-4C270A0A158A}"/>
    <cellStyle name="Normal 8 3 4 7 3" xfId="23492" xr:uid="{5F5843EF-88A9-423C-A844-962ED9231443}"/>
    <cellStyle name="Normal 8 3 4 8" xfId="8981" xr:uid="{BEE184E9-ECE6-4107-B29A-CC8BC7F28FA3}"/>
    <cellStyle name="Normal 8 3 4 8 2" xfId="18305" xr:uid="{B2A59D99-6022-446C-8AFA-4536C7C1D2FE}"/>
    <cellStyle name="Normal 8 3 4 8 2 2" xfId="36900" xr:uid="{CC0895E7-B18A-443B-A527-8F800C4046F8}"/>
    <cellStyle name="Normal 8 3 4 8 3" xfId="27603" xr:uid="{8809BA4E-EFA2-4EA7-9EA3-AC16CF7E974E}"/>
    <cellStyle name="Normal 8 3 4 9" xfId="9976" xr:uid="{BEF6EDF3-0879-436B-BE6F-9745FE961F41}"/>
    <cellStyle name="Normal 8 3 4 9 2" xfId="28572" xr:uid="{6B55F631-9A61-495E-A473-099C1BED07D2}"/>
    <cellStyle name="Normal 8 3 5" xfId="962" xr:uid="{00000000-0005-0000-0000-0000BD1D0000}"/>
    <cellStyle name="Normal 8 3 5 2" xfId="3196" xr:uid="{00000000-0005-0000-0000-0000BE1D0000}"/>
    <cellStyle name="Normal 8 3 5 2 2" xfId="7418" xr:uid="{00000000-0005-0000-0000-0000BF1D0000}"/>
    <cellStyle name="Normal 8 3 5 2 2 2" xfId="16744" xr:uid="{7304CA72-9CF9-4332-9B76-557B9FE59DCE}"/>
    <cellStyle name="Normal 8 3 5 2 2 2 2" xfId="35340" xr:uid="{4A700998-5E35-4976-85B6-EC686EC5DE45}"/>
    <cellStyle name="Normal 8 3 5 2 2 3" xfId="26043" xr:uid="{F48678F1-61FA-40CF-9DF2-B338D03024DA}"/>
    <cellStyle name="Normal 8 3 5 2 3" xfId="12527" xr:uid="{A85CD0C5-0E18-4B38-BCBD-07FFB1D25038}"/>
    <cellStyle name="Normal 8 3 5 2 3 2" xfId="31123" xr:uid="{16821D7E-FE85-48FD-B755-64EA7F7CEC13}"/>
    <cellStyle name="Normal 8 3 5 2 4" xfId="21826" xr:uid="{059685F0-8648-44B2-9790-1405FA0C46E8}"/>
    <cellStyle name="Normal 8 3 5 3" xfId="5273" xr:uid="{00000000-0005-0000-0000-0000C01D0000}"/>
    <cellStyle name="Normal 8 3 5 3 2" xfId="14599" xr:uid="{D8EB9800-8520-405A-8182-55DDF5A78C13}"/>
    <cellStyle name="Normal 8 3 5 3 2 2" xfId="33195" xr:uid="{98481B6F-01DB-4B49-9F41-B9DC83E5E874}"/>
    <cellStyle name="Normal 8 3 5 3 3" xfId="23898" xr:uid="{6EBA336D-F1DA-4641-8930-02F3E96BACCE}"/>
    <cellStyle name="Normal 8 3 5 4" xfId="9198" xr:uid="{FA5A5C79-C3AC-4E17-9344-90C4E411EE0B}"/>
    <cellStyle name="Normal 8 3 5 4 2" xfId="18514" xr:uid="{C1B48964-3C8C-4E51-BD45-BE70F5A65E33}"/>
    <cellStyle name="Normal 8 3 5 4 2 2" xfId="37108" xr:uid="{D6D9FFAD-BC83-4A84-A028-8301018D46B2}"/>
    <cellStyle name="Normal 8 3 5 4 3" xfId="27811" xr:uid="{B1739FD2-D867-455C-AC6B-EBF768FA33A8}"/>
    <cellStyle name="Normal 8 3 5 5" xfId="10382" xr:uid="{1AB5569E-E42E-4C4D-A3E2-A9639BD813A0}"/>
    <cellStyle name="Normal 8 3 5 5 2" xfId="28978" xr:uid="{0EDFF05B-8D5B-43A0-B641-482F5CC333D0}"/>
    <cellStyle name="Normal 8 3 5 6" xfId="19681" xr:uid="{3E9A5910-D6E0-4978-9C28-ED244CB67009}"/>
    <cellStyle name="Normal 8 3 6" xfId="1379" xr:uid="{00000000-0005-0000-0000-0000C11D0000}"/>
    <cellStyle name="Normal 8 3 6 2" xfId="3609" xr:uid="{00000000-0005-0000-0000-0000C21D0000}"/>
    <cellStyle name="Normal 8 3 6 2 2" xfId="7831" xr:uid="{00000000-0005-0000-0000-0000C31D0000}"/>
    <cellStyle name="Normal 8 3 6 2 2 2" xfId="17157" xr:uid="{3F4FE1B7-DB10-4DD0-8E3C-9F41A2607C13}"/>
    <cellStyle name="Normal 8 3 6 2 2 2 2" xfId="35753" xr:uid="{668B59E8-D20E-4BD2-A79D-0D2EC79B2BDF}"/>
    <cellStyle name="Normal 8 3 6 2 2 3" xfId="26456" xr:uid="{08E2C805-8C9B-44C8-82B7-56C07A87E7C1}"/>
    <cellStyle name="Normal 8 3 6 2 3" xfId="12940" xr:uid="{2B1D69C0-D2CE-4FD3-94CF-5802A5B0C69F}"/>
    <cellStyle name="Normal 8 3 6 2 3 2" xfId="31536" xr:uid="{5E4C6FA3-A729-497A-9A6B-AD2F33C8EAB2}"/>
    <cellStyle name="Normal 8 3 6 2 4" xfId="22239" xr:uid="{25370CAD-02B7-41B9-875D-5E97381CCE9C}"/>
    <cellStyle name="Normal 8 3 6 3" xfId="5686" xr:uid="{00000000-0005-0000-0000-0000C41D0000}"/>
    <cellStyle name="Normal 8 3 6 3 2" xfId="15012" xr:uid="{3EAC3237-CE7F-41CA-A062-D545D3C7E594}"/>
    <cellStyle name="Normal 8 3 6 3 2 2" xfId="33608" xr:uid="{C91ADD22-7FE2-4E1A-928F-010FA2B9A55E}"/>
    <cellStyle name="Normal 8 3 6 3 3" xfId="24311" xr:uid="{D0401EFE-DFD4-452C-96D6-7996710A2A49}"/>
    <cellStyle name="Normal 8 3 6 4" xfId="10795" xr:uid="{3AE6FDE4-117A-4BB7-AAD7-56717208D534}"/>
    <cellStyle name="Normal 8 3 6 4 2" xfId="29391" xr:uid="{0F774242-4636-42EB-BBF9-B02EB1A5D3C0}"/>
    <cellStyle name="Normal 8 3 6 5" xfId="20094" xr:uid="{F899C978-B2ED-4BB5-829A-AD0C5834B3F4}"/>
    <cellStyle name="Normal 8 3 7" xfId="1792" xr:uid="{00000000-0005-0000-0000-0000C51D0000}"/>
    <cellStyle name="Normal 8 3 7 2" xfId="4022" xr:uid="{00000000-0005-0000-0000-0000C61D0000}"/>
    <cellStyle name="Normal 8 3 7 2 2" xfId="8244" xr:uid="{00000000-0005-0000-0000-0000C71D0000}"/>
    <cellStyle name="Normal 8 3 7 2 2 2" xfId="17570" xr:uid="{5878A5F0-7216-4BB4-9475-80C22D4506E4}"/>
    <cellStyle name="Normal 8 3 7 2 2 2 2" xfId="36166" xr:uid="{8E2C587E-77A8-41D7-B52A-BF6901B70981}"/>
    <cellStyle name="Normal 8 3 7 2 2 3" xfId="26869" xr:uid="{9F68F481-BAAF-4E27-B76F-D9AA8B7FEF7D}"/>
    <cellStyle name="Normal 8 3 7 2 3" xfId="13353" xr:uid="{D257A547-7B0A-489F-A31B-3F27BB7DFE91}"/>
    <cellStyle name="Normal 8 3 7 2 3 2" xfId="31949" xr:uid="{7BC0F653-E1D5-4EA0-B244-8DC7D0A282C4}"/>
    <cellStyle name="Normal 8 3 7 2 4" xfId="22652" xr:uid="{5F089566-FF95-4A03-A783-887B2E4E64F8}"/>
    <cellStyle name="Normal 8 3 7 3" xfId="6099" xr:uid="{00000000-0005-0000-0000-0000C81D0000}"/>
    <cellStyle name="Normal 8 3 7 3 2" xfId="15425" xr:uid="{9BC5E329-709F-4336-98EA-0E4DF000CF45}"/>
    <cellStyle name="Normal 8 3 7 3 2 2" xfId="34021" xr:uid="{BE1ADB81-EA8A-44D2-B930-48E318E675F5}"/>
    <cellStyle name="Normal 8 3 7 3 3" xfId="24724" xr:uid="{C130EFAF-2707-4702-835C-47E7FE626790}"/>
    <cellStyle name="Normal 8 3 7 4" xfId="11208" xr:uid="{7DDC2D12-3E7C-4524-BF8F-787FFE8F10FC}"/>
    <cellStyle name="Normal 8 3 7 4 2" xfId="29804" xr:uid="{CEEC7F72-1039-45C3-8FA1-DFDC50AD857E}"/>
    <cellStyle name="Normal 8 3 7 5" xfId="20507" xr:uid="{A08E5447-0E18-4B4C-9E19-15D7C22AF4DF}"/>
    <cellStyle name="Normal 8 3 8" xfId="2206" xr:uid="{00000000-0005-0000-0000-0000C91D0000}"/>
    <cellStyle name="Normal 8 3 8 2" xfId="4435" xr:uid="{00000000-0005-0000-0000-0000CA1D0000}"/>
    <cellStyle name="Normal 8 3 8 2 2" xfId="8657" xr:uid="{00000000-0005-0000-0000-0000CB1D0000}"/>
    <cellStyle name="Normal 8 3 8 2 2 2" xfId="17983" xr:uid="{DFAC9C8E-2318-4C83-AD1D-AA510CAA9BDC}"/>
    <cellStyle name="Normal 8 3 8 2 2 2 2" xfId="36579" xr:uid="{9D7B7F2A-1464-42DB-B4C3-A53471492167}"/>
    <cellStyle name="Normal 8 3 8 2 2 3" xfId="27282" xr:uid="{E1927852-5BB0-4A32-A0EF-85B012502486}"/>
    <cellStyle name="Normal 8 3 8 2 3" xfId="13766" xr:uid="{D92FD633-AA69-45F2-B424-DF98D8D13386}"/>
    <cellStyle name="Normal 8 3 8 2 3 2" xfId="32362" xr:uid="{60BBCCB7-DFF4-4E51-8E8F-37151A5737F6}"/>
    <cellStyle name="Normal 8 3 8 2 4" xfId="23065" xr:uid="{D95055BE-DCAA-47D2-B738-F1041F6B6C66}"/>
    <cellStyle name="Normal 8 3 8 3" xfId="6512" xr:uid="{00000000-0005-0000-0000-0000CC1D0000}"/>
    <cellStyle name="Normal 8 3 8 3 2" xfId="15838" xr:uid="{115881E8-AC57-46C4-9172-4A0AC09006FF}"/>
    <cellStyle name="Normal 8 3 8 3 2 2" xfId="34434" xr:uid="{24E83AB6-A068-4CEB-AF30-E89F5461F896}"/>
    <cellStyle name="Normal 8 3 8 3 3" xfId="25137" xr:uid="{8AC1FB2E-D7F7-4840-9897-79A866FB1D6B}"/>
    <cellStyle name="Normal 8 3 8 4" xfId="11621" xr:uid="{0CAF41C7-5D3C-47B9-B8ED-EAADBBD39F74}"/>
    <cellStyle name="Normal 8 3 8 4 2" xfId="30217" xr:uid="{6C345387-A1BF-4166-B93F-0278F1CC1549}"/>
    <cellStyle name="Normal 8 3 8 5" xfId="20920" xr:uid="{9FD7979D-EB7C-498A-A98B-E048D939DB2E}"/>
    <cellStyle name="Normal 8 3 9" xfId="2642" xr:uid="{00000000-0005-0000-0000-0000CD1D0000}"/>
    <cellStyle name="Normal 8 3 9 2" xfId="6925" xr:uid="{00000000-0005-0000-0000-0000CE1D0000}"/>
    <cellStyle name="Normal 8 3 9 2 2" xfId="16251" xr:uid="{84202FE3-8482-4751-9194-32EE248DEA2A}"/>
    <cellStyle name="Normal 8 3 9 2 2 2" xfId="34847" xr:uid="{9D7D4455-EEB2-46BC-B8B4-6A217F4DE6B3}"/>
    <cellStyle name="Normal 8 3 9 2 3" xfId="25550" xr:uid="{5E3F6DFE-3159-4B78-B44E-0E413CA39E76}"/>
    <cellStyle name="Normal 8 3 9 3" xfId="12034" xr:uid="{38ABBCA2-1237-4D3B-9806-9FB2DF3BC170}"/>
    <cellStyle name="Normal 8 3 9 3 2" xfId="30630" xr:uid="{682AFA44-DF4E-413A-AE6E-DFFB4161BFE4}"/>
    <cellStyle name="Normal 8 3 9 4" xfId="21333" xr:uid="{B30BF53C-C625-4931-B15F-364E46EAA7C5}"/>
    <cellStyle name="Normal 8 4" xfId="503" xr:uid="{00000000-0005-0000-0000-0000CF1D0000}"/>
    <cellStyle name="Normal 8 4 10" xfId="8834" xr:uid="{78848A4E-06FA-4050-B553-A3A7DEA1B047}"/>
    <cellStyle name="Normal 8 4 10 2" xfId="18158" xr:uid="{FB7C70D5-EF89-499C-BACC-B0E3467EDD3C}"/>
    <cellStyle name="Normal 8 4 10 2 2" xfId="36753" xr:uid="{6F33DB77-867C-47D4-9D1E-B60A9CF04600}"/>
    <cellStyle name="Normal 8 4 10 3" xfId="27456" xr:uid="{F528C25A-E9FE-44F7-B627-524BEC2FFAE4}"/>
    <cellStyle name="Normal 8 4 11" xfId="9977" xr:uid="{4A45F998-BD72-4A33-96E6-9F79F0CAF289}"/>
    <cellStyle name="Normal 8 4 11 2" xfId="28573" xr:uid="{A4CBCC7D-5608-481E-B39D-70F045203646}"/>
    <cellStyle name="Normal 8 4 12" xfId="19276" xr:uid="{A93F3E21-AAD9-4A24-A77D-90D076C3DF6F}"/>
    <cellStyle name="Normal 8 4 2" xfId="504" xr:uid="{00000000-0005-0000-0000-0000D01D0000}"/>
    <cellStyle name="Normal 8 4 2 10" xfId="9978" xr:uid="{F55B7AB0-51ED-4212-91DB-1EDBFDF166DC}"/>
    <cellStyle name="Normal 8 4 2 10 2" xfId="28574" xr:uid="{ECB38936-6996-48AE-B3F5-92B5F66BEA4C}"/>
    <cellStyle name="Normal 8 4 2 11" xfId="19277" xr:uid="{C21E9759-8E83-4CE1-BC21-25DA5BB32656}"/>
    <cellStyle name="Normal 8 4 2 2" xfId="505" xr:uid="{00000000-0005-0000-0000-0000D11D0000}"/>
    <cellStyle name="Normal 8 4 2 2 10" xfId="19278" xr:uid="{72B40484-5498-4E30-B0B3-0BBB63DB862F}"/>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6FE96FF5-484C-40E7-B577-DB68E41B42E8}"/>
    <cellStyle name="Normal 8 4 2 2 2 2 2 2 2" xfId="35350" xr:uid="{881BD3D1-BBEE-4683-A38E-EBC48EECCE08}"/>
    <cellStyle name="Normal 8 4 2 2 2 2 2 3" xfId="26053" xr:uid="{70EA134A-1777-4405-B95F-F4F2984AF191}"/>
    <cellStyle name="Normal 8 4 2 2 2 2 3" xfId="12537" xr:uid="{CDD898ED-6FD6-4A30-8D21-8A60A67A58C3}"/>
    <cellStyle name="Normal 8 4 2 2 2 2 3 2" xfId="31133" xr:uid="{81626449-2E2E-4EF2-8BB0-54044D01A254}"/>
    <cellStyle name="Normal 8 4 2 2 2 2 4" xfId="21836" xr:uid="{4280078D-9658-4C41-A9CB-AEE72CFA4E36}"/>
    <cellStyle name="Normal 8 4 2 2 2 3" xfId="5283" xr:uid="{00000000-0005-0000-0000-0000D51D0000}"/>
    <cellStyle name="Normal 8 4 2 2 2 3 2" xfId="14609" xr:uid="{B0A2AAB5-37B6-47D1-904A-3931B1EBB705}"/>
    <cellStyle name="Normal 8 4 2 2 2 3 2 2" xfId="33205" xr:uid="{8D545B2A-DB74-4582-AF62-D370EC34456C}"/>
    <cellStyle name="Normal 8 4 2 2 2 3 3" xfId="23908" xr:uid="{FB709D08-F7AA-4D22-8694-8466A27888A6}"/>
    <cellStyle name="Normal 8 4 2 2 2 4" xfId="9569" xr:uid="{F21122F8-27BB-4D46-891E-281F736F5353}"/>
    <cellStyle name="Normal 8 4 2 2 2 4 2" xfId="18884" xr:uid="{1ED6A5F0-62E4-4B6B-80E5-E4E8163E8651}"/>
    <cellStyle name="Normal 8 4 2 2 2 4 2 2" xfId="37478" xr:uid="{0567DC8C-C478-4E24-B99D-6F0EE85C6DD5}"/>
    <cellStyle name="Normal 8 4 2 2 2 4 3" xfId="28181" xr:uid="{1DD8F972-28FF-4E50-9B0A-9001951CDCBD}"/>
    <cellStyle name="Normal 8 4 2 2 2 5" xfId="10392" xr:uid="{7403E6AB-6532-4531-93E8-FD8771F6DCDC}"/>
    <cellStyle name="Normal 8 4 2 2 2 5 2" xfId="28988" xr:uid="{5D6FE177-709C-4044-9ACB-4BD4E23E37C8}"/>
    <cellStyle name="Normal 8 4 2 2 2 6" xfId="19691" xr:uid="{8A227196-6FCE-4064-BEAB-DBF495373C32}"/>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C52D195B-235C-46C6-B7AB-6FFAAE0360F3}"/>
    <cellStyle name="Normal 8 4 2 2 3 2 2 2 2" xfId="35763" xr:uid="{26BEA398-107B-4CFD-9A4E-39457018B5F8}"/>
    <cellStyle name="Normal 8 4 2 2 3 2 2 3" xfId="26466" xr:uid="{49661D12-B0C7-469E-99F9-1D98DFCEC725}"/>
    <cellStyle name="Normal 8 4 2 2 3 2 3" xfId="12950" xr:uid="{9CBCF54B-010F-423A-B00A-A11EE062E678}"/>
    <cellStyle name="Normal 8 4 2 2 3 2 3 2" xfId="31546" xr:uid="{10188D72-D71F-4375-AEEB-48E47EF19D7B}"/>
    <cellStyle name="Normal 8 4 2 2 3 2 4" xfId="22249" xr:uid="{FA9506F5-FF96-49CB-B357-92C7C1ED38D7}"/>
    <cellStyle name="Normal 8 4 2 2 3 3" xfId="5696" xr:uid="{00000000-0005-0000-0000-0000D91D0000}"/>
    <cellStyle name="Normal 8 4 2 2 3 3 2" xfId="15022" xr:uid="{9D4D392F-9350-43DC-83DE-4B3FB551DBA2}"/>
    <cellStyle name="Normal 8 4 2 2 3 3 2 2" xfId="33618" xr:uid="{CD41FB82-820D-421A-A67C-85507137D56F}"/>
    <cellStyle name="Normal 8 4 2 2 3 3 3" xfId="24321" xr:uid="{73F17875-ACB1-4859-A401-D771B817F56A}"/>
    <cellStyle name="Normal 8 4 2 2 3 4" xfId="10805" xr:uid="{46324438-65AE-4B7B-B037-2DFC39BDF29E}"/>
    <cellStyle name="Normal 8 4 2 2 3 4 2" xfId="29401" xr:uid="{5A95A4DC-3899-4707-907A-38BB7BAF3380}"/>
    <cellStyle name="Normal 8 4 2 2 3 5" xfId="20104" xr:uid="{0D875844-37DF-4C4E-8383-CBE9C522F04A}"/>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7DB74DCE-9BBF-44BE-89C4-7EF8553E679C}"/>
    <cellStyle name="Normal 8 4 2 2 4 2 2 2 2" xfId="36176" xr:uid="{FAB2074D-F7FC-42B7-B543-63AD3102566A}"/>
    <cellStyle name="Normal 8 4 2 2 4 2 2 3" xfId="26879" xr:uid="{A88E2745-A724-49C2-9D05-D7FB8871A908}"/>
    <cellStyle name="Normal 8 4 2 2 4 2 3" xfId="13363" xr:uid="{98C6B23B-8143-4AA7-A77D-378B327C4895}"/>
    <cellStyle name="Normal 8 4 2 2 4 2 3 2" xfId="31959" xr:uid="{66833229-F0FA-4359-8148-A5E12DC5F951}"/>
    <cellStyle name="Normal 8 4 2 2 4 2 4" xfId="22662" xr:uid="{8763FE35-9215-4643-BDCE-391DFB8B033B}"/>
    <cellStyle name="Normal 8 4 2 2 4 3" xfId="6109" xr:uid="{00000000-0005-0000-0000-0000DD1D0000}"/>
    <cellStyle name="Normal 8 4 2 2 4 3 2" xfId="15435" xr:uid="{0E2956DC-B909-42C6-8CC3-4292D93C85D4}"/>
    <cellStyle name="Normal 8 4 2 2 4 3 2 2" xfId="34031" xr:uid="{10435EEA-0592-445C-85F3-E255B27B950D}"/>
    <cellStyle name="Normal 8 4 2 2 4 3 3" xfId="24734" xr:uid="{FF96F8EE-E3E1-4A6B-B3AB-D0395668F409}"/>
    <cellStyle name="Normal 8 4 2 2 4 4" xfId="11218" xr:uid="{D172FA91-B3C2-497F-80CA-5353FE0C5CD4}"/>
    <cellStyle name="Normal 8 4 2 2 4 4 2" xfId="29814" xr:uid="{059249BA-7CE1-442D-B825-C9D52EC51A90}"/>
    <cellStyle name="Normal 8 4 2 2 4 5" xfId="20517" xr:uid="{1FCE6E36-4C42-43CF-AA75-B4AFB2847B3B}"/>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AB6F6200-9B92-421C-AB81-877410053641}"/>
    <cellStyle name="Normal 8 4 2 2 5 2 2 2 2" xfId="36589" xr:uid="{1495C2DA-8C46-4AF7-B31D-D8B7BFAF8726}"/>
    <cellStyle name="Normal 8 4 2 2 5 2 2 3" xfId="27292" xr:uid="{45FCE3E8-537F-4786-8690-2D71D94B05D4}"/>
    <cellStyle name="Normal 8 4 2 2 5 2 3" xfId="13776" xr:uid="{B2EF8E80-DFF4-4681-AB12-6AEFD0BF437A}"/>
    <cellStyle name="Normal 8 4 2 2 5 2 3 2" xfId="32372" xr:uid="{D8A00253-1662-47D3-8477-AD6DFD1D44E3}"/>
    <cellStyle name="Normal 8 4 2 2 5 2 4" xfId="23075" xr:uid="{AFC44C81-33E0-4C1A-A557-567DA1C8A32C}"/>
    <cellStyle name="Normal 8 4 2 2 5 3" xfId="6522" xr:uid="{00000000-0005-0000-0000-0000E11D0000}"/>
    <cellStyle name="Normal 8 4 2 2 5 3 2" xfId="15848" xr:uid="{29EDFAE7-0D5E-494E-871C-DB785A51D3F0}"/>
    <cellStyle name="Normal 8 4 2 2 5 3 2 2" xfId="34444" xr:uid="{82030D49-3244-4022-B034-A7A361D9767A}"/>
    <cellStyle name="Normal 8 4 2 2 5 3 3" xfId="25147" xr:uid="{79D63591-BED8-48A2-BE8C-C96FC4B810CA}"/>
    <cellStyle name="Normal 8 4 2 2 5 4" xfId="11631" xr:uid="{47B18820-DFF0-4E92-8FEA-CD66659E9204}"/>
    <cellStyle name="Normal 8 4 2 2 5 4 2" xfId="30227" xr:uid="{3FDE1AB9-19A3-40F8-93CD-61C237AEFF3C}"/>
    <cellStyle name="Normal 8 4 2 2 5 5" xfId="20930" xr:uid="{6EC9EC78-76CC-430E-A36F-031399267B49}"/>
    <cellStyle name="Normal 8 4 2 2 6" xfId="2652" xr:uid="{00000000-0005-0000-0000-0000E21D0000}"/>
    <cellStyle name="Normal 8 4 2 2 6 2" xfId="6935" xr:uid="{00000000-0005-0000-0000-0000E31D0000}"/>
    <cellStyle name="Normal 8 4 2 2 6 2 2" xfId="16261" xr:uid="{AEB82A3C-F824-4CC1-B04A-6F95529108A4}"/>
    <cellStyle name="Normal 8 4 2 2 6 2 2 2" xfId="34857" xr:uid="{5C903B12-CF63-43D5-A470-8932DA9CFC9D}"/>
    <cellStyle name="Normal 8 4 2 2 6 2 3" xfId="25560" xr:uid="{3CEFEA9C-3F0D-4F0A-B146-8474B378476D}"/>
    <cellStyle name="Normal 8 4 2 2 6 3" xfId="12044" xr:uid="{E6E0EB62-2222-4464-840C-C60769E3236D}"/>
    <cellStyle name="Normal 8 4 2 2 6 3 2" xfId="30640" xr:uid="{F2C17CE8-A5AF-43F5-9130-C340072F3629}"/>
    <cellStyle name="Normal 8 4 2 2 6 4" xfId="21343" xr:uid="{40B339F1-4C8D-49E4-B6DD-D515D6706F47}"/>
    <cellStyle name="Normal 8 4 2 2 7" xfId="4870" xr:uid="{00000000-0005-0000-0000-0000E41D0000}"/>
    <cellStyle name="Normal 8 4 2 2 7 2" xfId="14196" xr:uid="{F734BED5-DF5E-4CFD-841C-1866D05DF7BF}"/>
    <cellStyle name="Normal 8 4 2 2 7 2 2" xfId="32792" xr:uid="{E5CDD260-A5BF-4CC4-A1C7-63E0DB7E208E}"/>
    <cellStyle name="Normal 8 4 2 2 7 3" xfId="23495" xr:uid="{F5A56D3A-97F8-442D-AE31-82C9A577191B}"/>
    <cellStyle name="Normal 8 4 2 2 8" xfId="9144" xr:uid="{EF6B0978-3DE8-47DC-990C-0B47AAC8F1DC}"/>
    <cellStyle name="Normal 8 4 2 2 8 2" xfId="18468" xr:uid="{A8EFE9C1-0B61-48B8-B116-8737C960217B}"/>
    <cellStyle name="Normal 8 4 2 2 8 2 2" xfId="37063" xr:uid="{82CE9B5F-1800-4467-B3EA-9A8FE91C9E42}"/>
    <cellStyle name="Normal 8 4 2 2 8 3" xfId="27766" xr:uid="{EA1DEC49-5645-4D93-8E00-74F719E84502}"/>
    <cellStyle name="Normal 8 4 2 2 9" xfId="9979" xr:uid="{738A7062-E06F-47B7-BD7E-D9C8EFFD1FD4}"/>
    <cellStyle name="Normal 8 4 2 2 9 2" xfId="28575" xr:uid="{2BF43349-D0E3-48F2-A0E4-703D6E3C8315}"/>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A60C2ED0-3878-42CC-961B-65ACCBF5E9DD}"/>
    <cellStyle name="Normal 8 4 2 3 2 2 2 2" xfId="35349" xr:uid="{6D7D9C56-F54E-45D3-A7EC-77CF818D0E6A}"/>
    <cellStyle name="Normal 8 4 2 3 2 2 3" xfId="26052" xr:uid="{0E03204C-8342-4D2E-9A31-1413E1520663}"/>
    <cellStyle name="Normal 8 4 2 3 2 3" xfId="12536" xr:uid="{EC2911A4-334F-44EB-958D-63D28A5184C6}"/>
    <cellStyle name="Normal 8 4 2 3 2 3 2" xfId="31132" xr:uid="{6FEE5954-800E-44B6-BFE7-B3CE4DD46D0D}"/>
    <cellStyle name="Normal 8 4 2 3 2 4" xfId="21835" xr:uid="{395CD54D-ECD2-403D-B895-8A969F675EA3}"/>
    <cellStyle name="Normal 8 4 2 3 3" xfId="5282" xr:uid="{00000000-0005-0000-0000-0000E81D0000}"/>
    <cellStyle name="Normal 8 4 2 3 3 2" xfId="14608" xr:uid="{C9487889-CDF4-4ABA-9508-831857EE7FF1}"/>
    <cellStyle name="Normal 8 4 2 3 3 2 2" xfId="33204" xr:uid="{195C477C-E2CB-4905-AEAD-70E2F9B76B25}"/>
    <cellStyle name="Normal 8 4 2 3 3 3" xfId="23907" xr:uid="{23FECB77-99A2-4654-A633-3090A8D174CA}"/>
    <cellStyle name="Normal 8 4 2 3 4" xfId="9362" xr:uid="{206856BB-FDDB-4012-ABFE-5E991E477A14}"/>
    <cellStyle name="Normal 8 4 2 3 4 2" xfId="18677" xr:uid="{64AA5BC8-6C57-4A55-A00E-60D7D807313E}"/>
    <cellStyle name="Normal 8 4 2 3 4 2 2" xfId="37271" xr:uid="{CEBB29BC-9F80-4206-BEB5-C01F1F14FC27}"/>
    <cellStyle name="Normal 8 4 2 3 4 3" xfId="27974" xr:uid="{D3D2B3CB-058E-4464-A926-B403ED0E76A4}"/>
    <cellStyle name="Normal 8 4 2 3 5" xfId="10391" xr:uid="{7F6AF729-7254-4B30-A22C-8EB5D927114A}"/>
    <cellStyle name="Normal 8 4 2 3 5 2" xfId="28987" xr:uid="{044CC154-86CE-40CD-B4D4-72C4A63B8E52}"/>
    <cellStyle name="Normal 8 4 2 3 6" xfId="19690" xr:uid="{E5F35D30-FDA2-4095-A99A-A325275455BF}"/>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7C155496-161D-4C8D-ACB5-BC85D1BC3B10}"/>
    <cellStyle name="Normal 8 4 2 4 2 2 2 2" xfId="35762" xr:uid="{71B2890D-2714-4DFF-9C23-D0F8E9A2D98C}"/>
    <cellStyle name="Normal 8 4 2 4 2 2 3" xfId="26465" xr:uid="{900FB52C-BB55-4BF3-A730-AD8B33A67D53}"/>
    <cellStyle name="Normal 8 4 2 4 2 3" xfId="12949" xr:uid="{71B3E43C-2481-45DC-BB6A-11E5F6BBFBD6}"/>
    <cellStyle name="Normal 8 4 2 4 2 3 2" xfId="31545" xr:uid="{3EB2963C-535F-4BF4-9F05-05F6BF345B56}"/>
    <cellStyle name="Normal 8 4 2 4 2 4" xfId="22248" xr:uid="{91B9FC5D-83E6-4656-B3B8-384BF79FA45C}"/>
    <cellStyle name="Normal 8 4 2 4 3" xfId="5695" xr:uid="{00000000-0005-0000-0000-0000EC1D0000}"/>
    <cellStyle name="Normal 8 4 2 4 3 2" xfId="15021" xr:uid="{11E495F7-8E38-4FFC-A334-131677FA5154}"/>
    <cellStyle name="Normal 8 4 2 4 3 2 2" xfId="33617" xr:uid="{ABE45DA9-91AA-478C-92E5-3CE84674B0E8}"/>
    <cellStyle name="Normal 8 4 2 4 3 3" xfId="24320" xr:uid="{1AAB1176-F455-4998-8BB7-33341CF5C2D7}"/>
    <cellStyle name="Normal 8 4 2 4 4" xfId="10804" xr:uid="{DF83E617-E78F-41B4-8AD7-517D02278664}"/>
    <cellStyle name="Normal 8 4 2 4 4 2" xfId="29400" xr:uid="{BB6ED723-F6DB-4073-95F4-9737E0E634A8}"/>
    <cellStyle name="Normal 8 4 2 4 5" xfId="20103" xr:uid="{93EEA9AB-CD50-437F-84D7-6BC5D0C97A94}"/>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ECE6F3A1-7851-4AC2-A892-58D205906126}"/>
    <cellStyle name="Normal 8 4 2 5 2 2 2 2" xfId="36175" xr:uid="{AFEB3AB6-FF52-486D-A821-E2BA5C3B223D}"/>
    <cellStyle name="Normal 8 4 2 5 2 2 3" xfId="26878" xr:uid="{077E85CF-CAA0-4E56-92B7-51FEF10621AE}"/>
    <cellStyle name="Normal 8 4 2 5 2 3" xfId="13362" xr:uid="{B2580F6E-67A0-4590-9D2A-AF7CFBE36E9A}"/>
    <cellStyle name="Normal 8 4 2 5 2 3 2" xfId="31958" xr:uid="{ADFF94F5-BB24-4C1A-83CA-27D837AB9FF4}"/>
    <cellStyle name="Normal 8 4 2 5 2 4" xfId="22661" xr:uid="{376023BE-72F8-4A07-BA72-EB913AEE0604}"/>
    <cellStyle name="Normal 8 4 2 5 3" xfId="6108" xr:uid="{00000000-0005-0000-0000-0000F01D0000}"/>
    <cellStyle name="Normal 8 4 2 5 3 2" xfId="15434" xr:uid="{9DAB766F-3BCB-4B05-92F7-D59E0F144C1A}"/>
    <cellStyle name="Normal 8 4 2 5 3 2 2" xfId="34030" xr:uid="{A808C3D3-6141-4287-B06D-DDF515E281E4}"/>
    <cellStyle name="Normal 8 4 2 5 3 3" xfId="24733" xr:uid="{720A03D4-6C10-4885-9611-1FE198819CBD}"/>
    <cellStyle name="Normal 8 4 2 5 4" xfId="11217" xr:uid="{6A444BC0-4275-4402-8C74-DB587E80F47A}"/>
    <cellStyle name="Normal 8 4 2 5 4 2" xfId="29813" xr:uid="{43AC1518-A681-4E2C-9343-C06E30455BDC}"/>
    <cellStyle name="Normal 8 4 2 5 5" xfId="20516" xr:uid="{362191CC-A49D-41E4-B6EC-2913C71CD55C}"/>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9E0C51E5-0F20-4061-8A52-E79F00898D0E}"/>
    <cellStyle name="Normal 8 4 2 6 2 2 2 2" xfId="36588" xr:uid="{91289971-B1D0-48E1-8B2A-3508E00D5F77}"/>
    <cellStyle name="Normal 8 4 2 6 2 2 3" xfId="27291" xr:uid="{280B18DC-F933-4241-BC55-2781E0A5971A}"/>
    <cellStyle name="Normal 8 4 2 6 2 3" xfId="13775" xr:uid="{89324936-6E9B-40B3-995C-ED168208382D}"/>
    <cellStyle name="Normal 8 4 2 6 2 3 2" xfId="32371" xr:uid="{4D29C42B-ED31-46B7-AF86-28D6FCE44413}"/>
    <cellStyle name="Normal 8 4 2 6 2 4" xfId="23074" xr:uid="{7490E869-03E9-45E6-B1C5-99D62B285358}"/>
    <cellStyle name="Normal 8 4 2 6 3" xfId="6521" xr:uid="{00000000-0005-0000-0000-0000F41D0000}"/>
    <cellStyle name="Normal 8 4 2 6 3 2" xfId="15847" xr:uid="{3642742E-776B-43E1-93D4-7B7906C85A02}"/>
    <cellStyle name="Normal 8 4 2 6 3 2 2" xfId="34443" xr:uid="{F022E764-148F-4624-A3A4-D58478D908DC}"/>
    <cellStyle name="Normal 8 4 2 6 3 3" xfId="25146" xr:uid="{176A6229-04C7-48CE-9C43-E622ADE4DCC1}"/>
    <cellStyle name="Normal 8 4 2 6 4" xfId="11630" xr:uid="{7F46AB37-B77A-4DB4-A417-92E244085C01}"/>
    <cellStyle name="Normal 8 4 2 6 4 2" xfId="30226" xr:uid="{773C1CCF-1274-44FF-87AB-AF4B3C7BEDFB}"/>
    <cellStyle name="Normal 8 4 2 6 5" xfId="20929" xr:uid="{63FDE33C-8DB3-4337-AA37-910B46F1225E}"/>
    <cellStyle name="Normal 8 4 2 7" xfId="2651" xr:uid="{00000000-0005-0000-0000-0000F51D0000}"/>
    <cellStyle name="Normal 8 4 2 7 2" xfId="6934" xr:uid="{00000000-0005-0000-0000-0000F61D0000}"/>
    <cellStyle name="Normal 8 4 2 7 2 2" xfId="16260" xr:uid="{26B0C886-96CA-4427-8E08-030DE428ED8C}"/>
    <cellStyle name="Normal 8 4 2 7 2 2 2" xfId="34856" xr:uid="{45CC41D9-23CB-4E08-B373-9095BB72B545}"/>
    <cellStyle name="Normal 8 4 2 7 2 3" xfId="25559" xr:uid="{67C1AEF5-88DD-49C5-9428-4C940F888D45}"/>
    <cellStyle name="Normal 8 4 2 7 3" xfId="12043" xr:uid="{20B46A24-6223-4100-8B1E-27A995B4E11D}"/>
    <cellStyle name="Normal 8 4 2 7 3 2" xfId="30639" xr:uid="{CA973A01-35CA-4D8F-AC19-7C63F6616F5B}"/>
    <cellStyle name="Normal 8 4 2 7 4" xfId="21342" xr:uid="{65329F5D-AA5D-4472-A744-F2819A928454}"/>
    <cellStyle name="Normal 8 4 2 8" xfId="4869" xr:uid="{00000000-0005-0000-0000-0000F71D0000}"/>
    <cellStyle name="Normal 8 4 2 8 2" xfId="14195" xr:uid="{B092A43D-1629-4DC5-8E10-AFA8939F3E09}"/>
    <cellStyle name="Normal 8 4 2 8 2 2" xfId="32791" xr:uid="{4D52F177-7F47-41D2-A528-D73F021C4548}"/>
    <cellStyle name="Normal 8 4 2 8 3" xfId="23494" xr:uid="{29FED089-BAAE-4163-A163-20982ECD4B24}"/>
    <cellStyle name="Normal 8 4 2 9" xfId="8937" xr:uid="{B425CDA4-C1C1-4A6C-AB85-CE28E324A88F}"/>
    <cellStyle name="Normal 8 4 2 9 2" xfId="18261" xr:uid="{D9AF2105-FFD1-400D-B1D0-1F0E8971B746}"/>
    <cellStyle name="Normal 8 4 2 9 2 2" xfId="36856" xr:uid="{44C0773E-F369-4200-86C3-8E080BD1CE1F}"/>
    <cellStyle name="Normal 8 4 2 9 3" xfId="27559" xr:uid="{E5F77D42-C2A1-46CF-842B-EA5839830660}"/>
    <cellStyle name="Normal 8 4 3" xfId="506" xr:uid="{00000000-0005-0000-0000-0000F81D0000}"/>
    <cellStyle name="Normal 8 4 3 10" xfId="19279" xr:uid="{147A93EE-8D7C-4D09-8D91-F06BF42DC274}"/>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A75D1A60-668F-498A-8275-F3460FD4ED2D}"/>
    <cellStyle name="Normal 8 4 3 2 2 2 2 2" xfId="35351" xr:uid="{8FE83381-753B-4561-9E6C-61B5CA7F6B65}"/>
    <cellStyle name="Normal 8 4 3 2 2 2 3" xfId="26054" xr:uid="{4F2A5A41-A13F-4AA4-8ED9-77EEA72E43B8}"/>
    <cellStyle name="Normal 8 4 3 2 2 3" xfId="12538" xr:uid="{A35A5C2F-C95D-4E73-A6E7-E67A5A13B460}"/>
    <cellStyle name="Normal 8 4 3 2 2 3 2" xfId="31134" xr:uid="{220CF34D-D8E3-4D22-AA9E-C56E176B2A2E}"/>
    <cellStyle name="Normal 8 4 3 2 2 4" xfId="21837" xr:uid="{AEB7A170-BFF5-404C-8E84-60C1242512EA}"/>
    <cellStyle name="Normal 8 4 3 2 3" xfId="5284" xr:uid="{00000000-0005-0000-0000-0000FC1D0000}"/>
    <cellStyle name="Normal 8 4 3 2 3 2" xfId="14610" xr:uid="{914B451D-B3AD-4396-8113-820C50F8C2B8}"/>
    <cellStyle name="Normal 8 4 3 2 3 2 2" xfId="33206" xr:uid="{6D7FFFE7-7B22-4998-9701-72757A659F86}"/>
    <cellStyle name="Normal 8 4 3 2 3 3" xfId="23909" xr:uid="{C1FBFC10-3C8A-4A8C-AAD1-660CC270E77A}"/>
    <cellStyle name="Normal 8 4 3 2 4" xfId="9466" xr:uid="{4C42748F-6D34-4D0D-8AE2-FFD5C0CBE26F}"/>
    <cellStyle name="Normal 8 4 3 2 4 2" xfId="18781" xr:uid="{CD7DC069-56F7-4557-A891-F11CE8F9B11F}"/>
    <cellStyle name="Normal 8 4 3 2 4 2 2" xfId="37375" xr:uid="{557EA3DB-0FC7-40C7-AA7A-7D6BC232A032}"/>
    <cellStyle name="Normal 8 4 3 2 4 3" xfId="28078" xr:uid="{C849D420-E5D5-47A2-BC68-686CDE7EE6BC}"/>
    <cellStyle name="Normal 8 4 3 2 5" xfId="10393" xr:uid="{98737CF6-B4F3-4487-B35F-D10520ECA7C9}"/>
    <cellStyle name="Normal 8 4 3 2 5 2" xfId="28989" xr:uid="{29B76444-7AA8-4877-8664-BACAC440E822}"/>
    <cellStyle name="Normal 8 4 3 2 6" xfId="19692" xr:uid="{A79BD751-B18E-4390-A904-562ED8F139F5}"/>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293A2801-C072-4932-9214-FDE06AC3EA86}"/>
    <cellStyle name="Normal 8 4 3 3 2 2 2 2" xfId="35764" xr:uid="{B3DA90F2-15C5-49AA-90E9-9B8ACE7C011A}"/>
    <cellStyle name="Normal 8 4 3 3 2 2 3" xfId="26467" xr:uid="{64458430-75E7-49A4-B011-3B1408743A64}"/>
    <cellStyle name="Normal 8 4 3 3 2 3" xfId="12951" xr:uid="{972FB9EC-C180-44F0-BE44-8504E80F3582}"/>
    <cellStyle name="Normal 8 4 3 3 2 3 2" xfId="31547" xr:uid="{087C9E9D-9448-4217-A4F3-594189D5F3D0}"/>
    <cellStyle name="Normal 8 4 3 3 2 4" xfId="22250" xr:uid="{72B3B33F-E5CF-4406-900F-1247F5CABF64}"/>
    <cellStyle name="Normal 8 4 3 3 3" xfId="5697" xr:uid="{00000000-0005-0000-0000-0000001E0000}"/>
    <cellStyle name="Normal 8 4 3 3 3 2" xfId="15023" xr:uid="{D0A5CFE5-7794-499C-8EEB-117E560406B1}"/>
    <cellStyle name="Normal 8 4 3 3 3 2 2" xfId="33619" xr:uid="{C54D86AB-899C-4395-A7AA-8B23F219512E}"/>
    <cellStyle name="Normal 8 4 3 3 3 3" xfId="24322" xr:uid="{4A79A820-E8EA-4FBF-8B66-CFCCA8F6DAC3}"/>
    <cellStyle name="Normal 8 4 3 3 4" xfId="10806" xr:uid="{2064878B-FFED-4052-B166-4F5D2DFA807D}"/>
    <cellStyle name="Normal 8 4 3 3 4 2" xfId="29402" xr:uid="{E4CC5BE0-CC13-430D-BD26-5F8A9481C48F}"/>
    <cellStyle name="Normal 8 4 3 3 5" xfId="20105" xr:uid="{1BB2A3E2-A002-4152-935B-19851DBD1D6C}"/>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F22BDE2F-E4E9-4BBF-B8B4-21725E8F0E3A}"/>
    <cellStyle name="Normal 8 4 3 4 2 2 2 2" xfId="36177" xr:uid="{7ACF0688-6CBE-41C3-970B-7180AB1F2686}"/>
    <cellStyle name="Normal 8 4 3 4 2 2 3" xfId="26880" xr:uid="{08F81244-6097-4421-B117-8515D4ED0793}"/>
    <cellStyle name="Normal 8 4 3 4 2 3" xfId="13364" xr:uid="{3D15FEDF-6F17-40B8-AF4E-D1F5EBC9531D}"/>
    <cellStyle name="Normal 8 4 3 4 2 3 2" xfId="31960" xr:uid="{CCC2EEA8-218A-4237-B44B-8D19C37BB6A3}"/>
    <cellStyle name="Normal 8 4 3 4 2 4" xfId="22663" xr:uid="{7A11CBA5-FD42-4ACB-B995-B1C84DB9175F}"/>
    <cellStyle name="Normal 8 4 3 4 3" xfId="6110" xr:uid="{00000000-0005-0000-0000-0000041E0000}"/>
    <cellStyle name="Normal 8 4 3 4 3 2" xfId="15436" xr:uid="{368B5C7F-59E3-4367-A262-CF040110ACFB}"/>
    <cellStyle name="Normal 8 4 3 4 3 2 2" xfId="34032" xr:uid="{0D3A556B-D3EE-431F-AFC0-2D950324A99A}"/>
    <cellStyle name="Normal 8 4 3 4 3 3" xfId="24735" xr:uid="{CA6E58CA-5D4F-4CC3-8DC3-D8BDF96DA4F6}"/>
    <cellStyle name="Normal 8 4 3 4 4" xfId="11219" xr:uid="{A5916707-E111-412C-8953-5A5F70DCFAE6}"/>
    <cellStyle name="Normal 8 4 3 4 4 2" xfId="29815" xr:uid="{FB9C2849-6DAD-4B4F-B232-FC27950302EE}"/>
    <cellStyle name="Normal 8 4 3 4 5" xfId="20518" xr:uid="{43A52243-F646-4360-9B8A-88C554274813}"/>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5E6EBEDC-FA28-4CB2-99A4-06A805A93671}"/>
    <cellStyle name="Normal 8 4 3 5 2 2 2 2" xfId="36590" xr:uid="{32DB910C-D23D-4884-8A86-F0D4457E54FE}"/>
    <cellStyle name="Normal 8 4 3 5 2 2 3" xfId="27293" xr:uid="{262753F1-E6E4-408B-9049-23FD052B1CE7}"/>
    <cellStyle name="Normal 8 4 3 5 2 3" xfId="13777" xr:uid="{E97E832F-40AF-4B94-B4F1-6EC767B6A530}"/>
    <cellStyle name="Normal 8 4 3 5 2 3 2" xfId="32373" xr:uid="{A7256F48-B454-4C35-8820-38F683665AE3}"/>
    <cellStyle name="Normal 8 4 3 5 2 4" xfId="23076" xr:uid="{65FF90CF-BBDB-4FB2-8D34-DC2C446F6138}"/>
    <cellStyle name="Normal 8 4 3 5 3" xfId="6523" xr:uid="{00000000-0005-0000-0000-0000081E0000}"/>
    <cellStyle name="Normal 8 4 3 5 3 2" xfId="15849" xr:uid="{1A9B010B-83B6-406F-A6CE-F517D6721AA0}"/>
    <cellStyle name="Normal 8 4 3 5 3 2 2" xfId="34445" xr:uid="{473F33DA-1481-4D30-9C4D-D053A3B2D70E}"/>
    <cellStyle name="Normal 8 4 3 5 3 3" xfId="25148" xr:uid="{6559C087-EE58-4F98-AA03-391BAA662E8A}"/>
    <cellStyle name="Normal 8 4 3 5 4" xfId="11632" xr:uid="{E5E310E1-5062-4BF6-B9DA-BE674F9103B0}"/>
    <cellStyle name="Normal 8 4 3 5 4 2" xfId="30228" xr:uid="{851AD4AD-9035-4290-B73B-FD3FEBDD0C27}"/>
    <cellStyle name="Normal 8 4 3 5 5" xfId="20931" xr:uid="{61F8A332-46C7-4444-A9EA-C2D28DB39A01}"/>
    <cellStyle name="Normal 8 4 3 6" xfId="2653" xr:uid="{00000000-0005-0000-0000-0000091E0000}"/>
    <cellStyle name="Normal 8 4 3 6 2" xfId="6936" xr:uid="{00000000-0005-0000-0000-00000A1E0000}"/>
    <cellStyle name="Normal 8 4 3 6 2 2" xfId="16262" xr:uid="{D372178D-FB93-41B6-9E18-BDC8BA0E68AB}"/>
    <cellStyle name="Normal 8 4 3 6 2 2 2" xfId="34858" xr:uid="{EF18D500-A170-49A3-AB2B-B056E293A8DC}"/>
    <cellStyle name="Normal 8 4 3 6 2 3" xfId="25561" xr:uid="{C2620C47-558B-4764-A16B-76DA77ECE00C}"/>
    <cellStyle name="Normal 8 4 3 6 3" xfId="12045" xr:uid="{23BDB0AD-1062-4FC2-AF2D-5FDDAA9D487F}"/>
    <cellStyle name="Normal 8 4 3 6 3 2" xfId="30641" xr:uid="{6FBEC743-47CA-4ECC-A85C-15E9C0178FBF}"/>
    <cellStyle name="Normal 8 4 3 6 4" xfId="21344" xr:uid="{F2AF940E-6235-4588-B8F1-8C37B505DE77}"/>
    <cellStyle name="Normal 8 4 3 7" xfId="4871" xr:uid="{00000000-0005-0000-0000-00000B1E0000}"/>
    <cellStyle name="Normal 8 4 3 7 2" xfId="14197" xr:uid="{CA93FC40-73B3-49AC-AF9B-04444F02DB0F}"/>
    <cellStyle name="Normal 8 4 3 7 2 2" xfId="32793" xr:uid="{9008DDB4-CFED-4186-955C-E095A340B361}"/>
    <cellStyle name="Normal 8 4 3 7 3" xfId="23496" xr:uid="{BABBFE53-E109-4055-9021-84DF395395B6}"/>
    <cellStyle name="Normal 8 4 3 8" xfId="9041" xr:uid="{3EA15F1E-D38A-4BB8-BEC6-98D9A94BB79B}"/>
    <cellStyle name="Normal 8 4 3 8 2" xfId="18365" xr:uid="{5118C608-D07C-4F40-A08F-86CDFB4C8C11}"/>
    <cellStyle name="Normal 8 4 3 8 2 2" xfId="36960" xr:uid="{BFF8BB9C-0015-41EA-AFCF-A75C990A4E01}"/>
    <cellStyle name="Normal 8 4 3 8 3" xfId="27663" xr:uid="{9E44CED7-D6CA-44C3-AA95-B9B4C2D6EE42}"/>
    <cellStyle name="Normal 8 4 3 9" xfId="9980" xr:uid="{7409D4AC-7347-4A74-B2BB-0125238E030B}"/>
    <cellStyle name="Normal 8 4 3 9 2" xfId="28576" xr:uid="{0799A2EF-A7AF-4AA5-B5E6-EEF41FE9E6F3}"/>
    <cellStyle name="Normal 8 4 4" xfId="970" xr:uid="{00000000-0005-0000-0000-00000C1E0000}"/>
    <cellStyle name="Normal 8 4 4 2" xfId="3204" xr:uid="{00000000-0005-0000-0000-00000D1E0000}"/>
    <cellStyle name="Normal 8 4 4 2 2" xfId="7426" xr:uid="{00000000-0005-0000-0000-00000E1E0000}"/>
    <cellStyle name="Normal 8 4 4 2 2 2" xfId="16752" xr:uid="{87F0B6B0-0121-446A-961E-A244BDCBCC70}"/>
    <cellStyle name="Normal 8 4 4 2 2 2 2" xfId="35348" xr:uid="{E0C0BF8F-F271-463E-93C9-5291318BB9E9}"/>
    <cellStyle name="Normal 8 4 4 2 2 3" xfId="26051" xr:uid="{2EB09295-8FAA-4430-B3AB-9332451F7067}"/>
    <cellStyle name="Normal 8 4 4 2 3" xfId="12535" xr:uid="{DB89D8C9-5919-4213-AED6-38AF0A246836}"/>
    <cellStyle name="Normal 8 4 4 2 3 2" xfId="31131" xr:uid="{F35A4E3D-07A9-47D5-A67E-D8D8DF36B8B9}"/>
    <cellStyle name="Normal 8 4 4 2 4" xfId="21834" xr:uid="{DEF7CE4C-07A9-4153-8E9F-38945D44A170}"/>
    <cellStyle name="Normal 8 4 4 3" xfId="5281" xr:uid="{00000000-0005-0000-0000-00000F1E0000}"/>
    <cellStyle name="Normal 8 4 4 3 2" xfId="14607" xr:uid="{2CC928BC-95A4-4136-BE8B-1C45753208F4}"/>
    <cellStyle name="Normal 8 4 4 3 2 2" xfId="33203" xr:uid="{717DBA9A-8AE7-4151-A76B-2FE157A76A5C}"/>
    <cellStyle name="Normal 8 4 4 3 3" xfId="23906" xr:uid="{E2A103DF-BA41-4A7C-BDDE-1B2F327BA421}"/>
    <cellStyle name="Normal 8 4 4 4" xfId="9259" xr:uid="{45904BAA-3C39-482B-A2B6-0FB84C0B889C}"/>
    <cellStyle name="Normal 8 4 4 4 2" xfId="18574" xr:uid="{AA700219-F7D2-4FFF-B58D-40AF1408C62A}"/>
    <cellStyle name="Normal 8 4 4 4 2 2" xfId="37168" xr:uid="{2B618D1F-EBEF-4D90-BF8B-2EA8937C5062}"/>
    <cellStyle name="Normal 8 4 4 4 3" xfId="27871" xr:uid="{0272B971-0DE1-42CE-B45F-9939901C6920}"/>
    <cellStyle name="Normal 8 4 4 5" xfId="10390" xr:uid="{C1B369EA-F17E-4A0A-B436-9D61D4EE3DCE}"/>
    <cellStyle name="Normal 8 4 4 5 2" xfId="28986" xr:uid="{F1BC802A-44D7-43CE-9B2F-52983B7B2001}"/>
    <cellStyle name="Normal 8 4 4 6" xfId="19689" xr:uid="{6191B157-56AF-4482-8FAC-9E76630922D0}"/>
    <cellStyle name="Normal 8 4 5" xfId="1387" xr:uid="{00000000-0005-0000-0000-0000101E0000}"/>
    <cellStyle name="Normal 8 4 5 2" xfId="3617" xr:uid="{00000000-0005-0000-0000-0000111E0000}"/>
    <cellStyle name="Normal 8 4 5 2 2" xfId="7839" xr:uid="{00000000-0005-0000-0000-0000121E0000}"/>
    <cellStyle name="Normal 8 4 5 2 2 2" xfId="17165" xr:uid="{7996A420-6083-4A4D-8B84-4CC650F25944}"/>
    <cellStyle name="Normal 8 4 5 2 2 2 2" xfId="35761" xr:uid="{70D27F3F-8F29-42BB-AD58-6CADAE8E6694}"/>
    <cellStyle name="Normal 8 4 5 2 2 3" xfId="26464" xr:uid="{48C3BD0A-2973-4DC3-AB1B-738247E2356C}"/>
    <cellStyle name="Normal 8 4 5 2 3" xfId="12948" xr:uid="{D11E5B9A-D6F8-459C-B03E-E888F2C58BFA}"/>
    <cellStyle name="Normal 8 4 5 2 3 2" xfId="31544" xr:uid="{3875B730-5D78-426E-BE4A-6678C6255C91}"/>
    <cellStyle name="Normal 8 4 5 2 4" xfId="22247" xr:uid="{FDF9CF9F-51F2-4273-AE22-EADA41C36AFF}"/>
    <cellStyle name="Normal 8 4 5 3" xfId="5694" xr:uid="{00000000-0005-0000-0000-0000131E0000}"/>
    <cellStyle name="Normal 8 4 5 3 2" xfId="15020" xr:uid="{D1684A88-ADC3-4876-8E32-4740BB40FFEA}"/>
    <cellStyle name="Normal 8 4 5 3 2 2" xfId="33616" xr:uid="{2CE12442-80FF-420A-84A2-C777052FF54F}"/>
    <cellStyle name="Normal 8 4 5 3 3" xfId="24319" xr:uid="{0A5E005A-DBF5-41C3-A1E5-58E14FB3F77A}"/>
    <cellStyle name="Normal 8 4 5 4" xfId="10803" xr:uid="{94B96B9F-53AF-4AAE-8929-1AFF9EC89F33}"/>
    <cellStyle name="Normal 8 4 5 4 2" xfId="29399" xr:uid="{546AD50D-7F8D-459C-ACCA-FC9D6CD9BB51}"/>
    <cellStyle name="Normal 8 4 5 5" xfId="20102" xr:uid="{7768719D-5B2C-4C9A-A494-C7E9781F79E5}"/>
    <cellStyle name="Normal 8 4 6" xfId="1800" xr:uid="{00000000-0005-0000-0000-0000141E0000}"/>
    <cellStyle name="Normal 8 4 6 2" xfId="4030" xr:uid="{00000000-0005-0000-0000-0000151E0000}"/>
    <cellStyle name="Normal 8 4 6 2 2" xfId="8252" xr:uid="{00000000-0005-0000-0000-0000161E0000}"/>
    <cellStyle name="Normal 8 4 6 2 2 2" xfId="17578" xr:uid="{279F11A0-524E-4EAC-871D-F8ED75AC4CC0}"/>
    <cellStyle name="Normal 8 4 6 2 2 2 2" xfId="36174" xr:uid="{B6A1A4E2-93A9-4C61-B44F-DEA7E65A675A}"/>
    <cellStyle name="Normal 8 4 6 2 2 3" xfId="26877" xr:uid="{23B664D3-4A79-4039-A31D-0BCB38455D04}"/>
    <cellStyle name="Normal 8 4 6 2 3" xfId="13361" xr:uid="{398B7C36-9B55-4B82-99BB-BB1EC8BC758F}"/>
    <cellStyle name="Normal 8 4 6 2 3 2" xfId="31957" xr:uid="{52E9EE06-D1EF-4E62-ADD2-C2514DC6170C}"/>
    <cellStyle name="Normal 8 4 6 2 4" xfId="22660" xr:uid="{1FEBD579-7C9D-4EC1-AE07-777E1D075666}"/>
    <cellStyle name="Normal 8 4 6 3" xfId="6107" xr:uid="{00000000-0005-0000-0000-0000171E0000}"/>
    <cellStyle name="Normal 8 4 6 3 2" xfId="15433" xr:uid="{DBAB5A2D-25F1-42BB-BE82-DD8DC2DB2E34}"/>
    <cellStyle name="Normal 8 4 6 3 2 2" xfId="34029" xr:uid="{38CD0E6C-D4D2-4E72-8FB1-CF870A561D42}"/>
    <cellStyle name="Normal 8 4 6 3 3" xfId="24732" xr:uid="{EDBC554F-B756-4E17-8F05-61EFE2F04F5B}"/>
    <cellStyle name="Normal 8 4 6 4" xfId="11216" xr:uid="{F90C4E5F-7C7D-4F70-B424-C8BDAFAE9CAB}"/>
    <cellStyle name="Normal 8 4 6 4 2" xfId="29812" xr:uid="{0B642764-885F-448A-AE95-CDCA2DD0FCEC}"/>
    <cellStyle name="Normal 8 4 6 5" xfId="20515" xr:uid="{CC38E04B-94A2-416D-9B52-5AD87FE26BFD}"/>
    <cellStyle name="Normal 8 4 7" xfId="2214" xr:uid="{00000000-0005-0000-0000-0000181E0000}"/>
    <cellStyle name="Normal 8 4 7 2" xfId="4443" xr:uid="{00000000-0005-0000-0000-0000191E0000}"/>
    <cellStyle name="Normal 8 4 7 2 2" xfId="8665" xr:uid="{00000000-0005-0000-0000-00001A1E0000}"/>
    <cellStyle name="Normal 8 4 7 2 2 2" xfId="17991" xr:uid="{D8B6DF51-B5D4-4F29-B48B-DC76FB228B6B}"/>
    <cellStyle name="Normal 8 4 7 2 2 2 2" xfId="36587" xr:uid="{3EAF0033-2376-4DB8-928C-77417E2A1DEB}"/>
    <cellStyle name="Normal 8 4 7 2 2 3" xfId="27290" xr:uid="{5E443539-A40B-4868-A7AB-F19784FC16F7}"/>
    <cellStyle name="Normal 8 4 7 2 3" xfId="13774" xr:uid="{0C6BF2FE-2D17-4F7D-9119-B22A91DF7151}"/>
    <cellStyle name="Normal 8 4 7 2 3 2" xfId="32370" xr:uid="{06142D30-27B5-41BC-98F9-2A6B050F9F55}"/>
    <cellStyle name="Normal 8 4 7 2 4" xfId="23073" xr:uid="{1B2E4A65-F80E-498A-A2CC-FDC8257536B8}"/>
    <cellStyle name="Normal 8 4 7 3" xfId="6520" xr:uid="{00000000-0005-0000-0000-00001B1E0000}"/>
    <cellStyle name="Normal 8 4 7 3 2" xfId="15846" xr:uid="{275771CF-05A1-489F-8046-C22177C355AF}"/>
    <cellStyle name="Normal 8 4 7 3 2 2" xfId="34442" xr:uid="{B3D8BB51-0440-46D1-953A-657395900F6F}"/>
    <cellStyle name="Normal 8 4 7 3 3" xfId="25145" xr:uid="{0AA43FEC-B275-407A-A34D-9786D2F681DA}"/>
    <cellStyle name="Normal 8 4 7 4" xfId="11629" xr:uid="{370B3051-9C5C-4733-81ED-32B27DE919E5}"/>
    <cellStyle name="Normal 8 4 7 4 2" xfId="30225" xr:uid="{199B04C7-3DC6-4435-ADA0-CFBAEC0041EC}"/>
    <cellStyle name="Normal 8 4 7 5" xfId="20928" xr:uid="{EB381DE2-9BFC-4674-B6AC-05B2ADBE17B4}"/>
    <cellStyle name="Normal 8 4 8" xfId="2650" xr:uid="{00000000-0005-0000-0000-00001C1E0000}"/>
    <cellStyle name="Normal 8 4 8 2" xfId="6933" xr:uid="{00000000-0005-0000-0000-00001D1E0000}"/>
    <cellStyle name="Normal 8 4 8 2 2" xfId="16259" xr:uid="{02C3B87D-BB11-4373-BE15-AC63DDCAFF9C}"/>
    <cellStyle name="Normal 8 4 8 2 2 2" xfId="34855" xr:uid="{EC98E153-2206-482E-B8DB-2F7EF1411634}"/>
    <cellStyle name="Normal 8 4 8 2 3" xfId="25558" xr:uid="{A556670F-947A-4F08-AF2F-33D6D02AE334}"/>
    <cellStyle name="Normal 8 4 8 3" xfId="12042" xr:uid="{23A6933A-03FA-40C3-891D-6005232BA770}"/>
    <cellStyle name="Normal 8 4 8 3 2" xfId="30638" xr:uid="{A602CA67-FFF8-4479-8B62-93514261F6F4}"/>
    <cellStyle name="Normal 8 4 8 4" xfId="21341" xr:uid="{50911231-643A-44EE-B4A1-2F64F0BD3E28}"/>
    <cellStyle name="Normal 8 4 9" xfId="4868" xr:uid="{00000000-0005-0000-0000-00001E1E0000}"/>
    <cellStyle name="Normal 8 4 9 2" xfId="14194" xr:uid="{2D24D002-1E49-49B3-94B4-779C4DF49099}"/>
    <cellStyle name="Normal 8 4 9 2 2" xfId="32790" xr:uid="{07322466-EEC9-4556-86FC-4D7EBD515540}"/>
    <cellStyle name="Normal 8 4 9 3" xfId="23493" xr:uid="{0A5E6D22-2335-43C8-B12A-60AAF0EF75A0}"/>
    <cellStyle name="Normal 8 5" xfId="507" xr:uid="{00000000-0005-0000-0000-00001F1E0000}"/>
    <cellStyle name="Normal 8 5 10" xfId="9981" xr:uid="{89D52568-B9AF-4E34-B74A-4EA61B4B1A52}"/>
    <cellStyle name="Normal 8 5 10 2" xfId="28577" xr:uid="{9EDEB078-B26B-483C-BCF6-F9B334E5C5DD}"/>
    <cellStyle name="Normal 8 5 11" xfId="19280" xr:uid="{94792A3A-8A3A-4915-AAFD-99BFF37BC81B}"/>
    <cellStyle name="Normal 8 5 2" xfId="508" xr:uid="{00000000-0005-0000-0000-0000201E0000}"/>
    <cellStyle name="Normal 8 5 2 10" xfId="19281" xr:uid="{B533D468-53A9-4E6D-9C10-F48996ED3905}"/>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DC84A729-5550-4C8C-AD17-4D8D3E460588}"/>
    <cellStyle name="Normal 8 5 2 2 2 2 2 2" xfId="35353" xr:uid="{7E98A873-5CF8-4BFD-9B00-616AF6F9E87B}"/>
    <cellStyle name="Normal 8 5 2 2 2 2 3" xfId="26056" xr:uid="{DE8A00C0-68A6-45B3-913C-3709270EA0B7}"/>
    <cellStyle name="Normal 8 5 2 2 2 3" xfId="12540" xr:uid="{09F4859E-AC8D-4B20-9B56-630DA5A60623}"/>
    <cellStyle name="Normal 8 5 2 2 2 3 2" xfId="31136" xr:uid="{37D9F646-8813-4873-9877-D32B03B14909}"/>
    <cellStyle name="Normal 8 5 2 2 2 4" xfId="21839" xr:uid="{10A5B3C9-5804-434B-984F-7BF7BD3444E4}"/>
    <cellStyle name="Normal 8 5 2 2 3" xfId="5286" xr:uid="{00000000-0005-0000-0000-0000241E0000}"/>
    <cellStyle name="Normal 8 5 2 2 3 2" xfId="14612" xr:uid="{A300A2AC-EB97-40B2-A0DF-0C82DAC586B9}"/>
    <cellStyle name="Normal 8 5 2 2 3 2 2" xfId="33208" xr:uid="{87CA9C39-2198-47B2-A6CB-9B6FA2D58594}"/>
    <cellStyle name="Normal 8 5 2 2 3 3" xfId="23911" xr:uid="{1BACE8E8-C5AC-47A1-9F2E-25B79FC5EBBD}"/>
    <cellStyle name="Normal 8 5 2 2 4" xfId="9477" xr:uid="{62ED1F43-6081-4B0B-94C3-5999D37D11C7}"/>
    <cellStyle name="Normal 8 5 2 2 4 2" xfId="18792" xr:uid="{A5C2E1CA-5ACE-4000-ACBE-08DAC155DACE}"/>
    <cellStyle name="Normal 8 5 2 2 4 2 2" xfId="37386" xr:uid="{609F925E-0A98-4177-A4F8-574B368FA331}"/>
    <cellStyle name="Normal 8 5 2 2 4 3" xfId="28089" xr:uid="{7D7E2369-82E4-4880-88C2-073EE0C1A4AB}"/>
    <cellStyle name="Normal 8 5 2 2 5" xfId="10395" xr:uid="{FA4D80B7-3E15-41D1-AC15-A50593B50D69}"/>
    <cellStyle name="Normal 8 5 2 2 5 2" xfId="28991" xr:uid="{7A5B4497-4313-4618-A752-A2070135DEBB}"/>
    <cellStyle name="Normal 8 5 2 2 6" xfId="19694" xr:uid="{50E7F2D1-D82F-417E-9EF5-563482855FF0}"/>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FCBBDF70-B33C-4400-9614-3B287791D69E}"/>
    <cellStyle name="Normal 8 5 2 3 2 2 2 2" xfId="35766" xr:uid="{6A9253B1-2868-4692-BCD3-8BC57233725E}"/>
    <cellStyle name="Normal 8 5 2 3 2 2 3" xfId="26469" xr:uid="{EBFD436F-F38F-4872-AD71-4EE85C2332E7}"/>
    <cellStyle name="Normal 8 5 2 3 2 3" xfId="12953" xr:uid="{5B27C613-BF6E-497D-8F1F-D7A2A5364D70}"/>
    <cellStyle name="Normal 8 5 2 3 2 3 2" xfId="31549" xr:uid="{F33C7573-971C-4268-AD39-C31FA3565F59}"/>
    <cellStyle name="Normal 8 5 2 3 2 4" xfId="22252" xr:uid="{95AA44AD-BE28-4FD6-99B1-8FA3F0AC768E}"/>
    <cellStyle name="Normal 8 5 2 3 3" xfId="5699" xr:uid="{00000000-0005-0000-0000-0000281E0000}"/>
    <cellStyle name="Normal 8 5 2 3 3 2" xfId="15025" xr:uid="{87FAC3A8-E934-4B87-ACCD-8D461C32900C}"/>
    <cellStyle name="Normal 8 5 2 3 3 2 2" xfId="33621" xr:uid="{8F00F5E5-0A3A-45FE-94AD-040DF895653A}"/>
    <cellStyle name="Normal 8 5 2 3 3 3" xfId="24324" xr:uid="{D14DE088-10C0-44ED-8752-64F312991F4D}"/>
    <cellStyle name="Normal 8 5 2 3 4" xfId="10808" xr:uid="{19778D81-75C5-4EDB-B7E4-78F1649273DC}"/>
    <cellStyle name="Normal 8 5 2 3 4 2" xfId="29404" xr:uid="{96104799-CC68-40AF-B92E-728221F25EF0}"/>
    <cellStyle name="Normal 8 5 2 3 5" xfId="20107" xr:uid="{0C0156ED-DB38-453E-B426-AC4CF706844E}"/>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14CA36A9-E929-4FBF-BB65-6974B3CFDEE3}"/>
    <cellStyle name="Normal 8 5 2 4 2 2 2 2" xfId="36179" xr:uid="{CB44E31E-21BF-4385-B325-2DF30265357F}"/>
    <cellStyle name="Normal 8 5 2 4 2 2 3" xfId="26882" xr:uid="{17D325B7-E4B4-4EAE-8238-229D89718700}"/>
    <cellStyle name="Normal 8 5 2 4 2 3" xfId="13366" xr:uid="{0F5DB1C7-A8B2-4F30-9BB2-57F4F9FBD540}"/>
    <cellStyle name="Normal 8 5 2 4 2 3 2" xfId="31962" xr:uid="{FC2DD776-CDCA-4F35-8461-F0B007E3EB4C}"/>
    <cellStyle name="Normal 8 5 2 4 2 4" xfId="22665" xr:uid="{918BFBC3-296D-4FD1-9937-0401A3AE0513}"/>
    <cellStyle name="Normal 8 5 2 4 3" xfId="6112" xr:uid="{00000000-0005-0000-0000-00002C1E0000}"/>
    <cellStyle name="Normal 8 5 2 4 3 2" xfId="15438" xr:uid="{F900B351-8004-4CDF-9A12-AF6D5E7C7CED}"/>
    <cellStyle name="Normal 8 5 2 4 3 2 2" xfId="34034" xr:uid="{99C894D1-CE86-4A63-89BF-EC4A97542BB9}"/>
    <cellStyle name="Normal 8 5 2 4 3 3" xfId="24737" xr:uid="{77C3C9A4-6610-4054-A26C-3B93AB387F0B}"/>
    <cellStyle name="Normal 8 5 2 4 4" xfId="11221" xr:uid="{3E431425-F866-4792-ADA0-1E2E7CC1FF8C}"/>
    <cellStyle name="Normal 8 5 2 4 4 2" xfId="29817" xr:uid="{964073F4-C482-436A-9ADD-03B3FF939DFF}"/>
    <cellStyle name="Normal 8 5 2 4 5" xfId="20520" xr:uid="{D62C389D-C0A6-43E3-8F91-770DBB37DA50}"/>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89FDB60D-A5DD-4E06-8522-6DCAB754BAFD}"/>
    <cellStyle name="Normal 8 5 2 5 2 2 2 2" xfId="36592" xr:uid="{F8D45AE6-D491-4548-A332-55143D98290F}"/>
    <cellStyle name="Normal 8 5 2 5 2 2 3" xfId="27295" xr:uid="{6A72846B-FF2B-47E5-B7FF-3C6AAB2E9590}"/>
    <cellStyle name="Normal 8 5 2 5 2 3" xfId="13779" xr:uid="{48316172-416C-4CF7-83F0-8ABE7AF524B4}"/>
    <cellStyle name="Normal 8 5 2 5 2 3 2" xfId="32375" xr:uid="{AF1C6550-9FC8-44C9-AAF0-100A657B2A78}"/>
    <cellStyle name="Normal 8 5 2 5 2 4" xfId="23078" xr:uid="{1E6891EB-F607-4C6B-94B2-DDC54A9472FD}"/>
    <cellStyle name="Normal 8 5 2 5 3" xfId="6525" xr:uid="{00000000-0005-0000-0000-0000301E0000}"/>
    <cellStyle name="Normal 8 5 2 5 3 2" xfId="15851" xr:uid="{305923C5-7678-43CB-96BE-0EF90451FAF1}"/>
    <cellStyle name="Normal 8 5 2 5 3 2 2" xfId="34447" xr:uid="{B8B9CDC1-96EC-4F10-B84A-286A65693541}"/>
    <cellStyle name="Normal 8 5 2 5 3 3" xfId="25150" xr:uid="{43AF231E-ED4A-4670-87CA-FE33EC16CE1C}"/>
    <cellStyle name="Normal 8 5 2 5 4" xfId="11634" xr:uid="{AC4C5497-01B1-4A79-AAE6-FC07B1CDE86C}"/>
    <cellStyle name="Normal 8 5 2 5 4 2" xfId="30230" xr:uid="{D9D89075-A385-4F82-96BF-F828D83E59E6}"/>
    <cellStyle name="Normal 8 5 2 5 5" xfId="20933" xr:uid="{FF762229-58D0-4906-AC79-C1F793F3FAEC}"/>
    <cellStyle name="Normal 8 5 2 6" xfId="2655" xr:uid="{00000000-0005-0000-0000-0000311E0000}"/>
    <cellStyle name="Normal 8 5 2 6 2" xfId="6938" xr:uid="{00000000-0005-0000-0000-0000321E0000}"/>
    <cellStyle name="Normal 8 5 2 6 2 2" xfId="16264" xr:uid="{E783B99C-10C6-402F-9EF3-28727C3987FA}"/>
    <cellStyle name="Normal 8 5 2 6 2 2 2" xfId="34860" xr:uid="{1FC29A4D-5791-49E5-AE8F-68A216797BA8}"/>
    <cellStyle name="Normal 8 5 2 6 2 3" xfId="25563" xr:uid="{4292E16E-9E5D-44D4-8992-EFD86FC53BBA}"/>
    <cellStyle name="Normal 8 5 2 6 3" xfId="12047" xr:uid="{CE800378-7D6A-4D68-BF1F-D5EC7549E57B}"/>
    <cellStyle name="Normal 8 5 2 6 3 2" xfId="30643" xr:uid="{8F861945-1A3B-4E33-A7C2-9373979EC68D}"/>
    <cellStyle name="Normal 8 5 2 6 4" xfId="21346" xr:uid="{3528092D-CD05-44F8-86F8-4E4A3BDBB1AF}"/>
    <cellStyle name="Normal 8 5 2 7" xfId="4873" xr:uid="{00000000-0005-0000-0000-0000331E0000}"/>
    <cellStyle name="Normal 8 5 2 7 2" xfId="14199" xr:uid="{775BDF5D-C7F8-4769-8CA0-EB543ADDC4C3}"/>
    <cellStyle name="Normal 8 5 2 7 2 2" xfId="32795" xr:uid="{9062D51B-081C-41B1-A26C-DB85D2711889}"/>
    <cellStyle name="Normal 8 5 2 7 3" xfId="23498" xr:uid="{8FE834CB-C28E-40D7-9E2D-3207FC5A6E4B}"/>
    <cellStyle name="Normal 8 5 2 8" xfId="9052" xr:uid="{D754D15A-EECE-4975-9542-AF3C340304E3}"/>
    <cellStyle name="Normal 8 5 2 8 2" xfId="18376" xr:uid="{F977AAAE-2FC2-4659-B77F-294DE774A8AA}"/>
    <cellStyle name="Normal 8 5 2 8 2 2" xfId="36971" xr:uid="{415B7D2C-A179-41B4-BE00-AA3012402FDE}"/>
    <cellStyle name="Normal 8 5 2 8 3" xfId="27674" xr:uid="{2CE17B46-1C6C-41C7-8124-E2E3AA144CA0}"/>
    <cellStyle name="Normal 8 5 2 9" xfId="9982" xr:uid="{99AD027D-2159-4EC5-BF03-4BAEE79A8D7D}"/>
    <cellStyle name="Normal 8 5 2 9 2" xfId="28578" xr:uid="{2D06E7FF-4135-4DF7-8465-EDB90504B1E8}"/>
    <cellStyle name="Normal 8 5 3" xfId="974" xr:uid="{00000000-0005-0000-0000-0000341E0000}"/>
    <cellStyle name="Normal 8 5 3 2" xfId="3208" xr:uid="{00000000-0005-0000-0000-0000351E0000}"/>
    <cellStyle name="Normal 8 5 3 2 2" xfId="7430" xr:uid="{00000000-0005-0000-0000-0000361E0000}"/>
    <cellStyle name="Normal 8 5 3 2 2 2" xfId="16756" xr:uid="{B601FFE1-62F1-4701-BC2E-D44BD0E20C62}"/>
    <cellStyle name="Normal 8 5 3 2 2 2 2" xfId="35352" xr:uid="{BCF594E7-7D51-4360-9116-3495B51189DD}"/>
    <cellStyle name="Normal 8 5 3 2 2 3" xfId="26055" xr:uid="{67435BE6-0A86-4E83-BC61-1940D88D9AEC}"/>
    <cellStyle name="Normal 8 5 3 2 3" xfId="12539" xr:uid="{E7DC432D-4D4C-41B1-B4D1-FF485D168D95}"/>
    <cellStyle name="Normal 8 5 3 2 3 2" xfId="31135" xr:uid="{AA97DC68-6C58-4407-88EC-68E112ABB61D}"/>
    <cellStyle name="Normal 8 5 3 2 4" xfId="21838" xr:uid="{65986A7C-B34D-4860-97DF-79592698DA2C}"/>
    <cellStyle name="Normal 8 5 3 3" xfId="5285" xr:uid="{00000000-0005-0000-0000-0000371E0000}"/>
    <cellStyle name="Normal 8 5 3 3 2" xfId="14611" xr:uid="{48158EAA-0F5B-49CD-8F92-9D13E7631084}"/>
    <cellStyle name="Normal 8 5 3 3 2 2" xfId="33207" xr:uid="{2B4448B4-4D73-4269-BAC9-ECBE004FE669}"/>
    <cellStyle name="Normal 8 5 3 3 3" xfId="23910" xr:uid="{5D391A02-BA78-426A-ADAE-14FCE98086B5}"/>
    <cellStyle name="Normal 8 5 3 4" xfId="9270" xr:uid="{88F9D262-71F2-4DD2-A7F6-B0DCE74ABD45}"/>
    <cellStyle name="Normal 8 5 3 4 2" xfId="18585" xr:uid="{D63B6E4C-90DE-43B6-9C8A-FB8F4CCAD46F}"/>
    <cellStyle name="Normal 8 5 3 4 2 2" xfId="37179" xr:uid="{4485D6E9-FC26-47A2-BAB6-081C5C1907AB}"/>
    <cellStyle name="Normal 8 5 3 4 3" xfId="27882" xr:uid="{1309452D-904B-4EFD-981A-3BADE1D58A14}"/>
    <cellStyle name="Normal 8 5 3 5" xfId="10394" xr:uid="{F5A08B3A-9F10-4CEA-A74F-4956D56F9770}"/>
    <cellStyle name="Normal 8 5 3 5 2" xfId="28990" xr:uid="{44DA4720-CEDA-474F-BDE5-AD23FD4E58A1}"/>
    <cellStyle name="Normal 8 5 3 6" xfId="19693" xr:uid="{602D001C-0BA0-4644-9EA5-189E945C4E6E}"/>
    <cellStyle name="Normal 8 5 4" xfId="1391" xr:uid="{00000000-0005-0000-0000-0000381E0000}"/>
    <cellStyle name="Normal 8 5 4 2" xfId="3621" xr:uid="{00000000-0005-0000-0000-0000391E0000}"/>
    <cellStyle name="Normal 8 5 4 2 2" xfId="7843" xr:uid="{00000000-0005-0000-0000-00003A1E0000}"/>
    <cellStyle name="Normal 8 5 4 2 2 2" xfId="17169" xr:uid="{EF4D0AF3-A5F4-4EAA-9FC8-48E4EF2CAF1E}"/>
    <cellStyle name="Normal 8 5 4 2 2 2 2" xfId="35765" xr:uid="{94E902E1-FD5F-45F8-8F43-4722D7305F3A}"/>
    <cellStyle name="Normal 8 5 4 2 2 3" xfId="26468" xr:uid="{2F69D61A-30AE-435F-A4D1-FAF05D1DFD40}"/>
    <cellStyle name="Normal 8 5 4 2 3" xfId="12952" xr:uid="{89191532-D05D-4387-9184-E9406B66D301}"/>
    <cellStyle name="Normal 8 5 4 2 3 2" xfId="31548" xr:uid="{D7A5BB25-BE5F-41DD-920E-DA34F8B4DDD3}"/>
    <cellStyle name="Normal 8 5 4 2 4" xfId="22251" xr:uid="{FC338647-6295-42AA-8ACD-5CA375FAB567}"/>
    <cellStyle name="Normal 8 5 4 3" xfId="5698" xr:uid="{00000000-0005-0000-0000-00003B1E0000}"/>
    <cellStyle name="Normal 8 5 4 3 2" xfId="15024" xr:uid="{6AC57F17-2FAA-4C93-917A-5695B2F8BB12}"/>
    <cellStyle name="Normal 8 5 4 3 2 2" xfId="33620" xr:uid="{C04C3037-3F6C-435B-BFBC-9B396CB04784}"/>
    <cellStyle name="Normal 8 5 4 3 3" xfId="24323" xr:uid="{546CBC96-BA23-48E8-9EFF-7812B0557B67}"/>
    <cellStyle name="Normal 8 5 4 4" xfId="10807" xr:uid="{F53C5807-5397-4C91-A5F6-C7E9A10E2814}"/>
    <cellStyle name="Normal 8 5 4 4 2" xfId="29403" xr:uid="{88826E8E-47F1-49F7-A8B9-B5626749B112}"/>
    <cellStyle name="Normal 8 5 4 5" xfId="20106" xr:uid="{B6EC4CE5-720B-4F5A-A60E-41CAA5187BB5}"/>
    <cellStyle name="Normal 8 5 5" xfId="1804" xr:uid="{00000000-0005-0000-0000-00003C1E0000}"/>
    <cellStyle name="Normal 8 5 5 2" xfId="4034" xr:uid="{00000000-0005-0000-0000-00003D1E0000}"/>
    <cellStyle name="Normal 8 5 5 2 2" xfId="8256" xr:uid="{00000000-0005-0000-0000-00003E1E0000}"/>
    <cellStyle name="Normal 8 5 5 2 2 2" xfId="17582" xr:uid="{547F519C-9DA1-4574-BFDC-F346135A42A1}"/>
    <cellStyle name="Normal 8 5 5 2 2 2 2" xfId="36178" xr:uid="{3E806DA7-33FF-4449-81C5-E835128AA81C}"/>
    <cellStyle name="Normal 8 5 5 2 2 3" xfId="26881" xr:uid="{725B629C-C507-48CA-9D77-A1887639FA87}"/>
    <cellStyle name="Normal 8 5 5 2 3" xfId="13365" xr:uid="{67A3BAA9-096D-4124-8301-E729351A653A}"/>
    <cellStyle name="Normal 8 5 5 2 3 2" xfId="31961" xr:uid="{8293CA98-D8E3-4ADC-B50B-6024C7873C19}"/>
    <cellStyle name="Normal 8 5 5 2 4" xfId="22664" xr:uid="{DA3610C6-6E71-4DD7-A2DB-1553F6051C35}"/>
    <cellStyle name="Normal 8 5 5 3" xfId="6111" xr:uid="{00000000-0005-0000-0000-00003F1E0000}"/>
    <cellStyle name="Normal 8 5 5 3 2" xfId="15437" xr:uid="{CD22DADF-C476-49B3-A51F-CD040B1288C3}"/>
    <cellStyle name="Normal 8 5 5 3 2 2" xfId="34033" xr:uid="{54348630-97EC-40E8-A78B-57E19402A4D1}"/>
    <cellStyle name="Normal 8 5 5 3 3" xfId="24736" xr:uid="{D7761E3F-DB88-4AD6-9365-265B00001C80}"/>
    <cellStyle name="Normal 8 5 5 4" xfId="11220" xr:uid="{DBB1E7BA-8555-4071-9C14-7418EC297A21}"/>
    <cellStyle name="Normal 8 5 5 4 2" xfId="29816" xr:uid="{88A4AED9-7E39-4895-A4A6-7E0FCCC26659}"/>
    <cellStyle name="Normal 8 5 5 5" xfId="20519" xr:uid="{B2A747D1-AEAC-4AAA-B1B0-EE368EE38B9E}"/>
    <cellStyle name="Normal 8 5 6" xfId="2218" xr:uid="{00000000-0005-0000-0000-0000401E0000}"/>
    <cellStyle name="Normal 8 5 6 2" xfId="4447" xr:uid="{00000000-0005-0000-0000-0000411E0000}"/>
    <cellStyle name="Normal 8 5 6 2 2" xfId="8669" xr:uid="{00000000-0005-0000-0000-0000421E0000}"/>
    <cellStyle name="Normal 8 5 6 2 2 2" xfId="17995" xr:uid="{62C22A44-5FEA-42F7-99DD-FF098760CA96}"/>
    <cellStyle name="Normal 8 5 6 2 2 2 2" xfId="36591" xr:uid="{400A9FD2-27B0-43E8-A33D-BC517C2CAEE8}"/>
    <cellStyle name="Normal 8 5 6 2 2 3" xfId="27294" xr:uid="{4DBABF4B-6507-40F1-B924-398B33E74D38}"/>
    <cellStyle name="Normal 8 5 6 2 3" xfId="13778" xr:uid="{C149E887-BB00-4F1F-9FCA-12735952110F}"/>
    <cellStyle name="Normal 8 5 6 2 3 2" xfId="32374" xr:uid="{5B1AE485-9052-4155-B1D6-564DBADE8B14}"/>
    <cellStyle name="Normal 8 5 6 2 4" xfId="23077" xr:uid="{0871C5B9-8DD1-4E50-A593-41F41D2D3183}"/>
    <cellStyle name="Normal 8 5 6 3" xfId="6524" xr:uid="{00000000-0005-0000-0000-0000431E0000}"/>
    <cellStyle name="Normal 8 5 6 3 2" xfId="15850" xr:uid="{6B2F5406-44A5-483E-B8DD-7892289687DF}"/>
    <cellStyle name="Normal 8 5 6 3 2 2" xfId="34446" xr:uid="{6FBA3F08-2A86-4A7D-8F57-55AD24F32FE4}"/>
    <cellStyle name="Normal 8 5 6 3 3" xfId="25149" xr:uid="{2168D06A-196E-413A-BC1E-D020E862A2FE}"/>
    <cellStyle name="Normal 8 5 6 4" xfId="11633" xr:uid="{B7598A00-04CC-4B4C-914C-B4B4000A56DF}"/>
    <cellStyle name="Normal 8 5 6 4 2" xfId="30229" xr:uid="{68AEC573-B543-4AD6-B359-E132D862461D}"/>
    <cellStyle name="Normal 8 5 6 5" xfId="20932" xr:uid="{9F79C8E4-70F6-4657-8AE2-BE32BB9FB766}"/>
    <cellStyle name="Normal 8 5 7" xfId="2654" xr:uid="{00000000-0005-0000-0000-0000441E0000}"/>
    <cellStyle name="Normal 8 5 7 2" xfId="6937" xr:uid="{00000000-0005-0000-0000-0000451E0000}"/>
    <cellStyle name="Normal 8 5 7 2 2" xfId="16263" xr:uid="{E1257C24-05AF-447D-B906-4BC9E3485192}"/>
    <cellStyle name="Normal 8 5 7 2 2 2" xfId="34859" xr:uid="{B3569B1C-C8D3-4E83-82CE-CB558044810C}"/>
    <cellStyle name="Normal 8 5 7 2 3" xfId="25562" xr:uid="{BC0C5414-DB15-4357-84C7-96F8E6AB7DB7}"/>
    <cellStyle name="Normal 8 5 7 3" xfId="12046" xr:uid="{90BB40A3-38A8-43EB-A4B8-E668430CB10E}"/>
    <cellStyle name="Normal 8 5 7 3 2" xfId="30642" xr:uid="{C116791E-7FC2-4738-B4C1-F70312CA5CB2}"/>
    <cellStyle name="Normal 8 5 7 4" xfId="21345" xr:uid="{D73AB245-99CC-4DE1-9CF7-F258D859C008}"/>
    <cellStyle name="Normal 8 5 8" xfId="4872" xr:uid="{00000000-0005-0000-0000-0000461E0000}"/>
    <cellStyle name="Normal 8 5 8 2" xfId="14198" xr:uid="{30FDD848-6E05-4FB5-8CCB-1DDD1302F783}"/>
    <cellStyle name="Normal 8 5 8 2 2" xfId="32794" xr:uid="{05C79E3D-C288-48CC-A363-3DA5E332FB5F}"/>
    <cellStyle name="Normal 8 5 8 3" xfId="23497" xr:uid="{EF19485C-796E-4584-9C94-57EF82FA4AE4}"/>
    <cellStyle name="Normal 8 5 9" xfId="8845" xr:uid="{C8167C67-59BC-42DE-816D-718433EFB28C}"/>
    <cellStyle name="Normal 8 5 9 2" xfId="18169" xr:uid="{16F7F40E-6E0C-40EB-B3FF-46B9D01457DE}"/>
    <cellStyle name="Normal 8 5 9 2 2" xfId="36764" xr:uid="{1E5A17B1-A8BD-4C67-82B4-F3CA9EA12EEF}"/>
    <cellStyle name="Normal 8 5 9 3" xfId="27467" xr:uid="{741005F4-BDAB-4972-9A90-6F836F37E639}"/>
    <cellStyle name="Normal 8 6" xfId="509" xr:uid="{00000000-0005-0000-0000-0000471E0000}"/>
    <cellStyle name="Normal 8 6 10" xfId="19282" xr:uid="{DEDCE609-1788-4D44-8015-133F62E843F2}"/>
    <cellStyle name="Normal 8 6 2" xfId="976" xr:uid="{00000000-0005-0000-0000-0000481E0000}"/>
    <cellStyle name="Normal 8 6 2 2" xfId="3210" xr:uid="{00000000-0005-0000-0000-0000491E0000}"/>
    <cellStyle name="Normal 8 6 2 2 2" xfId="7432" xr:uid="{00000000-0005-0000-0000-00004A1E0000}"/>
    <cellStyle name="Normal 8 6 2 2 2 2" xfId="16758" xr:uid="{E3695B7E-E5EE-451C-8C44-092973663DD7}"/>
    <cellStyle name="Normal 8 6 2 2 2 2 2" xfId="35354" xr:uid="{B17F135D-498E-437A-B9AE-2A0FE4B1A80B}"/>
    <cellStyle name="Normal 8 6 2 2 2 3" xfId="26057" xr:uid="{72446B78-B9B3-4765-837F-E4AA39F62E83}"/>
    <cellStyle name="Normal 8 6 2 2 3" xfId="12541" xr:uid="{BCC0B4CD-FED7-45CC-B3EE-0B7241ABA875}"/>
    <cellStyle name="Normal 8 6 2 2 3 2" xfId="31137" xr:uid="{EDEFDE34-7FFD-404D-A503-26A29E9D80C1}"/>
    <cellStyle name="Normal 8 6 2 2 4" xfId="21840" xr:uid="{2867A8C7-48EF-4FBA-82E6-39C7B1CB668E}"/>
    <cellStyle name="Normal 8 6 2 3" xfId="5287" xr:uid="{00000000-0005-0000-0000-00004B1E0000}"/>
    <cellStyle name="Normal 8 6 2 3 2" xfId="14613" xr:uid="{1802C5EF-4FB4-45BD-823A-757391E1891C}"/>
    <cellStyle name="Normal 8 6 2 3 2 2" xfId="33209" xr:uid="{C0E9BEB1-2263-4C99-87B8-83C504C92613}"/>
    <cellStyle name="Normal 8 6 2 3 3" xfId="23912" xr:uid="{2DFC676C-32BC-403F-8742-E1328F43FDAF}"/>
    <cellStyle name="Normal 8 6 2 4" xfId="9386" xr:uid="{45A5CE0D-B006-45BB-A53E-22B23F4367E3}"/>
    <cellStyle name="Normal 8 6 2 4 2" xfId="18701" xr:uid="{DEF44695-9987-4ECD-9EE1-B6E727B2F21A}"/>
    <cellStyle name="Normal 8 6 2 4 2 2" xfId="37295" xr:uid="{B50D831C-D4EB-46C1-9AA4-48BF6F87273A}"/>
    <cellStyle name="Normal 8 6 2 4 3" xfId="27998" xr:uid="{A44A9559-ABF1-415B-9858-670F3DCF4C9B}"/>
    <cellStyle name="Normal 8 6 2 5" xfId="10396" xr:uid="{CE6C844D-C1E5-4BC4-800D-90509E506E0A}"/>
    <cellStyle name="Normal 8 6 2 5 2" xfId="28992" xr:uid="{9A26E59B-CF80-42EA-90CD-24AE2CCC4FC9}"/>
    <cellStyle name="Normal 8 6 2 6" xfId="19695" xr:uid="{9D2A0B20-88EE-440D-A60E-724ACE209B67}"/>
    <cellStyle name="Normal 8 6 3" xfId="1393" xr:uid="{00000000-0005-0000-0000-00004C1E0000}"/>
    <cellStyle name="Normal 8 6 3 2" xfId="3623" xr:uid="{00000000-0005-0000-0000-00004D1E0000}"/>
    <cellStyle name="Normal 8 6 3 2 2" xfId="7845" xr:uid="{00000000-0005-0000-0000-00004E1E0000}"/>
    <cellStyle name="Normal 8 6 3 2 2 2" xfId="17171" xr:uid="{3F5F92C7-9759-470D-9252-417DEFAE8DEE}"/>
    <cellStyle name="Normal 8 6 3 2 2 2 2" xfId="35767" xr:uid="{3E003C55-B050-4779-B434-84BBAAC297B2}"/>
    <cellStyle name="Normal 8 6 3 2 2 3" xfId="26470" xr:uid="{BC3CA02D-CC99-4222-AE97-C1910773FA41}"/>
    <cellStyle name="Normal 8 6 3 2 3" xfId="12954" xr:uid="{8C6B2AE3-3335-46EC-A278-1CC8A84E89AB}"/>
    <cellStyle name="Normal 8 6 3 2 3 2" xfId="31550" xr:uid="{51C01843-8F9B-4C26-8ECF-092FD9B7843D}"/>
    <cellStyle name="Normal 8 6 3 2 4" xfId="22253" xr:uid="{5DC88D13-3B87-4CDC-999A-EBDF802D7896}"/>
    <cellStyle name="Normal 8 6 3 3" xfId="5700" xr:uid="{00000000-0005-0000-0000-00004F1E0000}"/>
    <cellStyle name="Normal 8 6 3 3 2" xfId="15026" xr:uid="{1759ABD9-ED6B-4477-8B9B-0CC6704F3A22}"/>
    <cellStyle name="Normal 8 6 3 3 2 2" xfId="33622" xr:uid="{F58AB2A4-86F9-42DD-B145-FE607BA8193A}"/>
    <cellStyle name="Normal 8 6 3 3 3" xfId="24325" xr:uid="{CCD0AE2E-660C-4BAF-9904-BF03A3100E8B}"/>
    <cellStyle name="Normal 8 6 3 4" xfId="10809" xr:uid="{5DC9BFB7-CC84-42B5-AB45-E29198DDED9F}"/>
    <cellStyle name="Normal 8 6 3 4 2" xfId="29405" xr:uid="{F569D696-7F87-4BDA-BB17-2EDF521B5E6D}"/>
    <cellStyle name="Normal 8 6 3 5" xfId="20108" xr:uid="{735025AA-6F38-4562-9D87-F7ABDC4EAD00}"/>
    <cellStyle name="Normal 8 6 4" xfId="1806" xr:uid="{00000000-0005-0000-0000-0000501E0000}"/>
    <cellStyle name="Normal 8 6 4 2" xfId="4036" xr:uid="{00000000-0005-0000-0000-0000511E0000}"/>
    <cellStyle name="Normal 8 6 4 2 2" xfId="8258" xr:uid="{00000000-0005-0000-0000-0000521E0000}"/>
    <cellStyle name="Normal 8 6 4 2 2 2" xfId="17584" xr:uid="{246A1C54-C031-4341-9B00-4E466C8C7509}"/>
    <cellStyle name="Normal 8 6 4 2 2 2 2" xfId="36180" xr:uid="{7805219A-E3D4-42DE-AEAB-8D3BE9E69833}"/>
    <cellStyle name="Normal 8 6 4 2 2 3" xfId="26883" xr:uid="{795FB14F-1E76-4F47-817F-0AFE86E63674}"/>
    <cellStyle name="Normal 8 6 4 2 3" xfId="13367" xr:uid="{0E6AB11A-9EA4-4BC6-80A6-73B43B2DBBBE}"/>
    <cellStyle name="Normal 8 6 4 2 3 2" xfId="31963" xr:uid="{A9CE10A2-7412-4198-861C-876794BA25B8}"/>
    <cellStyle name="Normal 8 6 4 2 4" xfId="22666" xr:uid="{DEB62A8C-4AE9-4FF6-A6A6-3ED6BCD86A39}"/>
    <cellStyle name="Normal 8 6 4 3" xfId="6113" xr:uid="{00000000-0005-0000-0000-0000531E0000}"/>
    <cellStyle name="Normal 8 6 4 3 2" xfId="15439" xr:uid="{7E58A0A3-F84A-4ADE-AC0F-CBAF4730A80E}"/>
    <cellStyle name="Normal 8 6 4 3 2 2" xfId="34035" xr:uid="{F549A0F5-4ADC-4FBA-B0DE-25044F33DE67}"/>
    <cellStyle name="Normal 8 6 4 3 3" xfId="24738" xr:uid="{1DBD3E9D-6C48-4D20-B40B-074107006E6A}"/>
    <cellStyle name="Normal 8 6 4 4" xfId="11222" xr:uid="{C9C9A46B-784F-4659-B383-C1B7E2C6E49B}"/>
    <cellStyle name="Normal 8 6 4 4 2" xfId="29818" xr:uid="{63F14C15-378F-426B-8B01-62769833B7F6}"/>
    <cellStyle name="Normal 8 6 4 5" xfId="20521" xr:uid="{D3BA0402-84A8-4C4F-9B8E-7E912D2A5EBA}"/>
    <cellStyle name="Normal 8 6 5" xfId="2220" xr:uid="{00000000-0005-0000-0000-0000541E0000}"/>
    <cellStyle name="Normal 8 6 5 2" xfId="4449" xr:uid="{00000000-0005-0000-0000-0000551E0000}"/>
    <cellStyle name="Normal 8 6 5 2 2" xfId="8671" xr:uid="{00000000-0005-0000-0000-0000561E0000}"/>
    <cellStyle name="Normal 8 6 5 2 2 2" xfId="17997" xr:uid="{72BA0303-05B0-4B96-A0D7-BFDDBBE5EB08}"/>
    <cellStyle name="Normal 8 6 5 2 2 2 2" xfId="36593" xr:uid="{0A729EE5-2F9F-4698-B955-D26CD201B6B7}"/>
    <cellStyle name="Normal 8 6 5 2 2 3" xfId="27296" xr:uid="{0299F775-5C94-496C-A321-2F8AC43D37E8}"/>
    <cellStyle name="Normal 8 6 5 2 3" xfId="13780" xr:uid="{F00CB0A0-C660-4636-A25C-535E0286D34D}"/>
    <cellStyle name="Normal 8 6 5 2 3 2" xfId="32376" xr:uid="{CFCE22F8-C43D-4A16-AEE4-B14B55F52524}"/>
    <cellStyle name="Normal 8 6 5 2 4" xfId="23079" xr:uid="{77CC8C4E-83F0-4EE2-9A2C-CF7716BA7506}"/>
    <cellStyle name="Normal 8 6 5 3" xfId="6526" xr:uid="{00000000-0005-0000-0000-0000571E0000}"/>
    <cellStyle name="Normal 8 6 5 3 2" xfId="15852" xr:uid="{2848AF9E-FA82-4E8F-8DB1-20BC450DB08C}"/>
    <cellStyle name="Normal 8 6 5 3 2 2" xfId="34448" xr:uid="{867C999A-D920-468F-AB85-BDA424E9AF3B}"/>
    <cellStyle name="Normal 8 6 5 3 3" xfId="25151" xr:uid="{29E6F549-6DF6-4FA4-B9BE-078C3C37D900}"/>
    <cellStyle name="Normal 8 6 5 4" xfId="11635" xr:uid="{B33EC58A-4F79-42FB-870C-7A90A2934C9D}"/>
    <cellStyle name="Normal 8 6 5 4 2" xfId="30231" xr:uid="{BF944839-894E-494A-ADA1-0A7BEECF8846}"/>
    <cellStyle name="Normal 8 6 5 5" xfId="20934" xr:uid="{9F606F68-C8C1-4EA4-ADD9-17B686C0E3A6}"/>
    <cellStyle name="Normal 8 6 6" xfId="2656" xr:uid="{00000000-0005-0000-0000-0000581E0000}"/>
    <cellStyle name="Normal 8 6 6 2" xfId="6939" xr:uid="{00000000-0005-0000-0000-0000591E0000}"/>
    <cellStyle name="Normal 8 6 6 2 2" xfId="16265" xr:uid="{4E1CB188-BF12-4DFE-9815-E6E5437C92D8}"/>
    <cellStyle name="Normal 8 6 6 2 2 2" xfId="34861" xr:uid="{077CEB2C-80BF-4737-BEBE-873A5AB6DF68}"/>
    <cellStyle name="Normal 8 6 6 2 3" xfId="25564" xr:uid="{33885E8A-DC36-4C1C-81D4-D26CB2444896}"/>
    <cellStyle name="Normal 8 6 6 3" xfId="12048" xr:uid="{539D934B-23C5-4966-AA15-46152E5BDF45}"/>
    <cellStyle name="Normal 8 6 6 3 2" xfId="30644" xr:uid="{927C1845-92BD-40F1-9132-352B12B0F2C4}"/>
    <cellStyle name="Normal 8 6 6 4" xfId="21347" xr:uid="{6F2D6138-0CB0-4376-9489-9EF81487BCAA}"/>
    <cellStyle name="Normal 8 6 7" xfId="4874" xr:uid="{00000000-0005-0000-0000-00005A1E0000}"/>
    <cellStyle name="Normal 8 6 7 2" xfId="14200" xr:uid="{B7E7B42A-13CB-4BC8-9D7D-A98B14D0145B}"/>
    <cellStyle name="Normal 8 6 7 2 2" xfId="32796" xr:uid="{B33A5E1A-AB2B-4F64-BAF9-272CEA16257D}"/>
    <cellStyle name="Normal 8 6 7 3" xfId="23499" xr:uid="{B2349AA1-B964-4AC6-8185-EA10E27BDEF9}"/>
    <cellStyle name="Normal 8 6 8" xfId="8961" xr:uid="{36060843-7B38-46C3-B2F1-7172ECB11EEE}"/>
    <cellStyle name="Normal 8 6 8 2" xfId="18285" xr:uid="{6E9E1A2C-93FA-4050-A1B2-537FED2D51EC}"/>
    <cellStyle name="Normal 8 6 8 2 2" xfId="36880" xr:uid="{131C5933-B51B-4A73-ABDE-1F568F038311}"/>
    <cellStyle name="Normal 8 6 8 3" xfId="27583" xr:uid="{8A717A56-A139-462D-A65B-C10DF6CB74D6}"/>
    <cellStyle name="Normal 8 6 9" xfId="9983" xr:uid="{4C2983CD-8CF1-4DD8-97A2-8D991B0666F7}"/>
    <cellStyle name="Normal 8 6 9 2" xfId="28579" xr:uid="{361F7DE3-B8D8-4F04-9C11-1D3DB8CEAD23}"/>
    <cellStyle name="Normal 8 7" xfId="945" xr:uid="{00000000-0005-0000-0000-00005B1E0000}"/>
    <cellStyle name="Normal 8 7 2" xfId="3179" xr:uid="{00000000-0005-0000-0000-00005C1E0000}"/>
    <cellStyle name="Normal 8 7 2 2" xfId="7401" xr:uid="{00000000-0005-0000-0000-00005D1E0000}"/>
    <cellStyle name="Normal 8 7 2 2 2" xfId="16727" xr:uid="{1F36D256-90C5-4803-BFAA-7D2CB669058B}"/>
    <cellStyle name="Normal 8 7 2 2 2 2" xfId="35323" xr:uid="{21555629-CA42-43F5-B422-8174BA10EC05}"/>
    <cellStyle name="Normal 8 7 2 2 3" xfId="26026" xr:uid="{6DC782E8-2F51-4031-B3B8-7182C30DF51A}"/>
    <cellStyle name="Normal 8 7 2 3" xfId="12510" xr:uid="{2231A66A-7880-41E1-91DC-2C400D3E5AFF}"/>
    <cellStyle name="Normal 8 7 2 3 2" xfId="31106" xr:uid="{A1A72D84-D6FB-47F8-BEF7-472875A3C3E7}"/>
    <cellStyle name="Normal 8 7 2 4" xfId="21809" xr:uid="{C2DB84DB-78FF-4796-8364-BF6C3FF0BC2E}"/>
    <cellStyle name="Normal 8 7 3" xfId="5256" xr:uid="{00000000-0005-0000-0000-00005E1E0000}"/>
    <cellStyle name="Normal 8 7 3 2" xfId="14582" xr:uid="{6391463B-3A4C-41C9-AE34-0E44F5278D18}"/>
    <cellStyle name="Normal 8 7 3 2 2" xfId="33178" xr:uid="{AE3EEDA8-1984-40A0-BF78-C55E22058AAC}"/>
    <cellStyle name="Normal 8 7 3 3" xfId="23881" xr:uid="{C5CCA6F7-B7E4-4783-8E15-059CF31422E3}"/>
    <cellStyle name="Normal 8 7 4" xfId="9164" xr:uid="{EA2ADDDA-E9AC-4FF8-B08B-61B1D6489A46}"/>
    <cellStyle name="Normal 8 7 4 2" xfId="18482" xr:uid="{6C257B3C-5598-4A0D-BF3F-A781C382D66E}"/>
    <cellStyle name="Normal 8 7 4 2 2" xfId="37076" xr:uid="{F9D1AF8E-5E44-4452-B21F-4DC81E41D5CC}"/>
    <cellStyle name="Normal 8 7 4 3" xfId="27779" xr:uid="{E382B555-6892-4D99-A40A-A4342832396F}"/>
    <cellStyle name="Normal 8 7 5" xfId="10365" xr:uid="{24DE78FC-216A-4BCD-8233-162D4907B463}"/>
    <cellStyle name="Normal 8 7 5 2" xfId="28961" xr:uid="{9DD08DCD-09C0-44ED-9FAE-72477860D4BE}"/>
    <cellStyle name="Normal 8 7 6" xfId="19664" xr:uid="{EC8A97D7-8F3C-4FB3-A54E-27E248B9BE0B}"/>
    <cellStyle name="Normal 8 8" xfId="1362" xr:uid="{00000000-0005-0000-0000-00005F1E0000}"/>
    <cellStyle name="Normal 8 8 2" xfId="3592" xr:uid="{00000000-0005-0000-0000-0000601E0000}"/>
    <cellStyle name="Normal 8 8 2 2" xfId="7814" xr:uid="{00000000-0005-0000-0000-0000611E0000}"/>
    <cellStyle name="Normal 8 8 2 2 2" xfId="17140" xr:uid="{C892295A-C5DA-4C49-8A6F-8EE7AD3B7F5E}"/>
    <cellStyle name="Normal 8 8 2 2 2 2" xfId="35736" xr:uid="{4A9278CB-51D0-4BC3-9811-73B4BAB713F4}"/>
    <cellStyle name="Normal 8 8 2 2 3" xfId="26439" xr:uid="{B9F09112-1C6C-41DC-B506-7594D6BB6030}"/>
    <cellStyle name="Normal 8 8 2 3" xfId="12923" xr:uid="{CC307B49-3C8B-4FC3-B887-9FCB4C973879}"/>
    <cellStyle name="Normal 8 8 2 3 2" xfId="31519" xr:uid="{66AC91DB-5C42-4578-B341-9EA57057557F}"/>
    <cellStyle name="Normal 8 8 2 4" xfId="22222" xr:uid="{04AB6ECF-C965-4555-8543-4B46143D023C}"/>
    <cellStyle name="Normal 8 8 3" xfId="5669" xr:uid="{00000000-0005-0000-0000-0000621E0000}"/>
    <cellStyle name="Normal 8 8 3 2" xfId="14995" xr:uid="{8AA75CE6-C948-4AD1-A9D8-7CB590F5C1BB}"/>
    <cellStyle name="Normal 8 8 3 2 2" xfId="33591" xr:uid="{9BD20408-91FF-4BFA-A9B1-9A9F7AE36B5C}"/>
    <cellStyle name="Normal 8 8 3 3" xfId="24294" xr:uid="{7B47E26D-3DAA-4BEC-85B3-5B00F989E1DF}"/>
    <cellStyle name="Normal 8 8 4" xfId="10778" xr:uid="{378638BF-E4E7-4679-8D04-D1DD9306B7AE}"/>
    <cellStyle name="Normal 8 8 4 2" xfId="29374" xr:uid="{23CDD6AC-BDB5-4D27-A779-E62C056FB5FA}"/>
    <cellStyle name="Normal 8 8 5" xfId="20077" xr:uid="{8BC0708D-776A-4230-8D32-1584BB0D982F}"/>
    <cellStyle name="Normal 8 9" xfId="1775" xr:uid="{00000000-0005-0000-0000-0000631E0000}"/>
    <cellStyle name="Normal 8 9 2" xfId="4005" xr:uid="{00000000-0005-0000-0000-0000641E0000}"/>
    <cellStyle name="Normal 8 9 2 2" xfId="8227" xr:uid="{00000000-0005-0000-0000-0000651E0000}"/>
    <cellStyle name="Normal 8 9 2 2 2" xfId="17553" xr:uid="{4CB81F92-37A8-4923-85DB-5FBC1B6C669D}"/>
    <cellStyle name="Normal 8 9 2 2 2 2" xfId="36149" xr:uid="{ABAC51FF-234B-4B86-8205-1FCD9776F80C}"/>
    <cellStyle name="Normal 8 9 2 2 3" xfId="26852" xr:uid="{ACFB2051-2DBD-474C-BAD4-85D2688F6625}"/>
    <cellStyle name="Normal 8 9 2 3" xfId="13336" xr:uid="{E8B0DAA3-B182-43C5-98BA-C57D3970A139}"/>
    <cellStyle name="Normal 8 9 2 3 2" xfId="31932" xr:uid="{9DC08A0F-40C1-422F-BC2D-0314FC443AA3}"/>
    <cellStyle name="Normal 8 9 2 4" xfId="22635" xr:uid="{9FBBEEE2-6501-4B45-B74C-162CB185ACD6}"/>
    <cellStyle name="Normal 8 9 3" xfId="6082" xr:uid="{00000000-0005-0000-0000-0000661E0000}"/>
    <cellStyle name="Normal 8 9 3 2" xfId="15408" xr:uid="{88C7CAB0-93EB-41D2-BB42-911F87B0DCC7}"/>
    <cellStyle name="Normal 8 9 3 2 2" xfId="34004" xr:uid="{721003A6-B60C-435D-92A1-DC7E2E685309}"/>
    <cellStyle name="Normal 8 9 3 3" xfId="24707" xr:uid="{95A9C454-6EA8-474D-A535-09EDF8CC784D}"/>
    <cellStyle name="Normal 8 9 4" xfId="11191" xr:uid="{5144EC20-0D77-4DBE-84D2-F2B86907876B}"/>
    <cellStyle name="Normal 8 9 4 2" xfId="29787" xr:uid="{65B557B2-76BD-497E-9B0A-B56172966054}"/>
    <cellStyle name="Normal 8 9 5" xfId="20490" xr:uid="{3C65EC8E-49A1-405F-A5E9-E568F39AAAA2}"/>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2C1EDAED-1C41-46D9-97C7-9093470197CD}"/>
    <cellStyle name="Normal 9 2 10 2 2 2" xfId="34862" xr:uid="{7E396214-345C-4CB9-A230-17582E89ADFA}"/>
    <cellStyle name="Normal 9 2 10 2 3" xfId="25565" xr:uid="{1E51B18C-803F-443C-B2EA-D0D277D566D7}"/>
    <cellStyle name="Normal 9 2 10 3" xfId="12049" xr:uid="{0509E481-6E66-4224-AC64-9EED8214F9DA}"/>
    <cellStyle name="Normal 9 2 10 3 2" xfId="30645" xr:uid="{B60CE05A-373A-41E0-B527-47F63F91EC6A}"/>
    <cellStyle name="Normal 9 2 10 4" xfId="21348" xr:uid="{F0FCA631-1A05-4219-BCA3-C9D0A9D4EF10}"/>
    <cellStyle name="Normal 9 2 11" xfId="4875" xr:uid="{00000000-0005-0000-0000-00006B1E0000}"/>
    <cellStyle name="Normal 9 2 11 2" xfId="14201" xr:uid="{CDADF7D7-161D-49E9-9803-E88D772551EC}"/>
    <cellStyle name="Normal 9 2 11 2 2" xfId="32797" xr:uid="{7A73C359-DE37-4D63-A896-BD765240CF93}"/>
    <cellStyle name="Normal 9 2 11 3" xfId="23500" xr:uid="{B6916D9B-A259-482A-ADA9-9CAD6D8BC3F9}"/>
    <cellStyle name="Normal 9 2 12" xfId="8754" xr:uid="{9024D06A-4C5F-4C89-BCDB-29B8C924FF52}"/>
    <cellStyle name="Normal 9 2 12 2" xfId="18078" xr:uid="{64F6FB4E-4E4E-4A04-97DA-5DB9EB86D1FB}"/>
    <cellStyle name="Normal 9 2 12 2 2" xfId="36673" xr:uid="{098BE45B-7651-4FBE-995B-5380BCE07D86}"/>
    <cellStyle name="Normal 9 2 12 3" xfId="27376" xr:uid="{9FEEE022-FF9E-48E3-A8B9-A6DF9365C3E2}"/>
    <cellStyle name="Normal 9 2 13" xfId="9984" xr:uid="{B71D2A93-23D1-42AB-95FB-98B42249A3F4}"/>
    <cellStyle name="Normal 9 2 13 2" xfId="28580" xr:uid="{EFDA1ABF-EC08-4A01-A8A7-6809D209AB26}"/>
    <cellStyle name="Normal 9 2 14" xfId="19283" xr:uid="{3FD6BCEF-856C-424C-B948-082AF76EF96D}"/>
    <cellStyle name="Normal 9 2 2" xfId="512" xr:uid="{00000000-0005-0000-0000-00006C1E0000}"/>
    <cellStyle name="Normal 9 2 2 10" xfId="4876" xr:uid="{00000000-0005-0000-0000-00006D1E0000}"/>
    <cellStyle name="Normal 9 2 2 10 2" xfId="14202" xr:uid="{47432724-5455-4DF1-BC5E-BB9AB19766F8}"/>
    <cellStyle name="Normal 9 2 2 10 2 2" xfId="32798" xr:uid="{50F4FF53-92F0-43A6-8542-5334F873817A}"/>
    <cellStyle name="Normal 9 2 2 10 3" xfId="23501" xr:uid="{449C1A24-53F4-4173-8737-A46DA333012B}"/>
    <cellStyle name="Normal 9 2 2 11" xfId="8785" xr:uid="{3048542E-ED39-45ED-9C91-0140D2CF60D9}"/>
    <cellStyle name="Normal 9 2 2 11 2" xfId="18109" xr:uid="{BB5040FA-B322-42F0-A3DD-2E87F55343F3}"/>
    <cellStyle name="Normal 9 2 2 11 2 2" xfId="36704" xr:uid="{7147BE62-4DB5-42F0-B394-5D2E0370ECE0}"/>
    <cellStyle name="Normal 9 2 2 11 3" xfId="27407" xr:uid="{C9B4F97D-DD83-428C-A06F-960672E9536D}"/>
    <cellStyle name="Normal 9 2 2 12" xfId="9985" xr:uid="{67380691-094C-4F30-9084-6BDDA1E884EF}"/>
    <cellStyle name="Normal 9 2 2 12 2" xfId="28581" xr:uid="{788761C2-4DD2-46DF-84AC-3DCCAF894688}"/>
    <cellStyle name="Normal 9 2 2 13" xfId="19284" xr:uid="{3E8E32E2-C169-487B-909E-C01DAFCDD594}"/>
    <cellStyle name="Normal 9 2 2 2" xfId="513" xr:uid="{00000000-0005-0000-0000-00006E1E0000}"/>
    <cellStyle name="Normal 9 2 2 2 10" xfId="8839" xr:uid="{3B2DC7F4-4F49-4AE2-9279-EFD4857A149B}"/>
    <cellStyle name="Normal 9 2 2 2 10 2" xfId="18163" xr:uid="{F3C12D85-8225-41FC-9D56-DC16EA6C3FDA}"/>
    <cellStyle name="Normal 9 2 2 2 10 2 2" xfId="36758" xr:uid="{88768E5E-83DD-4301-8DB5-26975632781D}"/>
    <cellStyle name="Normal 9 2 2 2 10 3" xfId="27461" xr:uid="{982FD087-3BFF-4259-8270-0A7F403DC237}"/>
    <cellStyle name="Normal 9 2 2 2 11" xfId="9986" xr:uid="{525C2F49-CC58-4811-9A8F-E2F00578815A}"/>
    <cellStyle name="Normal 9 2 2 2 11 2" xfId="28582" xr:uid="{F826C6DD-9952-4089-93D9-27C934A5615E}"/>
    <cellStyle name="Normal 9 2 2 2 12" xfId="19285" xr:uid="{EF0F7B13-919F-458B-97FD-816C67963832}"/>
    <cellStyle name="Normal 9 2 2 2 2" xfId="514" xr:uid="{00000000-0005-0000-0000-00006F1E0000}"/>
    <cellStyle name="Normal 9 2 2 2 2 10" xfId="9987" xr:uid="{3FC92F63-B46B-4B5E-8C35-6252D1C0A1C8}"/>
    <cellStyle name="Normal 9 2 2 2 2 10 2" xfId="28583" xr:uid="{A43BE5EE-33F3-41AF-A821-DF60BA067714}"/>
    <cellStyle name="Normal 9 2 2 2 2 11" xfId="19286" xr:uid="{7067C5C8-A192-497D-B550-460AD2FD999D}"/>
    <cellStyle name="Normal 9 2 2 2 2 2" xfId="515" xr:uid="{00000000-0005-0000-0000-0000701E0000}"/>
    <cellStyle name="Normal 9 2 2 2 2 2 10" xfId="19287" xr:uid="{5E52FB08-0BA4-4705-9158-6BA9CB0EFE8B}"/>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265A2CE5-500C-4178-9EFE-CA3113A1026B}"/>
    <cellStyle name="Normal 9 2 2 2 2 2 2 2 2 2 2" xfId="35359" xr:uid="{D0664FE2-7D0C-42BC-90B7-34A9532BE50C}"/>
    <cellStyle name="Normal 9 2 2 2 2 2 2 2 2 3" xfId="26062" xr:uid="{C952A4D9-F047-40EC-B359-17BC1382250A}"/>
    <cellStyle name="Normal 9 2 2 2 2 2 2 2 3" xfId="12546" xr:uid="{1E4AC0FB-40F2-40FC-B328-F5A92FECD26C}"/>
    <cellStyle name="Normal 9 2 2 2 2 2 2 2 3 2" xfId="31142" xr:uid="{5ED1D96B-0587-48C0-8ABB-4C2460276B72}"/>
    <cellStyle name="Normal 9 2 2 2 2 2 2 2 4" xfId="21845" xr:uid="{B06F39B9-0D42-4DFA-8291-010DEDC3DC30}"/>
    <cellStyle name="Normal 9 2 2 2 2 2 2 3" xfId="5292" xr:uid="{00000000-0005-0000-0000-0000741E0000}"/>
    <cellStyle name="Normal 9 2 2 2 2 2 2 3 2" xfId="14618" xr:uid="{728B8438-ED12-41C9-86DD-BA38192580F7}"/>
    <cellStyle name="Normal 9 2 2 2 2 2 2 3 2 2" xfId="33214" xr:uid="{73A0B02E-6F1C-42FB-B2B9-EA494975783A}"/>
    <cellStyle name="Normal 9 2 2 2 2 2 2 3 3" xfId="23917" xr:uid="{E4E1AF08-355B-4260-8AD6-C6AF3C076E68}"/>
    <cellStyle name="Normal 9 2 2 2 2 2 2 4" xfId="9574" xr:uid="{00EB170D-8A20-4280-B781-E452C3590555}"/>
    <cellStyle name="Normal 9 2 2 2 2 2 2 4 2" xfId="18889" xr:uid="{61674245-1087-4DED-ACE7-B9134FB3D3E5}"/>
    <cellStyle name="Normal 9 2 2 2 2 2 2 4 2 2" xfId="37483" xr:uid="{F7FA0670-D80E-434C-933C-32649D4F09F6}"/>
    <cellStyle name="Normal 9 2 2 2 2 2 2 4 3" xfId="28186" xr:uid="{B43063F6-0A0B-4C66-BA93-C23775CE0CED}"/>
    <cellStyle name="Normal 9 2 2 2 2 2 2 5" xfId="10401" xr:uid="{95B8DE09-BB9F-4283-9F68-A675D702540B}"/>
    <cellStyle name="Normal 9 2 2 2 2 2 2 5 2" xfId="28997" xr:uid="{ACBABAE4-BB3E-4C1C-95AD-3E5ACB27D8D7}"/>
    <cellStyle name="Normal 9 2 2 2 2 2 2 6" xfId="19700" xr:uid="{2C997B65-8EE1-4A2B-AD20-4E91F257AC21}"/>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66390910-AEBF-482D-8C41-54F234FD975B}"/>
    <cellStyle name="Normal 9 2 2 2 2 2 3 2 2 2 2" xfId="35772" xr:uid="{F4605BF2-4EF8-49FE-AE55-1F0D7B3D18C5}"/>
    <cellStyle name="Normal 9 2 2 2 2 2 3 2 2 3" xfId="26475" xr:uid="{19653A44-A259-4892-99BF-00EF700A98C2}"/>
    <cellStyle name="Normal 9 2 2 2 2 2 3 2 3" xfId="12959" xr:uid="{8FC43F66-450C-4E73-8524-38C01139C864}"/>
    <cellStyle name="Normal 9 2 2 2 2 2 3 2 3 2" xfId="31555" xr:uid="{B53007AB-6BE3-4AEC-9BF6-A33FB32D399D}"/>
    <cellStyle name="Normal 9 2 2 2 2 2 3 2 4" xfId="22258" xr:uid="{2603B68C-5663-48D6-91B0-63B80CF4A2BB}"/>
    <cellStyle name="Normal 9 2 2 2 2 2 3 3" xfId="5705" xr:uid="{00000000-0005-0000-0000-0000781E0000}"/>
    <cellStyle name="Normal 9 2 2 2 2 2 3 3 2" xfId="15031" xr:uid="{5EF8E1C4-85FA-413F-B6DB-871AF8E5AB06}"/>
    <cellStyle name="Normal 9 2 2 2 2 2 3 3 2 2" xfId="33627" xr:uid="{183906BF-C243-4585-B892-92980DB457F2}"/>
    <cellStyle name="Normal 9 2 2 2 2 2 3 3 3" xfId="24330" xr:uid="{AD0974EB-8353-4A47-A162-2D6A4C266A3C}"/>
    <cellStyle name="Normal 9 2 2 2 2 2 3 4" xfId="10814" xr:uid="{B0CFBF54-FF7E-401E-8C98-F62AD718F8A4}"/>
    <cellStyle name="Normal 9 2 2 2 2 2 3 4 2" xfId="29410" xr:uid="{9A47E588-1BBD-49A1-A076-F79EB07B481E}"/>
    <cellStyle name="Normal 9 2 2 2 2 2 3 5" xfId="20113" xr:uid="{12DEA532-765F-4F27-AF77-98DDED46674F}"/>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B5D8AA01-E844-45BA-A5A4-EE58C0C7FBA5}"/>
    <cellStyle name="Normal 9 2 2 2 2 2 4 2 2 2 2" xfId="36185" xr:uid="{6081CD72-AC77-416F-8766-971596DFC031}"/>
    <cellStyle name="Normal 9 2 2 2 2 2 4 2 2 3" xfId="26888" xr:uid="{04A5E7DD-FBC1-47E6-99F3-802BBD8DD9CB}"/>
    <cellStyle name="Normal 9 2 2 2 2 2 4 2 3" xfId="13372" xr:uid="{CF690983-19FC-4C8A-9C18-B93A17E5F47F}"/>
    <cellStyle name="Normal 9 2 2 2 2 2 4 2 3 2" xfId="31968" xr:uid="{6565A749-5A9E-4B3F-A2BF-5A694884D136}"/>
    <cellStyle name="Normal 9 2 2 2 2 2 4 2 4" xfId="22671" xr:uid="{F0B447D4-438F-4E73-9076-51C0A2215B4B}"/>
    <cellStyle name="Normal 9 2 2 2 2 2 4 3" xfId="6118" xr:uid="{00000000-0005-0000-0000-00007C1E0000}"/>
    <cellStyle name="Normal 9 2 2 2 2 2 4 3 2" xfId="15444" xr:uid="{36C68F22-2768-447F-B2EA-9B5F0AFE6EB8}"/>
    <cellStyle name="Normal 9 2 2 2 2 2 4 3 2 2" xfId="34040" xr:uid="{7BA16F6A-7834-4F21-ADBE-FB7DA18309F1}"/>
    <cellStyle name="Normal 9 2 2 2 2 2 4 3 3" xfId="24743" xr:uid="{EB960DDE-0862-41C3-915F-58DF630340D5}"/>
    <cellStyle name="Normal 9 2 2 2 2 2 4 4" xfId="11227" xr:uid="{19FCE7BB-5CD1-47E1-B360-FF9B7D65A739}"/>
    <cellStyle name="Normal 9 2 2 2 2 2 4 4 2" xfId="29823" xr:uid="{0901DE86-E3CD-478B-9E00-5840F20263C0}"/>
    <cellStyle name="Normal 9 2 2 2 2 2 4 5" xfId="20526" xr:uid="{9D619F32-3D8D-48C2-9CD9-BFD11BD9E55C}"/>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401F66CA-332A-4F94-865B-A6F051781C16}"/>
    <cellStyle name="Normal 9 2 2 2 2 2 5 2 2 2 2" xfId="36598" xr:uid="{B18131D9-033E-494F-977C-4EDEC3B7AC1D}"/>
    <cellStyle name="Normal 9 2 2 2 2 2 5 2 2 3" xfId="27301" xr:uid="{AC84F727-F90A-4C62-8BAB-FC5BB86F7782}"/>
    <cellStyle name="Normal 9 2 2 2 2 2 5 2 3" xfId="13785" xr:uid="{B42F7102-903D-461B-949F-87AF04E60431}"/>
    <cellStyle name="Normal 9 2 2 2 2 2 5 2 3 2" xfId="32381" xr:uid="{DC82D8CD-166E-4081-A5D7-CA570D6ECC56}"/>
    <cellStyle name="Normal 9 2 2 2 2 2 5 2 4" xfId="23084" xr:uid="{3ED32875-EF79-48E3-A3DA-D79297BE0A32}"/>
    <cellStyle name="Normal 9 2 2 2 2 2 5 3" xfId="6531" xr:uid="{00000000-0005-0000-0000-0000801E0000}"/>
    <cellStyle name="Normal 9 2 2 2 2 2 5 3 2" xfId="15857" xr:uid="{AC62196D-2710-48A2-95F3-BC96FED221C4}"/>
    <cellStyle name="Normal 9 2 2 2 2 2 5 3 2 2" xfId="34453" xr:uid="{DBECF1C1-3A72-4AC1-9CB7-91A26CE0D4FC}"/>
    <cellStyle name="Normal 9 2 2 2 2 2 5 3 3" xfId="25156" xr:uid="{6ED23E4E-F937-4D2D-BF2D-B9264AE4B4DF}"/>
    <cellStyle name="Normal 9 2 2 2 2 2 5 4" xfId="11640" xr:uid="{E18C3713-1AA6-4F5C-967E-1D633B4D3490}"/>
    <cellStyle name="Normal 9 2 2 2 2 2 5 4 2" xfId="30236" xr:uid="{0E74412B-0293-402E-9BDA-E3025625701A}"/>
    <cellStyle name="Normal 9 2 2 2 2 2 5 5" xfId="20939" xr:uid="{8126B3D5-D264-4236-8FC1-4A6FDD082C77}"/>
    <cellStyle name="Normal 9 2 2 2 2 2 6" xfId="2661" xr:uid="{00000000-0005-0000-0000-0000811E0000}"/>
    <cellStyle name="Normal 9 2 2 2 2 2 6 2" xfId="6944" xr:uid="{00000000-0005-0000-0000-0000821E0000}"/>
    <cellStyle name="Normal 9 2 2 2 2 2 6 2 2" xfId="16270" xr:uid="{88B3C84E-4AD6-4159-9E4D-63CD2C26D234}"/>
    <cellStyle name="Normal 9 2 2 2 2 2 6 2 2 2" xfId="34866" xr:uid="{7CBF4A4E-3C9F-4450-9F93-3ACA07815018}"/>
    <cellStyle name="Normal 9 2 2 2 2 2 6 2 3" xfId="25569" xr:uid="{29F5E901-A0A7-40E5-BDD0-F8DB18E4D967}"/>
    <cellStyle name="Normal 9 2 2 2 2 2 6 3" xfId="12053" xr:uid="{6AAA89AE-6007-46AB-98E2-F5E058BDFA3E}"/>
    <cellStyle name="Normal 9 2 2 2 2 2 6 3 2" xfId="30649" xr:uid="{9A981648-DF48-4B78-9E77-AEB69F8DC5A6}"/>
    <cellStyle name="Normal 9 2 2 2 2 2 6 4" xfId="21352" xr:uid="{6D7914C3-C39A-43C0-B009-30FD95C8EF00}"/>
    <cellStyle name="Normal 9 2 2 2 2 2 7" xfId="4879" xr:uid="{00000000-0005-0000-0000-0000831E0000}"/>
    <cellStyle name="Normal 9 2 2 2 2 2 7 2" xfId="14205" xr:uid="{6D466831-D97A-4D78-BA96-CE7A48E89786}"/>
    <cellStyle name="Normal 9 2 2 2 2 2 7 2 2" xfId="32801" xr:uid="{FE77A5DC-981D-45FF-90FB-7A4376E194A2}"/>
    <cellStyle name="Normal 9 2 2 2 2 2 7 3" xfId="23504" xr:uid="{83411CB7-C25D-46C7-AA05-1E40C4F2916C}"/>
    <cellStyle name="Normal 9 2 2 2 2 2 8" xfId="9149" xr:uid="{6C0BEC1E-EE3B-4956-830C-8775C93DB46A}"/>
    <cellStyle name="Normal 9 2 2 2 2 2 8 2" xfId="18473" xr:uid="{E4BDA4FD-F30B-4890-B760-C5023B331C6D}"/>
    <cellStyle name="Normal 9 2 2 2 2 2 8 2 2" xfId="37068" xr:uid="{B3BF4292-3969-4F81-AFA2-5E1485D3E142}"/>
    <cellStyle name="Normal 9 2 2 2 2 2 8 3" xfId="27771" xr:uid="{00054174-8086-4D77-8C6F-576F68B77B01}"/>
    <cellStyle name="Normal 9 2 2 2 2 2 9" xfId="9988" xr:uid="{FAE3705E-7C72-4B4B-A4DE-5931CC03E0A0}"/>
    <cellStyle name="Normal 9 2 2 2 2 2 9 2" xfId="28584" xr:uid="{194B54F4-9D9C-4035-873A-B6BBE014C324}"/>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D19C4581-7E8C-4C0F-92F6-0CD9B3AB2CB8}"/>
    <cellStyle name="Normal 9 2 2 2 2 3 2 2 2 2" xfId="35358" xr:uid="{AF12054F-9CF2-4A3B-BFA9-2FDBA483AD6E}"/>
    <cellStyle name="Normal 9 2 2 2 2 3 2 2 3" xfId="26061" xr:uid="{CE9D29D5-BF46-48BF-B145-EBA6A5B04A7D}"/>
    <cellStyle name="Normal 9 2 2 2 2 3 2 3" xfId="12545" xr:uid="{CC6BAA3F-1F5F-42CB-90D2-B1EC12656FE1}"/>
    <cellStyle name="Normal 9 2 2 2 2 3 2 3 2" xfId="31141" xr:uid="{CCBA9A62-A35E-4E1F-BF72-757898348EB5}"/>
    <cellStyle name="Normal 9 2 2 2 2 3 2 4" xfId="21844" xr:uid="{2F0EBB30-CB65-4ED9-9DB2-25DF1B0B5DCF}"/>
    <cellStyle name="Normal 9 2 2 2 2 3 3" xfId="5291" xr:uid="{00000000-0005-0000-0000-0000871E0000}"/>
    <cellStyle name="Normal 9 2 2 2 2 3 3 2" xfId="14617" xr:uid="{AE17468C-6F5A-4733-99E3-D6289981FAF8}"/>
    <cellStyle name="Normal 9 2 2 2 2 3 3 2 2" xfId="33213" xr:uid="{54C7AE37-71A8-486E-873C-603FF33A9C87}"/>
    <cellStyle name="Normal 9 2 2 2 2 3 3 3" xfId="23916" xr:uid="{6A89ECB9-CCF2-49FA-A357-BBAD3DB03F33}"/>
    <cellStyle name="Normal 9 2 2 2 2 3 4" xfId="9367" xr:uid="{4A654E22-020A-4B0F-8753-639C44EA908A}"/>
    <cellStyle name="Normal 9 2 2 2 2 3 4 2" xfId="18682" xr:uid="{D8E89F64-7547-4BA6-B66A-AC896FFC83F3}"/>
    <cellStyle name="Normal 9 2 2 2 2 3 4 2 2" xfId="37276" xr:uid="{82572C37-2EBC-4119-97E7-C4C11B7061A4}"/>
    <cellStyle name="Normal 9 2 2 2 2 3 4 3" xfId="27979" xr:uid="{11FEB231-03C2-4345-AE94-C9A1D2D05B84}"/>
    <cellStyle name="Normal 9 2 2 2 2 3 5" xfId="10400" xr:uid="{1A7DDBB9-9368-4195-B32C-27E086D5082F}"/>
    <cellStyle name="Normal 9 2 2 2 2 3 5 2" xfId="28996" xr:uid="{FD412957-7D84-4663-9FA5-2AC48868F9B5}"/>
    <cellStyle name="Normal 9 2 2 2 2 3 6" xfId="19699" xr:uid="{BFC723D7-FA3F-4E00-A0CC-451A227F1ECD}"/>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B1A88359-2867-416F-B8D9-2CE249885935}"/>
    <cellStyle name="Normal 9 2 2 2 2 4 2 2 2 2" xfId="35771" xr:uid="{3682F018-5BEB-471C-BDC2-3EB4E563F437}"/>
    <cellStyle name="Normal 9 2 2 2 2 4 2 2 3" xfId="26474" xr:uid="{7A9250B7-6E41-4721-AD4C-E1622CEDE47D}"/>
    <cellStyle name="Normal 9 2 2 2 2 4 2 3" xfId="12958" xr:uid="{DD3C1ECE-E43E-436D-ACCF-61E070359CEA}"/>
    <cellStyle name="Normal 9 2 2 2 2 4 2 3 2" xfId="31554" xr:uid="{E510724F-CC00-419A-A55C-DB94C07DF43F}"/>
    <cellStyle name="Normal 9 2 2 2 2 4 2 4" xfId="22257" xr:uid="{6D540DD0-D693-4664-8FBB-5C56BBD8672B}"/>
    <cellStyle name="Normal 9 2 2 2 2 4 3" xfId="5704" xr:uid="{00000000-0005-0000-0000-00008B1E0000}"/>
    <cellStyle name="Normal 9 2 2 2 2 4 3 2" xfId="15030" xr:uid="{6DF2EDA6-D47B-49A5-9D66-50C83D5EC981}"/>
    <cellStyle name="Normal 9 2 2 2 2 4 3 2 2" xfId="33626" xr:uid="{397DAA4B-0589-4599-B694-AC8E7E5CCBF8}"/>
    <cellStyle name="Normal 9 2 2 2 2 4 3 3" xfId="24329" xr:uid="{1FB0A784-69F7-420B-95EB-F3B2A3707D21}"/>
    <cellStyle name="Normal 9 2 2 2 2 4 4" xfId="10813" xr:uid="{CB7B3308-F307-4FF5-B2A7-21A1711E86F9}"/>
    <cellStyle name="Normal 9 2 2 2 2 4 4 2" xfId="29409" xr:uid="{86932066-3D1D-4F76-82F8-5466C0AD0C0A}"/>
    <cellStyle name="Normal 9 2 2 2 2 4 5" xfId="20112" xr:uid="{DCE38000-AB80-4008-9AFD-62EBEBCBD6F1}"/>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1984D3A6-6315-484F-8214-8D5C2F130950}"/>
    <cellStyle name="Normal 9 2 2 2 2 5 2 2 2 2" xfId="36184" xr:uid="{21F79379-33D3-48BC-A148-D4714C854D59}"/>
    <cellStyle name="Normal 9 2 2 2 2 5 2 2 3" xfId="26887" xr:uid="{9611C042-A5B4-4C06-9569-539B396613AC}"/>
    <cellStyle name="Normal 9 2 2 2 2 5 2 3" xfId="13371" xr:uid="{0BFA3736-D081-4AD4-851D-5E450E352F90}"/>
    <cellStyle name="Normal 9 2 2 2 2 5 2 3 2" xfId="31967" xr:uid="{726797D4-A9B2-4237-894D-782A740332CE}"/>
    <cellStyle name="Normal 9 2 2 2 2 5 2 4" xfId="22670" xr:uid="{3DEE1D8E-7B86-47A8-A990-041B14160627}"/>
    <cellStyle name="Normal 9 2 2 2 2 5 3" xfId="6117" xr:uid="{00000000-0005-0000-0000-00008F1E0000}"/>
    <cellStyle name="Normal 9 2 2 2 2 5 3 2" xfId="15443" xr:uid="{3C46B392-A859-4AAB-9343-0F26F5241B71}"/>
    <cellStyle name="Normal 9 2 2 2 2 5 3 2 2" xfId="34039" xr:uid="{37EFF778-A72E-41D7-A860-7D9F2E294615}"/>
    <cellStyle name="Normal 9 2 2 2 2 5 3 3" xfId="24742" xr:uid="{F357018F-CEE0-430F-872F-0177CA2726A4}"/>
    <cellStyle name="Normal 9 2 2 2 2 5 4" xfId="11226" xr:uid="{4C79DEFF-4146-461C-A775-0DF147AF286C}"/>
    <cellStyle name="Normal 9 2 2 2 2 5 4 2" xfId="29822" xr:uid="{DAB21708-B420-42E1-8EEB-7A3E6E6A725D}"/>
    <cellStyle name="Normal 9 2 2 2 2 5 5" xfId="20525" xr:uid="{63F1F5E0-FEF6-4A5D-8AF5-5308B4B53CF3}"/>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901F2590-F8F6-41AC-B4AA-C2BF27BE71F5}"/>
    <cellStyle name="Normal 9 2 2 2 2 6 2 2 2 2" xfId="36597" xr:uid="{F738F9D1-8CDE-4958-8F9A-B6D0F2D81F39}"/>
    <cellStyle name="Normal 9 2 2 2 2 6 2 2 3" xfId="27300" xr:uid="{7FD64385-E020-4E94-9270-5D8F8018A8DE}"/>
    <cellStyle name="Normal 9 2 2 2 2 6 2 3" xfId="13784" xr:uid="{8178B46E-6F99-4E76-9C7E-35E95697324A}"/>
    <cellStyle name="Normal 9 2 2 2 2 6 2 3 2" xfId="32380" xr:uid="{B5FBC965-F9CB-4191-AE3A-1D0AD399E71B}"/>
    <cellStyle name="Normal 9 2 2 2 2 6 2 4" xfId="23083" xr:uid="{5BE5E860-9D0F-4683-9338-BD0DCAA4F045}"/>
    <cellStyle name="Normal 9 2 2 2 2 6 3" xfId="6530" xr:uid="{00000000-0005-0000-0000-0000931E0000}"/>
    <cellStyle name="Normal 9 2 2 2 2 6 3 2" xfId="15856" xr:uid="{E0A78DCD-E622-48AF-BABF-0044FBAE95B0}"/>
    <cellStyle name="Normal 9 2 2 2 2 6 3 2 2" xfId="34452" xr:uid="{6DA6B77A-815E-49F1-BBE0-2DFE7A3E926B}"/>
    <cellStyle name="Normal 9 2 2 2 2 6 3 3" xfId="25155" xr:uid="{FC895CF1-5BF8-413A-9E67-0C53270D42DD}"/>
    <cellStyle name="Normal 9 2 2 2 2 6 4" xfId="11639" xr:uid="{962AE1CF-4E11-4C9F-959E-2F897BF06FC7}"/>
    <cellStyle name="Normal 9 2 2 2 2 6 4 2" xfId="30235" xr:uid="{084E05F1-FC26-4FA1-BC6B-03C05532223D}"/>
    <cellStyle name="Normal 9 2 2 2 2 6 5" xfId="20938" xr:uid="{A5BBA730-98E2-48BB-853F-5D3C03B0D7EE}"/>
    <cellStyle name="Normal 9 2 2 2 2 7" xfId="2660" xr:uid="{00000000-0005-0000-0000-0000941E0000}"/>
    <cellStyle name="Normal 9 2 2 2 2 7 2" xfId="6943" xr:uid="{00000000-0005-0000-0000-0000951E0000}"/>
    <cellStyle name="Normal 9 2 2 2 2 7 2 2" xfId="16269" xr:uid="{0FD559C2-AB85-4DCE-8795-F287AFAD4CD7}"/>
    <cellStyle name="Normal 9 2 2 2 2 7 2 2 2" xfId="34865" xr:uid="{E4D28C52-1937-4649-B09F-E84D669196A9}"/>
    <cellStyle name="Normal 9 2 2 2 2 7 2 3" xfId="25568" xr:uid="{C24D1AAF-4A2D-4C01-8D26-3329E662EF67}"/>
    <cellStyle name="Normal 9 2 2 2 2 7 3" xfId="12052" xr:uid="{A0A71DA8-96C3-4B67-B402-FFFD4C721AC7}"/>
    <cellStyle name="Normal 9 2 2 2 2 7 3 2" xfId="30648" xr:uid="{EEC125D2-0490-40A3-8D81-7B76CCBCC878}"/>
    <cellStyle name="Normal 9 2 2 2 2 7 4" xfId="21351" xr:uid="{8CC4868C-20D1-4936-8882-ED51EC1372AC}"/>
    <cellStyle name="Normal 9 2 2 2 2 8" xfId="4878" xr:uid="{00000000-0005-0000-0000-0000961E0000}"/>
    <cellStyle name="Normal 9 2 2 2 2 8 2" xfId="14204" xr:uid="{EE5147CE-06A0-47E2-9635-E185D9458A07}"/>
    <cellStyle name="Normal 9 2 2 2 2 8 2 2" xfId="32800" xr:uid="{1C333C73-8B54-4D25-86A3-9EA819167EAA}"/>
    <cellStyle name="Normal 9 2 2 2 2 8 3" xfId="23503" xr:uid="{E0E61354-D3BF-4568-9235-357AAC573B5C}"/>
    <cellStyle name="Normal 9 2 2 2 2 9" xfId="8942" xr:uid="{0DE8A022-819C-4D6A-B102-31C1C7F429A5}"/>
    <cellStyle name="Normal 9 2 2 2 2 9 2" xfId="18266" xr:uid="{47FB6EBA-28FC-4FF1-9C37-7C98F7B5FE7C}"/>
    <cellStyle name="Normal 9 2 2 2 2 9 2 2" xfId="36861" xr:uid="{CACAA8CD-C444-411F-97FF-E27CFA772877}"/>
    <cellStyle name="Normal 9 2 2 2 2 9 3" xfId="27564" xr:uid="{688C9E7B-992B-48B2-8691-F43E135B30C3}"/>
    <cellStyle name="Normal 9 2 2 2 3" xfId="516" xr:uid="{00000000-0005-0000-0000-0000971E0000}"/>
    <cellStyle name="Normal 9 2 2 2 3 10" xfId="19288" xr:uid="{8A062F1F-A44B-4982-9EA3-229F7537BBD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F7BFCE2C-22B6-4C22-900C-9415438A9D7C}"/>
    <cellStyle name="Normal 9 2 2 2 3 2 2 2 2 2" xfId="35360" xr:uid="{FAB305CB-874F-4CF2-98CD-98E4790666EE}"/>
    <cellStyle name="Normal 9 2 2 2 3 2 2 2 3" xfId="26063" xr:uid="{CBFD2DD0-CF66-47F7-A6E4-7FB8C65532F6}"/>
    <cellStyle name="Normal 9 2 2 2 3 2 2 3" xfId="12547" xr:uid="{7EC5BC3B-E7D5-491E-B01B-5EDFDDAEC9F6}"/>
    <cellStyle name="Normal 9 2 2 2 3 2 2 3 2" xfId="31143" xr:uid="{D10CF049-1768-4486-A4C3-3508B77B5716}"/>
    <cellStyle name="Normal 9 2 2 2 3 2 2 4" xfId="21846" xr:uid="{23EE593D-DC7F-433B-8237-059F58B82FE2}"/>
    <cellStyle name="Normal 9 2 2 2 3 2 3" xfId="5293" xr:uid="{00000000-0005-0000-0000-00009B1E0000}"/>
    <cellStyle name="Normal 9 2 2 2 3 2 3 2" xfId="14619" xr:uid="{60A47028-9C29-40D7-B283-8DD7185FA63F}"/>
    <cellStyle name="Normal 9 2 2 2 3 2 3 2 2" xfId="33215" xr:uid="{98C96C45-DFE2-4DE3-885E-EDBFFF6DC04F}"/>
    <cellStyle name="Normal 9 2 2 2 3 2 3 3" xfId="23918" xr:uid="{F41E0A78-0F28-46E1-B89A-8FAE508ECC37}"/>
    <cellStyle name="Normal 9 2 2 2 3 2 4" xfId="9471" xr:uid="{E472D827-532E-42C0-B781-9E63FEBCFCF5}"/>
    <cellStyle name="Normal 9 2 2 2 3 2 4 2" xfId="18786" xr:uid="{B6217755-1F21-4CF0-97E8-49C52AB376F0}"/>
    <cellStyle name="Normal 9 2 2 2 3 2 4 2 2" xfId="37380" xr:uid="{0ECBFC3E-8069-4B1D-89C0-A147C125BCAA}"/>
    <cellStyle name="Normal 9 2 2 2 3 2 4 3" xfId="28083" xr:uid="{788F6E46-A34B-4273-9F95-F4C9D02BA2CB}"/>
    <cellStyle name="Normal 9 2 2 2 3 2 5" xfId="10402" xr:uid="{DACB91E9-CACA-4D6F-A89F-8F2662AFB79C}"/>
    <cellStyle name="Normal 9 2 2 2 3 2 5 2" xfId="28998" xr:uid="{6785EB1B-FA62-4E9C-A456-D19FF3ADB40D}"/>
    <cellStyle name="Normal 9 2 2 2 3 2 6" xfId="19701" xr:uid="{F8C15960-413A-4871-83C5-6F1BF5E774F6}"/>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8282E349-5650-480C-93AB-242934F1890F}"/>
    <cellStyle name="Normal 9 2 2 2 3 3 2 2 2 2" xfId="35773" xr:uid="{DCA969AE-F0FD-41CA-A3DD-ED4DE57715DB}"/>
    <cellStyle name="Normal 9 2 2 2 3 3 2 2 3" xfId="26476" xr:uid="{5030134D-C223-4EA9-BD5D-14C36DEE4F66}"/>
    <cellStyle name="Normal 9 2 2 2 3 3 2 3" xfId="12960" xr:uid="{B8371F94-D93D-41A6-9D4F-1721A67C5F83}"/>
    <cellStyle name="Normal 9 2 2 2 3 3 2 3 2" xfId="31556" xr:uid="{28F2EE58-C49A-4283-A2EA-CB2E3B625E9A}"/>
    <cellStyle name="Normal 9 2 2 2 3 3 2 4" xfId="22259" xr:uid="{153E088B-34EB-46BE-BA5E-544C828C1BF5}"/>
    <cellStyle name="Normal 9 2 2 2 3 3 3" xfId="5706" xr:uid="{00000000-0005-0000-0000-00009F1E0000}"/>
    <cellStyle name="Normal 9 2 2 2 3 3 3 2" xfId="15032" xr:uid="{525088A8-E1B1-42BC-A927-DA7C00210597}"/>
    <cellStyle name="Normal 9 2 2 2 3 3 3 2 2" xfId="33628" xr:uid="{EA787DD8-A89A-4D92-950B-A2D4FD79E61D}"/>
    <cellStyle name="Normal 9 2 2 2 3 3 3 3" xfId="24331" xr:uid="{FA68D7EE-2C36-4615-A41B-D865885924F3}"/>
    <cellStyle name="Normal 9 2 2 2 3 3 4" xfId="10815" xr:uid="{D235B109-EFF8-4F9C-8E5B-A98EAF3104FA}"/>
    <cellStyle name="Normal 9 2 2 2 3 3 4 2" xfId="29411" xr:uid="{C1668BE5-276C-479F-B767-A78F36CDF71D}"/>
    <cellStyle name="Normal 9 2 2 2 3 3 5" xfId="20114" xr:uid="{5ED90B80-6A99-43C7-9E51-5C8106B857CF}"/>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84A357EC-4B61-4E47-8292-5A86C7062106}"/>
    <cellStyle name="Normal 9 2 2 2 3 4 2 2 2 2" xfId="36186" xr:uid="{4057BE93-6975-411B-814B-85A1BD61EB4E}"/>
    <cellStyle name="Normal 9 2 2 2 3 4 2 2 3" xfId="26889" xr:uid="{44CE1F8F-1867-4DC9-8805-911725844447}"/>
    <cellStyle name="Normal 9 2 2 2 3 4 2 3" xfId="13373" xr:uid="{784DF733-7355-4351-89A3-4BDAA5105400}"/>
    <cellStyle name="Normal 9 2 2 2 3 4 2 3 2" xfId="31969" xr:uid="{F89E60CC-B86F-4CF0-B5DB-60A51A50A226}"/>
    <cellStyle name="Normal 9 2 2 2 3 4 2 4" xfId="22672" xr:uid="{991C8C68-5F88-4D8F-AD55-754FC5CBEE73}"/>
    <cellStyle name="Normal 9 2 2 2 3 4 3" xfId="6119" xr:uid="{00000000-0005-0000-0000-0000A31E0000}"/>
    <cellStyle name="Normal 9 2 2 2 3 4 3 2" xfId="15445" xr:uid="{A745CCEF-7A81-413A-AEE3-C1AB555170AD}"/>
    <cellStyle name="Normal 9 2 2 2 3 4 3 2 2" xfId="34041" xr:uid="{4B23195D-AFCB-4D92-9DE5-919E57E85994}"/>
    <cellStyle name="Normal 9 2 2 2 3 4 3 3" xfId="24744" xr:uid="{9E1F6059-E697-474E-AD2C-E4918A0CB3E4}"/>
    <cellStyle name="Normal 9 2 2 2 3 4 4" xfId="11228" xr:uid="{FB463DBC-76BA-467B-9F48-18BA8F577149}"/>
    <cellStyle name="Normal 9 2 2 2 3 4 4 2" xfId="29824" xr:uid="{CFBE04EB-BF1E-4418-8FF6-65BDBBD70519}"/>
    <cellStyle name="Normal 9 2 2 2 3 4 5" xfId="20527" xr:uid="{A1FFE795-989A-4B5E-9B5D-163B5C4AFCD4}"/>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FB05401E-36ED-4494-9E01-C18D4577C032}"/>
    <cellStyle name="Normal 9 2 2 2 3 5 2 2 2 2" xfId="36599" xr:uid="{9F2CB40B-FB9A-48E0-AF56-5043EFA79553}"/>
    <cellStyle name="Normal 9 2 2 2 3 5 2 2 3" xfId="27302" xr:uid="{CE7F2121-B1F3-492B-B789-7CBD8AD9A6B1}"/>
    <cellStyle name="Normal 9 2 2 2 3 5 2 3" xfId="13786" xr:uid="{3814A4EB-33A3-44CA-8A43-7020CF3355DB}"/>
    <cellStyle name="Normal 9 2 2 2 3 5 2 3 2" xfId="32382" xr:uid="{6FFEC750-8980-4434-AC31-23CB28AB8E1D}"/>
    <cellStyle name="Normal 9 2 2 2 3 5 2 4" xfId="23085" xr:uid="{66DC9BBB-B2E8-4173-B94F-8088E9B0CA08}"/>
    <cellStyle name="Normal 9 2 2 2 3 5 3" xfId="6532" xr:uid="{00000000-0005-0000-0000-0000A71E0000}"/>
    <cellStyle name="Normal 9 2 2 2 3 5 3 2" xfId="15858" xr:uid="{3E896BE0-7863-4AEE-B399-B7463AC94814}"/>
    <cellStyle name="Normal 9 2 2 2 3 5 3 2 2" xfId="34454" xr:uid="{2C6FC3D5-C782-45FC-A18D-C41918103FA2}"/>
    <cellStyle name="Normal 9 2 2 2 3 5 3 3" xfId="25157" xr:uid="{D8C43ACF-D8FC-4648-BB7A-E02B815FAB63}"/>
    <cellStyle name="Normal 9 2 2 2 3 5 4" xfId="11641" xr:uid="{937C6C74-BBE7-417F-B50A-6EBEC22433D6}"/>
    <cellStyle name="Normal 9 2 2 2 3 5 4 2" xfId="30237" xr:uid="{A80655E1-941D-485C-8E4D-8977F83C373C}"/>
    <cellStyle name="Normal 9 2 2 2 3 5 5" xfId="20940" xr:uid="{854908A8-4BE9-45F4-A4CE-D48BE297704C}"/>
    <cellStyle name="Normal 9 2 2 2 3 6" xfId="2662" xr:uid="{00000000-0005-0000-0000-0000A81E0000}"/>
    <cellStyle name="Normal 9 2 2 2 3 6 2" xfId="6945" xr:uid="{00000000-0005-0000-0000-0000A91E0000}"/>
    <cellStyle name="Normal 9 2 2 2 3 6 2 2" xfId="16271" xr:uid="{B604F05E-E6FD-4D58-ADA5-1925744EBC8E}"/>
    <cellStyle name="Normal 9 2 2 2 3 6 2 2 2" xfId="34867" xr:uid="{4CE065E1-1577-4F95-AA38-F8ACA93766DC}"/>
    <cellStyle name="Normal 9 2 2 2 3 6 2 3" xfId="25570" xr:uid="{BC45F528-665C-4335-8F59-ACCC3756F47A}"/>
    <cellStyle name="Normal 9 2 2 2 3 6 3" xfId="12054" xr:uid="{2F057AF7-35AD-434E-8D09-4BC7E070C0B0}"/>
    <cellStyle name="Normal 9 2 2 2 3 6 3 2" xfId="30650" xr:uid="{257E78CA-E72A-4B06-905F-7FB358448300}"/>
    <cellStyle name="Normal 9 2 2 2 3 6 4" xfId="21353" xr:uid="{7FB66AB5-CDE1-4BE7-944D-519B3BEBB27B}"/>
    <cellStyle name="Normal 9 2 2 2 3 7" xfId="4880" xr:uid="{00000000-0005-0000-0000-0000AA1E0000}"/>
    <cellStyle name="Normal 9 2 2 2 3 7 2" xfId="14206" xr:uid="{AFB7BBC9-40FA-4E75-A9BD-BDAE409B48A9}"/>
    <cellStyle name="Normal 9 2 2 2 3 7 2 2" xfId="32802" xr:uid="{C5C0F760-6613-45B8-8FDF-10D431BA1AEC}"/>
    <cellStyle name="Normal 9 2 2 2 3 7 3" xfId="23505" xr:uid="{67CBA261-2AB9-4BD9-8575-6D318D06B050}"/>
    <cellStyle name="Normal 9 2 2 2 3 8" xfId="9046" xr:uid="{6B7E07C7-E90B-4AE9-8FE8-76EF28E8FC85}"/>
    <cellStyle name="Normal 9 2 2 2 3 8 2" xfId="18370" xr:uid="{885B32DD-A3F3-41C9-BF1C-E7C8D0249DB1}"/>
    <cellStyle name="Normal 9 2 2 2 3 8 2 2" xfId="36965" xr:uid="{EEE8B4C8-DB11-4E43-8264-BD5C7D6137EB}"/>
    <cellStyle name="Normal 9 2 2 2 3 8 3" xfId="27668" xr:uid="{04BAEC7C-AFFB-41FC-A688-2A3FFF350D34}"/>
    <cellStyle name="Normal 9 2 2 2 3 9" xfId="9989" xr:uid="{FCFFB8D7-8017-40F2-A730-199D8082D24A}"/>
    <cellStyle name="Normal 9 2 2 2 3 9 2" xfId="28585" xr:uid="{48C73CB7-923C-4882-8F8F-A4693132DEB6}"/>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E358F4C2-A104-44EE-944B-DAD6416FACD4}"/>
    <cellStyle name="Normal 9 2 2 2 4 2 2 2 2" xfId="35357" xr:uid="{52BBB6E1-1844-49F7-B784-CE98CAFAE919}"/>
    <cellStyle name="Normal 9 2 2 2 4 2 2 3" xfId="26060" xr:uid="{664D7044-FD42-4565-B9F1-51C886DB281C}"/>
    <cellStyle name="Normal 9 2 2 2 4 2 3" xfId="12544" xr:uid="{2A408D37-F8CB-4DB9-A435-5D8B07D80470}"/>
    <cellStyle name="Normal 9 2 2 2 4 2 3 2" xfId="31140" xr:uid="{F2E8C016-91F2-4A1C-8337-62FBCF46D8AD}"/>
    <cellStyle name="Normal 9 2 2 2 4 2 4" xfId="21843" xr:uid="{BFF37857-B3A7-458B-B5A6-BD253D1044FE}"/>
    <cellStyle name="Normal 9 2 2 2 4 3" xfId="5290" xr:uid="{00000000-0005-0000-0000-0000AE1E0000}"/>
    <cellStyle name="Normal 9 2 2 2 4 3 2" xfId="14616" xr:uid="{09E176E4-3F62-42A9-9678-AC0CD4A00CB8}"/>
    <cellStyle name="Normal 9 2 2 2 4 3 2 2" xfId="33212" xr:uid="{2E5A7C96-F73E-40C1-B8DA-1247D177246B}"/>
    <cellStyle name="Normal 9 2 2 2 4 3 3" xfId="23915" xr:uid="{A9223CA7-6C71-430A-89BB-A668E4E970F0}"/>
    <cellStyle name="Normal 9 2 2 2 4 4" xfId="9264" xr:uid="{0137E036-48D9-4B3B-9B73-0002A19DDE9E}"/>
    <cellStyle name="Normal 9 2 2 2 4 4 2" xfId="18579" xr:uid="{27E263AF-8065-4886-B2D4-133414623DD8}"/>
    <cellStyle name="Normal 9 2 2 2 4 4 2 2" xfId="37173" xr:uid="{42F8D116-5108-49A6-A445-A3106B0FFA53}"/>
    <cellStyle name="Normal 9 2 2 2 4 4 3" xfId="27876" xr:uid="{9B5BC2A2-EC3D-4312-9660-91FFC7E53995}"/>
    <cellStyle name="Normal 9 2 2 2 4 5" xfId="10399" xr:uid="{1D94EB6B-006C-4B32-94DE-423715008F80}"/>
    <cellStyle name="Normal 9 2 2 2 4 5 2" xfId="28995" xr:uid="{01981AB5-08F5-4A14-A0F6-6627BD83D257}"/>
    <cellStyle name="Normal 9 2 2 2 4 6" xfId="19698" xr:uid="{1640042F-F2A8-4252-97DC-96AA723FCD98}"/>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DEC66DE7-9599-4A81-B5E3-242373FE28F5}"/>
    <cellStyle name="Normal 9 2 2 2 5 2 2 2 2" xfId="35770" xr:uid="{B880F192-FC9C-4E32-88A5-609B3BEBDF40}"/>
    <cellStyle name="Normal 9 2 2 2 5 2 2 3" xfId="26473" xr:uid="{1BBA0C4E-C586-43B2-B7E2-CFD6E68D31F7}"/>
    <cellStyle name="Normal 9 2 2 2 5 2 3" xfId="12957" xr:uid="{1E73582A-7868-4645-A16D-C23F94AD18D1}"/>
    <cellStyle name="Normal 9 2 2 2 5 2 3 2" xfId="31553" xr:uid="{AD4295EE-49D9-4088-A34A-4A50F565C13F}"/>
    <cellStyle name="Normal 9 2 2 2 5 2 4" xfId="22256" xr:uid="{59DE8E81-2C82-4FA5-BCB4-176ACF1E9E5C}"/>
    <cellStyle name="Normal 9 2 2 2 5 3" xfId="5703" xr:uid="{00000000-0005-0000-0000-0000B21E0000}"/>
    <cellStyle name="Normal 9 2 2 2 5 3 2" xfId="15029" xr:uid="{8CD07151-81B3-4C6A-A2EE-F801AE300A57}"/>
    <cellStyle name="Normal 9 2 2 2 5 3 2 2" xfId="33625" xr:uid="{18072888-A83C-4B52-8196-BB8434DD1B78}"/>
    <cellStyle name="Normal 9 2 2 2 5 3 3" xfId="24328" xr:uid="{2C20A19E-1B70-44E7-9A66-180B2073F65F}"/>
    <cellStyle name="Normal 9 2 2 2 5 4" xfId="10812" xr:uid="{75EF26BF-5CA1-41DD-9777-FED0982D32BD}"/>
    <cellStyle name="Normal 9 2 2 2 5 4 2" xfId="29408" xr:uid="{B60DC38C-8EFC-4C88-8F20-46B5B1D77364}"/>
    <cellStyle name="Normal 9 2 2 2 5 5" xfId="20111" xr:uid="{D2506C60-3FBF-414C-BAD6-987D1CD5AC1E}"/>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ADD92498-F007-47EB-82B1-81E6417B58F6}"/>
    <cellStyle name="Normal 9 2 2 2 6 2 2 2 2" xfId="36183" xr:uid="{166AB372-2FC5-4657-A125-B4A66984817B}"/>
    <cellStyle name="Normal 9 2 2 2 6 2 2 3" xfId="26886" xr:uid="{F30F4AFF-DBA1-4A17-8937-221E68493F80}"/>
    <cellStyle name="Normal 9 2 2 2 6 2 3" xfId="13370" xr:uid="{71C550C0-9A10-495B-A4EB-198233C75477}"/>
    <cellStyle name="Normal 9 2 2 2 6 2 3 2" xfId="31966" xr:uid="{83CCE176-DF3C-4398-B7A2-BC7117569931}"/>
    <cellStyle name="Normal 9 2 2 2 6 2 4" xfId="22669" xr:uid="{9D44E6D8-EAC7-4DBC-98D3-E1B84B83A6BA}"/>
    <cellStyle name="Normal 9 2 2 2 6 3" xfId="6116" xr:uid="{00000000-0005-0000-0000-0000B61E0000}"/>
    <cellStyle name="Normal 9 2 2 2 6 3 2" xfId="15442" xr:uid="{69B6A9D3-C0B2-43B4-8396-A7470D9016BF}"/>
    <cellStyle name="Normal 9 2 2 2 6 3 2 2" xfId="34038" xr:uid="{D3AD9713-B02D-4DB5-A0C3-EE2E45BF6494}"/>
    <cellStyle name="Normal 9 2 2 2 6 3 3" xfId="24741" xr:uid="{E71789F9-C8B0-4A57-AD86-88DB715F1D43}"/>
    <cellStyle name="Normal 9 2 2 2 6 4" xfId="11225" xr:uid="{44C05DDB-ACB9-486B-AB66-D96FAB57F634}"/>
    <cellStyle name="Normal 9 2 2 2 6 4 2" xfId="29821" xr:uid="{070F91CE-F3DC-43D6-BBE3-16DB4BBADC26}"/>
    <cellStyle name="Normal 9 2 2 2 6 5" xfId="20524" xr:uid="{11F08EAF-912D-4753-9337-5A52AB292B30}"/>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FB9A1FCD-58EA-424A-9085-4D3148DA0B36}"/>
    <cellStyle name="Normal 9 2 2 2 7 2 2 2 2" xfId="36596" xr:uid="{6F133E53-A127-4D6D-94CF-3D534E46123E}"/>
    <cellStyle name="Normal 9 2 2 2 7 2 2 3" xfId="27299" xr:uid="{421CAC5F-0C47-4654-91A7-C0ECAB086471}"/>
    <cellStyle name="Normal 9 2 2 2 7 2 3" xfId="13783" xr:uid="{83BE21BE-8B8F-42DA-8616-48F2908BE9CA}"/>
    <cellStyle name="Normal 9 2 2 2 7 2 3 2" xfId="32379" xr:uid="{D9DF2AAD-A6D9-4B41-8440-4A938EBF0AFE}"/>
    <cellStyle name="Normal 9 2 2 2 7 2 4" xfId="23082" xr:uid="{478BD06A-9C47-48FF-A8A2-D4B67E4DB3DD}"/>
    <cellStyle name="Normal 9 2 2 2 7 3" xfId="6529" xr:uid="{00000000-0005-0000-0000-0000BA1E0000}"/>
    <cellStyle name="Normal 9 2 2 2 7 3 2" xfId="15855" xr:uid="{D6482ED1-7F3B-49E6-A126-5830FC6F5969}"/>
    <cellStyle name="Normal 9 2 2 2 7 3 2 2" xfId="34451" xr:uid="{898A4BC3-521C-4963-8A14-E95A68C4827E}"/>
    <cellStyle name="Normal 9 2 2 2 7 3 3" xfId="25154" xr:uid="{D326598D-B22F-41DA-90A0-94DB9BD1D534}"/>
    <cellStyle name="Normal 9 2 2 2 7 4" xfId="11638" xr:uid="{A743CC5F-FC41-4913-B6C0-4C7AF0C9A8E4}"/>
    <cellStyle name="Normal 9 2 2 2 7 4 2" xfId="30234" xr:uid="{41708B63-0843-475A-B9F2-AD6918EE62AA}"/>
    <cellStyle name="Normal 9 2 2 2 7 5" xfId="20937" xr:uid="{A7CCED6D-502B-436F-8B1E-39D896958F58}"/>
    <cellStyle name="Normal 9 2 2 2 8" xfId="2659" xr:uid="{00000000-0005-0000-0000-0000BB1E0000}"/>
    <cellStyle name="Normal 9 2 2 2 8 2" xfId="6942" xr:uid="{00000000-0005-0000-0000-0000BC1E0000}"/>
    <cellStyle name="Normal 9 2 2 2 8 2 2" xfId="16268" xr:uid="{7F8556AA-732E-47BB-A580-EE0957C0EAA4}"/>
    <cellStyle name="Normal 9 2 2 2 8 2 2 2" xfId="34864" xr:uid="{BBEA27DF-33A0-412B-A894-85FBA70DA0EB}"/>
    <cellStyle name="Normal 9 2 2 2 8 2 3" xfId="25567" xr:uid="{5A935633-8EFC-44FB-9168-CDB5027107BC}"/>
    <cellStyle name="Normal 9 2 2 2 8 3" xfId="12051" xr:uid="{84368A54-3281-4E60-A986-5EA7CF52B1A4}"/>
    <cellStyle name="Normal 9 2 2 2 8 3 2" xfId="30647" xr:uid="{FEC5FABA-9D54-4737-BAED-6A6DF78C0CB2}"/>
    <cellStyle name="Normal 9 2 2 2 8 4" xfId="21350" xr:uid="{1E10A881-B704-4512-946D-5380ACBBD646}"/>
    <cellStyle name="Normal 9 2 2 2 9" xfId="4877" xr:uid="{00000000-0005-0000-0000-0000BD1E0000}"/>
    <cellStyle name="Normal 9 2 2 2 9 2" xfId="14203" xr:uid="{75F18142-2344-4C1B-9DA6-7AA3AEE1D659}"/>
    <cellStyle name="Normal 9 2 2 2 9 2 2" xfId="32799" xr:uid="{CA00E411-9428-4649-97FA-A4C0990E2AF2}"/>
    <cellStyle name="Normal 9 2 2 2 9 3" xfId="23502" xr:uid="{A4EBB08B-0C38-4EF4-B2B5-E8401D87086F}"/>
    <cellStyle name="Normal 9 2 2 3" xfId="517" xr:uid="{00000000-0005-0000-0000-0000BE1E0000}"/>
    <cellStyle name="Normal 9 2 2 3 10" xfId="9990" xr:uid="{E7499BEE-17D3-48DD-8B63-7FF87C927C17}"/>
    <cellStyle name="Normal 9 2 2 3 10 2" xfId="28586" xr:uid="{DB41868A-F4DD-441E-AAC4-818162927D98}"/>
    <cellStyle name="Normal 9 2 2 3 11" xfId="19289" xr:uid="{D4002A29-594C-498E-8282-32F563B89B0B}"/>
    <cellStyle name="Normal 9 2 2 3 2" xfId="518" xr:uid="{00000000-0005-0000-0000-0000BF1E0000}"/>
    <cellStyle name="Normal 9 2 2 3 2 10" xfId="19290" xr:uid="{9501A17A-8FAD-4EFC-9406-EF201FDBE35E}"/>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D6E77950-ED89-4955-B49A-CA01DA2286FB}"/>
    <cellStyle name="Normal 9 2 2 3 2 2 2 2 2 2" xfId="35362" xr:uid="{1A0A35D2-4647-4E29-8965-630C2EA49B5B}"/>
    <cellStyle name="Normal 9 2 2 3 2 2 2 2 3" xfId="26065" xr:uid="{3C473A27-B0A3-4DF8-912F-1E3C848426FE}"/>
    <cellStyle name="Normal 9 2 2 3 2 2 2 3" xfId="12549" xr:uid="{1EA4D097-147A-463A-8CDE-E844EC5F49DE}"/>
    <cellStyle name="Normal 9 2 2 3 2 2 2 3 2" xfId="31145" xr:uid="{F6FB14FB-29A9-428B-80F1-14E18B7DEEAC}"/>
    <cellStyle name="Normal 9 2 2 3 2 2 2 4" xfId="21848" xr:uid="{9E5E3108-90CC-4DFC-9730-AC55DD003BDC}"/>
    <cellStyle name="Normal 9 2 2 3 2 2 3" xfId="5295" xr:uid="{00000000-0005-0000-0000-0000C31E0000}"/>
    <cellStyle name="Normal 9 2 2 3 2 2 3 2" xfId="14621" xr:uid="{D7E41A58-1EE9-4D9E-A589-AA7A60657697}"/>
    <cellStyle name="Normal 9 2 2 3 2 2 3 2 2" xfId="33217" xr:uid="{81A9ED2D-1039-43B1-A939-8D77D538CA17}"/>
    <cellStyle name="Normal 9 2 2 3 2 2 3 3" xfId="23920" xr:uid="{81D08586-C18E-451F-98C0-A280D966F693}"/>
    <cellStyle name="Normal 9 2 2 3 2 2 4" xfId="9520" xr:uid="{57CFBD10-691F-4DF8-8020-B75E98FF60DD}"/>
    <cellStyle name="Normal 9 2 2 3 2 2 4 2" xfId="18835" xr:uid="{3AD980F0-85B9-490B-AA3E-A6507D342D8D}"/>
    <cellStyle name="Normal 9 2 2 3 2 2 4 2 2" xfId="37429" xr:uid="{DCA761AB-0E5E-4D5B-94C5-E03514F4FEB0}"/>
    <cellStyle name="Normal 9 2 2 3 2 2 4 3" xfId="28132" xr:uid="{B35A649D-B9D3-4DC7-9F8F-3DABC4721B82}"/>
    <cellStyle name="Normal 9 2 2 3 2 2 5" xfId="10404" xr:uid="{019482CC-654F-4141-972B-AEDE22D6403B}"/>
    <cellStyle name="Normal 9 2 2 3 2 2 5 2" xfId="29000" xr:uid="{4FB31214-E704-40AF-97C6-D9B9B9526DBE}"/>
    <cellStyle name="Normal 9 2 2 3 2 2 6" xfId="19703" xr:uid="{E68F00AE-BA82-4A0B-AFCF-C801B1D08D8A}"/>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CDD3FE8F-BC2A-440B-8C5A-9BDDBB25E5F3}"/>
    <cellStyle name="Normal 9 2 2 3 2 3 2 2 2 2" xfId="35775" xr:uid="{947093BE-F56C-4D36-B0CB-1E7C45F008E2}"/>
    <cellStyle name="Normal 9 2 2 3 2 3 2 2 3" xfId="26478" xr:uid="{FD7DA60B-A030-4499-BE59-517E352A4B9D}"/>
    <cellStyle name="Normal 9 2 2 3 2 3 2 3" xfId="12962" xr:uid="{369B8498-E206-404C-B75C-C4FE1EF48B92}"/>
    <cellStyle name="Normal 9 2 2 3 2 3 2 3 2" xfId="31558" xr:uid="{ABEEC7C2-013B-4F96-8417-265F889B6479}"/>
    <cellStyle name="Normal 9 2 2 3 2 3 2 4" xfId="22261" xr:uid="{9F5656A2-0E7A-4E24-B505-8644E5926706}"/>
    <cellStyle name="Normal 9 2 2 3 2 3 3" xfId="5708" xr:uid="{00000000-0005-0000-0000-0000C71E0000}"/>
    <cellStyle name="Normal 9 2 2 3 2 3 3 2" xfId="15034" xr:uid="{82006DA9-3B29-4599-B6EA-50FF71C29296}"/>
    <cellStyle name="Normal 9 2 2 3 2 3 3 2 2" xfId="33630" xr:uid="{AF9621C6-62C0-4F70-A260-82F078FE6C61}"/>
    <cellStyle name="Normal 9 2 2 3 2 3 3 3" xfId="24333" xr:uid="{E2E74D7C-BE33-4064-B1DF-2772266ED746}"/>
    <cellStyle name="Normal 9 2 2 3 2 3 4" xfId="10817" xr:uid="{6A072356-D708-4E50-8F32-10C836CDF233}"/>
    <cellStyle name="Normal 9 2 2 3 2 3 4 2" xfId="29413" xr:uid="{80B351F5-65BF-4B89-ADAF-E281CA5184A2}"/>
    <cellStyle name="Normal 9 2 2 3 2 3 5" xfId="20116" xr:uid="{649EA5DA-01D7-45AA-8152-19369DB47CFC}"/>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3258B24D-0413-42B0-9436-396643DEDB08}"/>
    <cellStyle name="Normal 9 2 2 3 2 4 2 2 2 2" xfId="36188" xr:uid="{B7876091-7C09-4A10-B635-3A4F717D8B02}"/>
    <cellStyle name="Normal 9 2 2 3 2 4 2 2 3" xfId="26891" xr:uid="{0A494C6D-898A-4F77-A24F-62CFC0C3594E}"/>
    <cellStyle name="Normal 9 2 2 3 2 4 2 3" xfId="13375" xr:uid="{7D21EC1B-BBC0-439F-B166-1823BAF1021B}"/>
    <cellStyle name="Normal 9 2 2 3 2 4 2 3 2" xfId="31971" xr:uid="{6D08FB4B-0970-43F0-9D8E-638E5694DF62}"/>
    <cellStyle name="Normal 9 2 2 3 2 4 2 4" xfId="22674" xr:uid="{1F5A458E-304D-4CA8-B1AB-62948A935B56}"/>
    <cellStyle name="Normal 9 2 2 3 2 4 3" xfId="6121" xr:uid="{00000000-0005-0000-0000-0000CB1E0000}"/>
    <cellStyle name="Normal 9 2 2 3 2 4 3 2" xfId="15447" xr:uid="{E25B4FA9-BEE3-46CF-A80F-B75F7CB2C1D6}"/>
    <cellStyle name="Normal 9 2 2 3 2 4 3 2 2" xfId="34043" xr:uid="{D1BAB250-E76E-43F3-9617-3A8AD31A5C8E}"/>
    <cellStyle name="Normal 9 2 2 3 2 4 3 3" xfId="24746" xr:uid="{68E50E1C-B148-4A18-BC83-811A52396961}"/>
    <cellStyle name="Normal 9 2 2 3 2 4 4" xfId="11230" xr:uid="{185711A5-8A27-4C64-B259-75687D3B9D43}"/>
    <cellStyle name="Normal 9 2 2 3 2 4 4 2" xfId="29826" xr:uid="{94A752E6-5A37-4E72-BC20-7950CC3F497E}"/>
    <cellStyle name="Normal 9 2 2 3 2 4 5" xfId="20529" xr:uid="{9BEC70E6-15FD-4F22-9309-E482C9A391FD}"/>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DDA04F15-3DD5-4D6C-B6C4-F2C55B5C52CE}"/>
    <cellStyle name="Normal 9 2 2 3 2 5 2 2 2 2" xfId="36601" xr:uid="{22B9F443-2768-4AF0-99FD-FED127A165D2}"/>
    <cellStyle name="Normal 9 2 2 3 2 5 2 2 3" xfId="27304" xr:uid="{70E6973C-6D1B-4EB4-AE54-A30FF60A33F8}"/>
    <cellStyle name="Normal 9 2 2 3 2 5 2 3" xfId="13788" xr:uid="{EAA91971-66E1-4EFA-A0B9-F2B8E96432CD}"/>
    <cellStyle name="Normal 9 2 2 3 2 5 2 3 2" xfId="32384" xr:uid="{1E0CB60A-4E4D-4239-8EF4-0F4A4DC3743B}"/>
    <cellStyle name="Normal 9 2 2 3 2 5 2 4" xfId="23087" xr:uid="{0127B147-6DFC-4815-AFF4-CC6B69840B3B}"/>
    <cellStyle name="Normal 9 2 2 3 2 5 3" xfId="6534" xr:uid="{00000000-0005-0000-0000-0000CF1E0000}"/>
    <cellStyle name="Normal 9 2 2 3 2 5 3 2" xfId="15860" xr:uid="{EB86F726-B58F-49FB-A5A6-F621A1E915A5}"/>
    <cellStyle name="Normal 9 2 2 3 2 5 3 2 2" xfId="34456" xr:uid="{81D85F78-A3FF-40CA-93B8-9BF1456E9C4F}"/>
    <cellStyle name="Normal 9 2 2 3 2 5 3 3" xfId="25159" xr:uid="{0C10CE48-D132-440C-9CC0-27CC6F798F30}"/>
    <cellStyle name="Normal 9 2 2 3 2 5 4" xfId="11643" xr:uid="{7F629005-6DF5-4571-A61E-8FBAACF2234D}"/>
    <cellStyle name="Normal 9 2 2 3 2 5 4 2" xfId="30239" xr:uid="{F20B2A5E-437A-4203-A102-7020DA6FAE83}"/>
    <cellStyle name="Normal 9 2 2 3 2 5 5" xfId="20942" xr:uid="{70471CA8-73B2-469B-96AF-145E543DE7C1}"/>
    <cellStyle name="Normal 9 2 2 3 2 6" xfId="2664" xr:uid="{00000000-0005-0000-0000-0000D01E0000}"/>
    <cellStyle name="Normal 9 2 2 3 2 6 2" xfId="6947" xr:uid="{00000000-0005-0000-0000-0000D11E0000}"/>
    <cellStyle name="Normal 9 2 2 3 2 6 2 2" xfId="16273" xr:uid="{0EFBDBAD-6475-4966-9938-E231557AF7C6}"/>
    <cellStyle name="Normal 9 2 2 3 2 6 2 2 2" xfId="34869" xr:uid="{AA28C809-913A-4F70-96AE-00010A7FEE10}"/>
    <cellStyle name="Normal 9 2 2 3 2 6 2 3" xfId="25572" xr:uid="{37DEB3BA-A70D-48C5-B4B9-9222F501B301}"/>
    <cellStyle name="Normal 9 2 2 3 2 6 3" xfId="12056" xr:uid="{C2A174D9-2AE7-4F33-AD2C-61C6878AA483}"/>
    <cellStyle name="Normal 9 2 2 3 2 6 3 2" xfId="30652" xr:uid="{6302A428-F39F-4F86-8122-5BA16785FED0}"/>
    <cellStyle name="Normal 9 2 2 3 2 6 4" xfId="21355" xr:uid="{C97CF1B9-D049-4417-92C3-D63D2984EF4B}"/>
    <cellStyle name="Normal 9 2 2 3 2 7" xfId="4882" xr:uid="{00000000-0005-0000-0000-0000D21E0000}"/>
    <cellStyle name="Normal 9 2 2 3 2 7 2" xfId="14208" xr:uid="{65AA9124-06A7-4B7D-9C92-786F19E9892B}"/>
    <cellStyle name="Normal 9 2 2 3 2 7 2 2" xfId="32804" xr:uid="{2BBFE402-0FC7-43AA-9DFC-65EEF828BEC6}"/>
    <cellStyle name="Normal 9 2 2 3 2 7 3" xfId="23507" xr:uid="{B0177A25-48DE-401E-8247-950A42119106}"/>
    <cellStyle name="Normal 9 2 2 3 2 8" xfId="9095" xr:uid="{D95088B7-D227-4E97-A9B9-DA61436DD386}"/>
    <cellStyle name="Normal 9 2 2 3 2 8 2" xfId="18419" xr:uid="{4EDC9425-CC9E-4670-B2E1-027D10B47A93}"/>
    <cellStyle name="Normal 9 2 2 3 2 8 2 2" xfId="37014" xr:uid="{257E5AAF-C3AB-4C53-A2AE-71116DFEB60A}"/>
    <cellStyle name="Normal 9 2 2 3 2 8 3" xfId="27717" xr:uid="{D27F4465-8F3C-4F52-8E78-959974B1603F}"/>
    <cellStyle name="Normal 9 2 2 3 2 9" xfId="9991" xr:uid="{C1185D6B-7394-4DFE-BE2D-FA4DF89CAB46}"/>
    <cellStyle name="Normal 9 2 2 3 2 9 2" xfId="28587" xr:uid="{72239C4B-281D-404C-9A60-6D8E96C4B31F}"/>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0389A1F7-3560-4E81-8CAA-0B7635507D50}"/>
    <cellStyle name="Normal 9 2 2 3 3 2 2 2 2" xfId="35361" xr:uid="{67B88AB1-B0AF-4749-B9EF-FD923EFB178F}"/>
    <cellStyle name="Normal 9 2 2 3 3 2 2 3" xfId="26064" xr:uid="{30FCBE69-3C39-449A-B1C0-646E65B7A7BA}"/>
    <cellStyle name="Normal 9 2 2 3 3 2 3" xfId="12548" xr:uid="{90AB17C9-F3F3-4ED2-B70E-8629BEB82EED}"/>
    <cellStyle name="Normal 9 2 2 3 3 2 3 2" xfId="31144" xr:uid="{8C9B9F8F-73E0-4790-A60D-4D1509923D41}"/>
    <cellStyle name="Normal 9 2 2 3 3 2 4" xfId="21847" xr:uid="{6B373EA3-33AA-419B-8D0D-E5B58FC810FD}"/>
    <cellStyle name="Normal 9 2 2 3 3 3" xfId="5294" xr:uid="{00000000-0005-0000-0000-0000D61E0000}"/>
    <cellStyle name="Normal 9 2 2 3 3 3 2" xfId="14620" xr:uid="{944D7F14-E961-40D7-879E-6C15B43944CF}"/>
    <cellStyle name="Normal 9 2 2 3 3 3 2 2" xfId="33216" xr:uid="{79C1C889-8B4B-4344-AE63-4D35652F756E}"/>
    <cellStyle name="Normal 9 2 2 3 3 3 3" xfId="23919" xr:uid="{EF3B2E68-6D2B-4C4D-A5DC-338791326493}"/>
    <cellStyle name="Normal 9 2 2 3 3 4" xfId="9313" xr:uid="{FDDC600D-FDDD-4FFC-9820-DFD7E0768F33}"/>
    <cellStyle name="Normal 9 2 2 3 3 4 2" xfId="18628" xr:uid="{90DE71C2-5419-4604-BEB8-47D4E3339186}"/>
    <cellStyle name="Normal 9 2 2 3 3 4 2 2" xfId="37222" xr:uid="{3AA05630-6B4A-4E51-8F38-6EF5051536BD}"/>
    <cellStyle name="Normal 9 2 2 3 3 4 3" xfId="27925" xr:uid="{DBC0311B-D9B2-4FEA-83A7-A2CD813900DE}"/>
    <cellStyle name="Normal 9 2 2 3 3 5" xfId="10403" xr:uid="{8EFCA91C-BBB1-4CC4-96DE-20C92C8834F6}"/>
    <cellStyle name="Normal 9 2 2 3 3 5 2" xfId="28999" xr:uid="{62490DB5-E172-45A7-BD73-DE2CADE178EA}"/>
    <cellStyle name="Normal 9 2 2 3 3 6" xfId="19702" xr:uid="{85525325-240D-4C9C-A214-143EA24183B4}"/>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55D9DD89-522E-4CDA-BFCF-ACFDD6AEB014}"/>
    <cellStyle name="Normal 9 2 2 3 4 2 2 2 2" xfId="35774" xr:uid="{2CFFD4E8-7B15-4998-A7EA-45B8AD096A6B}"/>
    <cellStyle name="Normal 9 2 2 3 4 2 2 3" xfId="26477" xr:uid="{C8C4CF9B-D4FA-49D9-96ED-B40886C1E245}"/>
    <cellStyle name="Normal 9 2 2 3 4 2 3" xfId="12961" xr:uid="{E7FA5D11-9631-43CC-BDD7-9C0FBA800C65}"/>
    <cellStyle name="Normal 9 2 2 3 4 2 3 2" xfId="31557" xr:uid="{E5356B62-1A9D-47B4-B0CF-AEF4F67A0CB6}"/>
    <cellStyle name="Normal 9 2 2 3 4 2 4" xfId="22260" xr:uid="{B8D8B82C-AEEB-46BC-BDD8-F76FDA0F06ED}"/>
    <cellStyle name="Normal 9 2 2 3 4 3" xfId="5707" xr:uid="{00000000-0005-0000-0000-0000DA1E0000}"/>
    <cellStyle name="Normal 9 2 2 3 4 3 2" xfId="15033" xr:uid="{E848DCAD-E60A-4A67-A8F4-3412FF2ADDFE}"/>
    <cellStyle name="Normal 9 2 2 3 4 3 2 2" xfId="33629" xr:uid="{08412B6D-5466-4DB1-92CD-0511DDC3C5B7}"/>
    <cellStyle name="Normal 9 2 2 3 4 3 3" xfId="24332" xr:uid="{BA31C9EE-933E-4BF8-8608-A25A84DD8E50}"/>
    <cellStyle name="Normal 9 2 2 3 4 4" xfId="10816" xr:uid="{35A60A29-FD1A-4737-9E83-ECEF5EB4201D}"/>
    <cellStyle name="Normal 9 2 2 3 4 4 2" xfId="29412" xr:uid="{8BB19F13-9E0E-4AA8-9BF6-691FE4161B98}"/>
    <cellStyle name="Normal 9 2 2 3 4 5" xfId="20115" xr:uid="{A6910227-191E-431E-A189-085B369EA4AE}"/>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77886685-331C-4670-93FB-1979FA7D7329}"/>
    <cellStyle name="Normal 9 2 2 3 5 2 2 2 2" xfId="36187" xr:uid="{5B2EC353-F7AF-4965-9D08-BDE7489E218A}"/>
    <cellStyle name="Normal 9 2 2 3 5 2 2 3" xfId="26890" xr:uid="{D773C18E-F8D7-48C0-AB9F-21DF39170E11}"/>
    <cellStyle name="Normal 9 2 2 3 5 2 3" xfId="13374" xr:uid="{2FDBBDDC-5766-40AE-9614-001CB3DD65FC}"/>
    <cellStyle name="Normal 9 2 2 3 5 2 3 2" xfId="31970" xr:uid="{5B70B5B1-A262-4A4D-9F82-59FA56DFA3BC}"/>
    <cellStyle name="Normal 9 2 2 3 5 2 4" xfId="22673" xr:uid="{E35CA067-3523-4055-B16D-976E713ADC6C}"/>
    <cellStyle name="Normal 9 2 2 3 5 3" xfId="6120" xr:uid="{00000000-0005-0000-0000-0000DE1E0000}"/>
    <cellStyle name="Normal 9 2 2 3 5 3 2" xfId="15446" xr:uid="{7EAF8870-4D14-4414-B7D9-BDC0A09571A5}"/>
    <cellStyle name="Normal 9 2 2 3 5 3 2 2" xfId="34042" xr:uid="{7B23F04F-8E32-41E2-ABBD-09E7169D315B}"/>
    <cellStyle name="Normal 9 2 2 3 5 3 3" xfId="24745" xr:uid="{1BBFD743-09FC-45E4-82D7-F0E0AF3A613B}"/>
    <cellStyle name="Normal 9 2 2 3 5 4" xfId="11229" xr:uid="{4063D703-09C7-42F6-A865-8C7AB90F8441}"/>
    <cellStyle name="Normal 9 2 2 3 5 4 2" xfId="29825" xr:uid="{DEC85EFB-A7D5-4BF4-8319-8C8A832670BD}"/>
    <cellStyle name="Normal 9 2 2 3 5 5" xfId="20528" xr:uid="{53FEACEA-A061-4715-980E-780F96C0C336}"/>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8B7484E0-AFD2-48B6-A1FF-EC9255B54CD8}"/>
    <cellStyle name="Normal 9 2 2 3 6 2 2 2 2" xfId="36600" xr:uid="{AB632002-008D-48D1-973E-18261D899626}"/>
    <cellStyle name="Normal 9 2 2 3 6 2 2 3" xfId="27303" xr:uid="{D0C6E0D4-19A1-45F9-81EE-A370E2DA7E71}"/>
    <cellStyle name="Normal 9 2 2 3 6 2 3" xfId="13787" xr:uid="{0EB163DF-97C9-46D0-96BE-CDBC86C4E32E}"/>
    <cellStyle name="Normal 9 2 2 3 6 2 3 2" xfId="32383" xr:uid="{88703141-5C4F-4ECB-9103-FE067C843378}"/>
    <cellStyle name="Normal 9 2 2 3 6 2 4" xfId="23086" xr:uid="{4F6BE5D7-E001-4F97-956F-DEA7042C188F}"/>
    <cellStyle name="Normal 9 2 2 3 6 3" xfId="6533" xr:uid="{00000000-0005-0000-0000-0000E21E0000}"/>
    <cellStyle name="Normal 9 2 2 3 6 3 2" xfId="15859" xr:uid="{33E035ED-D522-4F9E-B81E-BAAA694055A8}"/>
    <cellStyle name="Normal 9 2 2 3 6 3 2 2" xfId="34455" xr:uid="{661A103E-043D-41C9-A90E-70915D5F46DB}"/>
    <cellStyle name="Normal 9 2 2 3 6 3 3" xfId="25158" xr:uid="{9DA21151-9ED9-46FE-B01F-43B1EA678916}"/>
    <cellStyle name="Normal 9 2 2 3 6 4" xfId="11642" xr:uid="{C62AFF4B-4CE9-4B40-AF84-0A91FD93CA8C}"/>
    <cellStyle name="Normal 9 2 2 3 6 4 2" xfId="30238" xr:uid="{A400FDBD-47D5-4DDF-A079-D666A6F368A0}"/>
    <cellStyle name="Normal 9 2 2 3 6 5" xfId="20941" xr:uid="{9E2BC13F-DA21-444D-BBE0-912FCF70E783}"/>
    <cellStyle name="Normal 9 2 2 3 7" xfId="2663" xr:uid="{00000000-0005-0000-0000-0000E31E0000}"/>
    <cellStyle name="Normal 9 2 2 3 7 2" xfId="6946" xr:uid="{00000000-0005-0000-0000-0000E41E0000}"/>
    <cellStyle name="Normal 9 2 2 3 7 2 2" xfId="16272" xr:uid="{D4FBD948-7E02-4A16-8A20-2F5D1ABE3573}"/>
    <cellStyle name="Normal 9 2 2 3 7 2 2 2" xfId="34868" xr:uid="{E826E4FA-29FF-467E-8FBA-9E10A37298FB}"/>
    <cellStyle name="Normal 9 2 2 3 7 2 3" xfId="25571" xr:uid="{25F6607F-0322-4EB7-AA36-520C8A9B4AC6}"/>
    <cellStyle name="Normal 9 2 2 3 7 3" xfId="12055" xr:uid="{1889B414-7C67-4ED6-8451-95FFDF8CC952}"/>
    <cellStyle name="Normal 9 2 2 3 7 3 2" xfId="30651" xr:uid="{3958A0B9-20AB-4878-B4AF-3F7269AE80DF}"/>
    <cellStyle name="Normal 9 2 2 3 7 4" xfId="21354" xr:uid="{EEDB06D1-0AD6-4AC5-BB0D-576A1BD1F44E}"/>
    <cellStyle name="Normal 9 2 2 3 8" xfId="4881" xr:uid="{00000000-0005-0000-0000-0000E51E0000}"/>
    <cellStyle name="Normal 9 2 2 3 8 2" xfId="14207" xr:uid="{00AF2BE4-5DE1-4047-A0CC-7C3749FFBADD}"/>
    <cellStyle name="Normal 9 2 2 3 8 2 2" xfId="32803" xr:uid="{7B76829D-5BEC-4F0B-B48B-96E8C21E0108}"/>
    <cellStyle name="Normal 9 2 2 3 8 3" xfId="23506" xr:uid="{B6C637DF-5931-48F1-A500-A06F9FFCEABA}"/>
    <cellStyle name="Normal 9 2 2 3 9" xfId="8888" xr:uid="{47457178-62A7-4ACA-95A1-433BF4FD3D65}"/>
    <cellStyle name="Normal 9 2 2 3 9 2" xfId="18212" xr:uid="{BB428DE3-3215-4E84-9286-DF1C60821BCD}"/>
    <cellStyle name="Normal 9 2 2 3 9 2 2" xfId="36807" xr:uid="{CF7699F0-C0E8-4D7A-B9C0-02CF4E63127E}"/>
    <cellStyle name="Normal 9 2 2 3 9 3" xfId="27510" xr:uid="{50C5727B-D560-4433-BCB4-6B6355D8CE11}"/>
    <cellStyle name="Normal 9 2 2 4" xfId="519" xr:uid="{00000000-0005-0000-0000-0000E61E0000}"/>
    <cellStyle name="Normal 9 2 2 4 10" xfId="19291" xr:uid="{774BD909-E67F-4621-807F-8E63DEFBC1C8}"/>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E7DE18FD-00DC-4369-B6A4-57D37784C6BE}"/>
    <cellStyle name="Normal 9 2 2 4 2 2 2 2 2" xfId="35363" xr:uid="{F5B0A854-7D28-4CD6-8D06-30865E0A0B68}"/>
    <cellStyle name="Normal 9 2 2 4 2 2 2 3" xfId="26066" xr:uid="{28956353-89B6-4679-87C9-01031B2D4EA3}"/>
    <cellStyle name="Normal 9 2 2 4 2 2 3" xfId="12550" xr:uid="{373CCD32-14DC-4BBD-A6F9-3129527F08DD}"/>
    <cellStyle name="Normal 9 2 2 4 2 2 3 2" xfId="31146" xr:uid="{EFE07285-C311-457E-AB74-53E810BA8A84}"/>
    <cellStyle name="Normal 9 2 2 4 2 2 4" xfId="21849" xr:uid="{C72CCC1B-D806-45DB-A15A-802AFCF7F94A}"/>
    <cellStyle name="Normal 9 2 2 4 2 3" xfId="5296" xr:uid="{00000000-0005-0000-0000-0000EA1E0000}"/>
    <cellStyle name="Normal 9 2 2 4 2 3 2" xfId="14622" xr:uid="{30631FEB-22AD-418F-B53A-E34BB0178421}"/>
    <cellStyle name="Normal 9 2 2 4 2 3 2 2" xfId="33218" xr:uid="{0D58C865-6C4A-47CE-91C3-160F1ADFC990}"/>
    <cellStyle name="Normal 9 2 2 4 2 3 3" xfId="23921" xr:uid="{FE9BDCB5-0611-40A8-880C-93197155F1DD}"/>
    <cellStyle name="Normal 9 2 2 4 2 4" xfId="9417" xr:uid="{FDB8A679-B5B8-4E9B-808D-E68F6CA01958}"/>
    <cellStyle name="Normal 9 2 2 4 2 4 2" xfId="18732" xr:uid="{941BB578-1FE4-4456-925F-1CF0CCF0801B}"/>
    <cellStyle name="Normal 9 2 2 4 2 4 2 2" xfId="37326" xr:uid="{21044DA8-7CB7-4FEE-A494-D4E65B407F88}"/>
    <cellStyle name="Normal 9 2 2 4 2 4 3" xfId="28029" xr:uid="{EB633D28-FDD1-4A68-8409-5E271A057FB2}"/>
    <cellStyle name="Normal 9 2 2 4 2 5" xfId="10405" xr:uid="{DC52C9D3-CB42-4E11-BCA1-DFDABE2E5551}"/>
    <cellStyle name="Normal 9 2 2 4 2 5 2" xfId="29001" xr:uid="{7B1B5ED3-D559-4BA5-B7C5-BC57204D2A12}"/>
    <cellStyle name="Normal 9 2 2 4 2 6" xfId="19704" xr:uid="{78892A27-A846-43B3-AC15-79D8F8C25ED0}"/>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E205178B-262C-4264-BE8F-41C2056D1CEB}"/>
    <cellStyle name="Normal 9 2 2 4 3 2 2 2 2" xfId="35776" xr:uid="{C324F94D-5184-43E2-BB34-68B4DC1D5E79}"/>
    <cellStyle name="Normal 9 2 2 4 3 2 2 3" xfId="26479" xr:uid="{FD112E42-1F40-4591-9062-8265A08A7B63}"/>
    <cellStyle name="Normal 9 2 2 4 3 2 3" xfId="12963" xr:uid="{AB3E76B5-0868-424D-871C-D28D0B61EB85}"/>
    <cellStyle name="Normal 9 2 2 4 3 2 3 2" xfId="31559" xr:uid="{96D72FF8-0A67-4F95-9FCB-158037E01939}"/>
    <cellStyle name="Normal 9 2 2 4 3 2 4" xfId="22262" xr:uid="{DC129E79-4D9A-44C8-8BE3-773B56365D90}"/>
    <cellStyle name="Normal 9 2 2 4 3 3" xfId="5709" xr:uid="{00000000-0005-0000-0000-0000EE1E0000}"/>
    <cellStyle name="Normal 9 2 2 4 3 3 2" xfId="15035" xr:uid="{29A69FD3-5731-47F5-A390-5C801312E027}"/>
    <cellStyle name="Normal 9 2 2 4 3 3 2 2" xfId="33631" xr:uid="{79F1A74A-38AE-45D0-8F59-1AD30EAFF8C8}"/>
    <cellStyle name="Normal 9 2 2 4 3 3 3" xfId="24334" xr:uid="{ABFDDFEE-A211-4ADF-AB04-6DCB2C38FBF4}"/>
    <cellStyle name="Normal 9 2 2 4 3 4" xfId="10818" xr:uid="{1A33351C-6D43-4173-923D-D5071469A644}"/>
    <cellStyle name="Normal 9 2 2 4 3 4 2" xfId="29414" xr:uid="{776FB09D-3BB4-4DE8-A5B9-0EB1448D4555}"/>
    <cellStyle name="Normal 9 2 2 4 3 5" xfId="20117" xr:uid="{32ED1ECF-CA0C-40B1-B64A-D2D139BC98F6}"/>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159379A9-2BCE-4ADC-8698-F2B9E618B3B6}"/>
    <cellStyle name="Normal 9 2 2 4 4 2 2 2 2" xfId="36189" xr:uid="{94C69AE8-2BDF-4E45-989F-2D4C7A45C4C7}"/>
    <cellStyle name="Normal 9 2 2 4 4 2 2 3" xfId="26892" xr:uid="{89382CC9-4C98-4587-8A9E-609D92ECCF90}"/>
    <cellStyle name="Normal 9 2 2 4 4 2 3" xfId="13376" xr:uid="{6F086860-D8FC-44EE-9E94-5ECB9DAFACD9}"/>
    <cellStyle name="Normal 9 2 2 4 4 2 3 2" xfId="31972" xr:uid="{E2C9FCBD-36E9-4F01-839E-CA87D1EC855A}"/>
    <cellStyle name="Normal 9 2 2 4 4 2 4" xfId="22675" xr:uid="{BBC381DB-69B8-42A8-9495-BB5C70156C2F}"/>
    <cellStyle name="Normal 9 2 2 4 4 3" xfId="6122" xr:uid="{00000000-0005-0000-0000-0000F21E0000}"/>
    <cellStyle name="Normal 9 2 2 4 4 3 2" xfId="15448" xr:uid="{2F8D4161-6F3E-49D5-B892-D3317D762D3D}"/>
    <cellStyle name="Normal 9 2 2 4 4 3 2 2" xfId="34044" xr:uid="{8AA0A61F-37F5-4C78-90D3-0C8CE2BE8D73}"/>
    <cellStyle name="Normal 9 2 2 4 4 3 3" xfId="24747" xr:uid="{6A0BBF0C-59EA-4E02-AAB6-6BEBA5D371AB}"/>
    <cellStyle name="Normal 9 2 2 4 4 4" xfId="11231" xr:uid="{3ED6157D-D7B3-4390-8603-1C633AE2FD95}"/>
    <cellStyle name="Normal 9 2 2 4 4 4 2" xfId="29827" xr:uid="{A91EF09C-47D6-4A4D-B3B9-B3C9EB2BCE48}"/>
    <cellStyle name="Normal 9 2 2 4 4 5" xfId="20530" xr:uid="{11F48194-A3D5-4550-A38F-D1685363AA35}"/>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8C8778D2-7662-4A7A-A9F6-B4F067E5B6EE}"/>
    <cellStyle name="Normal 9 2 2 4 5 2 2 2 2" xfId="36602" xr:uid="{9FA5FED8-DE5A-4F20-B195-4834B9F294BD}"/>
    <cellStyle name="Normal 9 2 2 4 5 2 2 3" xfId="27305" xr:uid="{3D80AC6B-116C-444D-AA02-DA17DA10E95A}"/>
    <cellStyle name="Normal 9 2 2 4 5 2 3" xfId="13789" xr:uid="{A2C81378-CE8E-40E0-A5DA-1101F81E6227}"/>
    <cellStyle name="Normal 9 2 2 4 5 2 3 2" xfId="32385" xr:uid="{6E57D12F-85BD-4700-BDEB-10D957F70B73}"/>
    <cellStyle name="Normal 9 2 2 4 5 2 4" xfId="23088" xr:uid="{3BF1CEF3-8F6D-44EE-84E3-E9636B583673}"/>
    <cellStyle name="Normal 9 2 2 4 5 3" xfId="6535" xr:uid="{00000000-0005-0000-0000-0000F61E0000}"/>
    <cellStyle name="Normal 9 2 2 4 5 3 2" xfId="15861" xr:uid="{E036B6E3-7F8E-48C7-BDDB-0B9557A7865B}"/>
    <cellStyle name="Normal 9 2 2 4 5 3 2 2" xfId="34457" xr:uid="{1F46CF00-CF6C-4E56-BFB9-AE55EE7DB990}"/>
    <cellStyle name="Normal 9 2 2 4 5 3 3" xfId="25160" xr:uid="{7BD7674D-8FFE-4E62-B592-688090CEE4ED}"/>
    <cellStyle name="Normal 9 2 2 4 5 4" xfId="11644" xr:uid="{28F97724-81F7-42FC-98A6-258D717DD923}"/>
    <cellStyle name="Normal 9 2 2 4 5 4 2" xfId="30240" xr:uid="{C50ABCA9-5425-44A9-9B25-88EA90002012}"/>
    <cellStyle name="Normal 9 2 2 4 5 5" xfId="20943" xr:uid="{278B13D5-C92C-4534-A26E-7C2C06EB9602}"/>
    <cellStyle name="Normal 9 2 2 4 6" xfId="2665" xr:uid="{00000000-0005-0000-0000-0000F71E0000}"/>
    <cellStyle name="Normal 9 2 2 4 6 2" xfId="6948" xr:uid="{00000000-0005-0000-0000-0000F81E0000}"/>
    <cellStyle name="Normal 9 2 2 4 6 2 2" xfId="16274" xr:uid="{AAA02A86-46A8-4459-845F-0BE845C7B1E2}"/>
    <cellStyle name="Normal 9 2 2 4 6 2 2 2" xfId="34870" xr:uid="{68176783-F1DF-4329-8023-58C6B94679D0}"/>
    <cellStyle name="Normal 9 2 2 4 6 2 3" xfId="25573" xr:uid="{A12BBE1B-8425-4A70-B902-F78757F60DA1}"/>
    <cellStyle name="Normal 9 2 2 4 6 3" xfId="12057" xr:uid="{A8D1751A-D100-473F-BBA2-494A62059077}"/>
    <cellStyle name="Normal 9 2 2 4 6 3 2" xfId="30653" xr:uid="{F4B72D65-014D-458F-84D3-FE2F7AC8D9AA}"/>
    <cellStyle name="Normal 9 2 2 4 6 4" xfId="21356" xr:uid="{39D390C2-6DBF-4430-B66C-66A10D742677}"/>
    <cellStyle name="Normal 9 2 2 4 7" xfId="4883" xr:uid="{00000000-0005-0000-0000-0000F91E0000}"/>
    <cellStyle name="Normal 9 2 2 4 7 2" xfId="14209" xr:uid="{BFFF2675-2808-44C1-A34F-83D9AB0C946E}"/>
    <cellStyle name="Normal 9 2 2 4 7 2 2" xfId="32805" xr:uid="{905D821F-396B-4AC9-80AB-17BC1EEBEE06}"/>
    <cellStyle name="Normal 9 2 2 4 7 3" xfId="23508" xr:uid="{E2037F47-E63F-4747-B9E0-AD1BCA76DAAC}"/>
    <cellStyle name="Normal 9 2 2 4 8" xfId="8992" xr:uid="{8AFFF8AD-8552-4B33-AAFF-7DACAE25085E}"/>
    <cellStyle name="Normal 9 2 2 4 8 2" xfId="18316" xr:uid="{1AA4F33F-8E7C-458E-A5AA-F87FD017B08F}"/>
    <cellStyle name="Normal 9 2 2 4 8 2 2" xfId="36911" xr:uid="{B7BEE437-A3C7-4B66-8A58-887EC0EB7D0C}"/>
    <cellStyle name="Normal 9 2 2 4 8 3" xfId="27614" xr:uid="{E26907E6-B6BE-4D47-B27A-31650388BEC0}"/>
    <cellStyle name="Normal 9 2 2 4 9" xfId="9992" xr:uid="{F51F9A0F-924A-4612-8AFC-AD194BF6202E}"/>
    <cellStyle name="Normal 9 2 2 4 9 2" xfId="28588" xr:uid="{E71B55FB-2DFD-4A39-B1FA-EFA4BA8FC7F5}"/>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A5B19B23-4500-486D-A45D-06E38F05744B}"/>
    <cellStyle name="Normal 9 2 2 5 2 2 2 2" xfId="35356" xr:uid="{1DB7385D-03DC-492E-95B8-2F377C1B1EDA}"/>
    <cellStyle name="Normal 9 2 2 5 2 2 3" xfId="26059" xr:uid="{4F9713D8-3705-4ECB-A83D-E5156206C2B9}"/>
    <cellStyle name="Normal 9 2 2 5 2 3" xfId="12543" xr:uid="{F0E27A74-CCD7-4508-966F-64247CFB35FD}"/>
    <cellStyle name="Normal 9 2 2 5 2 3 2" xfId="31139" xr:uid="{1B486744-24EE-4A74-B5A4-C63BFECF298E}"/>
    <cellStyle name="Normal 9 2 2 5 2 4" xfId="21842" xr:uid="{B4E418AB-D96D-4CAB-99B7-D8456D791F82}"/>
    <cellStyle name="Normal 9 2 2 5 3" xfId="5289" xr:uid="{00000000-0005-0000-0000-0000FD1E0000}"/>
    <cellStyle name="Normal 9 2 2 5 3 2" xfId="14615" xr:uid="{2789625C-19EF-4E7E-95EF-5AF50F57AA93}"/>
    <cellStyle name="Normal 9 2 2 5 3 2 2" xfId="33211" xr:uid="{8EE5861B-666C-4518-988E-666032BD15E0}"/>
    <cellStyle name="Normal 9 2 2 5 3 3" xfId="23914" xr:uid="{C8BB2814-DD48-4109-A23B-B46F85AB883A}"/>
    <cellStyle name="Normal 9 2 2 5 4" xfId="9209" xr:uid="{66E66B93-842C-41D8-A807-A065C03CFEBD}"/>
    <cellStyle name="Normal 9 2 2 5 4 2" xfId="18525" xr:uid="{6A9D392B-D0D4-487D-B25D-F5F899CE8194}"/>
    <cellStyle name="Normal 9 2 2 5 4 2 2" xfId="37119" xr:uid="{BAD39437-93EF-46A5-A20A-14A980C41BB4}"/>
    <cellStyle name="Normal 9 2 2 5 4 3" xfId="27822" xr:uid="{069E364C-9068-4B4A-887B-09C380869FC3}"/>
    <cellStyle name="Normal 9 2 2 5 5" xfId="10398" xr:uid="{97E89AB9-45E0-4D65-A4E4-A2183E178D50}"/>
    <cellStyle name="Normal 9 2 2 5 5 2" xfId="28994" xr:uid="{256D0AEB-3DF3-4F5E-AFE1-5A616FFAB591}"/>
    <cellStyle name="Normal 9 2 2 5 6" xfId="19697" xr:uid="{94DB1FC9-A1FB-49AB-88E5-F461B0122DC7}"/>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8F510C76-64EC-4782-9B3C-D641B51820B9}"/>
    <cellStyle name="Normal 9 2 2 6 2 2 2 2" xfId="35769" xr:uid="{D388F45F-1C01-416E-AFF4-E362CA17928E}"/>
    <cellStyle name="Normal 9 2 2 6 2 2 3" xfId="26472" xr:uid="{81FCBADA-CA9D-4E91-99AA-A5BF50913398}"/>
    <cellStyle name="Normal 9 2 2 6 2 3" xfId="12956" xr:uid="{E8D6E6DC-4AD9-4E71-9AAF-838140FA266F}"/>
    <cellStyle name="Normal 9 2 2 6 2 3 2" xfId="31552" xr:uid="{139EBC27-B4D6-486C-8502-DC4C573491CE}"/>
    <cellStyle name="Normal 9 2 2 6 2 4" xfId="22255" xr:uid="{B1B442E7-9323-45CF-8012-3648166D19CE}"/>
    <cellStyle name="Normal 9 2 2 6 3" xfId="5702" xr:uid="{00000000-0005-0000-0000-0000011F0000}"/>
    <cellStyle name="Normal 9 2 2 6 3 2" xfId="15028" xr:uid="{10F1379B-0CEC-46E0-BEEB-69E126C5CBA3}"/>
    <cellStyle name="Normal 9 2 2 6 3 2 2" xfId="33624" xr:uid="{D8FE41DD-67CE-4889-A345-7E6A8517B563}"/>
    <cellStyle name="Normal 9 2 2 6 3 3" xfId="24327" xr:uid="{58A8BBF0-1A8A-4F71-894A-3FC9FFB9D81D}"/>
    <cellStyle name="Normal 9 2 2 6 4" xfId="10811" xr:uid="{C9A4E89A-FB6A-473F-A770-2BEFDD2AE825}"/>
    <cellStyle name="Normal 9 2 2 6 4 2" xfId="29407" xr:uid="{2AC23036-B42F-4C4C-9888-EAEDC99A20F9}"/>
    <cellStyle name="Normal 9 2 2 6 5" xfId="20110" xr:uid="{70DD4B78-C36B-475B-8874-F5FEFDDB4DCD}"/>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7C5CAF9A-0B9B-42BD-924C-7749C82A8D9D}"/>
    <cellStyle name="Normal 9 2 2 7 2 2 2 2" xfId="36182" xr:uid="{6075C54E-169B-416B-9D7F-4AB757E714EE}"/>
    <cellStyle name="Normal 9 2 2 7 2 2 3" xfId="26885" xr:uid="{5B89CD06-85D7-489D-9993-98E9F2F5CB9C}"/>
    <cellStyle name="Normal 9 2 2 7 2 3" xfId="13369" xr:uid="{7EA115CD-43AD-4071-8D33-060A5C3CBEC2}"/>
    <cellStyle name="Normal 9 2 2 7 2 3 2" xfId="31965" xr:uid="{342A3AB0-D26C-4E70-A6C4-2B039E170871}"/>
    <cellStyle name="Normal 9 2 2 7 2 4" xfId="22668" xr:uid="{C5060772-5947-4738-9875-A05A3280B02B}"/>
    <cellStyle name="Normal 9 2 2 7 3" xfId="6115" xr:uid="{00000000-0005-0000-0000-0000051F0000}"/>
    <cellStyle name="Normal 9 2 2 7 3 2" xfId="15441" xr:uid="{4469D2C5-7270-4D7B-AD36-30672CD585F6}"/>
    <cellStyle name="Normal 9 2 2 7 3 2 2" xfId="34037" xr:uid="{0C14DEFF-F30A-443A-8543-DBBFF5A1FA87}"/>
    <cellStyle name="Normal 9 2 2 7 3 3" xfId="24740" xr:uid="{D6CB81A9-985C-414D-B6C8-AFE51CC008BA}"/>
    <cellStyle name="Normal 9 2 2 7 4" xfId="11224" xr:uid="{BA46BB61-23EF-4007-88AD-E1159C13B57B}"/>
    <cellStyle name="Normal 9 2 2 7 4 2" xfId="29820" xr:uid="{B45B8449-066E-4950-A7F6-42C66B0CA07D}"/>
    <cellStyle name="Normal 9 2 2 7 5" xfId="20523" xr:uid="{05517134-D9A9-4B3E-BD44-9BA461B4C16D}"/>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240B6255-DB9A-45B4-BA3E-F36D7FEE5119}"/>
    <cellStyle name="Normal 9 2 2 8 2 2 2 2" xfId="36595" xr:uid="{84A05E34-C893-44C9-B2A7-AA6C984EA1EA}"/>
    <cellStyle name="Normal 9 2 2 8 2 2 3" xfId="27298" xr:uid="{6C147229-DE73-4C91-8F35-628A60132EE0}"/>
    <cellStyle name="Normal 9 2 2 8 2 3" xfId="13782" xr:uid="{813FD468-7E62-45C7-AB66-B7CAC2F28C62}"/>
    <cellStyle name="Normal 9 2 2 8 2 3 2" xfId="32378" xr:uid="{0093DA82-15CF-49AA-905E-CD7F31614139}"/>
    <cellStyle name="Normal 9 2 2 8 2 4" xfId="23081" xr:uid="{8F82AEF2-8EA1-4F6E-A09C-EFA0A2D4C8D9}"/>
    <cellStyle name="Normal 9 2 2 8 3" xfId="6528" xr:uid="{00000000-0005-0000-0000-0000091F0000}"/>
    <cellStyle name="Normal 9 2 2 8 3 2" xfId="15854" xr:uid="{FEE42332-8798-4A8A-B78A-36A849C54AFD}"/>
    <cellStyle name="Normal 9 2 2 8 3 2 2" xfId="34450" xr:uid="{A64E280D-67FA-4548-A8EB-ADA722CE07F8}"/>
    <cellStyle name="Normal 9 2 2 8 3 3" xfId="25153" xr:uid="{49A25D8F-0A16-4155-87D9-4EE66237AE6D}"/>
    <cellStyle name="Normal 9 2 2 8 4" xfId="11637" xr:uid="{C2989FBE-03D8-4B6A-A535-44FFB436325A}"/>
    <cellStyle name="Normal 9 2 2 8 4 2" xfId="30233" xr:uid="{D14871FD-9D07-4E53-BA10-48689A9BB883}"/>
    <cellStyle name="Normal 9 2 2 8 5" xfId="20936" xr:uid="{0861DC0D-02EE-4583-A260-F8D07018B1A4}"/>
    <cellStyle name="Normal 9 2 2 9" xfId="2658" xr:uid="{00000000-0005-0000-0000-00000A1F0000}"/>
    <cellStyle name="Normal 9 2 2 9 2" xfId="6941" xr:uid="{00000000-0005-0000-0000-00000B1F0000}"/>
    <cellStyle name="Normal 9 2 2 9 2 2" xfId="16267" xr:uid="{9B6217F4-292D-4927-8893-1DE6574C4E5D}"/>
    <cellStyle name="Normal 9 2 2 9 2 2 2" xfId="34863" xr:uid="{DBC88844-1042-445F-BCA0-E87AF2DA05AD}"/>
    <cellStyle name="Normal 9 2 2 9 2 3" xfId="25566" xr:uid="{B8ED71D2-A5D8-45EA-A50F-DCC55D5DC3D0}"/>
    <cellStyle name="Normal 9 2 2 9 3" xfId="12050" xr:uid="{E4B30028-41E0-4238-BEF4-28A457777A63}"/>
    <cellStyle name="Normal 9 2 2 9 3 2" xfId="30646" xr:uid="{474BE43D-5B70-409B-BE82-90E0A2EBAFCA}"/>
    <cellStyle name="Normal 9 2 2 9 4" xfId="21349" xr:uid="{E08D8A05-E236-4201-B91E-5130E89B2E44}"/>
    <cellStyle name="Normal 9 2 3" xfId="520" xr:uid="{00000000-0005-0000-0000-00000C1F0000}"/>
    <cellStyle name="Normal 9 2 3 10" xfId="8838" xr:uid="{3F59BADF-95CF-4831-9CE1-8ACBDD585DF1}"/>
    <cellStyle name="Normal 9 2 3 10 2" xfId="18162" xr:uid="{79CFAC14-C762-46E5-9BD6-C6D2ECC15C5C}"/>
    <cellStyle name="Normal 9 2 3 10 2 2" xfId="36757" xr:uid="{D3687321-7274-4539-9A7F-0B7D09AE7DDA}"/>
    <cellStyle name="Normal 9 2 3 10 3" xfId="27460" xr:uid="{3DE2A4FA-7125-4D9B-8945-51D8F29BA1CA}"/>
    <cellStyle name="Normal 9 2 3 11" xfId="9993" xr:uid="{534D8E58-DD99-4F38-8011-977F4D8E8A7B}"/>
    <cellStyle name="Normal 9 2 3 11 2" xfId="28589" xr:uid="{1BF533B3-2164-43B5-A4FF-33C48DF88562}"/>
    <cellStyle name="Normal 9 2 3 12" xfId="19292" xr:uid="{21A8B013-3F96-4FDF-B95B-972D21114FCA}"/>
    <cellStyle name="Normal 9 2 3 2" xfId="521" xr:uid="{00000000-0005-0000-0000-00000D1F0000}"/>
    <cellStyle name="Normal 9 2 3 2 10" xfId="9994" xr:uid="{08BD2E54-013D-4A6B-89AB-76CDDEBC367A}"/>
    <cellStyle name="Normal 9 2 3 2 10 2" xfId="28590" xr:uid="{22C2BB31-666A-40A6-AD86-79B1FF06A66E}"/>
    <cellStyle name="Normal 9 2 3 2 11" xfId="19293" xr:uid="{A99EAF4B-8E72-4750-8096-2287BCE1945C}"/>
    <cellStyle name="Normal 9 2 3 2 2" xfId="522" xr:uid="{00000000-0005-0000-0000-00000E1F0000}"/>
    <cellStyle name="Normal 9 2 3 2 2 10" xfId="19294" xr:uid="{07C7B8B2-9261-4DA1-BB0A-443C94A7C976}"/>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FA5273DD-A410-4DC7-A6F2-47018F485D35}"/>
    <cellStyle name="Normal 9 2 3 2 2 2 2 2 2 2" xfId="35366" xr:uid="{08CB63CC-F803-4642-A496-3E5345CDE473}"/>
    <cellStyle name="Normal 9 2 3 2 2 2 2 2 3" xfId="26069" xr:uid="{A7A5796F-3DB9-4673-BD9B-F7ED3B60F057}"/>
    <cellStyle name="Normal 9 2 3 2 2 2 2 3" xfId="12553" xr:uid="{A23B7BA8-68D9-4D5C-9B5F-34895B48BF19}"/>
    <cellStyle name="Normal 9 2 3 2 2 2 2 3 2" xfId="31149" xr:uid="{F4ABE90D-6E89-4EE2-9851-67CCC781EFC7}"/>
    <cellStyle name="Normal 9 2 3 2 2 2 2 4" xfId="21852" xr:uid="{2D1E2FC6-875C-4166-9F4F-9FE132AA00AD}"/>
    <cellStyle name="Normal 9 2 3 2 2 2 3" xfId="5299" xr:uid="{00000000-0005-0000-0000-0000121F0000}"/>
    <cellStyle name="Normal 9 2 3 2 2 2 3 2" xfId="14625" xr:uid="{339986F4-6C58-4720-B2C0-FE8B4B67E84D}"/>
    <cellStyle name="Normal 9 2 3 2 2 2 3 2 2" xfId="33221" xr:uid="{3731D190-AE89-4CF4-9369-12A1F8028372}"/>
    <cellStyle name="Normal 9 2 3 2 2 2 3 3" xfId="23924" xr:uid="{8830B821-30CF-4238-A9EC-0D1807B44F9B}"/>
    <cellStyle name="Normal 9 2 3 2 2 2 4" xfId="9573" xr:uid="{376F8566-2407-40B8-9531-D3E757BE7A23}"/>
    <cellStyle name="Normal 9 2 3 2 2 2 4 2" xfId="18888" xr:uid="{48730C74-D3A6-4CE3-AB8C-FD149F50E963}"/>
    <cellStyle name="Normal 9 2 3 2 2 2 4 2 2" xfId="37482" xr:uid="{0909C40F-65B1-4DE6-877C-09F6784E6AA0}"/>
    <cellStyle name="Normal 9 2 3 2 2 2 4 3" xfId="28185" xr:uid="{CA0CD70E-7802-43C9-9EB5-A97821CE453D}"/>
    <cellStyle name="Normal 9 2 3 2 2 2 5" xfId="10408" xr:uid="{44569E17-6288-4F1F-86DF-A7CD6851B3A5}"/>
    <cellStyle name="Normal 9 2 3 2 2 2 5 2" xfId="29004" xr:uid="{2C2E3562-27F6-4550-A621-588EF7518A50}"/>
    <cellStyle name="Normal 9 2 3 2 2 2 6" xfId="19707" xr:uid="{12317581-63BA-483F-BF49-27986E60AA08}"/>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D25A5EDF-2A19-4B0D-95B7-FEB2AB8ACDF3}"/>
    <cellStyle name="Normal 9 2 3 2 2 3 2 2 2 2" xfId="35779" xr:uid="{1EF8D393-501B-42EF-9E58-8C0350999088}"/>
    <cellStyle name="Normal 9 2 3 2 2 3 2 2 3" xfId="26482" xr:uid="{41358047-0A67-48B3-9168-E7E91A3C760B}"/>
    <cellStyle name="Normal 9 2 3 2 2 3 2 3" xfId="12966" xr:uid="{B62D0373-62D3-489B-AAC9-723E354A939D}"/>
    <cellStyle name="Normal 9 2 3 2 2 3 2 3 2" xfId="31562" xr:uid="{426AA1D9-0503-4B0E-9445-AFD9EB36F7EE}"/>
    <cellStyle name="Normal 9 2 3 2 2 3 2 4" xfId="22265" xr:uid="{5B8D8264-AC90-4616-A04E-A807CBF317CB}"/>
    <cellStyle name="Normal 9 2 3 2 2 3 3" xfId="5712" xr:uid="{00000000-0005-0000-0000-0000161F0000}"/>
    <cellStyle name="Normal 9 2 3 2 2 3 3 2" xfId="15038" xr:uid="{4F89CB3D-48B0-4431-B081-9A6E7116A58E}"/>
    <cellStyle name="Normal 9 2 3 2 2 3 3 2 2" xfId="33634" xr:uid="{4780FA91-5E8D-4C87-A912-68F71DA693C8}"/>
    <cellStyle name="Normal 9 2 3 2 2 3 3 3" xfId="24337" xr:uid="{CF941123-204F-43EA-B79C-7A4583E1F332}"/>
    <cellStyle name="Normal 9 2 3 2 2 3 4" xfId="10821" xr:uid="{9CFFA43D-C4C5-40A6-B876-A890363F0C87}"/>
    <cellStyle name="Normal 9 2 3 2 2 3 4 2" xfId="29417" xr:uid="{09B9B220-E60B-4297-9B40-252B6D586EAC}"/>
    <cellStyle name="Normal 9 2 3 2 2 3 5" xfId="20120" xr:uid="{E08893C8-A348-4243-9BF3-5C26A7B80D34}"/>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3752C753-AC25-450E-9725-852E1CC451A7}"/>
    <cellStyle name="Normal 9 2 3 2 2 4 2 2 2 2" xfId="36192" xr:uid="{DA9B1136-7D5E-4823-B053-F6C2ED7C92DE}"/>
    <cellStyle name="Normal 9 2 3 2 2 4 2 2 3" xfId="26895" xr:uid="{D4BAF9F7-772B-4FF7-8593-B644ACD420DF}"/>
    <cellStyle name="Normal 9 2 3 2 2 4 2 3" xfId="13379" xr:uid="{83C699B4-1EF9-4C71-8D70-C58A28AB6950}"/>
    <cellStyle name="Normal 9 2 3 2 2 4 2 3 2" xfId="31975" xr:uid="{B4E776BE-79E9-4E68-8D5B-6504B44986C0}"/>
    <cellStyle name="Normal 9 2 3 2 2 4 2 4" xfId="22678" xr:uid="{26B7B70C-A28F-4508-BF31-96E18FB09D72}"/>
    <cellStyle name="Normal 9 2 3 2 2 4 3" xfId="6125" xr:uid="{00000000-0005-0000-0000-00001A1F0000}"/>
    <cellStyle name="Normal 9 2 3 2 2 4 3 2" xfId="15451" xr:uid="{B0839F15-21F1-4F5C-A0A2-3A3886DDBDEB}"/>
    <cellStyle name="Normal 9 2 3 2 2 4 3 2 2" xfId="34047" xr:uid="{25514C98-8253-4D51-B018-D3A5B54C8CF4}"/>
    <cellStyle name="Normal 9 2 3 2 2 4 3 3" xfId="24750" xr:uid="{62A72505-A65D-4A11-9525-2B0F0605B184}"/>
    <cellStyle name="Normal 9 2 3 2 2 4 4" xfId="11234" xr:uid="{C862BAFF-93F2-4136-AD5D-F49A1FC8D025}"/>
    <cellStyle name="Normal 9 2 3 2 2 4 4 2" xfId="29830" xr:uid="{52C5FBF0-277B-4555-A07A-87B013EF9C23}"/>
    <cellStyle name="Normal 9 2 3 2 2 4 5" xfId="20533" xr:uid="{B1C772A0-53AB-44C8-9C62-1F91C3AFABB7}"/>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287EFA74-A4FE-481E-BFCB-01ACD644F532}"/>
    <cellStyle name="Normal 9 2 3 2 2 5 2 2 2 2" xfId="36605" xr:uid="{12A2AF0E-BA5B-488E-AE27-566E0B4B2B16}"/>
    <cellStyle name="Normal 9 2 3 2 2 5 2 2 3" xfId="27308" xr:uid="{B76B16DA-DF45-4592-B0FC-7B87805592D1}"/>
    <cellStyle name="Normal 9 2 3 2 2 5 2 3" xfId="13792" xr:uid="{B9D9A78A-4E00-48C8-99D8-428AC9084EE7}"/>
    <cellStyle name="Normal 9 2 3 2 2 5 2 3 2" xfId="32388" xr:uid="{ED2EFDE1-B333-46CA-8606-C3FC568E9CA0}"/>
    <cellStyle name="Normal 9 2 3 2 2 5 2 4" xfId="23091" xr:uid="{CDC8601D-EFF5-4778-B029-67D6E6A18F91}"/>
    <cellStyle name="Normal 9 2 3 2 2 5 3" xfId="6538" xr:uid="{00000000-0005-0000-0000-00001E1F0000}"/>
    <cellStyle name="Normal 9 2 3 2 2 5 3 2" xfId="15864" xr:uid="{6C65AA66-BB61-42AD-AC66-668760BC819C}"/>
    <cellStyle name="Normal 9 2 3 2 2 5 3 2 2" xfId="34460" xr:uid="{E0AF7399-6530-4FDA-97E7-28FCAFDA2DB6}"/>
    <cellStyle name="Normal 9 2 3 2 2 5 3 3" xfId="25163" xr:uid="{994CE782-BCC1-42A5-ADA2-37FCAFDFACED}"/>
    <cellStyle name="Normal 9 2 3 2 2 5 4" xfId="11647" xr:uid="{3C4FE7E8-7F79-4ECD-830E-94B3410A8DC2}"/>
    <cellStyle name="Normal 9 2 3 2 2 5 4 2" xfId="30243" xr:uid="{045BE23E-617F-4249-840F-CDFAD6C6EEAA}"/>
    <cellStyle name="Normal 9 2 3 2 2 5 5" xfId="20946" xr:uid="{B6118AE8-2DB0-45FA-83FA-6C74D6359056}"/>
    <cellStyle name="Normal 9 2 3 2 2 6" xfId="2668" xr:uid="{00000000-0005-0000-0000-00001F1F0000}"/>
    <cellStyle name="Normal 9 2 3 2 2 6 2" xfId="6951" xr:uid="{00000000-0005-0000-0000-0000201F0000}"/>
    <cellStyle name="Normal 9 2 3 2 2 6 2 2" xfId="16277" xr:uid="{2D5B600D-05E3-47CA-9562-F2CF5A357414}"/>
    <cellStyle name="Normal 9 2 3 2 2 6 2 2 2" xfId="34873" xr:uid="{4B1592F8-4DA3-4C7A-ABD5-C015B84EDAE6}"/>
    <cellStyle name="Normal 9 2 3 2 2 6 2 3" xfId="25576" xr:uid="{9A0CCBFD-9D03-4D45-A83A-EDEA9FCD86DF}"/>
    <cellStyle name="Normal 9 2 3 2 2 6 3" xfId="12060" xr:uid="{CA98E623-1483-48E3-A623-04138A5B10D4}"/>
    <cellStyle name="Normal 9 2 3 2 2 6 3 2" xfId="30656" xr:uid="{80DB51EA-7683-4EAF-93CA-F6E73C59D59C}"/>
    <cellStyle name="Normal 9 2 3 2 2 6 4" xfId="21359" xr:uid="{1494B78A-28A9-4FAC-9F76-BA47863F4B22}"/>
    <cellStyle name="Normal 9 2 3 2 2 7" xfId="4886" xr:uid="{00000000-0005-0000-0000-0000211F0000}"/>
    <cellStyle name="Normal 9 2 3 2 2 7 2" xfId="14212" xr:uid="{A0963AEF-2E32-4743-A644-107F605FA2DE}"/>
    <cellStyle name="Normal 9 2 3 2 2 7 2 2" xfId="32808" xr:uid="{C50A7CBF-D6C3-47E5-A4D4-F4A838DF637C}"/>
    <cellStyle name="Normal 9 2 3 2 2 7 3" xfId="23511" xr:uid="{CA78F7AA-ED09-47FC-BD43-666416AF8179}"/>
    <cellStyle name="Normal 9 2 3 2 2 8" xfId="9148" xr:uid="{E1A2F3F0-C8EA-47FA-BB37-18F117041A87}"/>
    <cellStyle name="Normal 9 2 3 2 2 8 2" xfId="18472" xr:uid="{90DB80CB-6FEB-4138-8A0D-04D215040684}"/>
    <cellStyle name="Normal 9 2 3 2 2 8 2 2" xfId="37067" xr:uid="{85C215A8-708B-4127-8E21-51A6C205C56E}"/>
    <cellStyle name="Normal 9 2 3 2 2 8 3" xfId="27770" xr:uid="{8EA6FB1C-774B-4CA0-A4DF-98A2857F8F5F}"/>
    <cellStyle name="Normal 9 2 3 2 2 9" xfId="9995" xr:uid="{B5AC5ECF-200B-457D-B0DF-2DD2725ADE4D}"/>
    <cellStyle name="Normal 9 2 3 2 2 9 2" xfId="28591" xr:uid="{9ED50BA8-6A96-45D2-882C-77F28833B637}"/>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CF4E5736-51A1-48D8-BF9D-5C21B2839559}"/>
    <cellStyle name="Normal 9 2 3 2 3 2 2 2 2" xfId="35365" xr:uid="{C5293A2E-FBFD-47B7-88D9-1A81D3155D0D}"/>
    <cellStyle name="Normal 9 2 3 2 3 2 2 3" xfId="26068" xr:uid="{C263FC4A-3019-4E0D-8384-C7EE3F1F48D8}"/>
    <cellStyle name="Normal 9 2 3 2 3 2 3" xfId="12552" xr:uid="{046CB26C-28CF-4AAB-8DA1-7334D5D72114}"/>
    <cellStyle name="Normal 9 2 3 2 3 2 3 2" xfId="31148" xr:uid="{1E247CAA-EB3F-4806-AC61-2FA61433C011}"/>
    <cellStyle name="Normal 9 2 3 2 3 2 4" xfId="21851" xr:uid="{DA4673EA-B90B-4AC8-9CD5-963A835E8B79}"/>
    <cellStyle name="Normal 9 2 3 2 3 3" xfId="5298" xr:uid="{00000000-0005-0000-0000-0000251F0000}"/>
    <cellStyle name="Normal 9 2 3 2 3 3 2" xfId="14624" xr:uid="{F10CD5CB-D481-4A2D-82F4-AA89A0CD79BE}"/>
    <cellStyle name="Normal 9 2 3 2 3 3 2 2" xfId="33220" xr:uid="{1CF2B4DE-EDF9-457C-B1E0-7B91A88EF5E9}"/>
    <cellStyle name="Normal 9 2 3 2 3 3 3" xfId="23923" xr:uid="{33094BE4-3E95-4F91-AE01-69C62B798E91}"/>
    <cellStyle name="Normal 9 2 3 2 3 4" xfId="9366" xr:uid="{136A6B94-9CAA-4F6C-B09D-7385900FCA38}"/>
    <cellStyle name="Normal 9 2 3 2 3 4 2" xfId="18681" xr:uid="{207A3AD1-BA63-48F0-9C72-713D749485C2}"/>
    <cellStyle name="Normal 9 2 3 2 3 4 2 2" xfId="37275" xr:uid="{52D2A0F2-2EB8-4ED1-B43F-700E4057DBE1}"/>
    <cellStyle name="Normal 9 2 3 2 3 4 3" xfId="27978" xr:uid="{91ADD178-ED89-45A7-A2A3-AFF60260CDF8}"/>
    <cellStyle name="Normal 9 2 3 2 3 5" xfId="10407" xr:uid="{EB3645A2-84B4-4D03-AABA-7AEEE9404125}"/>
    <cellStyle name="Normal 9 2 3 2 3 5 2" xfId="29003" xr:uid="{7588E345-10D9-42B2-AB7D-6880A1ADC061}"/>
    <cellStyle name="Normal 9 2 3 2 3 6" xfId="19706" xr:uid="{C50C4EE9-8B5A-4A16-8B1D-011EE153151B}"/>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EB7E68AD-AAE8-4ABF-9CA2-FD12A8CBBE12}"/>
    <cellStyle name="Normal 9 2 3 2 4 2 2 2 2" xfId="35778" xr:uid="{D209253B-06D3-4655-AF5E-39F54ED82415}"/>
    <cellStyle name="Normal 9 2 3 2 4 2 2 3" xfId="26481" xr:uid="{B1496614-8073-4216-A6CC-7CE17F10CE89}"/>
    <cellStyle name="Normal 9 2 3 2 4 2 3" xfId="12965" xr:uid="{E5DB8035-730F-49D0-8955-901C338CCBF5}"/>
    <cellStyle name="Normal 9 2 3 2 4 2 3 2" xfId="31561" xr:uid="{992CE7A5-E5A3-4B67-B5ED-5921D373C511}"/>
    <cellStyle name="Normal 9 2 3 2 4 2 4" xfId="22264" xr:uid="{12475EBF-D31E-4D32-9121-3BA558D468A7}"/>
    <cellStyle name="Normal 9 2 3 2 4 3" xfId="5711" xr:uid="{00000000-0005-0000-0000-0000291F0000}"/>
    <cellStyle name="Normal 9 2 3 2 4 3 2" xfId="15037" xr:uid="{8619C407-F3BB-49A5-AEBF-56C86B03F546}"/>
    <cellStyle name="Normal 9 2 3 2 4 3 2 2" xfId="33633" xr:uid="{4AF01412-B7C4-46D0-9EB1-4D77F81BBEA5}"/>
    <cellStyle name="Normal 9 2 3 2 4 3 3" xfId="24336" xr:uid="{5C0BA74E-5A7C-41CA-A193-C92F749BE171}"/>
    <cellStyle name="Normal 9 2 3 2 4 4" xfId="10820" xr:uid="{665AA9D5-0742-4E9B-8FBE-4BFB40429A84}"/>
    <cellStyle name="Normal 9 2 3 2 4 4 2" xfId="29416" xr:uid="{8650DF2A-D048-4776-A3DE-69807B5FD60D}"/>
    <cellStyle name="Normal 9 2 3 2 4 5" xfId="20119" xr:uid="{215B50FC-87C6-48F7-B8E7-078AAC199CA7}"/>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0ADC3E5E-06E1-43C0-9C49-4B166FAE4DAA}"/>
    <cellStyle name="Normal 9 2 3 2 5 2 2 2 2" xfId="36191" xr:uid="{61334907-7EF5-40A3-9474-6EA980DE7B3B}"/>
    <cellStyle name="Normal 9 2 3 2 5 2 2 3" xfId="26894" xr:uid="{B596E3FC-B080-46AE-8ABB-1CE4C576EA31}"/>
    <cellStyle name="Normal 9 2 3 2 5 2 3" xfId="13378" xr:uid="{FB7A23E2-C0A0-4AB0-9C6D-80EBB9DAECAC}"/>
    <cellStyle name="Normal 9 2 3 2 5 2 3 2" xfId="31974" xr:uid="{0E91F51C-C47C-46E9-AC59-8540B06DCAE3}"/>
    <cellStyle name="Normal 9 2 3 2 5 2 4" xfId="22677" xr:uid="{FA3F271E-4CAF-403E-8D10-BB63DAFB51D2}"/>
    <cellStyle name="Normal 9 2 3 2 5 3" xfId="6124" xr:uid="{00000000-0005-0000-0000-00002D1F0000}"/>
    <cellStyle name="Normal 9 2 3 2 5 3 2" xfId="15450" xr:uid="{6F40F1B3-DFA1-4A7E-BCB5-7654CA745EF8}"/>
    <cellStyle name="Normal 9 2 3 2 5 3 2 2" xfId="34046" xr:uid="{C5C74D8C-CB91-4DE2-8FDA-F05BD9B623C9}"/>
    <cellStyle name="Normal 9 2 3 2 5 3 3" xfId="24749" xr:uid="{9EAD3E94-191A-4D9D-A3BC-A48614989302}"/>
    <cellStyle name="Normal 9 2 3 2 5 4" xfId="11233" xr:uid="{0F885F20-6CA8-444B-A995-350E6C7C5270}"/>
    <cellStyle name="Normal 9 2 3 2 5 4 2" xfId="29829" xr:uid="{ED0CD428-F4C1-4BD2-8126-7D61F955AAC7}"/>
    <cellStyle name="Normal 9 2 3 2 5 5" xfId="20532" xr:uid="{A3DA92CA-9786-451A-B49D-3C584F804942}"/>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217DA8ED-4F14-4A80-B49F-23FFCAEA9DA3}"/>
    <cellStyle name="Normal 9 2 3 2 6 2 2 2 2" xfId="36604" xr:uid="{CFDAEEA7-10E8-438C-AB66-EC55B727CFDF}"/>
    <cellStyle name="Normal 9 2 3 2 6 2 2 3" xfId="27307" xr:uid="{9A9C4A34-AB5F-4D8B-B535-4CD298DAC472}"/>
    <cellStyle name="Normal 9 2 3 2 6 2 3" xfId="13791" xr:uid="{D7964165-4873-4931-A5FF-A4C14AC10298}"/>
    <cellStyle name="Normal 9 2 3 2 6 2 3 2" xfId="32387" xr:uid="{81FD7BB6-1EAE-4026-9738-599FE70BD5A1}"/>
    <cellStyle name="Normal 9 2 3 2 6 2 4" xfId="23090" xr:uid="{8B30B89B-8B37-4460-B70C-8D3E2717CE72}"/>
    <cellStyle name="Normal 9 2 3 2 6 3" xfId="6537" xr:uid="{00000000-0005-0000-0000-0000311F0000}"/>
    <cellStyle name="Normal 9 2 3 2 6 3 2" xfId="15863" xr:uid="{5945FB2C-48EE-4AFD-8A85-ACAAD4653CB3}"/>
    <cellStyle name="Normal 9 2 3 2 6 3 2 2" xfId="34459" xr:uid="{7C299709-94E6-41FC-88C9-151551C2998B}"/>
    <cellStyle name="Normal 9 2 3 2 6 3 3" xfId="25162" xr:uid="{8843A231-CD5E-408D-9164-33FA3F1DEC2A}"/>
    <cellStyle name="Normal 9 2 3 2 6 4" xfId="11646" xr:uid="{06D3AF86-8661-44EA-8955-CD2CA04AA914}"/>
    <cellStyle name="Normal 9 2 3 2 6 4 2" xfId="30242" xr:uid="{F33E6C44-7783-4CAC-81FF-734AA911B57D}"/>
    <cellStyle name="Normal 9 2 3 2 6 5" xfId="20945" xr:uid="{491F375C-16BA-441E-AB66-AB2B75F46258}"/>
    <cellStyle name="Normal 9 2 3 2 7" xfId="2667" xr:uid="{00000000-0005-0000-0000-0000321F0000}"/>
    <cellStyle name="Normal 9 2 3 2 7 2" xfId="6950" xr:uid="{00000000-0005-0000-0000-0000331F0000}"/>
    <cellStyle name="Normal 9 2 3 2 7 2 2" xfId="16276" xr:uid="{0FA27F4F-B5DB-4007-B58C-002C2EBFB56E}"/>
    <cellStyle name="Normal 9 2 3 2 7 2 2 2" xfId="34872" xr:uid="{6F5A207A-A7FE-49D5-B8C0-7D56917A0815}"/>
    <cellStyle name="Normal 9 2 3 2 7 2 3" xfId="25575" xr:uid="{FC89DA6B-6AFC-47C9-90C6-5C631CC2958C}"/>
    <cellStyle name="Normal 9 2 3 2 7 3" xfId="12059" xr:uid="{3CFE4106-C0A4-4FB7-B5C0-87D0327118C4}"/>
    <cellStyle name="Normal 9 2 3 2 7 3 2" xfId="30655" xr:uid="{C6DCE8B0-73B9-4295-A1F1-7D066A79F490}"/>
    <cellStyle name="Normal 9 2 3 2 7 4" xfId="21358" xr:uid="{3DD6450E-AB52-46CA-A83E-87A3D42A5E36}"/>
    <cellStyle name="Normal 9 2 3 2 8" xfId="4885" xr:uid="{00000000-0005-0000-0000-0000341F0000}"/>
    <cellStyle name="Normal 9 2 3 2 8 2" xfId="14211" xr:uid="{FC94EC3D-FB39-4A27-90E3-75A74488DF81}"/>
    <cellStyle name="Normal 9 2 3 2 8 2 2" xfId="32807" xr:uid="{5B97DBF8-BB18-4D2D-9042-AB86D34E1761}"/>
    <cellStyle name="Normal 9 2 3 2 8 3" xfId="23510" xr:uid="{230CF0CD-8ED5-40A7-AFC5-387825EDE98A}"/>
    <cellStyle name="Normal 9 2 3 2 9" xfId="8941" xr:uid="{DDA1E375-E708-45D0-9119-207D493A75BA}"/>
    <cellStyle name="Normal 9 2 3 2 9 2" xfId="18265" xr:uid="{5E1731E0-5EC3-4C34-8C75-6CE9D8218CE5}"/>
    <cellStyle name="Normal 9 2 3 2 9 2 2" xfId="36860" xr:uid="{C9D012F4-E98A-43E1-BFCD-3CCBE5224846}"/>
    <cellStyle name="Normal 9 2 3 2 9 3" xfId="27563" xr:uid="{60BE7354-8B65-4BE4-B658-B97F7CC3E7DE}"/>
    <cellStyle name="Normal 9 2 3 3" xfId="523" xr:uid="{00000000-0005-0000-0000-0000351F0000}"/>
    <cellStyle name="Normal 9 2 3 3 10" xfId="19295" xr:uid="{904D1A9C-D7A1-4B9C-8D09-F1C93A181403}"/>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57EEAB9B-E9FE-4DF0-ADD3-9D4233102264}"/>
    <cellStyle name="Normal 9 2 3 3 2 2 2 2 2" xfId="35367" xr:uid="{732A6B42-BAEA-4795-98D7-EC35A3500308}"/>
    <cellStyle name="Normal 9 2 3 3 2 2 2 3" xfId="26070" xr:uid="{F0223662-41B1-464C-96B0-DBCF84E44859}"/>
    <cellStyle name="Normal 9 2 3 3 2 2 3" xfId="12554" xr:uid="{C02A6DF8-361A-4C17-88D5-7B7022211D73}"/>
    <cellStyle name="Normal 9 2 3 3 2 2 3 2" xfId="31150" xr:uid="{3FA3D093-B995-4EE2-B2F6-535AA9B50852}"/>
    <cellStyle name="Normal 9 2 3 3 2 2 4" xfId="21853" xr:uid="{98827005-9092-4DEE-AE3D-E044DE5E4BC5}"/>
    <cellStyle name="Normal 9 2 3 3 2 3" xfId="5300" xr:uid="{00000000-0005-0000-0000-0000391F0000}"/>
    <cellStyle name="Normal 9 2 3 3 2 3 2" xfId="14626" xr:uid="{2701A6DE-1D62-4029-BE73-54349C3202D1}"/>
    <cellStyle name="Normal 9 2 3 3 2 3 2 2" xfId="33222" xr:uid="{92065F20-9222-4262-91DD-C42E77A09BA1}"/>
    <cellStyle name="Normal 9 2 3 3 2 3 3" xfId="23925" xr:uid="{B76456E8-9DDB-4A07-95E4-47DA2634A5FA}"/>
    <cellStyle name="Normal 9 2 3 3 2 4" xfId="9470" xr:uid="{B46EA5E7-4A9D-405A-94B0-2C155F0DE1F1}"/>
    <cellStyle name="Normal 9 2 3 3 2 4 2" xfId="18785" xr:uid="{6D075A13-5B7E-4AF1-8BA7-AAB47448E869}"/>
    <cellStyle name="Normal 9 2 3 3 2 4 2 2" xfId="37379" xr:uid="{A749A82A-CFE8-49B1-82B2-E7879EFD14FF}"/>
    <cellStyle name="Normal 9 2 3 3 2 4 3" xfId="28082" xr:uid="{A1FB799E-273E-45B6-B485-54AE970C30D3}"/>
    <cellStyle name="Normal 9 2 3 3 2 5" xfId="10409" xr:uid="{A23039C5-2BAF-4547-8190-9ADF10EFD13D}"/>
    <cellStyle name="Normal 9 2 3 3 2 5 2" xfId="29005" xr:uid="{F1CC43C1-FE8B-4A45-BBC6-E733C6345225}"/>
    <cellStyle name="Normal 9 2 3 3 2 6" xfId="19708" xr:uid="{4BA0CCD0-4A68-4CF2-B486-BFCDAD6D0033}"/>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C0CCFE44-46A7-4447-B2D0-F500F6A618BF}"/>
    <cellStyle name="Normal 9 2 3 3 3 2 2 2 2" xfId="35780" xr:uid="{D3C83AD7-BE62-4BB4-A2DE-25D06393FB20}"/>
    <cellStyle name="Normal 9 2 3 3 3 2 2 3" xfId="26483" xr:uid="{32253AF8-C208-4AD6-A900-C948E448AC24}"/>
    <cellStyle name="Normal 9 2 3 3 3 2 3" xfId="12967" xr:uid="{7DFD8866-C961-4D91-B7FF-0B888DC14937}"/>
    <cellStyle name="Normal 9 2 3 3 3 2 3 2" xfId="31563" xr:uid="{CD311846-2942-4C2C-8069-E9F157A00A53}"/>
    <cellStyle name="Normal 9 2 3 3 3 2 4" xfId="22266" xr:uid="{BC883E53-9096-423B-BCE5-5362816B3FA1}"/>
    <cellStyle name="Normal 9 2 3 3 3 3" xfId="5713" xr:uid="{00000000-0005-0000-0000-00003D1F0000}"/>
    <cellStyle name="Normal 9 2 3 3 3 3 2" xfId="15039" xr:uid="{2A5C4307-AE8A-4213-AAC1-6B292F9172A7}"/>
    <cellStyle name="Normal 9 2 3 3 3 3 2 2" xfId="33635" xr:uid="{DAE09B60-009B-45AF-B91B-CB650CAA0DC4}"/>
    <cellStyle name="Normal 9 2 3 3 3 3 3" xfId="24338" xr:uid="{061F6893-521B-4042-BE89-023555A9A9D4}"/>
    <cellStyle name="Normal 9 2 3 3 3 4" xfId="10822" xr:uid="{48604A10-8A23-4A0F-B360-B2D7028836F2}"/>
    <cellStyle name="Normal 9 2 3 3 3 4 2" xfId="29418" xr:uid="{E1B96FD7-A25C-4884-8961-BAAF6AA82E69}"/>
    <cellStyle name="Normal 9 2 3 3 3 5" xfId="20121" xr:uid="{CAB0CEF0-B3A5-4DF4-B6CE-4A5645CFCFC5}"/>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E83A2445-529E-44AF-A86C-6CE1B1930EE0}"/>
    <cellStyle name="Normal 9 2 3 3 4 2 2 2 2" xfId="36193" xr:uid="{B754EAB2-ABDA-4CE1-80EA-0B1A50AC6D15}"/>
    <cellStyle name="Normal 9 2 3 3 4 2 2 3" xfId="26896" xr:uid="{8D4066D1-27E6-42C0-BA47-AA3A2F1EB70C}"/>
    <cellStyle name="Normal 9 2 3 3 4 2 3" xfId="13380" xr:uid="{020EE469-4A62-4E99-807F-CC6A140B2EE1}"/>
    <cellStyle name="Normal 9 2 3 3 4 2 3 2" xfId="31976" xr:uid="{CA4C8BED-02B3-4082-B75C-F1635D4ED90B}"/>
    <cellStyle name="Normal 9 2 3 3 4 2 4" xfId="22679" xr:uid="{7DEB2435-8103-46BC-A071-7C5E1C71EAD5}"/>
    <cellStyle name="Normal 9 2 3 3 4 3" xfId="6126" xr:uid="{00000000-0005-0000-0000-0000411F0000}"/>
    <cellStyle name="Normal 9 2 3 3 4 3 2" xfId="15452" xr:uid="{9E91754D-4447-442E-AE76-7C8D71B900E4}"/>
    <cellStyle name="Normal 9 2 3 3 4 3 2 2" xfId="34048" xr:uid="{751586C0-AB21-49AD-BBF3-41642E31175D}"/>
    <cellStyle name="Normal 9 2 3 3 4 3 3" xfId="24751" xr:uid="{453DA50C-641D-43ED-AD44-2D7AF68332F8}"/>
    <cellStyle name="Normal 9 2 3 3 4 4" xfId="11235" xr:uid="{9519952F-6BFD-4FB6-AD05-5BAE9D0A98C6}"/>
    <cellStyle name="Normal 9 2 3 3 4 4 2" xfId="29831" xr:uid="{3B43151D-9B80-4409-A8D8-8E916E68FDC3}"/>
    <cellStyle name="Normal 9 2 3 3 4 5" xfId="20534" xr:uid="{0AE25380-3023-481D-B777-849669CF965D}"/>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4BEBC2F2-EEA6-47F2-9A58-A9412F7F2222}"/>
    <cellStyle name="Normal 9 2 3 3 5 2 2 2 2" xfId="36606" xr:uid="{51D4ABD4-42BF-4B30-A4BF-4E343968B689}"/>
    <cellStyle name="Normal 9 2 3 3 5 2 2 3" xfId="27309" xr:uid="{37C054CB-0DF7-485B-AA13-A4A8E126EF92}"/>
    <cellStyle name="Normal 9 2 3 3 5 2 3" xfId="13793" xr:uid="{AE068742-4221-4206-A468-1D8F641D3B40}"/>
    <cellStyle name="Normal 9 2 3 3 5 2 3 2" xfId="32389" xr:uid="{936A6571-AEBC-4E69-B236-D71CAD104EC7}"/>
    <cellStyle name="Normal 9 2 3 3 5 2 4" xfId="23092" xr:uid="{EEDB4D34-E325-4C69-B9C9-1A86B30478FE}"/>
    <cellStyle name="Normal 9 2 3 3 5 3" xfId="6539" xr:uid="{00000000-0005-0000-0000-0000451F0000}"/>
    <cellStyle name="Normal 9 2 3 3 5 3 2" xfId="15865" xr:uid="{A1DEDFA2-FC56-4619-B051-98040E18CDAA}"/>
    <cellStyle name="Normal 9 2 3 3 5 3 2 2" xfId="34461" xr:uid="{D081B0AB-7850-4501-A92A-810F5541BCC9}"/>
    <cellStyle name="Normal 9 2 3 3 5 3 3" xfId="25164" xr:uid="{1CFD9220-C875-4983-A8FE-5C0D573D358E}"/>
    <cellStyle name="Normal 9 2 3 3 5 4" xfId="11648" xr:uid="{BD44A900-25D4-4D53-BDC2-3A297D4910D4}"/>
    <cellStyle name="Normal 9 2 3 3 5 4 2" xfId="30244" xr:uid="{1C5CEC74-1FDC-4691-A8DA-AEBBCCAD175D}"/>
    <cellStyle name="Normal 9 2 3 3 5 5" xfId="20947" xr:uid="{8676BEA0-0F6E-4ABC-BBE7-84E596EE0B61}"/>
    <cellStyle name="Normal 9 2 3 3 6" xfId="2669" xr:uid="{00000000-0005-0000-0000-0000461F0000}"/>
    <cellStyle name="Normal 9 2 3 3 6 2" xfId="6952" xr:uid="{00000000-0005-0000-0000-0000471F0000}"/>
    <cellStyle name="Normal 9 2 3 3 6 2 2" xfId="16278" xr:uid="{F1F1D8DA-6772-4456-9121-1292EE91AA5F}"/>
    <cellStyle name="Normal 9 2 3 3 6 2 2 2" xfId="34874" xr:uid="{E4C720D5-B508-4E2E-888E-9CD89F92B09C}"/>
    <cellStyle name="Normal 9 2 3 3 6 2 3" xfId="25577" xr:uid="{AAE0616E-07EE-4295-B16E-903EE14FD26E}"/>
    <cellStyle name="Normal 9 2 3 3 6 3" xfId="12061" xr:uid="{9BCA7D1C-1B36-4109-BA09-C1A7D6F750D9}"/>
    <cellStyle name="Normal 9 2 3 3 6 3 2" xfId="30657" xr:uid="{E2EC37BB-C034-4B8D-AE4E-C7801B8416E1}"/>
    <cellStyle name="Normal 9 2 3 3 6 4" xfId="21360" xr:uid="{573474AA-1554-4836-BB21-3FFAE4291EE0}"/>
    <cellStyle name="Normal 9 2 3 3 7" xfId="4887" xr:uid="{00000000-0005-0000-0000-0000481F0000}"/>
    <cellStyle name="Normal 9 2 3 3 7 2" xfId="14213" xr:uid="{43ED8D42-0D8F-4A8B-B8B1-95401B6A77A5}"/>
    <cellStyle name="Normal 9 2 3 3 7 2 2" xfId="32809" xr:uid="{AD3F4C5E-6D93-4E1A-91CC-8391252C55A9}"/>
    <cellStyle name="Normal 9 2 3 3 7 3" xfId="23512" xr:uid="{4165BB59-3B5D-40AB-BA42-9C418ECEF4E3}"/>
    <cellStyle name="Normal 9 2 3 3 8" xfId="9045" xr:uid="{CD23D75F-FCE1-471A-A55A-DAC6FB15D069}"/>
    <cellStyle name="Normal 9 2 3 3 8 2" xfId="18369" xr:uid="{4889E8A2-F7CF-4404-9B96-3ADB96E8E933}"/>
    <cellStyle name="Normal 9 2 3 3 8 2 2" xfId="36964" xr:uid="{7C7C58D5-5FB7-49AB-AE8C-EFA6A2673B8A}"/>
    <cellStyle name="Normal 9 2 3 3 8 3" xfId="27667" xr:uid="{2B1FB5E1-4D63-4778-A83D-A7A7BB48EA55}"/>
    <cellStyle name="Normal 9 2 3 3 9" xfId="9996" xr:uid="{78172318-71E7-4327-BBAC-5559D30184D8}"/>
    <cellStyle name="Normal 9 2 3 3 9 2" xfId="28592" xr:uid="{4F0943BF-A445-4521-BD1F-6DA8971E6D98}"/>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5A74425B-2C6C-414F-8848-87B2C4D74D57}"/>
    <cellStyle name="Normal 9 2 3 4 2 2 2 2" xfId="35364" xr:uid="{298A2498-4E7A-4D37-B6AA-2F7AE992615B}"/>
    <cellStyle name="Normal 9 2 3 4 2 2 3" xfId="26067" xr:uid="{779A4869-9754-49DD-A742-8E243B081189}"/>
    <cellStyle name="Normal 9 2 3 4 2 3" xfId="12551" xr:uid="{D8DA1B82-4B1B-4CC7-899C-B336FD57A4E3}"/>
    <cellStyle name="Normal 9 2 3 4 2 3 2" xfId="31147" xr:uid="{7DC45989-B2B0-4170-A9AA-F22409CBDEA0}"/>
    <cellStyle name="Normal 9 2 3 4 2 4" xfId="21850" xr:uid="{5ABC7BF4-729C-48D3-9BA9-F0137A738F41}"/>
    <cellStyle name="Normal 9 2 3 4 3" xfId="5297" xr:uid="{00000000-0005-0000-0000-00004C1F0000}"/>
    <cellStyle name="Normal 9 2 3 4 3 2" xfId="14623" xr:uid="{8F8579F2-508A-4423-AE6C-FC607FA85EC0}"/>
    <cellStyle name="Normal 9 2 3 4 3 2 2" xfId="33219" xr:uid="{833B0721-C32C-4244-990F-1A261042FB21}"/>
    <cellStyle name="Normal 9 2 3 4 3 3" xfId="23922" xr:uid="{1ABDE701-ABD5-4374-A738-B85F5308DF9A}"/>
    <cellStyle name="Normal 9 2 3 4 4" xfId="9263" xr:uid="{8E7B719A-F76B-4A2B-A5A7-1A883FD6976F}"/>
    <cellStyle name="Normal 9 2 3 4 4 2" xfId="18578" xr:uid="{E9B30818-0A45-4402-B19C-87A7F95084C7}"/>
    <cellStyle name="Normal 9 2 3 4 4 2 2" xfId="37172" xr:uid="{627D48B1-B47A-4887-A489-46076979C1DF}"/>
    <cellStyle name="Normal 9 2 3 4 4 3" xfId="27875" xr:uid="{58002188-9540-4766-9C91-E11DB467FCDB}"/>
    <cellStyle name="Normal 9 2 3 4 5" xfId="10406" xr:uid="{24E72A33-DADB-4EF3-A4C7-843219F909C0}"/>
    <cellStyle name="Normal 9 2 3 4 5 2" xfId="29002" xr:uid="{40F0C8F8-5FC1-45C8-A261-8FD8615D1EAF}"/>
    <cellStyle name="Normal 9 2 3 4 6" xfId="19705" xr:uid="{3DA761DC-EAD4-47FC-A4A3-849344777DBA}"/>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0A35FA4F-459D-443F-8CE1-FB1450C84C83}"/>
    <cellStyle name="Normal 9 2 3 5 2 2 2 2" xfId="35777" xr:uid="{674BB40E-513B-43B5-9775-15E0C81F8DD0}"/>
    <cellStyle name="Normal 9 2 3 5 2 2 3" xfId="26480" xr:uid="{CC049320-F9F1-4F48-A1F7-3D1F6C33F711}"/>
    <cellStyle name="Normal 9 2 3 5 2 3" xfId="12964" xr:uid="{F503AD12-490A-4785-AF75-6E7AB5E8C020}"/>
    <cellStyle name="Normal 9 2 3 5 2 3 2" xfId="31560" xr:uid="{360A8712-3E77-4770-BEC3-649527714FBD}"/>
    <cellStyle name="Normal 9 2 3 5 2 4" xfId="22263" xr:uid="{38B8E21E-963B-4C25-9259-B33CEE7286C3}"/>
    <cellStyle name="Normal 9 2 3 5 3" xfId="5710" xr:uid="{00000000-0005-0000-0000-0000501F0000}"/>
    <cellStyle name="Normal 9 2 3 5 3 2" xfId="15036" xr:uid="{C07FF01D-6261-4EE8-9581-98539EA31DD8}"/>
    <cellStyle name="Normal 9 2 3 5 3 2 2" xfId="33632" xr:uid="{7A4A44E3-17B3-4749-9B79-125A6B37D41F}"/>
    <cellStyle name="Normal 9 2 3 5 3 3" xfId="24335" xr:uid="{BC1A4A07-004B-457F-B653-FD1E76112169}"/>
    <cellStyle name="Normal 9 2 3 5 4" xfId="10819" xr:uid="{1F60EE3D-867A-432B-8E8C-6C0D24BC0907}"/>
    <cellStyle name="Normal 9 2 3 5 4 2" xfId="29415" xr:uid="{F239BD60-E878-4D2F-BA1D-4C33DBAB6FF6}"/>
    <cellStyle name="Normal 9 2 3 5 5" xfId="20118" xr:uid="{FB7242A6-7119-41B5-87D8-6F25126F1B5D}"/>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21DF3D80-19E9-4DD7-B0D7-B1AAC7C7502D}"/>
    <cellStyle name="Normal 9 2 3 6 2 2 2 2" xfId="36190" xr:uid="{36F7964F-A70C-413D-A6D7-9194D7C83FF2}"/>
    <cellStyle name="Normal 9 2 3 6 2 2 3" xfId="26893" xr:uid="{B13B1593-78EE-440E-89D5-435DE42BE295}"/>
    <cellStyle name="Normal 9 2 3 6 2 3" xfId="13377" xr:uid="{F2F79038-3FD3-4116-A6F5-A368119B4970}"/>
    <cellStyle name="Normal 9 2 3 6 2 3 2" xfId="31973" xr:uid="{7566AC0A-7D67-480A-90C7-2E47B03C6411}"/>
    <cellStyle name="Normal 9 2 3 6 2 4" xfId="22676" xr:uid="{D78BE61D-083A-4FC3-8E34-7C59F5CDEC79}"/>
    <cellStyle name="Normal 9 2 3 6 3" xfId="6123" xr:uid="{00000000-0005-0000-0000-0000541F0000}"/>
    <cellStyle name="Normal 9 2 3 6 3 2" xfId="15449" xr:uid="{7B8EB561-3D43-46E4-A1A3-866776BB8F44}"/>
    <cellStyle name="Normal 9 2 3 6 3 2 2" xfId="34045" xr:uid="{E451D1F1-99A0-471E-81A9-E95588D97751}"/>
    <cellStyle name="Normal 9 2 3 6 3 3" xfId="24748" xr:uid="{2B7BC1D0-7944-49D4-B4CA-1D4648E85457}"/>
    <cellStyle name="Normal 9 2 3 6 4" xfId="11232" xr:uid="{5C331807-0AF2-467B-A260-1776D5E245D9}"/>
    <cellStyle name="Normal 9 2 3 6 4 2" xfId="29828" xr:uid="{C90EE9CC-7118-475C-95AA-5B9D8510CC77}"/>
    <cellStyle name="Normal 9 2 3 6 5" xfId="20531" xr:uid="{C9133F5D-04D3-48A7-BC33-0B7437155C59}"/>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3E38E4A1-1A7C-4D53-8C0E-273CBD95310F}"/>
    <cellStyle name="Normal 9 2 3 7 2 2 2 2" xfId="36603" xr:uid="{DDEBCCD9-F04F-4D98-BA88-FA7B48A19884}"/>
    <cellStyle name="Normal 9 2 3 7 2 2 3" xfId="27306" xr:uid="{545CB855-E5A8-4B69-8352-00EE19192098}"/>
    <cellStyle name="Normal 9 2 3 7 2 3" xfId="13790" xr:uid="{80EDDA35-557B-447A-B798-A4A16B9DBBB0}"/>
    <cellStyle name="Normal 9 2 3 7 2 3 2" xfId="32386" xr:uid="{453C455B-E2C0-41A5-9DF3-029724D80311}"/>
    <cellStyle name="Normal 9 2 3 7 2 4" xfId="23089" xr:uid="{53C925E9-8F42-45D2-8EDF-E55ADED61191}"/>
    <cellStyle name="Normal 9 2 3 7 3" xfId="6536" xr:uid="{00000000-0005-0000-0000-0000581F0000}"/>
    <cellStyle name="Normal 9 2 3 7 3 2" xfId="15862" xr:uid="{66FB575A-A329-43B6-8AB8-DF67ACC902A5}"/>
    <cellStyle name="Normal 9 2 3 7 3 2 2" xfId="34458" xr:uid="{7BBDCB46-DA65-48D4-BAFA-C5C436CD3DAE}"/>
    <cellStyle name="Normal 9 2 3 7 3 3" xfId="25161" xr:uid="{A5849BEC-2ABC-41F3-9374-428F4CF51A0F}"/>
    <cellStyle name="Normal 9 2 3 7 4" xfId="11645" xr:uid="{B189C4C0-AA9A-439B-B5CA-848C139359A6}"/>
    <cellStyle name="Normal 9 2 3 7 4 2" xfId="30241" xr:uid="{CF9E6F3A-B46F-460F-8269-25E60F4256C3}"/>
    <cellStyle name="Normal 9 2 3 7 5" xfId="20944" xr:uid="{EA64F0C0-206F-4F7E-B6B4-A1172B10DF88}"/>
    <cellStyle name="Normal 9 2 3 8" xfId="2666" xr:uid="{00000000-0005-0000-0000-0000591F0000}"/>
    <cellStyle name="Normal 9 2 3 8 2" xfId="6949" xr:uid="{00000000-0005-0000-0000-00005A1F0000}"/>
    <cellStyle name="Normal 9 2 3 8 2 2" xfId="16275" xr:uid="{B7082B24-6683-40CD-956C-B380DCC6A373}"/>
    <cellStyle name="Normal 9 2 3 8 2 2 2" xfId="34871" xr:uid="{890A7982-1C7A-44F4-A673-E329CB203CEA}"/>
    <cellStyle name="Normal 9 2 3 8 2 3" xfId="25574" xr:uid="{68516589-E7D1-4854-BC12-7F368A80E3CC}"/>
    <cellStyle name="Normal 9 2 3 8 3" xfId="12058" xr:uid="{92386D2B-50B0-4B1A-8051-7EE3F959FF01}"/>
    <cellStyle name="Normal 9 2 3 8 3 2" xfId="30654" xr:uid="{8A959E72-D36A-48F9-A214-C573BE6876F2}"/>
    <cellStyle name="Normal 9 2 3 8 4" xfId="21357" xr:uid="{82C95EC5-7F36-4EBA-824D-C4B3753A94DD}"/>
    <cellStyle name="Normal 9 2 3 9" xfId="4884" xr:uid="{00000000-0005-0000-0000-00005B1F0000}"/>
    <cellStyle name="Normal 9 2 3 9 2" xfId="14210" xr:uid="{95B17B6B-A1A5-4F14-AF26-16100DFDE9E4}"/>
    <cellStyle name="Normal 9 2 3 9 2 2" xfId="32806" xr:uid="{F95529AD-8F6C-4AF6-A89F-662E0F5D7FB5}"/>
    <cellStyle name="Normal 9 2 3 9 3" xfId="23509" xr:uid="{792408A1-F17F-4277-BDF8-19DA476CFA43}"/>
    <cellStyle name="Normal 9 2 4" xfId="524" xr:uid="{00000000-0005-0000-0000-00005C1F0000}"/>
    <cellStyle name="Normal 9 2 4 10" xfId="9997" xr:uid="{C49BE218-F27B-4508-BA3B-794A72CAF883}"/>
    <cellStyle name="Normal 9 2 4 10 2" xfId="28593" xr:uid="{5C7D0DFD-4EC2-4722-BBFC-75F47E8EFF58}"/>
    <cellStyle name="Normal 9 2 4 11" xfId="19296" xr:uid="{53A79208-AB2A-4FE4-AE75-B63CE26B46D0}"/>
    <cellStyle name="Normal 9 2 4 2" xfId="525" xr:uid="{00000000-0005-0000-0000-00005D1F0000}"/>
    <cellStyle name="Normal 9 2 4 2 10" xfId="19297" xr:uid="{A4F9B15C-A4A0-4C2B-A0E0-85F971ED08BD}"/>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8D23D231-04BA-4374-8F34-587F84C21334}"/>
    <cellStyle name="Normal 9 2 4 2 2 2 2 2 2" xfId="35369" xr:uid="{ED16235C-242E-4244-9DBA-C377769484CC}"/>
    <cellStyle name="Normal 9 2 4 2 2 2 2 3" xfId="26072" xr:uid="{8262D45B-CC36-475A-A96C-11808EB96597}"/>
    <cellStyle name="Normal 9 2 4 2 2 2 3" xfId="12556" xr:uid="{D352B077-B432-4869-9AA9-A4366D7FE6E3}"/>
    <cellStyle name="Normal 9 2 4 2 2 2 3 2" xfId="31152" xr:uid="{4E4E12A1-667F-4C71-AB45-9A1FF0DEE8F2}"/>
    <cellStyle name="Normal 9 2 4 2 2 2 4" xfId="21855" xr:uid="{13A6EA39-2029-4749-9F7C-664338D620D5}"/>
    <cellStyle name="Normal 9 2 4 2 2 3" xfId="5302" xr:uid="{00000000-0005-0000-0000-0000611F0000}"/>
    <cellStyle name="Normal 9 2 4 2 2 3 2" xfId="14628" xr:uid="{32057A6E-5AA7-4FB1-8190-CDDC821B62B7}"/>
    <cellStyle name="Normal 9 2 4 2 2 3 2 2" xfId="33224" xr:uid="{EA3C09AE-F5D5-4251-9E65-38EADAB4C049}"/>
    <cellStyle name="Normal 9 2 4 2 2 3 3" xfId="23927" xr:uid="{C30BEE5A-69E0-45F7-B92D-16B8062E2236}"/>
    <cellStyle name="Normal 9 2 4 2 2 4" xfId="9489" xr:uid="{4BA9DC16-58A7-4D6B-90A6-6BB0C51A0279}"/>
    <cellStyle name="Normal 9 2 4 2 2 4 2" xfId="18804" xr:uid="{E1186DC7-2A96-4593-8AED-9696B2DBD743}"/>
    <cellStyle name="Normal 9 2 4 2 2 4 2 2" xfId="37398" xr:uid="{7F2BAEEF-86A0-41FE-AFB3-B624C45D03CE}"/>
    <cellStyle name="Normal 9 2 4 2 2 4 3" xfId="28101" xr:uid="{03D5CCFE-B0E8-4442-BF1E-92E9567D1582}"/>
    <cellStyle name="Normal 9 2 4 2 2 5" xfId="10411" xr:uid="{E6112038-90C4-4831-AC66-A2D366445CB2}"/>
    <cellStyle name="Normal 9 2 4 2 2 5 2" xfId="29007" xr:uid="{27D184A9-CE46-4CFF-B981-61157E36F9A4}"/>
    <cellStyle name="Normal 9 2 4 2 2 6" xfId="19710" xr:uid="{49DE2B5B-9F24-4E06-BACE-02FCEC2DC7BD}"/>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CBEC0913-D997-45BF-91EB-14F17C8120E6}"/>
    <cellStyle name="Normal 9 2 4 2 3 2 2 2 2" xfId="35782" xr:uid="{C00519C8-4B03-49FA-95A1-F0B80A54E4CD}"/>
    <cellStyle name="Normal 9 2 4 2 3 2 2 3" xfId="26485" xr:uid="{EB3C9FB7-F2A3-432A-847D-126E3BA7C2B7}"/>
    <cellStyle name="Normal 9 2 4 2 3 2 3" xfId="12969" xr:uid="{AE350E2B-FC44-4960-8D7B-E7A83812E2DC}"/>
    <cellStyle name="Normal 9 2 4 2 3 2 3 2" xfId="31565" xr:uid="{FE427B4C-4751-4D09-8368-3E7472CC39AD}"/>
    <cellStyle name="Normal 9 2 4 2 3 2 4" xfId="22268" xr:uid="{CB05A78B-28B2-4393-84CB-52924350FC0A}"/>
    <cellStyle name="Normal 9 2 4 2 3 3" xfId="5715" xr:uid="{00000000-0005-0000-0000-0000651F0000}"/>
    <cellStyle name="Normal 9 2 4 2 3 3 2" xfId="15041" xr:uid="{CE38EFA6-A599-4866-836D-C0F1B1C87A88}"/>
    <cellStyle name="Normal 9 2 4 2 3 3 2 2" xfId="33637" xr:uid="{B708C81D-C7EF-4043-A3A5-5ABF9613A3AF}"/>
    <cellStyle name="Normal 9 2 4 2 3 3 3" xfId="24340" xr:uid="{D7CEA0E9-6326-4E0A-BDB0-B7892E9D3314}"/>
    <cellStyle name="Normal 9 2 4 2 3 4" xfId="10824" xr:uid="{3FF3017F-8C7A-43FC-813D-F9278B546E10}"/>
    <cellStyle name="Normal 9 2 4 2 3 4 2" xfId="29420" xr:uid="{7D3136C2-0BEB-4662-B500-15FE53894490}"/>
    <cellStyle name="Normal 9 2 4 2 3 5" xfId="20123" xr:uid="{EA64E096-EA81-403D-8814-DC41A288EB0F}"/>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0271C19E-0DED-4ED6-98EA-1FF9663D4116}"/>
    <cellStyle name="Normal 9 2 4 2 4 2 2 2 2" xfId="36195" xr:uid="{26B84B17-C286-4818-9D6C-A0790C3739C0}"/>
    <cellStyle name="Normal 9 2 4 2 4 2 2 3" xfId="26898" xr:uid="{05A5CDD6-3BC1-4AB7-BE91-3A44ADC1298F}"/>
    <cellStyle name="Normal 9 2 4 2 4 2 3" xfId="13382" xr:uid="{438C8852-0D04-49CE-8D13-AEEE4D9CE9E1}"/>
    <cellStyle name="Normal 9 2 4 2 4 2 3 2" xfId="31978" xr:uid="{9291B2F4-E1E6-4217-B226-F9137A6F1859}"/>
    <cellStyle name="Normal 9 2 4 2 4 2 4" xfId="22681" xr:uid="{2527D39E-1BE0-43AF-8F77-5DCC226F8B70}"/>
    <cellStyle name="Normal 9 2 4 2 4 3" xfId="6128" xr:uid="{00000000-0005-0000-0000-0000691F0000}"/>
    <cellStyle name="Normal 9 2 4 2 4 3 2" xfId="15454" xr:uid="{1EDE7B93-3E9D-4CA9-BA83-227E19425076}"/>
    <cellStyle name="Normal 9 2 4 2 4 3 2 2" xfId="34050" xr:uid="{C3592D61-2462-4F68-B86D-EBB24AA4CBFB}"/>
    <cellStyle name="Normal 9 2 4 2 4 3 3" xfId="24753" xr:uid="{4E7EBCD0-B99F-4140-982F-47D29F0EF3AA}"/>
    <cellStyle name="Normal 9 2 4 2 4 4" xfId="11237" xr:uid="{7CBB7DD6-57CD-4FA1-9319-066BAF6FB803}"/>
    <cellStyle name="Normal 9 2 4 2 4 4 2" xfId="29833" xr:uid="{9134EEAD-48F1-4DF3-A698-A3A223FA562E}"/>
    <cellStyle name="Normal 9 2 4 2 4 5" xfId="20536" xr:uid="{C9B7E0CC-F65B-4492-BB5F-F9C665C65CC3}"/>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8694B87F-D177-484E-86CA-10B2588B5240}"/>
    <cellStyle name="Normal 9 2 4 2 5 2 2 2 2" xfId="36608" xr:uid="{1B1F7AAA-8CF4-4B1B-9D3B-5719191EEBE2}"/>
    <cellStyle name="Normal 9 2 4 2 5 2 2 3" xfId="27311" xr:uid="{4F2EFD8F-1431-4522-9F95-B1BE41CD4E1E}"/>
    <cellStyle name="Normal 9 2 4 2 5 2 3" xfId="13795" xr:uid="{B47CAA5B-2C65-4B62-862D-ED2761EE5674}"/>
    <cellStyle name="Normal 9 2 4 2 5 2 3 2" xfId="32391" xr:uid="{E6EAC8F6-1E6B-47CF-AE79-E899E3C97B13}"/>
    <cellStyle name="Normal 9 2 4 2 5 2 4" xfId="23094" xr:uid="{B47288F5-D986-4DFE-8021-34EAB0B0C12C}"/>
    <cellStyle name="Normal 9 2 4 2 5 3" xfId="6541" xr:uid="{00000000-0005-0000-0000-00006D1F0000}"/>
    <cellStyle name="Normal 9 2 4 2 5 3 2" xfId="15867" xr:uid="{55123146-20DF-4215-94CA-8577BDE6A1DD}"/>
    <cellStyle name="Normal 9 2 4 2 5 3 2 2" xfId="34463" xr:uid="{CE54F7F2-499D-4F64-88F1-8FFE4577F507}"/>
    <cellStyle name="Normal 9 2 4 2 5 3 3" xfId="25166" xr:uid="{229EDF60-8932-47C4-95D6-45026053D624}"/>
    <cellStyle name="Normal 9 2 4 2 5 4" xfId="11650" xr:uid="{CBF741A1-648C-4763-A603-36EE1BFAF191}"/>
    <cellStyle name="Normal 9 2 4 2 5 4 2" xfId="30246" xr:uid="{187DCC61-FF76-4F7E-8D78-7259B3469EB6}"/>
    <cellStyle name="Normal 9 2 4 2 5 5" xfId="20949" xr:uid="{4F8FAE9A-B872-4DBB-BDAA-9F2356B41E1A}"/>
    <cellStyle name="Normal 9 2 4 2 6" xfId="2671" xr:uid="{00000000-0005-0000-0000-00006E1F0000}"/>
    <cellStyle name="Normal 9 2 4 2 6 2" xfId="6954" xr:uid="{00000000-0005-0000-0000-00006F1F0000}"/>
    <cellStyle name="Normal 9 2 4 2 6 2 2" xfId="16280" xr:uid="{A85F5EB7-DBE7-4060-816F-01FA2C1D139D}"/>
    <cellStyle name="Normal 9 2 4 2 6 2 2 2" xfId="34876" xr:uid="{DF314785-DB4C-4D68-8020-05B99249E5A8}"/>
    <cellStyle name="Normal 9 2 4 2 6 2 3" xfId="25579" xr:uid="{3FDCD74C-61DE-46C8-87FF-8455456FC931}"/>
    <cellStyle name="Normal 9 2 4 2 6 3" xfId="12063" xr:uid="{C7EB493B-74ED-4285-9557-8A7F8455487F}"/>
    <cellStyle name="Normal 9 2 4 2 6 3 2" xfId="30659" xr:uid="{9F62F59E-70F0-426B-B331-3B416831056F}"/>
    <cellStyle name="Normal 9 2 4 2 6 4" xfId="21362" xr:uid="{1B6F2917-02CB-4BAF-A4E3-2BBE143B8154}"/>
    <cellStyle name="Normal 9 2 4 2 7" xfId="4889" xr:uid="{00000000-0005-0000-0000-0000701F0000}"/>
    <cellStyle name="Normal 9 2 4 2 7 2" xfId="14215" xr:uid="{0ED3E00F-4E55-4DF2-8FAB-E3429CA5C7AF}"/>
    <cellStyle name="Normal 9 2 4 2 7 2 2" xfId="32811" xr:uid="{4F35B1C5-A640-4BD6-9394-73AF76A88F74}"/>
    <cellStyle name="Normal 9 2 4 2 7 3" xfId="23514" xr:uid="{E87B9387-40BB-425A-86F4-23D05A284186}"/>
    <cellStyle name="Normal 9 2 4 2 8" xfId="9064" xr:uid="{7D4090C3-C767-4FFF-8A1F-282B2C8BAE68}"/>
    <cellStyle name="Normal 9 2 4 2 8 2" xfId="18388" xr:uid="{B8895CAC-EE48-43A6-8ED8-F69243EDDAB4}"/>
    <cellStyle name="Normal 9 2 4 2 8 2 2" xfId="36983" xr:uid="{4C696137-1360-4879-A00E-FBCECD1C34F9}"/>
    <cellStyle name="Normal 9 2 4 2 8 3" xfId="27686" xr:uid="{57C9601B-A462-4D39-9A97-DCF3DC12FF50}"/>
    <cellStyle name="Normal 9 2 4 2 9" xfId="9998" xr:uid="{63FE3D78-7BA2-4AD0-A838-E9220455BBF4}"/>
    <cellStyle name="Normal 9 2 4 2 9 2" xfId="28594" xr:uid="{A9C364A1-29F3-4A04-9F0B-0D55650C169F}"/>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2F9C9B41-EE78-418A-A1A3-E8963A94C5A3}"/>
    <cellStyle name="Normal 9 2 4 3 2 2 2 2" xfId="35368" xr:uid="{D9962D6D-E53A-4843-AEC5-39D5F5C6DED7}"/>
    <cellStyle name="Normal 9 2 4 3 2 2 3" xfId="26071" xr:uid="{12766D70-37BE-43BC-A155-62E4ADC3F09F}"/>
    <cellStyle name="Normal 9 2 4 3 2 3" xfId="12555" xr:uid="{FE2B7574-2C3C-45D4-AE51-8594BB15D170}"/>
    <cellStyle name="Normal 9 2 4 3 2 3 2" xfId="31151" xr:uid="{1EB61A1B-ADB0-4652-BCBE-F2F61DC3F7B4}"/>
    <cellStyle name="Normal 9 2 4 3 2 4" xfId="21854" xr:uid="{664C0617-3745-46D8-AB7D-ED3A6B2878A4}"/>
    <cellStyle name="Normal 9 2 4 3 3" xfId="5301" xr:uid="{00000000-0005-0000-0000-0000741F0000}"/>
    <cellStyle name="Normal 9 2 4 3 3 2" xfId="14627" xr:uid="{498C9A7A-9CEE-402C-A4DF-DC9E790B52FD}"/>
    <cellStyle name="Normal 9 2 4 3 3 2 2" xfId="33223" xr:uid="{CF19FAF3-D0AB-4F7B-B347-D118B076D5CB}"/>
    <cellStyle name="Normal 9 2 4 3 3 3" xfId="23926" xr:uid="{B6688BB4-061A-42BD-9CDE-03E58C2655DD}"/>
    <cellStyle name="Normal 9 2 4 3 4" xfId="9282" xr:uid="{2471E5AC-3D06-4E90-9462-C54FACA9B22B}"/>
    <cellStyle name="Normal 9 2 4 3 4 2" xfId="18597" xr:uid="{AF48E092-B729-4AE4-9FBE-B4BF911D3761}"/>
    <cellStyle name="Normal 9 2 4 3 4 2 2" xfId="37191" xr:uid="{9024170B-B14E-4504-B01A-0FA52B930E82}"/>
    <cellStyle name="Normal 9 2 4 3 4 3" xfId="27894" xr:uid="{34ED15C7-23A9-4D97-B14B-4C2E7917D496}"/>
    <cellStyle name="Normal 9 2 4 3 5" xfId="10410" xr:uid="{789756A7-4060-4CED-BAF9-4ACBA29A711D}"/>
    <cellStyle name="Normal 9 2 4 3 5 2" xfId="29006" xr:uid="{88A97DA8-EF9D-4F1B-84C4-F733A945CD09}"/>
    <cellStyle name="Normal 9 2 4 3 6" xfId="19709" xr:uid="{E2F0045B-91D5-445D-9D25-D0D1A46B20AE}"/>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615742BB-6BD6-4C3B-B852-A871C9B5A64E}"/>
    <cellStyle name="Normal 9 2 4 4 2 2 2 2" xfId="35781" xr:uid="{F7079A56-49BE-47AB-9992-9F46FEEB9E7A}"/>
    <cellStyle name="Normal 9 2 4 4 2 2 3" xfId="26484" xr:uid="{E3614260-EC52-4C57-986D-6A282918B5CF}"/>
    <cellStyle name="Normal 9 2 4 4 2 3" xfId="12968" xr:uid="{DB906C0A-4F39-4778-BB6F-86B45811D228}"/>
    <cellStyle name="Normal 9 2 4 4 2 3 2" xfId="31564" xr:uid="{C3CF7BBC-2844-43EE-B7BA-7CB30C989DF8}"/>
    <cellStyle name="Normal 9 2 4 4 2 4" xfId="22267" xr:uid="{1DE0FB48-A6F7-4670-A852-8D5CA949D970}"/>
    <cellStyle name="Normal 9 2 4 4 3" xfId="5714" xr:uid="{00000000-0005-0000-0000-0000781F0000}"/>
    <cellStyle name="Normal 9 2 4 4 3 2" xfId="15040" xr:uid="{5AC37490-E1B3-4921-BD97-6E628D09E56F}"/>
    <cellStyle name="Normal 9 2 4 4 3 2 2" xfId="33636" xr:uid="{210C0024-0860-4428-9FE9-0362DA3E1437}"/>
    <cellStyle name="Normal 9 2 4 4 3 3" xfId="24339" xr:uid="{89C73BD3-7FFF-4688-9928-3936333E16A0}"/>
    <cellStyle name="Normal 9 2 4 4 4" xfId="10823" xr:uid="{48530DD7-75C3-4725-9E00-2AA5392179EB}"/>
    <cellStyle name="Normal 9 2 4 4 4 2" xfId="29419" xr:uid="{7C16C1F9-6406-4A41-A16A-3513A74EEDA7}"/>
    <cellStyle name="Normal 9 2 4 4 5" xfId="20122" xr:uid="{274D4D09-3750-49C5-8770-81108F62E4C3}"/>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D1AD6B71-AFA5-4AC7-AE84-F028748AA1F4}"/>
    <cellStyle name="Normal 9 2 4 5 2 2 2 2" xfId="36194" xr:uid="{A2E6007D-A416-4A2B-862D-40AE3FF20E1E}"/>
    <cellStyle name="Normal 9 2 4 5 2 2 3" xfId="26897" xr:uid="{885809C5-9909-4820-B4C7-1126210DAF66}"/>
    <cellStyle name="Normal 9 2 4 5 2 3" xfId="13381" xr:uid="{DDC78DBA-15AE-4723-AAE3-AEAE9EBD2BB8}"/>
    <cellStyle name="Normal 9 2 4 5 2 3 2" xfId="31977" xr:uid="{2947032B-4749-4ED9-AC9F-39F68B554E86}"/>
    <cellStyle name="Normal 9 2 4 5 2 4" xfId="22680" xr:uid="{F884B755-23E4-4BAE-817F-E129D6347DFA}"/>
    <cellStyle name="Normal 9 2 4 5 3" xfId="6127" xr:uid="{00000000-0005-0000-0000-00007C1F0000}"/>
    <cellStyle name="Normal 9 2 4 5 3 2" xfId="15453" xr:uid="{CF9A8F02-B61F-469D-82B8-7B575F35B3E1}"/>
    <cellStyle name="Normal 9 2 4 5 3 2 2" xfId="34049" xr:uid="{CE61CC4D-35D8-498B-880C-F29615C1B38E}"/>
    <cellStyle name="Normal 9 2 4 5 3 3" xfId="24752" xr:uid="{FFD535D1-D576-4C9D-BD82-77A2EA11F43D}"/>
    <cellStyle name="Normal 9 2 4 5 4" xfId="11236" xr:uid="{8AF6A94D-7266-4BAA-A638-BAA32AB9BA39}"/>
    <cellStyle name="Normal 9 2 4 5 4 2" xfId="29832" xr:uid="{01550445-7A88-4246-890E-0DC8BC1958D4}"/>
    <cellStyle name="Normal 9 2 4 5 5" xfId="20535" xr:uid="{185568F7-E141-40DA-951C-6399FAFB3AE6}"/>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A5176FF9-82DB-4830-9B07-964F4815B387}"/>
    <cellStyle name="Normal 9 2 4 6 2 2 2 2" xfId="36607" xr:uid="{DDE995C8-C1F2-48D0-AEAF-D29E8D775A50}"/>
    <cellStyle name="Normal 9 2 4 6 2 2 3" xfId="27310" xr:uid="{A125965F-4843-4DD4-8D31-A140DE05626D}"/>
    <cellStyle name="Normal 9 2 4 6 2 3" xfId="13794" xr:uid="{E7BC8619-1F54-46A2-B30B-2A05A1756698}"/>
    <cellStyle name="Normal 9 2 4 6 2 3 2" xfId="32390" xr:uid="{F2EBC5B9-89CA-414D-A3CF-2CF218750EFB}"/>
    <cellStyle name="Normal 9 2 4 6 2 4" xfId="23093" xr:uid="{3BF24CFA-DFCF-451B-B53B-97417AA80BC0}"/>
    <cellStyle name="Normal 9 2 4 6 3" xfId="6540" xr:uid="{00000000-0005-0000-0000-0000801F0000}"/>
    <cellStyle name="Normal 9 2 4 6 3 2" xfId="15866" xr:uid="{D178201C-DD6D-4A6C-910F-E7AA6FFCF171}"/>
    <cellStyle name="Normal 9 2 4 6 3 2 2" xfId="34462" xr:uid="{4BF3B127-DFE1-4CAF-A1C6-C2A7F2E08B02}"/>
    <cellStyle name="Normal 9 2 4 6 3 3" xfId="25165" xr:uid="{9B8EBD81-8DD5-4282-9BF8-638CB1A99545}"/>
    <cellStyle name="Normal 9 2 4 6 4" xfId="11649" xr:uid="{DA788AD0-FE96-4C28-8347-33589D154913}"/>
    <cellStyle name="Normal 9 2 4 6 4 2" xfId="30245" xr:uid="{0E0609CD-BC0B-4CAE-9D72-F14C81A5590D}"/>
    <cellStyle name="Normal 9 2 4 6 5" xfId="20948" xr:uid="{45CFECF0-8D8F-48D0-9F88-F28F6548252A}"/>
    <cellStyle name="Normal 9 2 4 7" xfId="2670" xr:uid="{00000000-0005-0000-0000-0000811F0000}"/>
    <cellStyle name="Normal 9 2 4 7 2" xfId="6953" xr:uid="{00000000-0005-0000-0000-0000821F0000}"/>
    <cellStyle name="Normal 9 2 4 7 2 2" xfId="16279" xr:uid="{225121B5-3D04-4354-AE68-5A81615EBD56}"/>
    <cellStyle name="Normal 9 2 4 7 2 2 2" xfId="34875" xr:uid="{41542D5F-36B5-4D69-8ECA-D4057DBBCB42}"/>
    <cellStyle name="Normal 9 2 4 7 2 3" xfId="25578" xr:uid="{778808C2-9B72-424B-B9FF-83A6E4093604}"/>
    <cellStyle name="Normal 9 2 4 7 3" xfId="12062" xr:uid="{D9F8F9FD-2E4D-4F44-8687-5FEE9AF709B4}"/>
    <cellStyle name="Normal 9 2 4 7 3 2" xfId="30658" xr:uid="{20153ADD-3F87-401E-89BB-FE0790979EB6}"/>
    <cellStyle name="Normal 9 2 4 7 4" xfId="21361" xr:uid="{44239295-94B2-4F25-B773-4EF64BB4928A}"/>
    <cellStyle name="Normal 9 2 4 8" xfId="4888" xr:uid="{00000000-0005-0000-0000-0000831F0000}"/>
    <cellStyle name="Normal 9 2 4 8 2" xfId="14214" xr:uid="{7F88046F-468D-42F0-B418-8968B288CA81}"/>
    <cellStyle name="Normal 9 2 4 8 2 2" xfId="32810" xr:uid="{00E2161B-A7EB-434A-B151-95FE67BCF205}"/>
    <cellStyle name="Normal 9 2 4 8 3" xfId="23513" xr:uid="{DF0A9927-F2FC-41E0-BEB5-2B9D919A6042}"/>
    <cellStyle name="Normal 9 2 4 9" xfId="8857" xr:uid="{D785C0E6-B403-4CCC-AB0B-78E822EF1E40}"/>
    <cellStyle name="Normal 9 2 4 9 2" xfId="18181" xr:uid="{18DF2990-40B6-4506-9833-AF0976CA7408}"/>
    <cellStyle name="Normal 9 2 4 9 2 2" xfId="36776" xr:uid="{C64786CD-9912-4B1B-8514-CC17E9710FA8}"/>
    <cellStyle name="Normal 9 2 4 9 3" xfId="27479" xr:uid="{2EE7905E-C278-4CF6-A583-0FF5FAA74218}"/>
    <cellStyle name="Normal 9 2 5" xfId="526" xr:uid="{00000000-0005-0000-0000-0000841F0000}"/>
    <cellStyle name="Normal 9 2 5 10" xfId="19298" xr:uid="{9006E246-EEFD-4073-A18C-176E5A6796E8}"/>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FE2EF598-7DE2-40D1-84A8-0D65BA7358AF}"/>
    <cellStyle name="Normal 9 2 5 2 2 2 2 2" xfId="35370" xr:uid="{B49DC868-FFF0-4BDD-821D-84B4F36A6D15}"/>
    <cellStyle name="Normal 9 2 5 2 2 2 3" xfId="26073" xr:uid="{2F1D6C39-8AAD-4851-B51D-B439FA5775AF}"/>
    <cellStyle name="Normal 9 2 5 2 2 3" xfId="12557" xr:uid="{0CD25BD9-E8D1-4D76-81CE-8C4FFE8FA230}"/>
    <cellStyle name="Normal 9 2 5 2 2 3 2" xfId="31153" xr:uid="{C5B99124-9070-43F9-AA24-2A0D02D0B614}"/>
    <cellStyle name="Normal 9 2 5 2 2 4" xfId="21856" xr:uid="{695450E7-A4E1-474E-B4F0-B1D07AAAC30F}"/>
    <cellStyle name="Normal 9 2 5 2 3" xfId="5303" xr:uid="{00000000-0005-0000-0000-0000881F0000}"/>
    <cellStyle name="Normal 9 2 5 2 3 2" xfId="14629" xr:uid="{BE1702EC-C8CC-475E-A09F-A929A1599569}"/>
    <cellStyle name="Normal 9 2 5 2 3 2 2" xfId="33225" xr:uid="{9A5F1991-6E39-4407-B8D5-791B0DF0CE21}"/>
    <cellStyle name="Normal 9 2 5 2 3 3" xfId="23928" xr:uid="{ECEB07F8-28B6-4078-8AD5-644087A96D71}"/>
    <cellStyle name="Normal 9 2 5 2 4" xfId="9398" xr:uid="{5B2A416E-986C-4898-8893-9EAFDDDBCDD4}"/>
    <cellStyle name="Normal 9 2 5 2 4 2" xfId="18713" xr:uid="{0D54F00E-B3A2-4FB8-8322-39394721B2C4}"/>
    <cellStyle name="Normal 9 2 5 2 4 2 2" xfId="37307" xr:uid="{3C54D983-2C88-4525-BFEB-D07940906000}"/>
    <cellStyle name="Normal 9 2 5 2 4 3" xfId="28010" xr:uid="{D1138181-EF73-4B98-96B9-FA89FEEA3B12}"/>
    <cellStyle name="Normal 9 2 5 2 5" xfId="10412" xr:uid="{E6964CF3-68C9-4032-A827-7EF6403F24B4}"/>
    <cellStyle name="Normal 9 2 5 2 5 2" xfId="29008" xr:uid="{4ABA030E-0237-4E8B-A018-CCDF4CE41CD0}"/>
    <cellStyle name="Normal 9 2 5 2 6" xfId="19711" xr:uid="{8FF49A26-6C69-4F8D-9325-EEFACB7F87FA}"/>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2699D9CA-6F1C-4298-9517-4EAC710DB11C}"/>
    <cellStyle name="Normal 9 2 5 3 2 2 2 2" xfId="35783" xr:uid="{133EDCCD-56F4-4C34-9F74-B3F5A3755111}"/>
    <cellStyle name="Normal 9 2 5 3 2 2 3" xfId="26486" xr:uid="{B0144D8C-5E81-41F3-9F2F-8687CF2C9B8A}"/>
    <cellStyle name="Normal 9 2 5 3 2 3" xfId="12970" xr:uid="{BF9839A3-B11A-40C9-A678-BE1FC5FCDB34}"/>
    <cellStyle name="Normal 9 2 5 3 2 3 2" xfId="31566" xr:uid="{9F05CC69-A10E-4CA9-A60C-FA5CC4F5D716}"/>
    <cellStyle name="Normal 9 2 5 3 2 4" xfId="22269" xr:uid="{0CF2C6D2-C84D-4AEF-AB20-8737305E89FF}"/>
    <cellStyle name="Normal 9 2 5 3 3" xfId="5716" xr:uid="{00000000-0005-0000-0000-00008C1F0000}"/>
    <cellStyle name="Normal 9 2 5 3 3 2" xfId="15042" xr:uid="{3612D0BF-691C-46C0-83E8-AFFE3B3C6EBF}"/>
    <cellStyle name="Normal 9 2 5 3 3 2 2" xfId="33638" xr:uid="{1F51B524-E2A0-4D9C-B51D-62EB1CAE12A3}"/>
    <cellStyle name="Normal 9 2 5 3 3 3" xfId="24341" xr:uid="{D485913B-A2C0-46F5-BAF9-79C28CBC5021}"/>
    <cellStyle name="Normal 9 2 5 3 4" xfId="10825" xr:uid="{A1331AFD-99E9-4D60-B5A8-CB19F2DE8F38}"/>
    <cellStyle name="Normal 9 2 5 3 4 2" xfId="29421" xr:uid="{84EE106D-83CF-4B0E-90AD-00D3D57E1F46}"/>
    <cellStyle name="Normal 9 2 5 3 5" xfId="20124" xr:uid="{652332A8-EF9B-4B6A-A9D7-81D9BD1EF9F0}"/>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9480B552-5F5C-4C58-BE69-979A01CF4A20}"/>
    <cellStyle name="Normal 9 2 5 4 2 2 2 2" xfId="36196" xr:uid="{C51573DC-DAF8-4B69-92CC-21E10A5FFB03}"/>
    <cellStyle name="Normal 9 2 5 4 2 2 3" xfId="26899" xr:uid="{E23B4120-7098-4D4D-A8D0-4D1546B158F4}"/>
    <cellStyle name="Normal 9 2 5 4 2 3" xfId="13383" xr:uid="{D41BA5FE-900F-46D4-9B53-89C5A940CE28}"/>
    <cellStyle name="Normal 9 2 5 4 2 3 2" xfId="31979" xr:uid="{3C6E8F7F-A677-4CCB-8621-31409B13BB22}"/>
    <cellStyle name="Normal 9 2 5 4 2 4" xfId="22682" xr:uid="{C964BDDB-C9A7-4EDA-A94D-0DA63E459702}"/>
    <cellStyle name="Normal 9 2 5 4 3" xfId="6129" xr:uid="{00000000-0005-0000-0000-0000901F0000}"/>
    <cellStyle name="Normal 9 2 5 4 3 2" xfId="15455" xr:uid="{BF7A0E6A-99AF-4E9D-BA6C-35D0EC1DDA60}"/>
    <cellStyle name="Normal 9 2 5 4 3 2 2" xfId="34051" xr:uid="{2BF21DBF-B693-4EFB-8F19-511E24967B9A}"/>
    <cellStyle name="Normal 9 2 5 4 3 3" xfId="24754" xr:uid="{CBEEBA3A-AA6D-4D35-8565-52D32388AAC1}"/>
    <cellStyle name="Normal 9 2 5 4 4" xfId="11238" xr:uid="{EAC66584-78D6-4090-9AA5-1B80A866F74D}"/>
    <cellStyle name="Normal 9 2 5 4 4 2" xfId="29834" xr:uid="{1155DFF7-B627-4EB8-9CA8-99DF323C79CA}"/>
    <cellStyle name="Normal 9 2 5 4 5" xfId="20537" xr:uid="{219BFED3-902F-43E1-BFFE-59EAC255F35A}"/>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7A6BF434-CEF4-415B-BB49-DC393D0386EA}"/>
    <cellStyle name="Normal 9 2 5 5 2 2 2 2" xfId="36609" xr:uid="{CB91C786-6850-47D5-8A19-05ACB1D2DEE0}"/>
    <cellStyle name="Normal 9 2 5 5 2 2 3" xfId="27312" xr:uid="{BFFE284B-F114-482E-A0D0-7D308E60217C}"/>
    <cellStyle name="Normal 9 2 5 5 2 3" xfId="13796" xr:uid="{A5967A11-4AC5-4C1C-AB1D-90A9AAD82070}"/>
    <cellStyle name="Normal 9 2 5 5 2 3 2" xfId="32392" xr:uid="{E7826F61-C89C-48BE-AEEC-FDD704988252}"/>
    <cellStyle name="Normal 9 2 5 5 2 4" xfId="23095" xr:uid="{CF64AA41-467F-4910-9AA7-6DC816A6A7FC}"/>
    <cellStyle name="Normal 9 2 5 5 3" xfId="6542" xr:uid="{00000000-0005-0000-0000-0000941F0000}"/>
    <cellStyle name="Normal 9 2 5 5 3 2" xfId="15868" xr:uid="{37A129A7-9CB8-459F-A5DC-47D78280DAF0}"/>
    <cellStyle name="Normal 9 2 5 5 3 2 2" xfId="34464" xr:uid="{A3E35F5C-AA0B-49D7-8423-0C74B99AF066}"/>
    <cellStyle name="Normal 9 2 5 5 3 3" xfId="25167" xr:uid="{66484455-3C28-416C-A760-8B69D539E8B9}"/>
    <cellStyle name="Normal 9 2 5 5 4" xfId="11651" xr:uid="{F9B82122-BF42-4195-93BB-1241F482F432}"/>
    <cellStyle name="Normal 9 2 5 5 4 2" xfId="30247" xr:uid="{D1A28711-894F-4DEB-9CA1-3949077D11AB}"/>
    <cellStyle name="Normal 9 2 5 5 5" xfId="20950" xr:uid="{4B62E8D2-F351-4BC0-8438-E96E478BDC26}"/>
    <cellStyle name="Normal 9 2 5 6" xfId="2672" xr:uid="{00000000-0005-0000-0000-0000951F0000}"/>
    <cellStyle name="Normal 9 2 5 6 2" xfId="6955" xr:uid="{00000000-0005-0000-0000-0000961F0000}"/>
    <cellStyle name="Normal 9 2 5 6 2 2" xfId="16281" xr:uid="{68FDDCCD-C495-4A03-94FD-CFE869B56898}"/>
    <cellStyle name="Normal 9 2 5 6 2 2 2" xfId="34877" xr:uid="{097A2AB4-05F7-452B-8D07-680E017698B3}"/>
    <cellStyle name="Normal 9 2 5 6 2 3" xfId="25580" xr:uid="{C9E627CF-1CD9-4118-B44A-49C88A80020C}"/>
    <cellStyle name="Normal 9 2 5 6 3" xfId="12064" xr:uid="{D53DFD28-5160-4D41-A374-029B1370E1C1}"/>
    <cellStyle name="Normal 9 2 5 6 3 2" xfId="30660" xr:uid="{D538E0E4-4661-43F7-9E3B-871A573C3B61}"/>
    <cellStyle name="Normal 9 2 5 6 4" xfId="21363" xr:uid="{6C78C95B-61EE-41A9-B760-D807C0E37C2C}"/>
    <cellStyle name="Normal 9 2 5 7" xfId="4890" xr:uid="{00000000-0005-0000-0000-0000971F0000}"/>
    <cellStyle name="Normal 9 2 5 7 2" xfId="14216" xr:uid="{2ABEFD99-573F-42E8-9C0B-CC57FA883B94}"/>
    <cellStyle name="Normal 9 2 5 7 2 2" xfId="32812" xr:uid="{589A7806-7937-41A4-B68C-28CC57F2F971}"/>
    <cellStyle name="Normal 9 2 5 7 3" xfId="23515" xr:uid="{125580AC-8CB7-46D0-99D6-47F8774F3ACB}"/>
    <cellStyle name="Normal 9 2 5 8" xfId="8973" xr:uid="{BA9464C2-72F7-4B38-B1BD-6986FFA433D9}"/>
    <cellStyle name="Normal 9 2 5 8 2" xfId="18297" xr:uid="{6D7EBD33-81FC-4BF7-9D25-2325E91E9E35}"/>
    <cellStyle name="Normal 9 2 5 8 2 2" xfId="36892" xr:uid="{B71DDC2D-0DF1-4271-83DC-380183ED74F0}"/>
    <cellStyle name="Normal 9 2 5 8 3" xfId="27595" xr:uid="{EE7F967C-06EB-48EE-8949-689E96E39120}"/>
    <cellStyle name="Normal 9 2 5 9" xfId="9999" xr:uid="{9B763CCE-4049-46EB-9EE9-4DDA808C7AC5}"/>
    <cellStyle name="Normal 9 2 5 9 2" xfId="28595" xr:uid="{B17FEE29-F7F0-44E4-9332-23B2D973489E}"/>
    <cellStyle name="Normal 9 2 6" xfId="978" xr:uid="{00000000-0005-0000-0000-0000981F0000}"/>
    <cellStyle name="Normal 9 2 6 2" xfId="3211" xr:uid="{00000000-0005-0000-0000-0000991F0000}"/>
    <cellStyle name="Normal 9 2 6 2 2" xfId="7433" xr:uid="{00000000-0005-0000-0000-00009A1F0000}"/>
    <cellStyle name="Normal 9 2 6 2 2 2" xfId="16759" xr:uid="{0B5207D1-2041-4DE0-A481-926AA1705014}"/>
    <cellStyle name="Normal 9 2 6 2 2 2 2" xfId="35355" xr:uid="{D5F7F264-2E1A-40A0-97E9-52D656C97B03}"/>
    <cellStyle name="Normal 9 2 6 2 2 3" xfId="26058" xr:uid="{98DE0679-154C-4502-B26F-0379F417B78E}"/>
    <cellStyle name="Normal 9 2 6 2 3" xfId="12542" xr:uid="{8B419167-9E11-4CC8-953C-49D472F3F5B6}"/>
    <cellStyle name="Normal 9 2 6 2 3 2" xfId="31138" xr:uid="{8E547903-DF13-4057-8CA8-F66263B9D4D2}"/>
    <cellStyle name="Normal 9 2 6 2 4" xfId="21841" xr:uid="{D8959201-98D9-4768-8AA6-375732EFDEEC}"/>
    <cellStyle name="Normal 9 2 6 3" xfId="5288" xr:uid="{00000000-0005-0000-0000-00009B1F0000}"/>
    <cellStyle name="Normal 9 2 6 3 2" xfId="14614" xr:uid="{34EA7A33-0AC4-4C73-ADDB-5D6B7C561CE3}"/>
    <cellStyle name="Normal 9 2 6 3 2 2" xfId="33210" xr:uid="{AE88701F-DA94-4023-BD76-4D27C4B2EBF7}"/>
    <cellStyle name="Normal 9 2 6 3 3" xfId="23913" xr:uid="{2687D2B3-4636-48C7-B555-E4E00E403CD2}"/>
    <cellStyle name="Normal 9 2 6 4" xfId="9176" xr:uid="{F3933A08-5B20-47C9-B0FC-7B73F4B0BA7D}"/>
    <cellStyle name="Normal 9 2 6 4 2" xfId="18494" xr:uid="{E98B7EA8-7D63-4EAA-B559-1CC81755B073}"/>
    <cellStyle name="Normal 9 2 6 4 2 2" xfId="37088" xr:uid="{4BF25864-CECC-4A71-B0E8-2DBCEF7E1E6A}"/>
    <cellStyle name="Normal 9 2 6 4 3" xfId="27791" xr:uid="{231DA6BB-80AE-40B5-98E8-36262FE007CC}"/>
    <cellStyle name="Normal 9 2 6 5" xfId="10397" xr:uid="{075405F8-A1E6-4CAA-9FAF-DF1786815EFB}"/>
    <cellStyle name="Normal 9 2 6 5 2" xfId="28993" xr:uid="{A570A4AB-EC7E-45D0-A1BF-F9344D69F526}"/>
    <cellStyle name="Normal 9 2 6 6" xfId="19696" xr:uid="{462F0E96-AFDB-45E4-8F24-8B3D293625BE}"/>
    <cellStyle name="Normal 9 2 7" xfId="1394" xr:uid="{00000000-0005-0000-0000-00009C1F0000}"/>
    <cellStyle name="Normal 9 2 7 2" xfId="3624" xr:uid="{00000000-0005-0000-0000-00009D1F0000}"/>
    <cellStyle name="Normal 9 2 7 2 2" xfId="7846" xr:uid="{00000000-0005-0000-0000-00009E1F0000}"/>
    <cellStyle name="Normal 9 2 7 2 2 2" xfId="17172" xr:uid="{2DA143CC-DDFB-4982-BF8C-5CEAC9EC14C7}"/>
    <cellStyle name="Normal 9 2 7 2 2 2 2" xfId="35768" xr:uid="{8649C39C-A60F-4D01-AB7B-373B8B91F4C7}"/>
    <cellStyle name="Normal 9 2 7 2 2 3" xfId="26471" xr:uid="{F4BC6A71-54E2-4664-855A-302161196C28}"/>
    <cellStyle name="Normal 9 2 7 2 3" xfId="12955" xr:uid="{1669FFA5-B07C-4E84-A8F7-0FFED4777436}"/>
    <cellStyle name="Normal 9 2 7 2 3 2" xfId="31551" xr:uid="{C2B03EBF-8E21-4957-9EFA-82777180C31D}"/>
    <cellStyle name="Normal 9 2 7 2 4" xfId="22254" xr:uid="{C27AE09A-9086-4363-B870-CE3EF858B91A}"/>
    <cellStyle name="Normal 9 2 7 3" xfId="5701" xr:uid="{00000000-0005-0000-0000-00009F1F0000}"/>
    <cellStyle name="Normal 9 2 7 3 2" xfId="15027" xr:uid="{DFE694B5-06C2-49F7-8B1A-38A7FE19C155}"/>
    <cellStyle name="Normal 9 2 7 3 2 2" xfId="33623" xr:uid="{EA18EC22-7DCA-4465-ABBD-415C6566F33F}"/>
    <cellStyle name="Normal 9 2 7 3 3" xfId="24326" xr:uid="{FD665239-D318-4C46-893F-EB9639F39BD2}"/>
    <cellStyle name="Normal 9 2 7 4" xfId="10810" xr:uid="{5F740A62-EEA6-470E-85F3-128B3A42F084}"/>
    <cellStyle name="Normal 9 2 7 4 2" xfId="29406" xr:uid="{3D077265-674C-4A9E-9363-580FCA6DF3DC}"/>
    <cellStyle name="Normal 9 2 7 5" xfId="20109" xr:uid="{8F28EF28-0F84-4983-B3BF-4F4DF727D9E5}"/>
    <cellStyle name="Normal 9 2 8" xfId="1807" xr:uid="{00000000-0005-0000-0000-0000A01F0000}"/>
    <cellStyle name="Normal 9 2 8 2" xfId="4037" xr:uid="{00000000-0005-0000-0000-0000A11F0000}"/>
    <cellStyle name="Normal 9 2 8 2 2" xfId="8259" xr:uid="{00000000-0005-0000-0000-0000A21F0000}"/>
    <cellStyle name="Normal 9 2 8 2 2 2" xfId="17585" xr:uid="{4DC998AE-066D-4A70-86A7-E77D58C261F3}"/>
    <cellStyle name="Normal 9 2 8 2 2 2 2" xfId="36181" xr:uid="{57A4053F-0E20-459E-A199-D04ECC84E690}"/>
    <cellStyle name="Normal 9 2 8 2 2 3" xfId="26884" xr:uid="{9250DBA9-8B4D-48BD-B3E2-37606B1017B1}"/>
    <cellStyle name="Normal 9 2 8 2 3" xfId="13368" xr:uid="{812D439F-1251-4F59-9C0C-7F97BCE2C3EB}"/>
    <cellStyle name="Normal 9 2 8 2 3 2" xfId="31964" xr:uid="{F176A2D6-5778-43A4-8E57-DF3D567FD509}"/>
    <cellStyle name="Normal 9 2 8 2 4" xfId="22667" xr:uid="{343EE102-2373-4CA1-A9E5-C9B4152565B3}"/>
    <cellStyle name="Normal 9 2 8 3" xfId="6114" xr:uid="{00000000-0005-0000-0000-0000A31F0000}"/>
    <cellStyle name="Normal 9 2 8 3 2" xfId="15440" xr:uid="{906C2576-D1CC-4837-8557-18F39959026A}"/>
    <cellStyle name="Normal 9 2 8 3 2 2" xfId="34036" xr:uid="{EDA9A9B7-5FE6-4EDD-BDE0-0DF54B045063}"/>
    <cellStyle name="Normal 9 2 8 3 3" xfId="24739" xr:uid="{888EABAB-B723-4B6A-AC00-E0D5FED8F655}"/>
    <cellStyle name="Normal 9 2 8 4" xfId="11223" xr:uid="{CBEAD15B-4373-45EB-B98C-40EC9ED2BE9D}"/>
    <cellStyle name="Normal 9 2 8 4 2" xfId="29819" xr:uid="{183A2D57-DD7E-4E00-BAEC-45A843C20080}"/>
    <cellStyle name="Normal 9 2 8 5" xfId="20522" xr:uid="{2E62F12B-C3E9-466A-86EB-718F2807FBF1}"/>
    <cellStyle name="Normal 9 2 9" xfId="2221" xr:uid="{00000000-0005-0000-0000-0000A41F0000}"/>
    <cellStyle name="Normal 9 2 9 2" xfId="4450" xr:uid="{00000000-0005-0000-0000-0000A51F0000}"/>
    <cellStyle name="Normal 9 2 9 2 2" xfId="8672" xr:uid="{00000000-0005-0000-0000-0000A61F0000}"/>
    <cellStyle name="Normal 9 2 9 2 2 2" xfId="17998" xr:uid="{290968AF-44F1-4133-B9E2-50316C96921A}"/>
    <cellStyle name="Normal 9 2 9 2 2 2 2" xfId="36594" xr:uid="{ACADDBB7-1B4C-4CB1-8B99-49CABDCB6600}"/>
    <cellStyle name="Normal 9 2 9 2 2 3" xfId="27297" xr:uid="{613839CD-6FC7-455C-98B7-A53CAC9CCC74}"/>
    <cellStyle name="Normal 9 2 9 2 3" xfId="13781" xr:uid="{42620086-5E52-4BCA-9D94-F3CC1E36A85B}"/>
    <cellStyle name="Normal 9 2 9 2 3 2" xfId="32377" xr:uid="{76AD5F22-2698-47CD-8C9B-185B3E124DF0}"/>
    <cellStyle name="Normal 9 2 9 2 4" xfId="23080" xr:uid="{42D5DAB5-C9BC-4D40-885A-6BE107B0C79C}"/>
    <cellStyle name="Normal 9 2 9 3" xfId="6527" xr:uid="{00000000-0005-0000-0000-0000A71F0000}"/>
    <cellStyle name="Normal 9 2 9 3 2" xfId="15853" xr:uid="{2BE3F2A4-1D06-4A5F-9F81-E17A1E201300}"/>
    <cellStyle name="Normal 9 2 9 3 2 2" xfId="34449" xr:uid="{AE99F9D3-3E4C-4357-9015-203396FB92D7}"/>
    <cellStyle name="Normal 9 2 9 3 3" xfId="25152" xr:uid="{752F5406-42E4-40C0-BB55-BC9BBB5EB12A}"/>
    <cellStyle name="Normal 9 2 9 4" xfId="11636" xr:uid="{42487D5D-D912-47DD-BB57-752C1BC99FE5}"/>
    <cellStyle name="Normal 9 2 9 4 2" xfId="30232" xr:uid="{4107665D-611A-4F81-8D03-601CF025315A}"/>
    <cellStyle name="Normal 9 2 9 5" xfId="20935" xr:uid="{F7646BC7-05DD-4A1B-ACA9-B75BFEAB0785}"/>
    <cellStyle name="Normal 9 3" xfId="527" xr:uid="{00000000-0005-0000-0000-0000A81F0000}"/>
    <cellStyle name="Normal 9 3 10" xfId="4891" xr:uid="{00000000-0005-0000-0000-0000A91F0000}"/>
    <cellStyle name="Normal 9 3 10 2" xfId="14217" xr:uid="{81A136C3-CB80-4AC6-B727-07E9E9896C34}"/>
    <cellStyle name="Normal 9 3 10 2 2" xfId="32813" xr:uid="{821068B1-EB20-448F-ADB8-FD433E068CB3}"/>
    <cellStyle name="Normal 9 3 10 3" xfId="23516" xr:uid="{D2A08124-672A-4D98-B2F5-9A1D091E0086}"/>
    <cellStyle name="Normal 9 3 11" xfId="8777" xr:uid="{1F3D7E21-FC22-4F0C-9371-3D8250746BB7}"/>
    <cellStyle name="Normal 9 3 11 2" xfId="18101" xr:uid="{77331BAF-8D14-4EFD-846F-9AECA6EE575B}"/>
    <cellStyle name="Normal 9 3 11 2 2" xfId="36696" xr:uid="{03D2D830-9C29-4CC8-8A57-80FCB96438A4}"/>
    <cellStyle name="Normal 9 3 11 3" xfId="27399" xr:uid="{DEDF085C-0938-487A-9B2F-5383F3F2E161}"/>
    <cellStyle name="Normal 9 3 12" xfId="10000" xr:uid="{27E09E64-D04E-47F4-AE7D-5A2A63E7261F}"/>
    <cellStyle name="Normal 9 3 12 2" xfId="28596" xr:uid="{6DD976AC-724C-49FA-AB2E-057B066C33E9}"/>
    <cellStyle name="Normal 9 3 13" xfId="19299" xr:uid="{07B227E6-7D0D-4FBE-B243-BFA074063A0B}"/>
    <cellStyle name="Normal 9 3 2" xfId="528" xr:uid="{00000000-0005-0000-0000-0000AA1F0000}"/>
    <cellStyle name="Normal 9 3 2 10" xfId="8840" xr:uid="{94797BE2-1721-4871-A768-79D4D45F48BB}"/>
    <cellStyle name="Normal 9 3 2 10 2" xfId="18164" xr:uid="{0FAC5DEB-846A-4C6D-A6E4-1EEB86D49138}"/>
    <cellStyle name="Normal 9 3 2 10 2 2" xfId="36759" xr:uid="{789508E3-5329-46C3-9DD3-26824DE5B013}"/>
    <cellStyle name="Normal 9 3 2 10 3" xfId="27462" xr:uid="{10BFA105-4A91-4378-8E4D-979F4643C210}"/>
    <cellStyle name="Normal 9 3 2 11" xfId="10001" xr:uid="{135C6CC6-A145-4213-B40F-D3574D1A3D4D}"/>
    <cellStyle name="Normal 9 3 2 11 2" xfId="28597" xr:uid="{7151D0E7-5023-44E7-B520-5D507B05935E}"/>
    <cellStyle name="Normal 9 3 2 12" xfId="19300" xr:uid="{9171ABA5-8580-4C30-820D-E38BE3A1ED24}"/>
    <cellStyle name="Normal 9 3 2 2" xfId="529" xr:uid="{00000000-0005-0000-0000-0000AB1F0000}"/>
    <cellStyle name="Normal 9 3 2 2 10" xfId="10002" xr:uid="{8E8D0634-8BFE-41EA-836E-83689D41CB3C}"/>
    <cellStyle name="Normal 9 3 2 2 10 2" xfId="28598" xr:uid="{1BB38320-BC80-4AD8-9213-B916BDA9A94E}"/>
    <cellStyle name="Normal 9 3 2 2 11" xfId="19301" xr:uid="{C72B5884-969E-4C9E-A620-E39DCCCA0F26}"/>
    <cellStyle name="Normal 9 3 2 2 2" xfId="530" xr:uid="{00000000-0005-0000-0000-0000AC1F0000}"/>
    <cellStyle name="Normal 9 3 2 2 2 10" xfId="19302" xr:uid="{ED222E74-D590-45B4-AD9A-7B511AA95701}"/>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BAF4FC69-D6A6-46F7-8A23-FEB7D5D443F8}"/>
    <cellStyle name="Normal 9 3 2 2 2 2 2 2 2 2" xfId="35374" xr:uid="{F0D18920-6E8B-4231-848B-BFE23C9179A5}"/>
    <cellStyle name="Normal 9 3 2 2 2 2 2 2 3" xfId="26077" xr:uid="{904FB390-2530-469D-AE5F-50EE245E6BC9}"/>
    <cellStyle name="Normal 9 3 2 2 2 2 2 3" xfId="12561" xr:uid="{6E4D4B1F-697C-48A8-A98E-CDEFAA0F4CEE}"/>
    <cellStyle name="Normal 9 3 2 2 2 2 2 3 2" xfId="31157" xr:uid="{2C2E51DB-F2EC-4465-B88D-5E73D668DF7A}"/>
    <cellStyle name="Normal 9 3 2 2 2 2 2 4" xfId="21860" xr:uid="{CE6A96A8-A8BA-4F84-AC13-9ACF3C356C1A}"/>
    <cellStyle name="Normal 9 3 2 2 2 2 3" xfId="5307" xr:uid="{00000000-0005-0000-0000-0000B01F0000}"/>
    <cellStyle name="Normal 9 3 2 2 2 2 3 2" xfId="14633" xr:uid="{464D2DF6-C016-4F6C-90B8-E7806922208C}"/>
    <cellStyle name="Normal 9 3 2 2 2 2 3 2 2" xfId="33229" xr:uid="{991348EF-E276-478F-BDC9-AC4DB52B0E72}"/>
    <cellStyle name="Normal 9 3 2 2 2 2 3 3" xfId="23932" xr:uid="{1347DDD5-E0F6-4E59-87EE-ACA79F54953E}"/>
    <cellStyle name="Normal 9 3 2 2 2 2 4" xfId="9575" xr:uid="{DA05DE06-1987-4B8E-8439-C692853FF296}"/>
    <cellStyle name="Normal 9 3 2 2 2 2 4 2" xfId="18890" xr:uid="{9A818DF0-64FD-43E0-8E2C-329A440E7D3C}"/>
    <cellStyle name="Normal 9 3 2 2 2 2 4 2 2" xfId="37484" xr:uid="{493CF2FA-C7E2-4D84-96ED-ECE4C2791968}"/>
    <cellStyle name="Normal 9 3 2 2 2 2 4 3" xfId="28187" xr:uid="{4D78057B-CA85-4E02-BB19-CC56E6152C38}"/>
    <cellStyle name="Normal 9 3 2 2 2 2 5" xfId="10416" xr:uid="{22D2594C-988B-4536-BEE5-83E005A97A6A}"/>
    <cellStyle name="Normal 9 3 2 2 2 2 5 2" xfId="29012" xr:uid="{8CFB8BFE-52ED-40A9-952E-BCFD91405D46}"/>
    <cellStyle name="Normal 9 3 2 2 2 2 6" xfId="19715" xr:uid="{E40F76B2-9442-451F-A7C2-FCE87E344828}"/>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AB57FF73-3AD9-4743-B2CC-85830B452279}"/>
    <cellStyle name="Normal 9 3 2 2 2 3 2 2 2 2" xfId="35787" xr:uid="{D87188D1-3147-47CB-811A-44CC050D79E0}"/>
    <cellStyle name="Normal 9 3 2 2 2 3 2 2 3" xfId="26490" xr:uid="{D1D68094-1527-4DF2-B0DE-A76AFD49C011}"/>
    <cellStyle name="Normal 9 3 2 2 2 3 2 3" xfId="12974" xr:uid="{F1CA0235-91E8-4015-8A90-9610A92A5426}"/>
    <cellStyle name="Normal 9 3 2 2 2 3 2 3 2" xfId="31570" xr:uid="{F4945E73-0EDA-476E-87E8-B49B1EAD1D92}"/>
    <cellStyle name="Normal 9 3 2 2 2 3 2 4" xfId="22273" xr:uid="{3C9146B9-D2C0-498C-869E-94830C6C0C05}"/>
    <cellStyle name="Normal 9 3 2 2 2 3 3" xfId="5720" xr:uid="{00000000-0005-0000-0000-0000B41F0000}"/>
    <cellStyle name="Normal 9 3 2 2 2 3 3 2" xfId="15046" xr:uid="{F66FDF73-FE7E-4E75-862B-A9D09BB6C2D8}"/>
    <cellStyle name="Normal 9 3 2 2 2 3 3 2 2" xfId="33642" xr:uid="{0C9D537D-382B-4E53-93A0-6D51526E7554}"/>
    <cellStyle name="Normal 9 3 2 2 2 3 3 3" xfId="24345" xr:uid="{F554572E-538A-4820-8C1E-50953A0E621E}"/>
    <cellStyle name="Normal 9 3 2 2 2 3 4" xfId="10829" xr:uid="{C5851981-D906-44CD-AD3A-4A2C7999E6F0}"/>
    <cellStyle name="Normal 9 3 2 2 2 3 4 2" xfId="29425" xr:uid="{03678B8D-6B9E-4001-ABEF-F4CFECE5752A}"/>
    <cellStyle name="Normal 9 3 2 2 2 3 5" xfId="20128" xr:uid="{8365B06C-B85E-46E8-802B-A7F19F710ED2}"/>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FB18B75E-3211-49DA-BEDE-98208BAEA89B}"/>
    <cellStyle name="Normal 9 3 2 2 2 4 2 2 2 2" xfId="36200" xr:uid="{15C8E280-48F6-4360-8099-3503E384FD91}"/>
    <cellStyle name="Normal 9 3 2 2 2 4 2 2 3" xfId="26903" xr:uid="{8FF1451A-AA46-4261-A0E6-753743C30868}"/>
    <cellStyle name="Normal 9 3 2 2 2 4 2 3" xfId="13387" xr:uid="{F0DC6D1B-FE9F-4B9C-9665-C9336ADD0A1B}"/>
    <cellStyle name="Normal 9 3 2 2 2 4 2 3 2" xfId="31983" xr:uid="{D548C7CD-DCE1-4148-9449-297FEFC05BE2}"/>
    <cellStyle name="Normal 9 3 2 2 2 4 2 4" xfId="22686" xr:uid="{5BB78664-DBFA-4DC8-9455-F85BEBB74811}"/>
    <cellStyle name="Normal 9 3 2 2 2 4 3" xfId="6133" xr:uid="{00000000-0005-0000-0000-0000B81F0000}"/>
    <cellStyle name="Normal 9 3 2 2 2 4 3 2" xfId="15459" xr:uid="{CD92D2C0-E354-4BEF-91E9-8C47365D3B7D}"/>
    <cellStyle name="Normal 9 3 2 2 2 4 3 2 2" xfId="34055" xr:uid="{8C36B5AB-B098-4C7E-A7D6-FDBC2A542113}"/>
    <cellStyle name="Normal 9 3 2 2 2 4 3 3" xfId="24758" xr:uid="{480FB52F-88A0-4A66-8814-66C6B9CFBCA4}"/>
    <cellStyle name="Normal 9 3 2 2 2 4 4" xfId="11242" xr:uid="{2BFF9F6E-AB08-4FF2-B753-0FDD4E9B0E6B}"/>
    <cellStyle name="Normal 9 3 2 2 2 4 4 2" xfId="29838" xr:uid="{BC2BF4B5-D2FD-4BC3-9A3B-FA4050EDEB59}"/>
    <cellStyle name="Normal 9 3 2 2 2 4 5" xfId="20541" xr:uid="{90DD8C96-92E8-4809-92A5-5C285F26DE82}"/>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6F05E9D6-FCA7-4308-BD7E-4EC0E355EC7D}"/>
    <cellStyle name="Normal 9 3 2 2 2 5 2 2 2 2" xfId="36613" xr:uid="{E2F6FBFC-1066-4592-8E19-B264EE456494}"/>
    <cellStyle name="Normal 9 3 2 2 2 5 2 2 3" xfId="27316" xr:uid="{F8F17249-433C-4341-828A-49DB64EC54AF}"/>
    <cellStyle name="Normal 9 3 2 2 2 5 2 3" xfId="13800" xr:uid="{073695ED-39EB-4783-98E0-07011B9E7D32}"/>
    <cellStyle name="Normal 9 3 2 2 2 5 2 3 2" xfId="32396" xr:uid="{E5344F1A-1EF8-4E0F-9114-75F3462DBB37}"/>
    <cellStyle name="Normal 9 3 2 2 2 5 2 4" xfId="23099" xr:uid="{B0D35F05-8848-450E-9BC2-ED62C6484465}"/>
    <cellStyle name="Normal 9 3 2 2 2 5 3" xfId="6546" xr:uid="{00000000-0005-0000-0000-0000BC1F0000}"/>
    <cellStyle name="Normal 9 3 2 2 2 5 3 2" xfId="15872" xr:uid="{8DDFE951-2E00-4271-966D-9DE902C71DA7}"/>
    <cellStyle name="Normal 9 3 2 2 2 5 3 2 2" xfId="34468" xr:uid="{1C87A9B5-94E5-4BB2-8D29-C5D07616DC54}"/>
    <cellStyle name="Normal 9 3 2 2 2 5 3 3" xfId="25171" xr:uid="{FBD8407D-C22D-45F6-B92C-ADC3F07F56B7}"/>
    <cellStyle name="Normal 9 3 2 2 2 5 4" xfId="11655" xr:uid="{22D314B4-E2C4-4A6B-8F12-2ED22C4A911F}"/>
    <cellStyle name="Normal 9 3 2 2 2 5 4 2" xfId="30251" xr:uid="{897B829E-F204-44EC-8602-F2712BD9CDBC}"/>
    <cellStyle name="Normal 9 3 2 2 2 5 5" xfId="20954" xr:uid="{98F3AEB7-6B55-4CCA-9D2F-08CE140B97F7}"/>
    <cellStyle name="Normal 9 3 2 2 2 6" xfId="2676" xr:uid="{00000000-0005-0000-0000-0000BD1F0000}"/>
    <cellStyle name="Normal 9 3 2 2 2 6 2" xfId="6959" xr:uid="{00000000-0005-0000-0000-0000BE1F0000}"/>
    <cellStyle name="Normal 9 3 2 2 2 6 2 2" xfId="16285" xr:uid="{2A783BA9-7FA7-42BA-9890-7AB543507610}"/>
    <cellStyle name="Normal 9 3 2 2 2 6 2 2 2" xfId="34881" xr:uid="{8145BD87-BF9E-4297-B1B6-E39CA2B6F8A8}"/>
    <cellStyle name="Normal 9 3 2 2 2 6 2 3" xfId="25584" xr:uid="{5389505A-8C6D-4684-8642-8E519A8D5686}"/>
    <cellStyle name="Normal 9 3 2 2 2 6 3" xfId="12068" xr:uid="{75C09A89-8050-48D0-9079-2FA58E8A82F2}"/>
    <cellStyle name="Normal 9 3 2 2 2 6 3 2" xfId="30664" xr:uid="{4FA82C71-3914-46AA-8EE7-C8B2E231BA43}"/>
    <cellStyle name="Normal 9 3 2 2 2 6 4" xfId="21367" xr:uid="{7FED651E-AFF4-4567-9DA9-9B322CAE7E72}"/>
    <cellStyle name="Normal 9 3 2 2 2 7" xfId="4894" xr:uid="{00000000-0005-0000-0000-0000BF1F0000}"/>
    <cellStyle name="Normal 9 3 2 2 2 7 2" xfId="14220" xr:uid="{C38671BF-943F-43F0-9050-18D9D7370C8D}"/>
    <cellStyle name="Normal 9 3 2 2 2 7 2 2" xfId="32816" xr:uid="{D22E5E46-CDAB-446B-951F-C37E5351D0BB}"/>
    <cellStyle name="Normal 9 3 2 2 2 7 3" xfId="23519" xr:uid="{96600A4A-1B72-4293-9873-560712B51FFE}"/>
    <cellStyle name="Normal 9 3 2 2 2 8" xfId="9150" xr:uid="{F54F74BE-A583-4C94-A198-8E0D27AD7F4F}"/>
    <cellStyle name="Normal 9 3 2 2 2 8 2" xfId="18474" xr:uid="{40257759-8CB0-4262-AB80-26BCC7441C2F}"/>
    <cellStyle name="Normal 9 3 2 2 2 8 2 2" xfId="37069" xr:uid="{2B886CB4-E02C-4C12-8D9D-247A5AABC83A}"/>
    <cellStyle name="Normal 9 3 2 2 2 8 3" xfId="27772" xr:uid="{B794FAB9-A68D-434F-923D-35383740BCF8}"/>
    <cellStyle name="Normal 9 3 2 2 2 9" xfId="10003" xr:uid="{49FC86E3-638E-4A9D-A1DC-D77F11049ADB}"/>
    <cellStyle name="Normal 9 3 2 2 2 9 2" xfId="28599" xr:uid="{ECC726E4-8B21-4B2F-9D9E-6BC2415333FC}"/>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F4754AB3-F4AC-41FF-B1EF-690ACBF0B633}"/>
    <cellStyle name="Normal 9 3 2 2 3 2 2 2 2" xfId="35373" xr:uid="{F3166E05-F55C-4022-BB8B-5B36FC31C603}"/>
    <cellStyle name="Normal 9 3 2 2 3 2 2 3" xfId="26076" xr:uid="{C5AFEB48-1D63-4686-862D-9C508F15BB7F}"/>
    <cellStyle name="Normal 9 3 2 2 3 2 3" xfId="12560" xr:uid="{7DC29875-28B7-4253-B2A3-57CEA7446B1B}"/>
    <cellStyle name="Normal 9 3 2 2 3 2 3 2" xfId="31156" xr:uid="{4ADAF1BA-E77D-4041-8762-40EA5352626F}"/>
    <cellStyle name="Normal 9 3 2 2 3 2 4" xfId="21859" xr:uid="{89AD5A80-4ACE-4493-B5C0-14EEC1BC3891}"/>
    <cellStyle name="Normal 9 3 2 2 3 3" xfId="5306" xr:uid="{00000000-0005-0000-0000-0000C31F0000}"/>
    <cellStyle name="Normal 9 3 2 2 3 3 2" xfId="14632" xr:uid="{CD3CE4F1-63BB-42EE-A445-E9A73A7FF05E}"/>
    <cellStyle name="Normal 9 3 2 2 3 3 2 2" xfId="33228" xr:uid="{44E5DE14-BEC4-4619-B9C1-28FAD40C0C3F}"/>
    <cellStyle name="Normal 9 3 2 2 3 3 3" xfId="23931" xr:uid="{E4F3EF7B-9EA5-4B46-AB71-9F24ABBF9B70}"/>
    <cellStyle name="Normal 9 3 2 2 3 4" xfId="9368" xr:uid="{B3189122-1774-442D-BD5B-8DA329618536}"/>
    <cellStyle name="Normal 9 3 2 2 3 4 2" xfId="18683" xr:uid="{01EA203B-782A-4F3F-B2DF-55DCCEC4EB69}"/>
    <cellStyle name="Normal 9 3 2 2 3 4 2 2" xfId="37277" xr:uid="{9499D5CA-9235-4793-8848-043F714B5BAC}"/>
    <cellStyle name="Normal 9 3 2 2 3 4 3" xfId="27980" xr:uid="{F1392FED-B29D-4584-A632-61D28C9F46AF}"/>
    <cellStyle name="Normal 9 3 2 2 3 5" xfId="10415" xr:uid="{1CF4B65D-9C0A-4B52-BEE1-6AAF60152CFD}"/>
    <cellStyle name="Normal 9 3 2 2 3 5 2" xfId="29011" xr:uid="{4C5BA06B-F1B9-4F0B-BA0B-06557683D4E6}"/>
    <cellStyle name="Normal 9 3 2 2 3 6" xfId="19714" xr:uid="{BD52EB41-60BF-4E9A-A5F3-2FF3B37CFA6C}"/>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2FCCF494-224B-4962-8B73-8FFEA31FB85B}"/>
    <cellStyle name="Normal 9 3 2 2 4 2 2 2 2" xfId="35786" xr:uid="{BFA2F179-E8F7-451A-8E2E-574FAD52E451}"/>
    <cellStyle name="Normal 9 3 2 2 4 2 2 3" xfId="26489" xr:uid="{89DAD5FA-C5CB-473E-835B-E83C53E3E7E3}"/>
    <cellStyle name="Normal 9 3 2 2 4 2 3" xfId="12973" xr:uid="{6954364B-B96D-4A96-8AD2-F78B5F32C8A9}"/>
    <cellStyle name="Normal 9 3 2 2 4 2 3 2" xfId="31569" xr:uid="{86EBC69C-4F80-4C21-8650-665E8B35B4A0}"/>
    <cellStyle name="Normal 9 3 2 2 4 2 4" xfId="22272" xr:uid="{86222932-5C83-4C73-8C7F-D8731BA7EDD6}"/>
    <cellStyle name="Normal 9 3 2 2 4 3" xfId="5719" xr:uid="{00000000-0005-0000-0000-0000C71F0000}"/>
    <cellStyle name="Normal 9 3 2 2 4 3 2" xfId="15045" xr:uid="{C669BE8E-7DD8-4A15-8815-8206FDBE1A1A}"/>
    <cellStyle name="Normal 9 3 2 2 4 3 2 2" xfId="33641" xr:uid="{DBD57E0B-217A-4112-924A-AC94C83BC977}"/>
    <cellStyle name="Normal 9 3 2 2 4 3 3" xfId="24344" xr:uid="{1C734D4B-05C4-40AB-B949-22998C0372A2}"/>
    <cellStyle name="Normal 9 3 2 2 4 4" xfId="10828" xr:uid="{468C1825-AEC7-4F05-AB8C-29B6E55ECE18}"/>
    <cellStyle name="Normal 9 3 2 2 4 4 2" xfId="29424" xr:uid="{AC861F64-B441-4147-979F-53C5CD167ED0}"/>
    <cellStyle name="Normal 9 3 2 2 4 5" xfId="20127" xr:uid="{2AD3FDBD-09F2-477D-B623-F8F3E480DD87}"/>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F4DB5464-E2A2-44AB-9D5C-295E6806BAC3}"/>
    <cellStyle name="Normal 9 3 2 2 5 2 2 2 2" xfId="36199" xr:uid="{45C2906A-6CB2-4287-84F1-9D708451E3E7}"/>
    <cellStyle name="Normal 9 3 2 2 5 2 2 3" xfId="26902" xr:uid="{B2C55DB5-843A-467D-9FFA-0E2B6911CF56}"/>
    <cellStyle name="Normal 9 3 2 2 5 2 3" xfId="13386" xr:uid="{6F93BB11-4F28-43D4-83A0-CFDC56FD8D07}"/>
    <cellStyle name="Normal 9 3 2 2 5 2 3 2" xfId="31982" xr:uid="{81940D66-AA02-4B2C-A3FA-CB5FA6D553C6}"/>
    <cellStyle name="Normal 9 3 2 2 5 2 4" xfId="22685" xr:uid="{C4E0DCB3-9326-4E54-AC2E-FDF1688C1A39}"/>
    <cellStyle name="Normal 9 3 2 2 5 3" xfId="6132" xr:uid="{00000000-0005-0000-0000-0000CB1F0000}"/>
    <cellStyle name="Normal 9 3 2 2 5 3 2" xfId="15458" xr:uid="{E00694AC-3087-44D1-9E43-7E8EAFDF0E50}"/>
    <cellStyle name="Normal 9 3 2 2 5 3 2 2" xfId="34054" xr:uid="{B9D7016D-20E6-4F3B-998A-652E9FA0A86D}"/>
    <cellStyle name="Normal 9 3 2 2 5 3 3" xfId="24757" xr:uid="{61FF7AD3-76BA-4C31-97DE-6354C5EB700A}"/>
    <cellStyle name="Normal 9 3 2 2 5 4" xfId="11241" xr:uid="{7422D06E-11F2-4397-9825-6508DC62D6BA}"/>
    <cellStyle name="Normal 9 3 2 2 5 4 2" xfId="29837" xr:uid="{60484211-941D-45B0-951C-5081FC125FCD}"/>
    <cellStyle name="Normal 9 3 2 2 5 5" xfId="20540" xr:uid="{1140A313-31D1-4363-920E-7E3258155C74}"/>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D1E99CBC-E30F-437B-8A70-CB13396218AE}"/>
    <cellStyle name="Normal 9 3 2 2 6 2 2 2 2" xfId="36612" xr:uid="{60324D9B-20F4-40E6-82DD-66A5B516B097}"/>
    <cellStyle name="Normal 9 3 2 2 6 2 2 3" xfId="27315" xr:uid="{A01E61F0-9346-4B4D-BC7A-5799BBF05E0D}"/>
    <cellStyle name="Normal 9 3 2 2 6 2 3" xfId="13799" xr:uid="{A50FCBB1-7E4F-49F2-BFE8-4FDC12E02F0D}"/>
    <cellStyle name="Normal 9 3 2 2 6 2 3 2" xfId="32395" xr:uid="{7FBD1AB4-A6CD-4923-B925-0A774AC25D94}"/>
    <cellStyle name="Normal 9 3 2 2 6 2 4" xfId="23098" xr:uid="{F503FFCE-C8BE-4908-9513-026724E7986D}"/>
    <cellStyle name="Normal 9 3 2 2 6 3" xfId="6545" xr:uid="{00000000-0005-0000-0000-0000CF1F0000}"/>
    <cellStyle name="Normal 9 3 2 2 6 3 2" xfId="15871" xr:uid="{3C4322D1-5BF4-47BC-8FA4-F28B83061E3B}"/>
    <cellStyle name="Normal 9 3 2 2 6 3 2 2" xfId="34467" xr:uid="{8B2FDDF2-6EE4-4001-A6C4-5C85B2AFC0C1}"/>
    <cellStyle name="Normal 9 3 2 2 6 3 3" xfId="25170" xr:uid="{414F9D29-EB5A-4909-A1FE-5482AB4A75A5}"/>
    <cellStyle name="Normal 9 3 2 2 6 4" xfId="11654" xr:uid="{12F2B80F-4056-41C6-950D-444E9DCCF22C}"/>
    <cellStyle name="Normal 9 3 2 2 6 4 2" xfId="30250" xr:uid="{1407A5C2-21A5-459D-B467-55F89971FF4C}"/>
    <cellStyle name="Normal 9 3 2 2 6 5" xfId="20953" xr:uid="{B29350A7-2458-43B1-879B-18030AF40E1D}"/>
    <cellStyle name="Normal 9 3 2 2 7" xfId="2675" xr:uid="{00000000-0005-0000-0000-0000D01F0000}"/>
    <cellStyle name="Normal 9 3 2 2 7 2" xfId="6958" xr:uid="{00000000-0005-0000-0000-0000D11F0000}"/>
    <cellStyle name="Normal 9 3 2 2 7 2 2" xfId="16284" xr:uid="{2F2BB2F9-97AF-4F07-89E6-3911D597FF5A}"/>
    <cellStyle name="Normal 9 3 2 2 7 2 2 2" xfId="34880" xr:uid="{2640B523-67C2-4D9E-B891-8F4C4174572E}"/>
    <cellStyle name="Normal 9 3 2 2 7 2 3" xfId="25583" xr:uid="{2DE44EF8-9726-48F2-9376-96D53A632630}"/>
    <cellStyle name="Normal 9 3 2 2 7 3" xfId="12067" xr:uid="{74A146BC-65C3-4679-AAED-EF421051271B}"/>
    <cellStyle name="Normal 9 3 2 2 7 3 2" xfId="30663" xr:uid="{BE1D1E11-78F4-4DA9-B1D5-0C730099C308}"/>
    <cellStyle name="Normal 9 3 2 2 7 4" xfId="21366" xr:uid="{B8782E9C-1118-4447-B46D-EA1F80E83413}"/>
    <cellStyle name="Normal 9 3 2 2 8" xfId="4893" xr:uid="{00000000-0005-0000-0000-0000D21F0000}"/>
    <cellStyle name="Normal 9 3 2 2 8 2" xfId="14219" xr:uid="{0CA73389-915C-43E5-8BCE-E74D681FCCBF}"/>
    <cellStyle name="Normal 9 3 2 2 8 2 2" xfId="32815" xr:uid="{BABA89AF-99CC-41C7-B429-FAAB0312B639}"/>
    <cellStyle name="Normal 9 3 2 2 8 3" xfId="23518" xr:uid="{EF44084C-B8A1-4570-8335-6C9114C36908}"/>
    <cellStyle name="Normal 9 3 2 2 9" xfId="8943" xr:uid="{1E59706A-169E-45B8-A6E4-1A0514B9DDBD}"/>
    <cellStyle name="Normal 9 3 2 2 9 2" xfId="18267" xr:uid="{B472AFE5-6E4B-4618-B5D9-426C6BC5A40B}"/>
    <cellStyle name="Normal 9 3 2 2 9 2 2" xfId="36862" xr:uid="{BBC3B633-BFAC-4075-BA14-B6686D770D13}"/>
    <cellStyle name="Normal 9 3 2 2 9 3" xfId="27565" xr:uid="{B4E8180E-1243-4BA8-A417-08006C60C26C}"/>
    <cellStyle name="Normal 9 3 2 3" xfId="531" xr:uid="{00000000-0005-0000-0000-0000D31F0000}"/>
    <cellStyle name="Normal 9 3 2 3 10" xfId="19303" xr:uid="{D0C9BCC6-E01E-42A6-B221-40F1F088054F}"/>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AE692AD0-B3E9-491F-B7FB-24B77B3F8734}"/>
    <cellStyle name="Normal 9 3 2 3 2 2 2 2 2" xfId="35375" xr:uid="{97E9C0EB-01F4-4738-A43A-70C7D4CDD001}"/>
    <cellStyle name="Normal 9 3 2 3 2 2 2 3" xfId="26078" xr:uid="{ED2C3FB6-70A2-496B-8DFB-BD2800F8F40F}"/>
    <cellStyle name="Normal 9 3 2 3 2 2 3" xfId="12562" xr:uid="{26EA2BEB-0CBE-4FEE-8EC6-EFE3BB2F0E8F}"/>
    <cellStyle name="Normal 9 3 2 3 2 2 3 2" xfId="31158" xr:uid="{42D98621-7BB5-4B97-8ED2-652F1200C30A}"/>
    <cellStyle name="Normal 9 3 2 3 2 2 4" xfId="21861" xr:uid="{3CB55C10-77E3-4DC4-94C3-CB9629A09A3A}"/>
    <cellStyle name="Normal 9 3 2 3 2 3" xfId="5308" xr:uid="{00000000-0005-0000-0000-0000D71F0000}"/>
    <cellStyle name="Normal 9 3 2 3 2 3 2" xfId="14634" xr:uid="{7D69CBB8-229A-4BF1-B1EA-B7D252B4981D}"/>
    <cellStyle name="Normal 9 3 2 3 2 3 2 2" xfId="33230" xr:uid="{EBE6576A-056A-44D9-9BEC-D6FE90F91953}"/>
    <cellStyle name="Normal 9 3 2 3 2 3 3" xfId="23933" xr:uid="{92C08BD6-216B-4A4F-B2DB-1E243122D89B}"/>
    <cellStyle name="Normal 9 3 2 3 2 4" xfId="9472" xr:uid="{427A8E71-9BC4-47C0-A855-6886AF96C97E}"/>
    <cellStyle name="Normal 9 3 2 3 2 4 2" xfId="18787" xr:uid="{41AD8CB2-4344-4101-BD33-43AC89EB5399}"/>
    <cellStyle name="Normal 9 3 2 3 2 4 2 2" xfId="37381" xr:uid="{6A6028D9-88BE-4E32-87DB-7E3BA0BDD5A3}"/>
    <cellStyle name="Normal 9 3 2 3 2 4 3" xfId="28084" xr:uid="{4E801E93-D687-4FCA-8D6D-0C12F6AA44DE}"/>
    <cellStyle name="Normal 9 3 2 3 2 5" xfId="10417" xr:uid="{832431FB-45C1-46DC-8550-BE538FB6C7C9}"/>
    <cellStyle name="Normal 9 3 2 3 2 5 2" xfId="29013" xr:uid="{53DEF625-F84C-4321-BF47-92DE9D8B9935}"/>
    <cellStyle name="Normal 9 3 2 3 2 6" xfId="19716" xr:uid="{FE362BB8-40FB-47C6-9796-0D0F491D0714}"/>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358B2338-622A-427B-BD79-D79DD452385D}"/>
    <cellStyle name="Normal 9 3 2 3 3 2 2 2 2" xfId="35788" xr:uid="{B1704FA6-F63B-4DE5-8F4B-C27315CE92EF}"/>
    <cellStyle name="Normal 9 3 2 3 3 2 2 3" xfId="26491" xr:uid="{476BB641-D56A-49EE-98F6-AF39368A47D2}"/>
    <cellStyle name="Normal 9 3 2 3 3 2 3" xfId="12975" xr:uid="{E83E80A3-3226-4912-A4AB-44377D42C476}"/>
    <cellStyle name="Normal 9 3 2 3 3 2 3 2" xfId="31571" xr:uid="{7A3B7A3A-E50F-4030-8116-E1BB29090F3B}"/>
    <cellStyle name="Normal 9 3 2 3 3 2 4" xfId="22274" xr:uid="{DC0D9339-A3B1-4D30-9208-7234AEF6A086}"/>
    <cellStyle name="Normal 9 3 2 3 3 3" xfId="5721" xr:uid="{00000000-0005-0000-0000-0000DB1F0000}"/>
    <cellStyle name="Normal 9 3 2 3 3 3 2" xfId="15047" xr:uid="{2D359B9F-47DD-489A-AAE0-12C2586FCA47}"/>
    <cellStyle name="Normal 9 3 2 3 3 3 2 2" xfId="33643" xr:uid="{C6FABE0B-9134-4F5D-B3A8-129DF1D7D855}"/>
    <cellStyle name="Normal 9 3 2 3 3 3 3" xfId="24346" xr:uid="{486FE580-D49C-465B-A3BE-F8FD7B9365EB}"/>
    <cellStyle name="Normal 9 3 2 3 3 4" xfId="10830" xr:uid="{00488355-DD86-49EF-836E-923543D47A3A}"/>
    <cellStyle name="Normal 9 3 2 3 3 4 2" xfId="29426" xr:uid="{FEAB028D-9D84-41DF-8389-1AD83D8B5D03}"/>
    <cellStyle name="Normal 9 3 2 3 3 5" xfId="20129" xr:uid="{E7FFFA79-F071-47A5-AAAE-A0A002B80D60}"/>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B8D14C98-FEE8-4911-A4D6-22482FCA0432}"/>
    <cellStyle name="Normal 9 3 2 3 4 2 2 2 2" xfId="36201" xr:uid="{680E4893-AB95-402C-B956-F5E727802A91}"/>
    <cellStyle name="Normal 9 3 2 3 4 2 2 3" xfId="26904" xr:uid="{ADF22F9E-ABDE-499B-930E-C9F85AAA8041}"/>
    <cellStyle name="Normal 9 3 2 3 4 2 3" xfId="13388" xr:uid="{67628E99-302C-4C36-9E29-DE27CE0C3EFE}"/>
    <cellStyle name="Normal 9 3 2 3 4 2 3 2" xfId="31984" xr:uid="{8E3A7CD7-E041-4265-B1D9-8827DA6E305F}"/>
    <cellStyle name="Normal 9 3 2 3 4 2 4" xfId="22687" xr:uid="{3826CE2B-8C9C-421C-AAF3-0CF6ED0A09D9}"/>
    <cellStyle name="Normal 9 3 2 3 4 3" xfId="6134" xr:uid="{00000000-0005-0000-0000-0000DF1F0000}"/>
    <cellStyle name="Normal 9 3 2 3 4 3 2" xfId="15460" xr:uid="{7A647D73-21B9-4270-BD56-B27E9FD6D663}"/>
    <cellStyle name="Normal 9 3 2 3 4 3 2 2" xfId="34056" xr:uid="{C45F17E8-978F-46F9-8E56-CC92D4E206C9}"/>
    <cellStyle name="Normal 9 3 2 3 4 3 3" xfId="24759" xr:uid="{AA157268-3C8B-446A-9A6C-2841A8A02401}"/>
    <cellStyle name="Normal 9 3 2 3 4 4" xfId="11243" xr:uid="{B3D6F07C-77CD-4F3D-963D-7EA0F8DADC17}"/>
    <cellStyle name="Normal 9 3 2 3 4 4 2" xfId="29839" xr:uid="{82C62160-9B8A-4B49-8546-E1E3829BD4C9}"/>
    <cellStyle name="Normal 9 3 2 3 4 5" xfId="20542" xr:uid="{E58C18B5-852E-45FE-B939-751BE206E452}"/>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A1207101-1151-495D-9E21-7D6042AA85FD}"/>
    <cellStyle name="Normal 9 3 2 3 5 2 2 2 2" xfId="36614" xr:uid="{61F9BE99-B6AB-4258-8319-36EC5F68BEC0}"/>
    <cellStyle name="Normal 9 3 2 3 5 2 2 3" xfId="27317" xr:uid="{AB384CE7-A1D4-488B-9075-734A8849643A}"/>
    <cellStyle name="Normal 9 3 2 3 5 2 3" xfId="13801" xr:uid="{58D132FE-E444-4318-B2C4-572FF230135C}"/>
    <cellStyle name="Normal 9 3 2 3 5 2 3 2" xfId="32397" xr:uid="{DC434FB8-4759-40FE-A0C4-9AF9D884007E}"/>
    <cellStyle name="Normal 9 3 2 3 5 2 4" xfId="23100" xr:uid="{E1E0C731-50E6-4E39-A691-E402088E0235}"/>
    <cellStyle name="Normal 9 3 2 3 5 3" xfId="6547" xr:uid="{00000000-0005-0000-0000-0000E31F0000}"/>
    <cellStyle name="Normal 9 3 2 3 5 3 2" xfId="15873" xr:uid="{646286FA-B504-4AB8-9096-E91FD6C7D1A1}"/>
    <cellStyle name="Normal 9 3 2 3 5 3 2 2" xfId="34469" xr:uid="{1CD484E8-9DEC-4825-867F-39D79048AD18}"/>
    <cellStyle name="Normal 9 3 2 3 5 3 3" xfId="25172" xr:uid="{FD629116-1D8A-44D5-9C7E-D3C3D769B16D}"/>
    <cellStyle name="Normal 9 3 2 3 5 4" xfId="11656" xr:uid="{5698D9D0-340F-4507-AB48-432DE84A8FD0}"/>
    <cellStyle name="Normal 9 3 2 3 5 4 2" xfId="30252" xr:uid="{08C7178D-893A-4C32-BB6E-6979F1FDA783}"/>
    <cellStyle name="Normal 9 3 2 3 5 5" xfId="20955" xr:uid="{E8109B2A-D31F-44AB-8B28-E8B16A192DF0}"/>
    <cellStyle name="Normal 9 3 2 3 6" xfId="2677" xr:uid="{00000000-0005-0000-0000-0000E41F0000}"/>
    <cellStyle name="Normal 9 3 2 3 6 2" xfId="6960" xr:uid="{00000000-0005-0000-0000-0000E51F0000}"/>
    <cellStyle name="Normal 9 3 2 3 6 2 2" xfId="16286" xr:uid="{500994F8-D6D8-4343-AE21-75775E972F64}"/>
    <cellStyle name="Normal 9 3 2 3 6 2 2 2" xfId="34882" xr:uid="{6F77F567-7FC7-4B0A-8D8E-F765E7187FDA}"/>
    <cellStyle name="Normal 9 3 2 3 6 2 3" xfId="25585" xr:uid="{E01C5D0F-3047-4EC8-9D9D-18286FC02E44}"/>
    <cellStyle name="Normal 9 3 2 3 6 3" xfId="12069" xr:uid="{11222D9D-5C71-4822-8834-790356CD6FAE}"/>
    <cellStyle name="Normal 9 3 2 3 6 3 2" xfId="30665" xr:uid="{EEE6A987-1A68-46D3-B347-17377EEE8D80}"/>
    <cellStyle name="Normal 9 3 2 3 6 4" xfId="21368" xr:uid="{B38B2469-50FA-4D4F-9405-B0057A1A9836}"/>
    <cellStyle name="Normal 9 3 2 3 7" xfId="4895" xr:uid="{00000000-0005-0000-0000-0000E61F0000}"/>
    <cellStyle name="Normal 9 3 2 3 7 2" xfId="14221" xr:uid="{5C5634C3-AC58-4A01-BAB9-97C3D7EF8E36}"/>
    <cellStyle name="Normal 9 3 2 3 7 2 2" xfId="32817" xr:uid="{124B6E57-0F61-4B0E-B7EE-4C6052A89C06}"/>
    <cellStyle name="Normal 9 3 2 3 7 3" xfId="23520" xr:uid="{A848EF55-A660-4B0C-B930-4B8F8E076B7D}"/>
    <cellStyle name="Normal 9 3 2 3 8" xfId="9047" xr:uid="{4CBBBE80-D24B-484D-910E-0072EA0E95DD}"/>
    <cellStyle name="Normal 9 3 2 3 8 2" xfId="18371" xr:uid="{F8715FFE-9100-4F9E-866B-D7E5F2027667}"/>
    <cellStyle name="Normal 9 3 2 3 8 2 2" xfId="36966" xr:uid="{EC9CE610-FACA-43CC-B0DC-9A6BCC83BE9B}"/>
    <cellStyle name="Normal 9 3 2 3 8 3" xfId="27669" xr:uid="{B7EF7995-6482-467C-9F44-3CC4712C5FA2}"/>
    <cellStyle name="Normal 9 3 2 3 9" xfId="10004" xr:uid="{4ABEFA40-35F6-4F0F-B939-69D7AEFB7FF5}"/>
    <cellStyle name="Normal 9 3 2 3 9 2" xfId="28600" xr:uid="{BAACD619-6278-470E-9E2B-D8E35F74C1A0}"/>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148DCA98-2FC2-4247-8723-7C1B754B64F8}"/>
    <cellStyle name="Normal 9 3 2 4 2 2 2 2" xfId="35372" xr:uid="{9B97805C-A00E-48A1-87CA-8B3D6513C3C4}"/>
    <cellStyle name="Normal 9 3 2 4 2 2 3" xfId="26075" xr:uid="{DDBA128C-94C4-485F-9CA9-DEC78C15AC57}"/>
    <cellStyle name="Normal 9 3 2 4 2 3" xfId="12559" xr:uid="{2A3CAE71-9B63-4573-97B6-326B883618AF}"/>
    <cellStyle name="Normal 9 3 2 4 2 3 2" xfId="31155" xr:uid="{CEB7FC4F-7704-4975-8EDE-89913000712E}"/>
    <cellStyle name="Normal 9 3 2 4 2 4" xfId="21858" xr:uid="{19499EDE-298F-43C3-97B0-FD69F5179771}"/>
    <cellStyle name="Normal 9 3 2 4 3" xfId="5305" xr:uid="{00000000-0005-0000-0000-0000EA1F0000}"/>
    <cellStyle name="Normal 9 3 2 4 3 2" xfId="14631" xr:uid="{6B4CB73C-11B0-4A60-A693-244C1BFEFDEB}"/>
    <cellStyle name="Normal 9 3 2 4 3 2 2" xfId="33227" xr:uid="{496546F8-1952-484C-BF93-B22512D7A886}"/>
    <cellStyle name="Normal 9 3 2 4 3 3" xfId="23930" xr:uid="{751EDD7A-78AC-4883-AB81-CA061E11163C}"/>
    <cellStyle name="Normal 9 3 2 4 4" xfId="9265" xr:uid="{BF00A9B8-67BA-48F6-8D48-0E4380D60577}"/>
    <cellStyle name="Normal 9 3 2 4 4 2" xfId="18580" xr:uid="{9AB7ADD4-693E-4610-B835-106D7CC9241E}"/>
    <cellStyle name="Normal 9 3 2 4 4 2 2" xfId="37174" xr:uid="{2490FA6E-8307-48BB-B91F-A325AF71E6F3}"/>
    <cellStyle name="Normal 9 3 2 4 4 3" xfId="27877" xr:uid="{380A4982-7BF7-47F7-BD11-88095881D59B}"/>
    <cellStyle name="Normal 9 3 2 4 5" xfId="10414" xr:uid="{F31B2291-08EB-4B98-A259-97C440F44595}"/>
    <cellStyle name="Normal 9 3 2 4 5 2" xfId="29010" xr:uid="{AE6DF6AA-C933-4123-A051-14847AAEB569}"/>
    <cellStyle name="Normal 9 3 2 4 6" xfId="19713" xr:uid="{990EDA4A-522A-442A-A168-AF85952D50D9}"/>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AC53C400-60FC-4F16-BC42-E9C11C9D06DB}"/>
    <cellStyle name="Normal 9 3 2 5 2 2 2 2" xfId="35785" xr:uid="{61A0F4CB-B37D-4723-86E8-4B06C318B7D5}"/>
    <cellStyle name="Normal 9 3 2 5 2 2 3" xfId="26488" xr:uid="{0B7ACCFF-ACBC-403D-A90E-C91E2EC1550D}"/>
    <cellStyle name="Normal 9 3 2 5 2 3" xfId="12972" xr:uid="{380579BF-CC91-4054-B40C-84ED727EF57C}"/>
    <cellStyle name="Normal 9 3 2 5 2 3 2" xfId="31568" xr:uid="{687D604F-ADEC-4CD4-9935-27F3A82A0869}"/>
    <cellStyle name="Normal 9 3 2 5 2 4" xfId="22271" xr:uid="{A15FB884-496E-42F5-A502-15D115BE1D8F}"/>
    <cellStyle name="Normal 9 3 2 5 3" xfId="5718" xr:uid="{00000000-0005-0000-0000-0000EE1F0000}"/>
    <cellStyle name="Normal 9 3 2 5 3 2" xfId="15044" xr:uid="{31A28750-9F82-48B9-B96B-CCF6E30CAC09}"/>
    <cellStyle name="Normal 9 3 2 5 3 2 2" xfId="33640" xr:uid="{62AF1461-8885-453B-AA0C-A5D77631F451}"/>
    <cellStyle name="Normal 9 3 2 5 3 3" xfId="24343" xr:uid="{4FB16F00-E7F5-4E7F-9BA8-76BABCAFF053}"/>
    <cellStyle name="Normal 9 3 2 5 4" xfId="10827" xr:uid="{80D65783-A172-4602-9742-3536B274EE8E}"/>
    <cellStyle name="Normal 9 3 2 5 4 2" xfId="29423" xr:uid="{7ABDBE09-C153-4C22-98E0-A96E8CC2AC50}"/>
    <cellStyle name="Normal 9 3 2 5 5" xfId="20126" xr:uid="{8F4B8079-D63E-408C-8A4B-FAF84AF387E1}"/>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85685E64-348A-415E-B3E4-05172209E057}"/>
    <cellStyle name="Normal 9 3 2 6 2 2 2 2" xfId="36198" xr:uid="{01F57419-DA90-42B4-91D3-97F18F87E5F1}"/>
    <cellStyle name="Normal 9 3 2 6 2 2 3" xfId="26901" xr:uid="{8431C506-09B4-43E3-89DA-8D593B1FE207}"/>
    <cellStyle name="Normal 9 3 2 6 2 3" xfId="13385" xr:uid="{0EA342E2-FC5D-47D5-9D1B-FCA7395984CA}"/>
    <cellStyle name="Normal 9 3 2 6 2 3 2" xfId="31981" xr:uid="{2E9689AB-0E2E-4825-B86F-90F0399FF03B}"/>
    <cellStyle name="Normal 9 3 2 6 2 4" xfId="22684" xr:uid="{30203396-CC65-4849-B46E-9AC1DF33F2D0}"/>
    <cellStyle name="Normal 9 3 2 6 3" xfId="6131" xr:uid="{00000000-0005-0000-0000-0000F21F0000}"/>
    <cellStyle name="Normal 9 3 2 6 3 2" xfId="15457" xr:uid="{300063E0-F155-4713-AE59-4B6993B533F0}"/>
    <cellStyle name="Normal 9 3 2 6 3 2 2" xfId="34053" xr:uid="{5BF97AD1-50CB-473C-9DB6-B06AC4972646}"/>
    <cellStyle name="Normal 9 3 2 6 3 3" xfId="24756" xr:uid="{DD4D55AE-B354-475E-AC44-F7049254964A}"/>
    <cellStyle name="Normal 9 3 2 6 4" xfId="11240" xr:uid="{CF0D9573-5498-439D-A892-B5D84279F149}"/>
    <cellStyle name="Normal 9 3 2 6 4 2" xfId="29836" xr:uid="{911F152D-BBFF-4A7B-BE79-8162F4F73059}"/>
    <cellStyle name="Normal 9 3 2 6 5" xfId="20539" xr:uid="{165427E7-E0D6-4B2B-BC03-F2BA4D56B4C7}"/>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4CC0E34E-E811-4B87-AD87-11EB125EDCBD}"/>
    <cellStyle name="Normal 9 3 2 7 2 2 2 2" xfId="36611" xr:uid="{C47B5DD7-DF58-45DA-991C-C5EEFDAEC281}"/>
    <cellStyle name="Normal 9 3 2 7 2 2 3" xfId="27314" xr:uid="{97677C63-F35F-4AAF-85C8-7798E2016035}"/>
    <cellStyle name="Normal 9 3 2 7 2 3" xfId="13798" xr:uid="{F86DB9E1-42D9-4560-A4C3-59A684A64A14}"/>
    <cellStyle name="Normal 9 3 2 7 2 3 2" xfId="32394" xr:uid="{41240C89-41D5-438F-B2FE-BEF0F9C94453}"/>
    <cellStyle name="Normal 9 3 2 7 2 4" xfId="23097" xr:uid="{A176257B-9238-47F3-BADA-D48EE89E4045}"/>
    <cellStyle name="Normal 9 3 2 7 3" xfId="6544" xr:uid="{00000000-0005-0000-0000-0000F61F0000}"/>
    <cellStyle name="Normal 9 3 2 7 3 2" xfId="15870" xr:uid="{10FABF22-D6DE-41B2-8A86-AA293FC87C06}"/>
    <cellStyle name="Normal 9 3 2 7 3 2 2" xfId="34466" xr:uid="{C0E35919-C150-4915-A89A-165FB3E69C5D}"/>
    <cellStyle name="Normal 9 3 2 7 3 3" xfId="25169" xr:uid="{FFD17052-1A6C-4C88-882D-2BB4A0202988}"/>
    <cellStyle name="Normal 9 3 2 7 4" xfId="11653" xr:uid="{71C021D3-B42D-47BB-B6CD-D3136D7BB35E}"/>
    <cellStyle name="Normal 9 3 2 7 4 2" xfId="30249" xr:uid="{79E6EEDC-7325-403C-86BE-D86112ACCD89}"/>
    <cellStyle name="Normal 9 3 2 7 5" xfId="20952" xr:uid="{CECB5ACF-658A-40BB-BC97-64C445293B06}"/>
    <cellStyle name="Normal 9 3 2 8" xfId="2674" xr:uid="{00000000-0005-0000-0000-0000F71F0000}"/>
    <cellStyle name="Normal 9 3 2 8 2" xfId="6957" xr:uid="{00000000-0005-0000-0000-0000F81F0000}"/>
    <cellStyle name="Normal 9 3 2 8 2 2" xfId="16283" xr:uid="{5F8BE897-5F66-4BBD-9138-E81629A5554D}"/>
    <cellStyle name="Normal 9 3 2 8 2 2 2" xfId="34879" xr:uid="{0DC66CA0-BA69-4293-A4F5-3B8889522F14}"/>
    <cellStyle name="Normal 9 3 2 8 2 3" xfId="25582" xr:uid="{9B375E80-8598-4732-9E20-9C6B8FD46872}"/>
    <cellStyle name="Normal 9 3 2 8 3" xfId="12066" xr:uid="{C3BAD116-FA19-490C-904A-DA43652F5C18}"/>
    <cellStyle name="Normal 9 3 2 8 3 2" xfId="30662" xr:uid="{D73AF2CE-EA21-4A8E-A32B-821D352995B9}"/>
    <cellStyle name="Normal 9 3 2 8 4" xfId="21365" xr:uid="{28584196-759A-4881-B1F3-AA6DC16AE930}"/>
    <cellStyle name="Normal 9 3 2 9" xfId="4892" xr:uid="{00000000-0005-0000-0000-0000F91F0000}"/>
    <cellStyle name="Normal 9 3 2 9 2" xfId="14218" xr:uid="{6EC5048D-C8EE-49A4-8E77-CAB5C81743AA}"/>
    <cellStyle name="Normal 9 3 2 9 2 2" xfId="32814" xr:uid="{36D74020-BCBA-4C27-95EF-EAA3AE5788C4}"/>
    <cellStyle name="Normal 9 3 2 9 3" xfId="23517" xr:uid="{D3E99CAC-FA4C-4B78-9BEE-BCF981200F21}"/>
    <cellStyle name="Normal 9 3 3" xfId="532" xr:uid="{00000000-0005-0000-0000-0000FA1F0000}"/>
    <cellStyle name="Normal 9 3 3 10" xfId="10005" xr:uid="{4F494179-6E4B-4824-99DE-7FB603A81F99}"/>
    <cellStyle name="Normal 9 3 3 10 2" xfId="28601" xr:uid="{ED1EA969-8984-4DFA-A0CD-A24370D24BFB}"/>
    <cellStyle name="Normal 9 3 3 11" xfId="19304" xr:uid="{BEBD82E6-8A6D-4594-B143-8F789742A468}"/>
    <cellStyle name="Normal 9 3 3 2" xfId="533" xr:uid="{00000000-0005-0000-0000-0000FB1F0000}"/>
    <cellStyle name="Normal 9 3 3 2 10" xfId="19305" xr:uid="{BB2F0012-6DB4-49C0-90DC-8B297BBBA72A}"/>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914DB4B2-644C-4E1E-A926-F7FE5DA2B1CC}"/>
    <cellStyle name="Normal 9 3 3 2 2 2 2 2 2" xfId="35377" xr:uid="{783CC374-F060-4D6E-9847-9F71BAE968EC}"/>
    <cellStyle name="Normal 9 3 3 2 2 2 2 3" xfId="26080" xr:uid="{F95255D1-9F6C-4BBE-9C49-CAE2F886A317}"/>
    <cellStyle name="Normal 9 3 3 2 2 2 3" xfId="12564" xr:uid="{1FF5D29B-31D8-441B-8362-6A01D12E4787}"/>
    <cellStyle name="Normal 9 3 3 2 2 2 3 2" xfId="31160" xr:uid="{5D82B9B2-7631-414D-B0FC-536C50ABADBC}"/>
    <cellStyle name="Normal 9 3 3 2 2 2 4" xfId="21863" xr:uid="{D5E8A097-55EF-407E-BD3A-A6790C3398ED}"/>
    <cellStyle name="Normal 9 3 3 2 2 3" xfId="5310" xr:uid="{00000000-0005-0000-0000-0000FF1F0000}"/>
    <cellStyle name="Normal 9 3 3 2 2 3 2" xfId="14636" xr:uid="{8DB3D662-9FDF-4718-AB7D-88A356B3D116}"/>
    <cellStyle name="Normal 9 3 3 2 2 3 2 2" xfId="33232" xr:uid="{676F4424-DDD5-4979-8311-E6B813EF9D1B}"/>
    <cellStyle name="Normal 9 3 3 2 2 3 3" xfId="23935" xr:uid="{E2A5299A-7DEA-47DF-BB31-4BA604756782}"/>
    <cellStyle name="Normal 9 3 3 2 2 4" xfId="9512" xr:uid="{2D87B26D-94B2-43FF-B3AD-59DF0A117D21}"/>
    <cellStyle name="Normal 9 3 3 2 2 4 2" xfId="18827" xr:uid="{886A390D-747D-4D47-A7CE-5E0DB80CA858}"/>
    <cellStyle name="Normal 9 3 3 2 2 4 2 2" xfId="37421" xr:uid="{D1D0D98A-D4D6-4235-84EE-FD43311720AA}"/>
    <cellStyle name="Normal 9 3 3 2 2 4 3" xfId="28124" xr:uid="{350F0BA5-2038-4FC0-83E1-FB20A7AAF15F}"/>
    <cellStyle name="Normal 9 3 3 2 2 5" xfId="10419" xr:uid="{DDFDD210-BB26-4261-9BF8-6E84AB7246B3}"/>
    <cellStyle name="Normal 9 3 3 2 2 5 2" xfId="29015" xr:uid="{9166753C-657B-4453-A630-29017FBFC5C7}"/>
    <cellStyle name="Normal 9 3 3 2 2 6" xfId="19718" xr:uid="{FB3EB62A-1937-473F-9D33-4B8EA342C35D}"/>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8F4EF990-EF48-44CA-8C75-9E88C723FB7D}"/>
    <cellStyle name="Normal 9 3 3 2 3 2 2 2 2" xfId="35790" xr:uid="{E4AB86A8-28E0-4773-B2F8-A2C0459F59BF}"/>
    <cellStyle name="Normal 9 3 3 2 3 2 2 3" xfId="26493" xr:uid="{37D51E17-7761-4FAC-963C-F03F78528D75}"/>
    <cellStyle name="Normal 9 3 3 2 3 2 3" xfId="12977" xr:uid="{43623E64-A098-496E-AE5C-6AFE574E5F62}"/>
    <cellStyle name="Normal 9 3 3 2 3 2 3 2" xfId="31573" xr:uid="{E2B4C5EC-2233-4072-8F19-9E90406B163C}"/>
    <cellStyle name="Normal 9 3 3 2 3 2 4" xfId="22276" xr:uid="{F795E2A0-B1EB-42D2-BE13-59DDEB68798A}"/>
    <cellStyle name="Normal 9 3 3 2 3 3" xfId="5723" xr:uid="{00000000-0005-0000-0000-000003200000}"/>
    <cellStyle name="Normal 9 3 3 2 3 3 2" xfId="15049" xr:uid="{0E21C055-F9D8-46CE-B079-7DC6CD7E3636}"/>
    <cellStyle name="Normal 9 3 3 2 3 3 2 2" xfId="33645" xr:uid="{F7FDDDB4-FB06-4FDE-BFF5-26BD9FDD36C7}"/>
    <cellStyle name="Normal 9 3 3 2 3 3 3" xfId="24348" xr:uid="{92F19EE3-8569-42CB-9CE8-03CD74B7ED4E}"/>
    <cellStyle name="Normal 9 3 3 2 3 4" xfId="10832" xr:uid="{4847F69F-B259-4F7C-A06C-0D42A079374D}"/>
    <cellStyle name="Normal 9 3 3 2 3 4 2" xfId="29428" xr:uid="{B3DF54EF-40F3-472B-B9BA-BB1D0D2B4185}"/>
    <cellStyle name="Normal 9 3 3 2 3 5" xfId="20131" xr:uid="{DD048DAC-B351-4AC3-B22D-C393268983CA}"/>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E1BC8A60-1067-4FDD-8FDB-5DF4E1C4CFB3}"/>
    <cellStyle name="Normal 9 3 3 2 4 2 2 2 2" xfId="36203" xr:uid="{2B889897-9900-4CFE-B688-2D0693A1F314}"/>
    <cellStyle name="Normal 9 3 3 2 4 2 2 3" xfId="26906" xr:uid="{C1218818-5554-437F-B793-8F569216E774}"/>
    <cellStyle name="Normal 9 3 3 2 4 2 3" xfId="13390" xr:uid="{FF3F6804-6019-4B79-BED6-53C431645B07}"/>
    <cellStyle name="Normal 9 3 3 2 4 2 3 2" xfId="31986" xr:uid="{2E0A7408-19E9-4E7B-A520-819B08C945EB}"/>
    <cellStyle name="Normal 9 3 3 2 4 2 4" xfId="22689" xr:uid="{69BB4214-3D56-443A-9BD8-79F504B4E472}"/>
    <cellStyle name="Normal 9 3 3 2 4 3" xfId="6136" xr:uid="{00000000-0005-0000-0000-000007200000}"/>
    <cellStyle name="Normal 9 3 3 2 4 3 2" xfId="15462" xr:uid="{C7378701-E250-4357-ACA6-C54058D77F7F}"/>
    <cellStyle name="Normal 9 3 3 2 4 3 2 2" xfId="34058" xr:uid="{92908F42-F4F7-4F5F-81B9-03D876B5523D}"/>
    <cellStyle name="Normal 9 3 3 2 4 3 3" xfId="24761" xr:uid="{A7C4F539-80CC-4BF2-8043-5C0348060342}"/>
    <cellStyle name="Normal 9 3 3 2 4 4" xfId="11245" xr:uid="{A3F9ACC7-C9AA-4682-9502-2DC4AA08498A}"/>
    <cellStyle name="Normal 9 3 3 2 4 4 2" xfId="29841" xr:uid="{B2F053DD-E11B-4DD2-9777-BD0AC371AD16}"/>
    <cellStyle name="Normal 9 3 3 2 4 5" xfId="20544" xr:uid="{6B08E91D-FBC7-4A0E-893A-5193B44E1CF4}"/>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9DD69ECD-D2A6-4334-A1BA-1E3788F0FC02}"/>
    <cellStyle name="Normal 9 3 3 2 5 2 2 2 2" xfId="36616" xr:uid="{341231DE-D960-4694-8A9B-9979152EE13D}"/>
    <cellStyle name="Normal 9 3 3 2 5 2 2 3" xfId="27319" xr:uid="{E5BB5DE0-BD18-4BEB-8A06-99AD409A68A5}"/>
    <cellStyle name="Normal 9 3 3 2 5 2 3" xfId="13803" xr:uid="{54486F86-3709-48C9-88BB-708F663268DF}"/>
    <cellStyle name="Normal 9 3 3 2 5 2 3 2" xfId="32399" xr:uid="{5D646A28-E654-4203-9B76-5329F530AE77}"/>
    <cellStyle name="Normal 9 3 3 2 5 2 4" xfId="23102" xr:uid="{B8D5992A-FDBA-4857-8564-F7BE28C6F9E9}"/>
    <cellStyle name="Normal 9 3 3 2 5 3" xfId="6549" xr:uid="{00000000-0005-0000-0000-00000B200000}"/>
    <cellStyle name="Normal 9 3 3 2 5 3 2" xfId="15875" xr:uid="{9DC3B98A-4484-42C2-ADC4-AD469F4397B4}"/>
    <cellStyle name="Normal 9 3 3 2 5 3 2 2" xfId="34471" xr:uid="{3A00257A-1C5C-4E0D-94A5-7BA86BBB5A41}"/>
    <cellStyle name="Normal 9 3 3 2 5 3 3" xfId="25174" xr:uid="{B07B765F-6312-460F-92FB-79DA742178BD}"/>
    <cellStyle name="Normal 9 3 3 2 5 4" xfId="11658" xr:uid="{1C4CA5A6-F5D6-4D55-AEE3-0C3A96495557}"/>
    <cellStyle name="Normal 9 3 3 2 5 4 2" xfId="30254" xr:uid="{8CAB4F5E-E49F-4621-A8FB-DE5FDC9473F3}"/>
    <cellStyle name="Normal 9 3 3 2 5 5" xfId="20957" xr:uid="{43413863-3E97-4CDA-B6B2-A14D02F0DDE1}"/>
    <cellStyle name="Normal 9 3 3 2 6" xfId="2679" xr:uid="{00000000-0005-0000-0000-00000C200000}"/>
    <cellStyle name="Normal 9 3 3 2 6 2" xfId="6962" xr:uid="{00000000-0005-0000-0000-00000D200000}"/>
    <cellStyle name="Normal 9 3 3 2 6 2 2" xfId="16288" xr:uid="{8C98E71E-35AC-42D9-9836-727CA8A17064}"/>
    <cellStyle name="Normal 9 3 3 2 6 2 2 2" xfId="34884" xr:uid="{DCF6D573-0220-4C16-8737-895919C971C9}"/>
    <cellStyle name="Normal 9 3 3 2 6 2 3" xfId="25587" xr:uid="{A6ECA390-2BDA-40DD-9DC8-DFA74275E4E4}"/>
    <cellStyle name="Normal 9 3 3 2 6 3" xfId="12071" xr:uid="{54833325-E7A3-4BC6-9E97-F6741050A3FA}"/>
    <cellStyle name="Normal 9 3 3 2 6 3 2" xfId="30667" xr:uid="{ED552A5F-0ECB-49BA-87A5-DF91473E8F87}"/>
    <cellStyle name="Normal 9 3 3 2 6 4" xfId="21370" xr:uid="{C5D15B92-AD75-4BF5-961F-D2F0031CDDAC}"/>
    <cellStyle name="Normal 9 3 3 2 7" xfId="4897" xr:uid="{00000000-0005-0000-0000-00000E200000}"/>
    <cellStyle name="Normal 9 3 3 2 7 2" xfId="14223" xr:uid="{F4A50DE6-7FB8-4EF1-9F9A-4F85D1C9BDD1}"/>
    <cellStyle name="Normal 9 3 3 2 7 2 2" xfId="32819" xr:uid="{738FAEF4-E4EF-4D3C-B1B1-6A0040DB673A}"/>
    <cellStyle name="Normal 9 3 3 2 7 3" xfId="23522" xr:uid="{321AF2BC-3654-49D5-A707-57611CE6BD53}"/>
    <cellStyle name="Normal 9 3 3 2 8" xfId="9087" xr:uid="{B1C8DB1F-59B6-4D6A-B3E7-0CFC4D29D9A9}"/>
    <cellStyle name="Normal 9 3 3 2 8 2" xfId="18411" xr:uid="{D6D0FB1E-B981-4148-9A9F-0966FAC4777E}"/>
    <cellStyle name="Normal 9 3 3 2 8 2 2" xfId="37006" xr:uid="{4F57F83E-45EC-4D98-BCD9-20F3C9F393D2}"/>
    <cellStyle name="Normal 9 3 3 2 8 3" xfId="27709" xr:uid="{0B97DF25-265D-45D4-92AE-D1C84856AA06}"/>
    <cellStyle name="Normal 9 3 3 2 9" xfId="10006" xr:uid="{7C4B48D4-FEA0-44D5-8B8F-2237AAF4F99E}"/>
    <cellStyle name="Normal 9 3 3 2 9 2" xfId="28602" xr:uid="{38C81F8F-08C1-4F2E-8EF7-BEDCF51F1F46}"/>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0E044DD1-D416-4923-A4AC-8A09A68A67F1}"/>
    <cellStyle name="Normal 9 3 3 3 2 2 2 2" xfId="35376" xr:uid="{86AD9ACE-B46B-4874-B767-85960CA79667}"/>
    <cellStyle name="Normal 9 3 3 3 2 2 3" xfId="26079" xr:uid="{A9BC1C33-4DC7-435E-B085-75E4913E37AC}"/>
    <cellStyle name="Normal 9 3 3 3 2 3" xfId="12563" xr:uid="{3B772005-54E4-44CE-8C8E-A7FFC89B1AE2}"/>
    <cellStyle name="Normal 9 3 3 3 2 3 2" xfId="31159" xr:uid="{6E1CA915-E362-452E-AFDA-192E1D61C032}"/>
    <cellStyle name="Normal 9 3 3 3 2 4" xfId="21862" xr:uid="{0DF64565-8023-48A3-828A-ADA97879A91C}"/>
    <cellStyle name="Normal 9 3 3 3 3" xfId="5309" xr:uid="{00000000-0005-0000-0000-000012200000}"/>
    <cellStyle name="Normal 9 3 3 3 3 2" xfId="14635" xr:uid="{6EC4ED3C-B919-449A-8B46-46871ADD162C}"/>
    <cellStyle name="Normal 9 3 3 3 3 2 2" xfId="33231" xr:uid="{15260D67-DEB1-42C8-94E1-CF24A610C459}"/>
    <cellStyle name="Normal 9 3 3 3 3 3" xfId="23934" xr:uid="{A2D59FBC-79BF-408D-A469-2BE2C430E77E}"/>
    <cellStyle name="Normal 9 3 3 3 4" xfId="9305" xr:uid="{F54F3A88-B268-4905-B4D1-34B996B920C6}"/>
    <cellStyle name="Normal 9 3 3 3 4 2" xfId="18620" xr:uid="{77A884CE-9808-40C2-9544-4A4666D441B4}"/>
    <cellStyle name="Normal 9 3 3 3 4 2 2" xfId="37214" xr:uid="{E397CFD4-C33D-44E1-B204-036438C08D81}"/>
    <cellStyle name="Normal 9 3 3 3 4 3" xfId="27917" xr:uid="{DAF86095-CB0D-4B39-B200-73E2D2030874}"/>
    <cellStyle name="Normal 9 3 3 3 5" xfId="10418" xr:uid="{FE0AF954-5790-46B5-8F29-DEF69BF4B015}"/>
    <cellStyle name="Normal 9 3 3 3 5 2" xfId="29014" xr:uid="{F4C5B87D-B495-433E-BD83-F1C052679439}"/>
    <cellStyle name="Normal 9 3 3 3 6" xfId="19717" xr:uid="{02DC86F7-A320-4937-AC89-343BDF5FB033}"/>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19C1E3B9-4200-49D3-A7E1-EC9737416218}"/>
    <cellStyle name="Normal 9 3 3 4 2 2 2 2" xfId="35789" xr:uid="{05D317A8-8365-4A85-953D-FA057123F3E2}"/>
    <cellStyle name="Normal 9 3 3 4 2 2 3" xfId="26492" xr:uid="{6F71421C-48AF-488A-9453-D3D2A2CD0FA9}"/>
    <cellStyle name="Normal 9 3 3 4 2 3" xfId="12976" xr:uid="{89DA6EB7-87D9-431B-B04D-C331933C2551}"/>
    <cellStyle name="Normal 9 3 3 4 2 3 2" xfId="31572" xr:uid="{8D81352A-771A-429D-AAC6-FB63AFE77035}"/>
    <cellStyle name="Normal 9 3 3 4 2 4" xfId="22275" xr:uid="{7334CB3F-A962-434E-A57C-240FF8FFF48E}"/>
    <cellStyle name="Normal 9 3 3 4 3" xfId="5722" xr:uid="{00000000-0005-0000-0000-000016200000}"/>
    <cellStyle name="Normal 9 3 3 4 3 2" xfId="15048" xr:uid="{3B53375D-E738-4E7D-BB81-AC37BA01FEF6}"/>
    <cellStyle name="Normal 9 3 3 4 3 2 2" xfId="33644" xr:uid="{0765638A-F76F-43C9-9B8C-E4C488707AC3}"/>
    <cellStyle name="Normal 9 3 3 4 3 3" xfId="24347" xr:uid="{F2D4C57B-EE03-426D-8299-56366F3E4BAD}"/>
    <cellStyle name="Normal 9 3 3 4 4" xfId="10831" xr:uid="{6EEEF4B6-9139-4925-AB7B-5487B55F7D40}"/>
    <cellStyle name="Normal 9 3 3 4 4 2" xfId="29427" xr:uid="{78F70057-93C7-4F92-82D9-7AD65B64B42C}"/>
    <cellStyle name="Normal 9 3 3 4 5" xfId="20130" xr:uid="{B2792B99-F348-40B4-8570-4803A05A4DEB}"/>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B700ACD1-9482-4B7D-9DBC-B4D229C1CA7A}"/>
    <cellStyle name="Normal 9 3 3 5 2 2 2 2" xfId="36202" xr:uid="{CA665BEB-9D8C-4840-84D4-DDBC5555DC52}"/>
    <cellStyle name="Normal 9 3 3 5 2 2 3" xfId="26905" xr:uid="{758537DE-9094-4834-9C66-A5E488B15206}"/>
    <cellStyle name="Normal 9 3 3 5 2 3" xfId="13389" xr:uid="{6FAF57B6-D053-480D-9466-2844FA8D225D}"/>
    <cellStyle name="Normal 9 3 3 5 2 3 2" xfId="31985" xr:uid="{84C4A1F6-9F37-4C62-8963-AD716BC33B90}"/>
    <cellStyle name="Normal 9 3 3 5 2 4" xfId="22688" xr:uid="{AA65E932-174D-496B-B868-AF5DAE13C025}"/>
    <cellStyle name="Normal 9 3 3 5 3" xfId="6135" xr:uid="{00000000-0005-0000-0000-00001A200000}"/>
    <cellStyle name="Normal 9 3 3 5 3 2" xfId="15461" xr:uid="{CAD597B7-9F18-4547-A837-C4C2481F7902}"/>
    <cellStyle name="Normal 9 3 3 5 3 2 2" xfId="34057" xr:uid="{E41C9453-4CE0-4BDA-97F2-FD63D11B1433}"/>
    <cellStyle name="Normal 9 3 3 5 3 3" xfId="24760" xr:uid="{74AF3FC1-0C26-451B-A944-4DD19809077C}"/>
    <cellStyle name="Normal 9 3 3 5 4" xfId="11244" xr:uid="{5C8968EE-155F-4A5D-B54A-6A4E926D9A8D}"/>
    <cellStyle name="Normal 9 3 3 5 4 2" xfId="29840" xr:uid="{31B3491D-E4D2-4B2D-8096-D6439FC0910E}"/>
    <cellStyle name="Normal 9 3 3 5 5" xfId="20543" xr:uid="{ADD095B6-109C-498A-B4DA-8F13F25B9C61}"/>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FBD701EE-DF5F-4416-A648-39727C479760}"/>
    <cellStyle name="Normal 9 3 3 6 2 2 2 2" xfId="36615" xr:uid="{B13553DC-2D58-4FF2-B141-24DB8D342876}"/>
    <cellStyle name="Normal 9 3 3 6 2 2 3" xfId="27318" xr:uid="{6D30AEFD-97E7-480A-B3D8-1CFB1FC29659}"/>
    <cellStyle name="Normal 9 3 3 6 2 3" xfId="13802" xr:uid="{5DDAEB55-CBA4-4DDE-9EE8-3A8CDF5F09FB}"/>
    <cellStyle name="Normal 9 3 3 6 2 3 2" xfId="32398" xr:uid="{4FC13EB3-CF46-42B1-A061-8C8DA34CD5CF}"/>
    <cellStyle name="Normal 9 3 3 6 2 4" xfId="23101" xr:uid="{0EFF2888-E56E-47F0-AB83-936A44E91408}"/>
    <cellStyle name="Normal 9 3 3 6 3" xfId="6548" xr:uid="{00000000-0005-0000-0000-00001E200000}"/>
    <cellStyle name="Normal 9 3 3 6 3 2" xfId="15874" xr:uid="{21027C2E-66BF-4E2B-AAC8-B871814CF56B}"/>
    <cellStyle name="Normal 9 3 3 6 3 2 2" xfId="34470" xr:uid="{1E43F2AD-4817-4DE9-9415-19940703F7AE}"/>
    <cellStyle name="Normal 9 3 3 6 3 3" xfId="25173" xr:uid="{03A55178-E07F-43D0-81D4-6576D5E1BBB1}"/>
    <cellStyle name="Normal 9 3 3 6 4" xfId="11657" xr:uid="{367920CB-387D-43A1-99ED-9833381EE531}"/>
    <cellStyle name="Normal 9 3 3 6 4 2" xfId="30253" xr:uid="{19AACD3C-5BC6-48AB-AB97-866CC8F3EE62}"/>
    <cellStyle name="Normal 9 3 3 6 5" xfId="20956" xr:uid="{1316030E-C43F-43D7-9A7C-ADA05F040724}"/>
    <cellStyle name="Normal 9 3 3 7" xfId="2678" xr:uid="{00000000-0005-0000-0000-00001F200000}"/>
    <cellStyle name="Normal 9 3 3 7 2" xfId="6961" xr:uid="{00000000-0005-0000-0000-000020200000}"/>
    <cellStyle name="Normal 9 3 3 7 2 2" xfId="16287" xr:uid="{E25231BD-A32E-451E-8DDF-971BE5CC2603}"/>
    <cellStyle name="Normal 9 3 3 7 2 2 2" xfId="34883" xr:uid="{2A04C2AC-0B5B-4205-AA5E-E2404A4721DC}"/>
    <cellStyle name="Normal 9 3 3 7 2 3" xfId="25586" xr:uid="{BB64A7DD-CA4B-4943-868A-53EEDED98AEA}"/>
    <cellStyle name="Normal 9 3 3 7 3" xfId="12070" xr:uid="{51173E3E-39A0-4C5F-A6B3-0B29960CF9C7}"/>
    <cellStyle name="Normal 9 3 3 7 3 2" xfId="30666" xr:uid="{9437D30D-1882-47C7-8778-E50BC822C475}"/>
    <cellStyle name="Normal 9 3 3 7 4" xfId="21369" xr:uid="{15E4F13D-4B54-4392-8CDD-BEDB98B60287}"/>
    <cellStyle name="Normal 9 3 3 8" xfId="4896" xr:uid="{00000000-0005-0000-0000-000021200000}"/>
    <cellStyle name="Normal 9 3 3 8 2" xfId="14222" xr:uid="{15FD2AC2-8B74-4995-BA98-C426F4CD02E4}"/>
    <cellStyle name="Normal 9 3 3 8 2 2" xfId="32818" xr:uid="{3ABDF7B3-1996-4E7C-B3BD-65E3C9022B66}"/>
    <cellStyle name="Normal 9 3 3 8 3" xfId="23521" xr:uid="{39FDFD94-8D70-455B-910F-86F9B4A5CB73}"/>
    <cellStyle name="Normal 9 3 3 9" xfId="8880" xr:uid="{36521590-FD5B-45F7-80A9-41BA557EA820}"/>
    <cellStyle name="Normal 9 3 3 9 2" xfId="18204" xr:uid="{F0B18E05-4D91-430A-8BBB-D5F3F460554D}"/>
    <cellStyle name="Normal 9 3 3 9 2 2" xfId="36799" xr:uid="{4B352081-01CD-4C8B-8605-059EFEBD22D6}"/>
    <cellStyle name="Normal 9 3 3 9 3" xfId="27502" xr:uid="{31384ED7-4510-48C4-9FF5-E95FBB4DAC1C}"/>
    <cellStyle name="Normal 9 3 4" xfId="534" xr:uid="{00000000-0005-0000-0000-000022200000}"/>
    <cellStyle name="Normal 9 3 4 10" xfId="19306" xr:uid="{77FE1BCD-4C38-40C1-9438-9B256E10376B}"/>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05C2CCE2-0A52-4145-849A-A339ABF5EA0E}"/>
    <cellStyle name="Normal 9 3 4 2 2 2 2 2" xfId="35378" xr:uid="{98CB30F2-05AA-463A-80CD-A3537C53EFD1}"/>
    <cellStyle name="Normal 9 3 4 2 2 2 3" xfId="26081" xr:uid="{DD9AEA73-F8CE-4A0C-B0E2-6B59C9E78227}"/>
    <cellStyle name="Normal 9 3 4 2 2 3" xfId="12565" xr:uid="{5488C789-A383-4C49-98FB-8A0A1A5A81F3}"/>
    <cellStyle name="Normal 9 3 4 2 2 3 2" xfId="31161" xr:uid="{A6E10E94-50FA-4CD2-84EA-BFE78D74AF11}"/>
    <cellStyle name="Normal 9 3 4 2 2 4" xfId="21864" xr:uid="{3BE9FE2C-79E3-4E58-B48E-2A683D9A16A8}"/>
    <cellStyle name="Normal 9 3 4 2 3" xfId="5311" xr:uid="{00000000-0005-0000-0000-000026200000}"/>
    <cellStyle name="Normal 9 3 4 2 3 2" xfId="14637" xr:uid="{B6F55E15-9D72-4C46-9CBC-4416307EB03E}"/>
    <cellStyle name="Normal 9 3 4 2 3 2 2" xfId="33233" xr:uid="{242AE706-07D0-4D7B-BBED-909DBB5657E5}"/>
    <cellStyle name="Normal 9 3 4 2 3 3" xfId="23936" xr:uid="{A663BC3A-8A33-49C3-BF07-D1437C7B5B9E}"/>
    <cellStyle name="Normal 9 3 4 2 4" xfId="9409" xr:uid="{F8EFC02C-357C-44AD-9BF7-6459F3C595DA}"/>
    <cellStyle name="Normal 9 3 4 2 4 2" xfId="18724" xr:uid="{75646FC2-DC6B-45F8-81FF-326AE65C0264}"/>
    <cellStyle name="Normal 9 3 4 2 4 2 2" xfId="37318" xr:uid="{4190E20C-CB67-4535-8CE7-088C5F2AF109}"/>
    <cellStyle name="Normal 9 3 4 2 4 3" xfId="28021" xr:uid="{2A47614B-203F-4BBD-8D4A-A70274DD4607}"/>
    <cellStyle name="Normal 9 3 4 2 5" xfId="10420" xr:uid="{DA6198C6-EFB0-4FA0-BE08-82433EFC1BD2}"/>
    <cellStyle name="Normal 9 3 4 2 5 2" xfId="29016" xr:uid="{E15E67A9-F270-46A5-BEB0-1257002E729C}"/>
    <cellStyle name="Normal 9 3 4 2 6" xfId="19719" xr:uid="{EFBE165D-A0B9-4C80-9FE8-25CEAE49E464}"/>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ABA98EBF-264C-480D-A519-B2ED5BAF1ABF}"/>
    <cellStyle name="Normal 9 3 4 3 2 2 2 2" xfId="35791" xr:uid="{1EB467A7-4894-44B1-BB48-DF41345D2D3C}"/>
    <cellStyle name="Normal 9 3 4 3 2 2 3" xfId="26494" xr:uid="{DA9F3F87-4E67-49E0-8CB7-D20A03BE796F}"/>
    <cellStyle name="Normal 9 3 4 3 2 3" xfId="12978" xr:uid="{52666C5A-721E-441E-AAA0-EFD19C630D9D}"/>
    <cellStyle name="Normal 9 3 4 3 2 3 2" xfId="31574" xr:uid="{291B515C-F081-42DC-B307-34B407B39763}"/>
    <cellStyle name="Normal 9 3 4 3 2 4" xfId="22277" xr:uid="{834D200E-CAA2-49BE-BE08-D384FAD037B1}"/>
    <cellStyle name="Normal 9 3 4 3 3" xfId="5724" xr:uid="{00000000-0005-0000-0000-00002A200000}"/>
    <cellStyle name="Normal 9 3 4 3 3 2" xfId="15050" xr:uid="{03B5FC03-C5BA-4F6D-9FD4-643CAB525988}"/>
    <cellStyle name="Normal 9 3 4 3 3 2 2" xfId="33646" xr:uid="{BB184656-5666-46FA-9467-813B7490452E}"/>
    <cellStyle name="Normal 9 3 4 3 3 3" xfId="24349" xr:uid="{25744C36-6962-4B55-B978-AB7D25DF18F6}"/>
    <cellStyle name="Normal 9 3 4 3 4" xfId="10833" xr:uid="{89EDF89C-AF5A-47E7-8461-0F43C917D1C3}"/>
    <cellStyle name="Normal 9 3 4 3 4 2" xfId="29429" xr:uid="{E1EA470A-F62A-49DC-BCA8-64E05ADD34B1}"/>
    <cellStyle name="Normal 9 3 4 3 5" xfId="20132" xr:uid="{59F5EA19-07EE-47E8-954F-C1952F82F61A}"/>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CBB6B611-E187-45F4-A4B9-26D786398D9A}"/>
    <cellStyle name="Normal 9 3 4 4 2 2 2 2" xfId="36204" xr:uid="{9418D3C6-3F6C-4CD8-BF1E-CA76FB2D8D47}"/>
    <cellStyle name="Normal 9 3 4 4 2 2 3" xfId="26907" xr:uid="{DE2B487D-026C-43AD-B162-871E9ED940AB}"/>
    <cellStyle name="Normal 9 3 4 4 2 3" xfId="13391" xr:uid="{614E5BEC-58E0-4AD5-ABEE-0B2822F5F5C3}"/>
    <cellStyle name="Normal 9 3 4 4 2 3 2" xfId="31987" xr:uid="{8A1DA967-9EFF-4FA1-BDBA-3EB3AF69FFC9}"/>
    <cellStyle name="Normal 9 3 4 4 2 4" xfId="22690" xr:uid="{E291F695-9D05-4A5C-B711-0AC51F25C8D6}"/>
    <cellStyle name="Normal 9 3 4 4 3" xfId="6137" xr:uid="{00000000-0005-0000-0000-00002E200000}"/>
    <cellStyle name="Normal 9 3 4 4 3 2" xfId="15463" xr:uid="{1047B4BB-62C6-4F2C-8182-DFF80F0DA2B2}"/>
    <cellStyle name="Normal 9 3 4 4 3 2 2" xfId="34059" xr:uid="{18A7869D-34D9-401F-B5B2-441E682F9698}"/>
    <cellStyle name="Normal 9 3 4 4 3 3" xfId="24762" xr:uid="{1D206C96-6786-4346-89EE-58F39FD57AEF}"/>
    <cellStyle name="Normal 9 3 4 4 4" xfId="11246" xr:uid="{703E0B7B-89A1-4541-89E3-57B2671E102A}"/>
    <cellStyle name="Normal 9 3 4 4 4 2" xfId="29842" xr:uid="{AC5D483B-EB06-4D33-B64D-234F2CA3C066}"/>
    <cellStyle name="Normal 9 3 4 4 5" xfId="20545" xr:uid="{1AA1E03B-DB29-4CC1-9748-A7C3D3CA05ED}"/>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A7CA7180-7344-4820-9656-AEB45A9F6AEF}"/>
    <cellStyle name="Normal 9 3 4 5 2 2 2 2" xfId="36617" xr:uid="{39929566-4EAF-495A-AF04-5D12E4399AFB}"/>
    <cellStyle name="Normal 9 3 4 5 2 2 3" xfId="27320" xr:uid="{32D50B63-BB4D-4A83-9211-FECE9445B564}"/>
    <cellStyle name="Normal 9 3 4 5 2 3" xfId="13804" xr:uid="{CBE1AE54-3F0B-44EE-B1C9-08804AD10A12}"/>
    <cellStyle name="Normal 9 3 4 5 2 3 2" xfId="32400" xr:uid="{E2406B05-8715-458F-8371-7DD002F5A636}"/>
    <cellStyle name="Normal 9 3 4 5 2 4" xfId="23103" xr:uid="{7745F0AF-B2E4-4D09-9D8B-EDDD131FCAA8}"/>
    <cellStyle name="Normal 9 3 4 5 3" xfId="6550" xr:uid="{00000000-0005-0000-0000-000032200000}"/>
    <cellStyle name="Normal 9 3 4 5 3 2" xfId="15876" xr:uid="{D9E90709-CAFB-4127-B851-5070CDC08A66}"/>
    <cellStyle name="Normal 9 3 4 5 3 2 2" xfId="34472" xr:uid="{2A0B0CD2-3800-4EA8-AB65-7229F8D85977}"/>
    <cellStyle name="Normal 9 3 4 5 3 3" xfId="25175" xr:uid="{D56CC139-4F48-4131-B811-26D1CD3572CB}"/>
    <cellStyle name="Normal 9 3 4 5 4" xfId="11659" xr:uid="{90184156-9951-42E0-8FD7-36B20648B899}"/>
    <cellStyle name="Normal 9 3 4 5 4 2" xfId="30255" xr:uid="{C9237A57-EEB9-418D-A6D9-D25FA4BC90C1}"/>
    <cellStyle name="Normal 9 3 4 5 5" xfId="20958" xr:uid="{57901E63-4B1C-4093-8A29-2763747B57A1}"/>
    <cellStyle name="Normal 9 3 4 6" xfId="2680" xr:uid="{00000000-0005-0000-0000-000033200000}"/>
    <cellStyle name="Normal 9 3 4 6 2" xfId="6963" xr:uid="{00000000-0005-0000-0000-000034200000}"/>
    <cellStyle name="Normal 9 3 4 6 2 2" xfId="16289" xr:uid="{67910EBC-B9D5-4D4E-AB01-06022876136F}"/>
    <cellStyle name="Normal 9 3 4 6 2 2 2" xfId="34885" xr:uid="{D99BE6EF-38AD-407A-BB66-73A3567B72FE}"/>
    <cellStyle name="Normal 9 3 4 6 2 3" xfId="25588" xr:uid="{2085A023-E530-4928-9E28-E2F4F6633EEB}"/>
    <cellStyle name="Normal 9 3 4 6 3" xfId="12072" xr:uid="{C635DB89-F161-4C02-84EB-C9B2B080206F}"/>
    <cellStyle name="Normal 9 3 4 6 3 2" xfId="30668" xr:uid="{A4FC8218-C477-4BF7-AB20-02337B98C187}"/>
    <cellStyle name="Normal 9 3 4 6 4" xfId="21371" xr:uid="{70CF450B-EC5E-45D7-95EB-636C22203D01}"/>
    <cellStyle name="Normal 9 3 4 7" xfId="4898" xr:uid="{00000000-0005-0000-0000-000035200000}"/>
    <cellStyle name="Normal 9 3 4 7 2" xfId="14224" xr:uid="{396CE8CA-1CB1-4976-B2C5-91121624ED56}"/>
    <cellStyle name="Normal 9 3 4 7 2 2" xfId="32820" xr:uid="{7EDFA337-1CF3-41DB-845F-311DD94E9F63}"/>
    <cellStyle name="Normal 9 3 4 7 3" xfId="23523" xr:uid="{510AD08E-3354-4FAE-9D3F-2652B0EB8065}"/>
    <cellStyle name="Normal 9 3 4 8" xfId="8984" xr:uid="{A39B104A-EAEF-4D5B-B504-6104111E924B}"/>
    <cellStyle name="Normal 9 3 4 8 2" xfId="18308" xr:uid="{129DA4DA-E492-45ED-AD53-A6D581243400}"/>
    <cellStyle name="Normal 9 3 4 8 2 2" xfId="36903" xr:uid="{4A7C2D12-F48B-45BD-94FB-86D2AB161527}"/>
    <cellStyle name="Normal 9 3 4 8 3" xfId="27606" xr:uid="{6F331BE2-869E-44FC-8740-17734BB5D045}"/>
    <cellStyle name="Normal 9 3 4 9" xfId="10007" xr:uid="{D1AD6DC1-8C1A-472F-8FD3-EC07E7A38288}"/>
    <cellStyle name="Normal 9 3 4 9 2" xfId="28603" xr:uid="{5B9CA3E6-ED2F-4CB7-8128-7A56AD838F6E}"/>
    <cellStyle name="Normal 9 3 5" xfId="994" xr:uid="{00000000-0005-0000-0000-000036200000}"/>
    <cellStyle name="Normal 9 3 5 2" xfId="3227" xr:uid="{00000000-0005-0000-0000-000037200000}"/>
    <cellStyle name="Normal 9 3 5 2 2" xfId="7449" xr:uid="{00000000-0005-0000-0000-000038200000}"/>
    <cellStyle name="Normal 9 3 5 2 2 2" xfId="16775" xr:uid="{26B122F2-FCC0-4952-BED4-9293C5572865}"/>
    <cellStyle name="Normal 9 3 5 2 2 2 2" xfId="35371" xr:uid="{1169813B-38E3-4E03-A1F4-DC74650B52F6}"/>
    <cellStyle name="Normal 9 3 5 2 2 3" xfId="26074" xr:uid="{3E1E5CAB-FA48-4E66-A074-598F4AEAC655}"/>
    <cellStyle name="Normal 9 3 5 2 3" xfId="12558" xr:uid="{948BE5EC-64BC-465F-88CA-0B0B52844E22}"/>
    <cellStyle name="Normal 9 3 5 2 3 2" xfId="31154" xr:uid="{E4D09A80-AC84-47F4-B87A-6659AF50807D}"/>
    <cellStyle name="Normal 9 3 5 2 4" xfId="21857" xr:uid="{CCAB1619-446B-47CC-A572-E53613FBE8F3}"/>
    <cellStyle name="Normal 9 3 5 3" xfId="5304" xr:uid="{00000000-0005-0000-0000-000039200000}"/>
    <cellStyle name="Normal 9 3 5 3 2" xfId="14630" xr:uid="{B7ECF561-D072-499B-A12D-4162ADB3AAA1}"/>
    <cellStyle name="Normal 9 3 5 3 2 2" xfId="33226" xr:uid="{8A0C75EF-B853-4177-BC65-98CF171664F6}"/>
    <cellStyle name="Normal 9 3 5 3 3" xfId="23929" xr:uid="{09E5A25E-8AFA-4AA1-A1E3-92156D7FC575}"/>
    <cellStyle name="Normal 9 3 5 4" xfId="9201" xr:uid="{46D523D7-8DEB-46FB-8F1C-8CE8C2FC3AD3}"/>
    <cellStyle name="Normal 9 3 5 4 2" xfId="18517" xr:uid="{1BBF6567-C94D-4459-9EC5-77634E3998D8}"/>
    <cellStyle name="Normal 9 3 5 4 2 2" xfId="37111" xr:uid="{37966C1A-D0C6-4869-A8FD-1D530D40CD9D}"/>
    <cellStyle name="Normal 9 3 5 4 3" xfId="27814" xr:uid="{25228430-4832-4DC3-999E-0C74D0D13818}"/>
    <cellStyle name="Normal 9 3 5 5" xfId="10413" xr:uid="{69650943-D6AA-4713-9D1A-98BC71DADE72}"/>
    <cellStyle name="Normal 9 3 5 5 2" xfId="29009" xr:uid="{85E90AE3-76D1-41C6-A961-12D45686E2C5}"/>
    <cellStyle name="Normal 9 3 5 6" xfId="19712" xr:uid="{52B0552B-7DB9-4B47-AAE3-6F886436093D}"/>
    <cellStyle name="Normal 9 3 6" xfId="1410" xr:uid="{00000000-0005-0000-0000-00003A200000}"/>
    <cellStyle name="Normal 9 3 6 2" xfId="3640" xr:uid="{00000000-0005-0000-0000-00003B200000}"/>
    <cellStyle name="Normal 9 3 6 2 2" xfId="7862" xr:uid="{00000000-0005-0000-0000-00003C200000}"/>
    <cellStyle name="Normal 9 3 6 2 2 2" xfId="17188" xr:uid="{F9E3B1C6-A062-4CD1-B0D4-CB5A46A30EEE}"/>
    <cellStyle name="Normal 9 3 6 2 2 2 2" xfId="35784" xr:uid="{8F186759-FF62-4AF6-8596-607DB088E97B}"/>
    <cellStyle name="Normal 9 3 6 2 2 3" xfId="26487" xr:uid="{7BB0C24D-3476-4F46-9A13-2A711CDE94D8}"/>
    <cellStyle name="Normal 9 3 6 2 3" xfId="12971" xr:uid="{5BB2F40D-EC3A-4A1F-8B2C-31268E733017}"/>
    <cellStyle name="Normal 9 3 6 2 3 2" xfId="31567" xr:uid="{447F2754-B3D7-4D0B-8330-6DC7E8B141F1}"/>
    <cellStyle name="Normal 9 3 6 2 4" xfId="22270" xr:uid="{C4917134-865B-4EF3-8847-8C86DDA4242F}"/>
    <cellStyle name="Normal 9 3 6 3" xfId="5717" xr:uid="{00000000-0005-0000-0000-00003D200000}"/>
    <cellStyle name="Normal 9 3 6 3 2" xfId="15043" xr:uid="{74FE011E-52E1-4740-A3D4-F47C94F76539}"/>
    <cellStyle name="Normal 9 3 6 3 2 2" xfId="33639" xr:uid="{D638CA42-B60E-4D52-A186-088C61D062E3}"/>
    <cellStyle name="Normal 9 3 6 3 3" xfId="24342" xr:uid="{078C1CEF-6DF8-4749-92E4-DCB89AEF2625}"/>
    <cellStyle name="Normal 9 3 6 4" xfId="10826" xr:uid="{519DF0BA-6498-4104-BF09-2158A11E9128}"/>
    <cellStyle name="Normal 9 3 6 4 2" xfId="29422" xr:uid="{D906B4CE-032A-4617-8E59-9A8D7E1C6D42}"/>
    <cellStyle name="Normal 9 3 6 5" xfId="20125" xr:uid="{DBB83581-B05E-402D-BCAC-44EC5F688322}"/>
    <cellStyle name="Normal 9 3 7" xfId="1823" xr:uid="{00000000-0005-0000-0000-00003E200000}"/>
    <cellStyle name="Normal 9 3 7 2" xfId="4053" xr:uid="{00000000-0005-0000-0000-00003F200000}"/>
    <cellStyle name="Normal 9 3 7 2 2" xfId="8275" xr:uid="{00000000-0005-0000-0000-000040200000}"/>
    <cellStyle name="Normal 9 3 7 2 2 2" xfId="17601" xr:uid="{65E62E13-65ED-43DE-93FA-BFCCFB7197EC}"/>
    <cellStyle name="Normal 9 3 7 2 2 2 2" xfId="36197" xr:uid="{14453702-B90A-45DC-878F-64043A77CAE7}"/>
    <cellStyle name="Normal 9 3 7 2 2 3" xfId="26900" xr:uid="{CC0686C3-5371-4B5F-B31B-19AB77E91762}"/>
    <cellStyle name="Normal 9 3 7 2 3" xfId="13384" xr:uid="{4415B526-A27E-4C98-9B5A-FD26A6CAE2E1}"/>
    <cellStyle name="Normal 9 3 7 2 3 2" xfId="31980" xr:uid="{A9C9EAAD-2528-4CFA-B968-FE762349822E}"/>
    <cellStyle name="Normal 9 3 7 2 4" xfId="22683" xr:uid="{9A9A7F44-A54B-4DED-9249-EC87EC9F2350}"/>
    <cellStyle name="Normal 9 3 7 3" xfId="6130" xr:uid="{00000000-0005-0000-0000-000041200000}"/>
    <cellStyle name="Normal 9 3 7 3 2" xfId="15456" xr:uid="{375C8189-E4FF-4747-9ACF-69E117ABD28A}"/>
    <cellStyle name="Normal 9 3 7 3 2 2" xfId="34052" xr:uid="{77B81C5A-5C4D-41D9-A112-D3A1202FEC35}"/>
    <cellStyle name="Normal 9 3 7 3 3" xfId="24755" xr:uid="{4916D370-E503-47FC-9C53-7FFE890D8B0C}"/>
    <cellStyle name="Normal 9 3 7 4" xfId="11239" xr:uid="{89AAD935-A120-48B6-A852-64355BF04BD7}"/>
    <cellStyle name="Normal 9 3 7 4 2" xfId="29835" xr:uid="{8C4567D1-0B72-410D-B383-AA5BDDBC68C2}"/>
    <cellStyle name="Normal 9 3 7 5" xfId="20538" xr:uid="{D2A1782E-F1D3-457F-A2FA-1BFF374B282C}"/>
    <cellStyle name="Normal 9 3 8" xfId="2237" xr:uid="{00000000-0005-0000-0000-000042200000}"/>
    <cellStyle name="Normal 9 3 8 2" xfId="4466" xr:uid="{00000000-0005-0000-0000-000043200000}"/>
    <cellStyle name="Normal 9 3 8 2 2" xfId="8688" xr:uid="{00000000-0005-0000-0000-000044200000}"/>
    <cellStyle name="Normal 9 3 8 2 2 2" xfId="18014" xr:uid="{F609085C-86E9-44D6-8DAC-7E60C55B17D5}"/>
    <cellStyle name="Normal 9 3 8 2 2 2 2" xfId="36610" xr:uid="{1B96B249-41DD-435E-AD0F-C2D8B1D92765}"/>
    <cellStyle name="Normal 9 3 8 2 2 3" xfId="27313" xr:uid="{38AD9DA9-C408-4FF4-8199-CA0A72865A32}"/>
    <cellStyle name="Normal 9 3 8 2 3" xfId="13797" xr:uid="{9A16D2C7-2D7E-4623-839D-000593949391}"/>
    <cellStyle name="Normal 9 3 8 2 3 2" xfId="32393" xr:uid="{D851FADC-A0E8-4E9A-A06E-115AD1787AE8}"/>
    <cellStyle name="Normal 9 3 8 2 4" xfId="23096" xr:uid="{B20AE960-F068-49C4-883E-FA2D9C21D918}"/>
    <cellStyle name="Normal 9 3 8 3" xfId="6543" xr:uid="{00000000-0005-0000-0000-000045200000}"/>
    <cellStyle name="Normal 9 3 8 3 2" xfId="15869" xr:uid="{CC620F28-28A6-4E1F-9B6C-F039AF612B89}"/>
    <cellStyle name="Normal 9 3 8 3 2 2" xfId="34465" xr:uid="{2E5BB605-9C8B-4C04-983E-13E557CCFC36}"/>
    <cellStyle name="Normal 9 3 8 3 3" xfId="25168" xr:uid="{DFD28991-8E5F-4EDD-B055-4278BDDC2619}"/>
    <cellStyle name="Normal 9 3 8 4" xfId="11652" xr:uid="{A2CEC30B-1C9B-4E4C-99FD-B9CB63566B9F}"/>
    <cellStyle name="Normal 9 3 8 4 2" xfId="30248" xr:uid="{A05DBAD9-B668-4449-8350-FB637CFFA1D5}"/>
    <cellStyle name="Normal 9 3 8 5" xfId="20951" xr:uid="{FCCFAA3B-CAA6-4569-A556-81CF21F6E4B0}"/>
    <cellStyle name="Normal 9 3 9" xfId="2673" xr:uid="{00000000-0005-0000-0000-000046200000}"/>
    <cellStyle name="Normal 9 3 9 2" xfId="6956" xr:uid="{00000000-0005-0000-0000-000047200000}"/>
    <cellStyle name="Normal 9 3 9 2 2" xfId="16282" xr:uid="{1D765D8D-F8ED-427D-B869-E85537599072}"/>
    <cellStyle name="Normal 9 3 9 2 2 2" xfId="34878" xr:uid="{F980A6B6-982D-4807-A2C7-CE442D52EA98}"/>
    <cellStyle name="Normal 9 3 9 2 3" xfId="25581" xr:uid="{45405BFD-0085-4939-9284-A2FC30A22D1D}"/>
    <cellStyle name="Normal 9 3 9 3" xfId="12065" xr:uid="{E763A2EB-AE21-4AB8-8EE6-FFF7410A25C8}"/>
    <cellStyle name="Normal 9 3 9 3 2" xfId="30661" xr:uid="{3E6FBD15-E611-4BAD-9564-7E8968F04A91}"/>
    <cellStyle name="Normal 9 3 9 4" xfId="21364" xr:uid="{443A3E88-1849-4E5A-84A8-1376541B794C}"/>
    <cellStyle name="Normal 9 4" xfId="535" xr:uid="{00000000-0005-0000-0000-000048200000}"/>
    <cellStyle name="Normal 9 4 2" xfId="1002" xr:uid="{00000000-0005-0000-0000-000049200000}"/>
    <cellStyle name="Normal 9 5" xfId="536" xr:uid="{00000000-0005-0000-0000-00004A200000}"/>
    <cellStyle name="Normal 9 5 10" xfId="10008" xr:uid="{A22FC84C-4A59-4E30-A108-5E2424D8F7EB}"/>
    <cellStyle name="Normal 9 5 10 2" xfId="28604" xr:uid="{06B40C87-22BD-4D90-8BFF-48391F218A0C}"/>
    <cellStyle name="Normal 9 5 11" xfId="19307" xr:uid="{EF1B2457-B46A-42D8-989E-C045354007A1}"/>
    <cellStyle name="Normal 9 5 2" xfId="537" xr:uid="{00000000-0005-0000-0000-00004B200000}"/>
    <cellStyle name="Normal 9 5 2 10" xfId="19308" xr:uid="{17E76508-2828-41B6-9D0C-916FBCC21367}"/>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8376C127-D8E1-486B-99E9-5C08AD18FDF5}"/>
    <cellStyle name="Normal 9 5 2 2 2 2 2 2" xfId="35380" xr:uid="{93029169-2981-4A1C-9EEE-8E13D495540A}"/>
    <cellStyle name="Normal 9 5 2 2 2 2 3" xfId="26083" xr:uid="{10271CE5-906F-44AA-A81E-5F0F6605E2D1}"/>
    <cellStyle name="Normal 9 5 2 2 2 3" xfId="12567" xr:uid="{B5CA682D-728C-48C7-AEC5-115C1D74BDDB}"/>
    <cellStyle name="Normal 9 5 2 2 2 3 2" xfId="31163" xr:uid="{A36C280C-96C3-48BD-93EC-690A2CB414F9}"/>
    <cellStyle name="Normal 9 5 2 2 2 4" xfId="21866" xr:uid="{3CA13A0B-89D1-4659-873F-0C5816581978}"/>
    <cellStyle name="Normal 9 5 2 2 3" xfId="5313" xr:uid="{00000000-0005-0000-0000-00004F200000}"/>
    <cellStyle name="Normal 9 5 2 2 3 2" xfId="14639" xr:uid="{31C22869-3807-4751-8DEF-DE1A2B88FC29}"/>
    <cellStyle name="Normal 9 5 2 2 3 2 2" xfId="33235" xr:uid="{EBAFCF56-A054-4152-A082-5A0287C66994}"/>
    <cellStyle name="Normal 9 5 2 2 3 3" xfId="23938" xr:uid="{490C74E7-1109-4000-BD0D-4D17F1D5B0C1}"/>
    <cellStyle name="Normal 9 5 2 2 4" xfId="9480" xr:uid="{BC9702BE-C2B3-450A-99DF-6FFE7C7A82FD}"/>
    <cellStyle name="Normal 9 5 2 2 4 2" xfId="18795" xr:uid="{A7F227BF-3FD0-45CB-9C0C-DC243C8CB659}"/>
    <cellStyle name="Normal 9 5 2 2 4 2 2" xfId="37389" xr:uid="{43876F5E-4194-4D32-AF80-062647245B2C}"/>
    <cellStyle name="Normal 9 5 2 2 4 3" xfId="28092" xr:uid="{F2C9BBB8-2327-41B6-9030-9862570F2958}"/>
    <cellStyle name="Normal 9 5 2 2 5" xfId="10422" xr:uid="{91DD9F91-3E8B-4F4A-B91E-02FAC33FCB68}"/>
    <cellStyle name="Normal 9 5 2 2 5 2" xfId="29018" xr:uid="{2CA01EFB-AB45-4B4C-84F7-F2485D9FED9E}"/>
    <cellStyle name="Normal 9 5 2 2 6" xfId="19721" xr:uid="{C85695FC-C99E-4F30-80C9-99E0938756FE}"/>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94765689-C6E1-4108-B77B-64703ABE8D19}"/>
    <cellStyle name="Normal 9 5 2 3 2 2 2 2" xfId="35793" xr:uid="{7D1EF77C-D1D6-4EFB-9DC6-64BF8A676BFA}"/>
    <cellStyle name="Normal 9 5 2 3 2 2 3" xfId="26496" xr:uid="{532F264A-1AAB-4A03-9AC5-02E86B0B4139}"/>
    <cellStyle name="Normal 9 5 2 3 2 3" xfId="12980" xr:uid="{C304BA7F-61BB-4151-B08E-28378CC60B00}"/>
    <cellStyle name="Normal 9 5 2 3 2 3 2" xfId="31576" xr:uid="{133C53AB-FB9C-4B73-85A6-123A1D945709}"/>
    <cellStyle name="Normal 9 5 2 3 2 4" xfId="22279" xr:uid="{8C886C1B-F982-49A9-A3F8-B8063F1ABFC4}"/>
    <cellStyle name="Normal 9 5 2 3 3" xfId="5726" xr:uid="{00000000-0005-0000-0000-000053200000}"/>
    <cellStyle name="Normal 9 5 2 3 3 2" xfId="15052" xr:uid="{9E47E1FA-4DEF-4B64-B54D-D0194E2700C6}"/>
    <cellStyle name="Normal 9 5 2 3 3 2 2" xfId="33648" xr:uid="{BC93CFD5-7EFB-402C-8315-FA6D6995111F}"/>
    <cellStyle name="Normal 9 5 2 3 3 3" xfId="24351" xr:uid="{26545DFF-84DC-4003-84B7-E75BA45348BA}"/>
    <cellStyle name="Normal 9 5 2 3 4" xfId="10835" xr:uid="{D1DD767B-AF8F-49E2-A528-79420926962E}"/>
    <cellStyle name="Normal 9 5 2 3 4 2" xfId="29431" xr:uid="{B681BFE6-1824-42EF-9AF8-C53B15B9086C}"/>
    <cellStyle name="Normal 9 5 2 3 5" xfId="20134" xr:uid="{654B7B4B-520E-4B40-92BA-AD309F3EFDC5}"/>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FE7894B2-6928-4C5B-883A-4FBC8E262907}"/>
    <cellStyle name="Normal 9 5 2 4 2 2 2 2" xfId="36206" xr:uid="{4D12AC3B-126B-4C4E-B1B2-25BAC1C8B501}"/>
    <cellStyle name="Normal 9 5 2 4 2 2 3" xfId="26909" xr:uid="{A94ADF78-D4AD-4525-8E76-E3D2C271EE10}"/>
    <cellStyle name="Normal 9 5 2 4 2 3" xfId="13393" xr:uid="{17AB6AB0-BCD9-40B1-B2EC-B3CF4CE44597}"/>
    <cellStyle name="Normal 9 5 2 4 2 3 2" xfId="31989" xr:uid="{43D42FE1-220E-4E57-9CE3-9788931B021A}"/>
    <cellStyle name="Normal 9 5 2 4 2 4" xfId="22692" xr:uid="{60335BB5-AC25-468E-9CC5-477095D84C19}"/>
    <cellStyle name="Normal 9 5 2 4 3" xfId="6139" xr:uid="{00000000-0005-0000-0000-000057200000}"/>
    <cellStyle name="Normal 9 5 2 4 3 2" xfId="15465" xr:uid="{65D99E3B-3727-462A-9640-B1033A5FF450}"/>
    <cellStyle name="Normal 9 5 2 4 3 2 2" xfId="34061" xr:uid="{FFE83A6D-EB35-4F6B-8178-3D3AB161303D}"/>
    <cellStyle name="Normal 9 5 2 4 3 3" xfId="24764" xr:uid="{83431B1A-4597-43C5-8B68-7B5AECE3A8D8}"/>
    <cellStyle name="Normal 9 5 2 4 4" xfId="11248" xr:uid="{0C464DA3-FB04-4F99-A27E-F01D2B576578}"/>
    <cellStyle name="Normal 9 5 2 4 4 2" xfId="29844" xr:uid="{C75B22AB-380A-4B4B-B9E6-60BD8A6385AB}"/>
    <cellStyle name="Normal 9 5 2 4 5" xfId="20547" xr:uid="{E72966BA-7C21-48BF-BF62-6D977B105FA1}"/>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94196B7C-3927-4D17-8461-17FBE0CF0071}"/>
    <cellStyle name="Normal 9 5 2 5 2 2 2 2" xfId="36619" xr:uid="{BF064AE7-DF8D-4D97-8381-A85E00D97D60}"/>
    <cellStyle name="Normal 9 5 2 5 2 2 3" xfId="27322" xr:uid="{1704C788-0710-4226-810C-96FE876ECDE7}"/>
    <cellStyle name="Normal 9 5 2 5 2 3" xfId="13806" xr:uid="{B779C8A7-E514-4CFB-BB75-06E797FD068D}"/>
    <cellStyle name="Normal 9 5 2 5 2 3 2" xfId="32402" xr:uid="{0CB933C1-978C-404D-B44C-78A190E380F9}"/>
    <cellStyle name="Normal 9 5 2 5 2 4" xfId="23105" xr:uid="{AEC00802-8217-4585-9A34-325BECB1C9E7}"/>
    <cellStyle name="Normal 9 5 2 5 3" xfId="6552" xr:uid="{00000000-0005-0000-0000-00005B200000}"/>
    <cellStyle name="Normal 9 5 2 5 3 2" xfId="15878" xr:uid="{1CC089BC-4FA9-400A-BC7F-4B53E51A7A95}"/>
    <cellStyle name="Normal 9 5 2 5 3 2 2" xfId="34474" xr:uid="{385C0E98-E936-4265-AFBB-E9D32EF88F42}"/>
    <cellStyle name="Normal 9 5 2 5 3 3" xfId="25177" xr:uid="{5A5516BF-47D5-4E41-8F82-B40488A27C5F}"/>
    <cellStyle name="Normal 9 5 2 5 4" xfId="11661" xr:uid="{A2DC1629-EB87-4ADA-BEB4-5E704C7BA671}"/>
    <cellStyle name="Normal 9 5 2 5 4 2" xfId="30257" xr:uid="{B0E13B1C-FE93-44F9-824D-4328CB839225}"/>
    <cellStyle name="Normal 9 5 2 5 5" xfId="20960" xr:uid="{CC892608-AC34-4F0B-B050-91AA8659B51E}"/>
    <cellStyle name="Normal 9 5 2 6" xfId="2682" xr:uid="{00000000-0005-0000-0000-00005C200000}"/>
    <cellStyle name="Normal 9 5 2 6 2" xfId="6965" xr:uid="{00000000-0005-0000-0000-00005D200000}"/>
    <cellStyle name="Normal 9 5 2 6 2 2" xfId="16291" xr:uid="{9287DB2D-4EC0-4AE2-9A71-39A62FE57C91}"/>
    <cellStyle name="Normal 9 5 2 6 2 2 2" xfId="34887" xr:uid="{F13E5B51-2652-4C20-B12E-2DD9D87E8371}"/>
    <cellStyle name="Normal 9 5 2 6 2 3" xfId="25590" xr:uid="{192DF8D5-8F60-4A40-A89B-28894947F05B}"/>
    <cellStyle name="Normal 9 5 2 6 3" xfId="12074" xr:uid="{DE828704-95FE-4BA8-956E-568AA5758018}"/>
    <cellStyle name="Normal 9 5 2 6 3 2" xfId="30670" xr:uid="{43DD8598-8790-4FC9-9544-3EB363061952}"/>
    <cellStyle name="Normal 9 5 2 6 4" xfId="21373" xr:uid="{4653C3B5-4086-4CA7-8F49-70851A616470}"/>
    <cellStyle name="Normal 9 5 2 7" xfId="4900" xr:uid="{00000000-0005-0000-0000-00005E200000}"/>
    <cellStyle name="Normal 9 5 2 7 2" xfId="14226" xr:uid="{2C8280E7-1928-4F8C-96D0-41AB09AF7186}"/>
    <cellStyle name="Normal 9 5 2 7 2 2" xfId="32822" xr:uid="{86ACE58B-EF13-41BB-B364-64C37C0D4A25}"/>
    <cellStyle name="Normal 9 5 2 7 3" xfId="23525" xr:uid="{94A5C619-6DF3-44A4-91C9-555E7F81E365}"/>
    <cellStyle name="Normal 9 5 2 8" xfId="9055" xr:uid="{3DD071E2-A4B3-45E3-9F20-3C2D5AEE5CB2}"/>
    <cellStyle name="Normal 9 5 2 8 2" xfId="18379" xr:uid="{CDFDA57D-22BD-47FC-9ACC-3C23824EF921}"/>
    <cellStyle name="Normal 9 5 2 8 2 2" xfId="36974" xr:uid="{EF5A8FB9-BCAC-46A9-B7FF-11341F3D45C5}"/>
    <cellStyle name="Normal 9 5 2 8 3" xfId="27677" xr:uid="{66F077CF-ED93-4577-8D13-6B0EE36B3F4C}"/>
    <cellStyle name="Normal 9 5 2 9" xfId="10009" xr:uid="{1DB95E99-C935-49E6-AF2D-2E87F841F117}"/>
    <cellStyle name="Normal 9 5 2 9 2" xfId="28605" xr:uid="{49FBD1E0-6B86-4B51-8998-EC7F0A8C4B1E}"/>
    <cellStyle name="Normal 9 5 3" xfId="1003" xr:uid="{00000000-0005-0000-0000-00005F200000}"/>
    <cellStyle name="Normal 9 5 3 2" xfId="3235" xr:uid="{00000000-0005-0000-0000-000060200000}"/>
    <cellStyle name="Normal 9 5 3 2 2" xfId="7457" xr:uid="{00000000-0005-0000-0000-000061200000}"/>
    <cellStyle name="Normal 9 5 3 2 2 2" xfId="16783" xr:uid="{D839C49B-C0D7-429F-959C-A2A2925F7B6A}"/>
    <cellStyle name="Normal 9 5 3 2 2 2 2" xfId="35379" xr:uid="{3B24A798-00B7-4619-82B2-2F432BB85E2C}"/>
    <cellStyle name="Normal 9 5 3 2 2 3" xfId="26082" xr:uid="{592184FD-6C50-4385-8CEA-B32369D494DF}"/>
    <cellStyle name="Normal 9 5 3 2 3" xfId="12566" xr:uid="{589F8447-420A-4F6D-A2C7-EEFDEF61FD94}"/>
    <cellStyle name="Normal 9 5 3 2 3 2" xfId="31162" xr:uid="{13DDA9EA-85D5-4B74-9B28-63735C623E4A}"/>
    <cellStyle name="Normal 9 5 3 2 4" xfId="21865" xr:uid="{4C0639AE-3C34-459F-9914-82C6E79E648E}"/>
    <cellStyle name="Normal 9 5 3 3" xfId="5312" xr:uid="{00000000-0005-0000-0000-000062200000}"/>
    <cellStyle name="Normal 9 5 3 3 2" xfId="14638" xr:uid="{AF7C9471-5490-4395-834E-011718D9650C}"/>
    <cellStyle name="Normal 9 5 3 3 2 2" xfId="33234" xr:uid="{AE861C0A-C40E-4FCC-9DBF-AFE8010C2E1A}"/>
    <cellStyle name="Normal 9 5 3 3 3" xfId="23937" xr:uid="{78962401-DF78-4094-A5FE-20D5CE0E5668}"/>
    <cellStyle name="Normal 9 5 3 4" xfId="9273" xr:uid="{AE6CB61B-02C5-436E-A328-3B2AC8AC9E53}"/>
    <cellStyle name="Normal 9 5 3 4 2" xfId="18588" xr:uid="{4EBE804B-060D-440A-BAE1-854EF8532E99}"/>
    <cellStyle name="Normal 9 5 3 4 2 2" xfId="37182" xr:uid="{548175E4-C356-401F-A413-3A8D5A30565C}"/>
    <cellStyle name="Normal 9 5 3 4 3" xfId="27885" xr:uid="{78964310-522D-4C98-9594-0806634B1A15}"/>
    <cellStyle name="Normal 9 5 3 5" xfId="10421" xr:uid="{BF6129A3-98CD-4116-B561-FE0D09A252DE}"/>
    <cellStyle name="Normal 9 5 3 5 2" xfId="29017" xr:uid="{CDA79144-ECBE-42B5-B0C8-0061FEF14D55}"/>
    <cellStyle name="Normal 9 5 3 6" xfId="19720" xr:uid="{FC23724E-EC80-485D-AB82-73D6AE2459F3}"/>
    <cellStyle name="Normal 9 5 4" xfId="1418" xr:uid="{00000000-0005-0000-0000-000063200000}"/>
    <cellStyle name="Normal 9 5 4 2" xfId="3648" xr:uid="{00000000-0005-0000-0000-000064200000}"/>
    <cellStyle name="Normal 9 5 4 2 2" xfId="7870" xr:uid="{00000000-0005-0000-0000-000065200000}"/>
    <cellStyle name="Normal 9 5 4 2 2 2" xfId="17196" xr:uid="{7DD56BB7-07BC-45AA-8A39-875804E38CCA}"/>
    <cellStyle name="Normal 9 5 4 2 2 2 2" xfId="35792" xr:uid="{D52C6C55-9122-48DD-A2AA-789B65FEBF99}"/>
    <cellStyle name="Normal 9 5 4 2 2 3" xfId="26495" xr:uid="{C258E84D-C5F4-46EF-AE9E-16B47F1B8A52}"/>
    <cellStyle name="Normal 9 5 4 2 3" xfId="12979" xr:uid="{A36E76EF-C965-4C08-8F1C-227A6C059D72}"/>
    <cellStyle name="Normal 9 5 4 2 3 2" xfId="31575" xr:uid="{5306B3E1-6947-49AC-A127-11909CA420BD}"/>
    <cellStyle name="Normal 9 5 4 2 4" xfId="22278" xr:uid="{E2DD767F-D5D1-4973-B47A-9FF52ABF4AE7}"/>
    <cellStyle name="Normal 9 5 4 3" xfId="5725" xr:uid="{00000000-0005-0000-0000-000066200000}"/>
    <cellStyle name="Normal 9 5 4 3 2" xfId="15051" xr:uid="{457C19C9-AC6C-45F5-9F09-F7FA4B3DF0D0}"/>
    <cellStyle name="Normal 9 5 4 3 2 2" xfId="33647" xr:uid="{A0CEC852-94F3-478C-80C3-ACDF66575BCF}"/>
    <cellStyle name="Normal 9 5 4 3 3" xfId="24350" xr:uid="{EFFB73DE-AE14-46ED-B264-0A1B53F37378}"/>
    <cellStyle name="Normal 9 5 4 4" xfId="10834" xr:uid="{3DA75473-BD27-4DC7-BE71-6718C9002C23}"/>
    <cellStyle name="Normal 9 5 4 4 2" xfId="29430" xr:uid="{7FBE8855-7C85-4734-8F10-B6CDB098788A}"/>
    <cellStyle name="Normal 9 5 4 5" xfId="20133" xr:uid="{151A9AF1-0170-4A31-AA72-F0F92BC1622C}"/>
    <cellStyle name="Normal 9 5 5" xfId="1831" xr:uid="{00000000-0005-0000-0000-000067200000}"/>
    <cellStyle name="Normal 9 5 5 2" xfId="4061" xr:uid="{00000000-0005-0000-0000-000068200000}"/>
    <cellStyle name="Normal 9 5 5 2 2" xfId="8283" xr:uid="{00000000-0005-0000-0000-000069200000}"/>
    <cellStyle name="Normal 9 5 5 2 2 2" xfId="17609" xr:uid="{EE69D969-D095-40B3-B790-6BA982B55DFD}"/>
    <cellStyle name="Normal 9 5 5 2 2 2 2" xfId="36205" xr:uid="{91C88A87-5432-47CD-AD69-74E675D13707}"/>
    <cellStyle name="Normal 9 5 5 2 2 3" xfId="26908" xr:uid="{9A5D13B7-6793-40F3-ADFF-F4378E5ECA90}"/>
    <cellStyle name="Normal 9 5 5 2 3" xfId="13392" xr:uid="{7B809AFC-7D0F-4DB6-880A-613677108178}"/>
    <cellStyle name="Normal 9 5 5 2 3 2" xfId="31988" xr:uid="{E202A6ED-AE5B-4446-BA5D-A5B851BCB56F}"/>
    <cellStyle name="Normal 9 5 5 2 4" xfId="22691" xr:uid="{35C24B7E-C430-471A-8E7E-BFB7E8FD4A5E}"/>
    <cellStyle name="Normal 9 5 5 3" xfId="6138" xr:uid="{00000000-0005-0000-0000-00006A200000}"/>
    <cellStyle name="Normal 9 5 5 3 2" xfId="15464" xr:uid="{E4B27920-B7E3-40A8-BF86-3CD026AD6BA4}"/>
    <cellStyle name="Normal 9 5 5 3 2 2" xfId="34060" xr:uid="{3749143D-9A0B-4CD6-B700-062AFA0DE4FC}"/>
    <cellStyle name="Normal 9 5 5 3 3" xfId="24763" xr:uid="{5168F70A-36A2-406A-8FCD-5E1BB18FFEE7}"/>
    <cellStyle name="Normal 9 5 5 4" xfId="11247" xr:uid="{0D66A1B2-D121-4B8A-921B-971483A773BB}"/>
    <cellStyle name="Normal 9 5 5 4 2" xfId="29843" xr:uid="{0A423447-EDC6-45E0-B80B-A248DAD78A90}"/>
    <cellStyle name="Normal 9 5 5 5" xfId="20546" xr:uid="{248C1756-EE73-40D4-A2FA-5A6E24654178}"/>
    <cellStyle name="Normal 9 5 6" xfId="2245" xr:uid="{00000000-0005-0000-0000-00006B200000}"/>
    <cellStyle name="Normal 9 5 6 2" xfId="4474" xr:uid="{00000000-0005-0000-0000-00006C200000}"/>
    <cellStyle name="Normal 9 5 6 2 2" xfId="8696" xr:uid="{00000000-0005-0000-0000-00006D200000}"/>
    <cellStyle name="Normal 9 5 6 2 2 2" xfId="18022" xr:uid="{882FEA87-1224-4BED-8848-230814A2C60B}"/>
    <cellStyle name="Normal 9 5 6 2 2 2 2" xfId="36618" xr:uid="{E0C38717-DB6B-476B-98C8-3E01B41F9759}"/>
    <cellStyle name="Normal 9 5 6 2 2 3" xfId="27321" xr:uid="{80CA69E7-3F1C-4110-9C64-ADD2F959AC11}"/>
    <cellStyle name="Normal 9 5 6 2 3" xfId="13805" xr:uid="{43AF69A8-6D56-49D2-AB50-EC8709E61F42}"/>
    <cellStyle name="Normal 9 5 6 2 3 2" xfId="32401" xr:uid="{70BF6F27-0FE2-4130-84D0-0CC1E9FF933D}"/>
    <cellStyle name="Normal 9 5 6 2 4" xfId="23104" xr:uid="{330E7139-6C6D-428E-8359-665F9D775311}"/>
    <cellStyle name="Normal 9 5 6 3" xfId="6551" xr:uid="{00000000-0005-0000-0000-00006E200000}"/>
    <cellStyle name="Normal 9 5 6 3 2" xfId="15877" xr:uid="{0CEEDBB4-2283-4E65-BEC8-2E742CC28089}"/>
    <cellStyle name="Normal 9 5 6 3 2 2" xfId="34473" xr:uid="{99A87F10-5236-4612-A7F1-8F1509708A74}"/>
    <cellStyle name="Normal 9 5 6 3 3" xfId="25176" xr:uid="{396A0E5F-A01C-4F4B-ABB9-B968188149B6}"/>
    <cellStyle name="Normal 9 5 6 4" xfId="11660" xr:uid="{EBADB9E0-40DA-4A71-9778-B6FA2BE485C1}"/>
    <cellStyle name="Normal 9 5 6 4 2" xfId="30256" xr:uid="{5AF87F04-1A08-43A3-8B46-FC54F90A7714}"/>
    <cellStyle name="Normal 9 5 6 5" xfId="20959" xr:uid="{B667E2F6-0B3E-4F1D-94B3-D12F8BFD710D}"/>
    <cellStyle name="Normal 9 5 7" xfId="2681" xr:uid="{00000000-0005-0000-0000-00006F200000}"/>
    <cellStyle name="Normal 9 5 7 2" xfId="6964" xr:uid="{00000000-0005-0000-0000-000070200000}"/>
    <cellStyle name="Normal 9 5 7 2 2" xfId="16290" xr:uid="{FA6FB147-1599-4CDB-B1E0-E66166C1B0B8}"/>
    <cellStyle name="Normal 9 5 7 2 2 2" xfId="34886" xr:uid="{CBD6C258-E2BA-48D7-8807-5A06F66E8B54}"/>
    <cellStyle name="Normal 9 5 7 2 3" xfId="25589" xr:uid="{178153B0-151D-46A2-B3E3-2E67A3818CD2}"/>
    <cellStyle name="Normal 9 5 7 3" xfId="12073" xr:uid="{2A85266C-2321-496A-B474-35F973B43ADA}"/>
    <cellStyle name="Normal 9 5 7 3 2" xfId="30669" xr:uid="{715711A3-2522-4A6E-810E-9344BDF0D081}"/>
    <cellStyle name="Normal 9 5 7 4" xfId="21372" xr:uid="{9CA03D15-4760-4A9C-AC9F-C9DFDED99576}"/>
    <cellStyle name="Normal 9 5 8" xfId="4899" xr:uid="{00000000-0005-0000-0000-000071200000}"/>
    <cellStyle name="Normal 9 5 8 2" xfId="14225" xr:uid="{E347CCD3-4647-46CA-A368-0F6AC1E6E823}"/>
    <cellStyle name="Normal 9 5 8 2 2" xfId="32821" xr:uid="{0F610569-37BD-44BD-840D-623CBA0DCC74}"/>
    <cellStyle name="Normal 9 5 8 3" xfId="23524" xr:uid="{6FB8BB68-C138-4F6E-A0DA-68C09ACB222A}"/>
    <cellStyle name="Normal 9 5 9" xfId="8848" xr:uid="{B1BE5F70-14E5-42B6-9EBA-D267F3B60A08}"/>
    <cellStyle name="Normal 9 5 9 2" xfId="18172" xr:uid="{722FBF4A-3B5C-4B5A-9F28-B86E25788EA8}"/>
    <cellStyle name="Normal 9 5 9 2 2" xfId="36767" xr:uid="{15F4597C-89FF-4E73-AB8F-DA95B93F9683}"/>
    <cellStyle name="Normal 9 5 9 3" xfId="27470" xr:uid="{330E59B9-D642-4DB1-B5E2-95DD16204686}"/>
    <cellStyle name="Normal 9 6" xfId="538" xr:uid="{00000000-0005-0000-0000-000072200000}"/>
    <cellStyle name="Normal 9 6 10" xfId="19309" xr:uid="{21F5EF9E-BADD-41AB-A7F8-EAB7ACC84E04}"/>
    <cellStyle name="Normal 9 6 2" xfId="1005" xr:uid="{00000000-0005-0000-0000-000073200000}"/>
    <cellStyle name="Normal 9 6 2 2" xfId="3237" xr:uid="{00000000-0005-0000-0000-000074200000}"/>
    <cellStyle name="Normal 9 6 2 2 2" xfId="7459" xr:uid="{00000000-0005-0000-0000-000075200000}"/>
    <cellStyle name="Normal 9 6 2 2 2 2" xfId="16785" xr:uid="{CABE3703-DA8D-4C33-BC04-09CCDDABDB24}"/>
    <cellStyle name="Normal 9 6 2 2 2 2 2" xfId="35381" xr:uid="{61B37720-F411-40B2-9C5D-10620BC74E04}"/>
    <cellStyle name="Normal 9 6 2 2 2 3" xfId="26084" xr:uid="{46C3E91A-F3E8-4D64-A0B6-7612C3B92B7C}"/>
    <cellStyle name="Normal 9 6 2 2 3" xfId="12568" xr:uid="{CDA063EE-387C-46A9-8E6D-FF4DD60DF56F}"/>
    <cellStyle name="Normal 9 6 2 2 3 2" xfId="31164" xr:uid="{5C34E562-32CB-414C-8417-66579FD5A05D}"/>
    <cellStyle name="Normal 9 6 2 2 4" xfId="21867" xr:uid="{7885B03C-E3EA-4319-B54C-EBA9D9650B6A}"/>
    <cellStyle name="Normal 9 6 2 3" xfId="5314" xr:uid="{00000000-0005-0000-0000-000076200000}"/>
    <cellStyle name="Normal 9 6 2 3 2" xfId="14640" xr:uid="{F1849E12-8A27-40CB-9CFE-829E032A069A}"/>
    <cellStyle name="Normal 9 6 2 3 2 2" xfId="33236" xr:uid="{B8D1C3DC-0AC9-4FD8-A8C4-9D337C51770B}"/>
    <cellStyle name="Normal 9 6 2 3 3" xfId="23939" xr:uid="{5B2DA6E9-5825-44AA-AAE5-7FFF6D5575A8}"/>
    <cellStyle name="Normal 9 6 2 4" xfId="9389" xr:uid="{2A0458F6-466A-4C3B-BA39-FF09FD770FDD}"/>
    <cellStyle name="Normal 9 6 2 4 2" xfId="18704" xr:uid="{E481D7C3-FABC-4192-942F-3A6788AACE7C}"/>
    <cellStyle name="Normal 9 6 2 4 2 2" xfId="37298" xr:uid="{4B5A9D83-EC1D-45A0-98AA-BAEC2039533F}"/>
    <cellStyle name="Normal 9 6 2 4 3" xfId="28001" xr:uid="{B4FB5402-F0B4-4E4E-AECF-A1490B0D3154}"/>
    <cellStyle name="Normal 9 6 2 5" xfId="10423" xr:uid="{AFD0CFFA-212B-411A-BF6C-A7ED28E01892}"/>
    <cellStyle name="Normal 9 6 2 5 2" xfId="29019" xr:uid="{FC8CC118-F04F-43F5-A220-DAAFED647DD2}"/>
    <cellStyle name="Normal 9 6 2 6" xfId="19722" xr:uid="{5D0D19A1-6F04-4D6D-9205-24EF928C3C53}"/>
    <cellStyle name="Normal 9 6 3" xfId="1420" xr:uid="{00000000-0005-0000-0000-000077200000}"/>
    <cellStyle name="Normal 9 6 3 2" xfId="3650" xr:uid="{00000000-0005-0000-0000-000078200000}"/>
    <cellStyle name="Normal 9 6 3 2 2" xfId="7872" xr:uid="{00000000-0005-0000-0000-000079200000}"/>
    <cellStyle name="Normal 9 6 3 2 2 2" xfId="17198" xr:uid="{45D7AAE5-8287-4472-9B35-6270D9E397E9}"/>
    <cellStyle name="Normal 9 6 3 2 2 2 2" xfId="35794" xr:uid="{42316A33-B550-43CA-A423-EC8AE04D2884}"/>
    <cellStyle name="Normal 9 6 3 2 2 3" xfId="26497" xr:uid="{E572C5F4-0CFC-43FC-AFE0-19DD3710B86D}"/>
    <cellStyle name="Normal 9 6 3 2 3" xfId="12981" xr:uid="{224B24DB-C50F-4663-A359-DF98166B5613}"/>
    <cellStyle name="Normal 9 6 3 2 3 2" xfId="31577" xr:uid="{7AA32BD6-1580-4E11-8C36-177811C24831}"/>
    <cellStyle name="Normal 9 6 3 2 4" xfId="22280" xr:uid="{8B2FA9CA-F519-406E-96A3-C0FAB4A30D0D}"/>
    <cellStyle name="Normal 9 6 3 3" xfId="5727" xr:uid="{00000000-0005-0000-0000-00007A200000}"/>
    <cellStyle name="Normal 9 6 3 3 2" xfId="15053" xr:uid="{3E7714BB-16F3-4D2B-9E69-76B2DB965B73}"/>
    <cellStyle name="Normal 9 6 3 3 2 2" xfId="33649" xr:uid="{616DDBCA-CF2D-48DF-A67F-B7557D4ECFCA}"/>
    <cellStyle name="Normal 9 6 3 3 3" xfId="24352" xr:uid="{8D03C140-7D87-4E04-A740-170E717E2A31}"/>
    <cellStyle name="Normal 9 6 3 4" xfId="10836" xr:uid="{0173AA09-0BE6-43B4-AA9D-0AC47C3F8E0F}"/>
    <cellStyle name="Normal 9 6 3 4 2" xfId="29432" xr:uid="{4DE631CF-3CCE-401E-AD57-CF98872848CA}"/>
    <cellStyle name="Normal 9 6 3 5" xfId="20135" xr:uid="{A90A7B90-32AF-47E8-8375-B4789D0933C6}"/>
    <cellStyle name="Normal 9 6 4" xfId="1833" xr:uid="{00000000-0005-0000-0000-00007B200000}"/>
    <cellStyle name="Normal 9 6 4 2" xfId="4063" xr:uid="{00000000-0005-0000-0000-00007C200000}"/>
    <cellStyle name="Normal 9 6 4 2 2" xfId="8285" xr:uid="{00000000-0005-0000-0000-00007D200000}"/>
    <cellStyle name="Normal 9 6 4 2 2 2" xfId="17611" xr:uid="{9785C2F1-5B9D-451A-A56C-71CDAF31130B}"/>
    <cellStyle name="Normal 9 6 4 2 2 2 2" xfId="36207" xr:uid="{A92D5ED4-A1CB-4FF1-9705-BC759F11226D}"/>
    <cellStyle name="Normal 9 6 4 2 2 3" xfId="26910" xr:uid="{6FD3013E-D859-4323-8CA9-587730F3DC94}"/>
    <cellStyle name="Normal 9 6 4 2 3" xfId="13394" xr:uid="{338AE3C6-0D41-499E-BE87-0F14415CCEE4}"/>
    <cellStyle name="Normal 9 6 4 2 3 2" xfId="31990" xr:uid="{390C967A-7C4E-404D-BF95-A8BADC699D5F}"/>
    <cellStyle name="Normal 9 6 4 2 4" xfId="22693" xr:uid="{77701EF8-7B88-4147-B857-46E4798FFC8C}"/>
    <cellStyle name="Normal 9 6 4 3" xfId="6140" xr:uid="{00000000-0005-0000-0000-00007E200000}"/>
    <cellStyle name="Normal 9 6 4 3 2" xfId="15466" xr:uid="{3AE26913-60E5-41F3-980C-4DAB6A28886A}"/>
    <cellStyle name="Normal 9 6 4 3 2 2" xfId="34062" xr:uid="{92135815-B12E-4D37-9CFC-2CC5F69EF0E0}"/>
    <cellStyle name="Normal 9 6 4 3 3" xfId="24765" xr:uid="{87E7B519-DF51-413F-9309-5B7A834CF145}"/>
    <cellStyle name="Normal 9 6 4 4" xfId="11249" xr:uid="{B65B8039-F2D2-4C05-8A6C-22FEFDFD45C7}"/>
    <cellStyle name="Normal 9 6 4 4 2" xfId="29845" xr:uid="{897C6972-D726-41EC-93CA-FCB428E1D981}"/>
    <cellStyle name="Normal 9 6 4 5" xfId="20548" xr:uid="{1BDA2883-2150-4EDF-A82E-12D7B3522849}"/>
    <cellStyle name="Normal 9 6 5" xfId="2247" xr:uid="{00000000-0005-0000-0000-00007F200000}"/>
    <cellStyle name="Normal 9 6 5 2" xfId="4476" xr:uid="{00000000-0005-0000-0000-000080200000}"/>
    <cellStyle name="Normal 9 6 5 2 2" xfId="8698" xr:uid="{00000000-0005-0000-0000-000081200000}"/>
    <cellStyle name="Normal 9 6 5 2 2 2" xfId="18024" xr:uid="{15F4504B-CEC9-41C9-86B9-9C89C91E41B3}"/>
    <cellStyle name="Normal 9 6 5 2 2 2 2" xfId="36620" xr:uid="{A9133639-41E2-4A92-8004-24C51A8C90A3}"/>
    <cellStyle name="Normal 9 6 5 2 2 3" xfId="27323" xr:uid="{BE71962E-323B-42CB-8436-E87FA29A54C0}"/>
    <cellStyle name="Normal 9 6 5 2 3" xfId="13807" xr:uid="{5E929E18-BF5D-4B9B-AAEA-22A5A069B976}"/>
    <cellStyle name="Normal 9 6 5 2 3 2" xfId="32403" xr:uid="{52E1188A-FE8F-4474-8A40-3682A646AEBA}"/>
    <cellStyle name="Normal 9 6 5 2 4" xfId="23106" xr:uid="{E1343446-9370-434F-AB1E-CDC96F6C10E3}"/>
    <cellStyle name="Normal 9 6 5 3" xfId="6553" xr:uid="{00000000-0005-0000-0000-000082200000}"/>
    <cellStyle name="Normal 9 6 5 3 2" xfId="15879" xr:uid="{D4B1374B-72E1-4BFF-AA77-09F27B8AC695}"/>
    <cellStyle name="Normal 9 6 5 3 2 2" xfId="34475" xr:uid="{07EB41BA-791B-420B-8EA1-537A393977E0}"/>
    <cellStyle name="Normal 9 6 5 3 3" xfId="25178" xr:uid="{85764881-A072-4A0D-B447-F2166DFB0EBC}"/>
    <cellStyle name="Normal 9 6 5 4" xfId="11662" xr:uid="{4A00C20A-D7D8-4038-ABA5-FACE3B53B430}"/>
    <cellStyle name="Normal 9 6 5 4 2" xfId="30258" xr:uid="{3AD1A6B2-B206-497F-8C01-0CE21DC58673}"/>
    <cellStyle name="Normal 9 6 5 5" xfId="20961" xr:uid="{B6C85277-EF58-4157-A470-2BCAE2911298}"/>
    <cellStyle name="Normal 9 6 6" xfId="2683" xr:uid="{00000000-0005-0000-0000-000083200000}"/>
    <cellStyle name="Normal 9 6 6 2" xfId="6966" xr:uid="{00000000-0005-0000-0000-000084200000}"/>
    <cellStyle name="Normal 9 6 6 2 2" xfId="16292" xr:uid="{B9680395-0359-4E0E-9BB4-708428334CE0}"/>
    <cellStyle name="Normal 9 6 6 2 2 2" xfId="34888" xr:uid="{31B41B8B-5FD4-4939-B991-2074F0D929BC}"/>
    <cellStyle name="Normal 9 6 6 2 3" xfId="25591" xr:uid="{070BAE74-FE2D-4D6F-92CA-AF1968DF7D24}"/>
    <cellStyle name="Normal 9 6 6 3" xfId="12075" xr:uid="{6C7B44A3-4097-423A-AD26-16C54BAE38C0}"/>
    <cellStyle name="Normal 9 6 6 3 2" xfId="30671" xr:uid="{D9911697-47E4-46C0-AC24-11C6D9F5265F}"/>
    <cellStyle name="Normal 9 6 6 4" xfId="21374" xr:uid="{FDE4BB1F-07A2-4FC8-A33A-2F4181DDE783}"/>
    <cellStyle name="Normal 9 6 7" xfId="4901" xr:uid="{00000000-0005-0000-0000-000085200000}"/>
    <cellStyle name="Normal 9 6 7 2" xfId="14227" xr:uid="{FEA31D93-5AF0-4938-96F9-F7607E205BAE}"/>
    <cellStyle name="Normal 9 6 7 2 2" xfId="32823" xr:uid="{369FAF7D-1C61-4AD4-BD49-C0F149A10457}"/>
    <cellStyle name="Normal 9 6 7 3" xfId="23526" xr:uid="{4A9EA53D-8973-427E-9431-3D65F92E5A02}"/>
    <cellStyle name="Normal 9 6 8" xfId="8964" xr:uid="{9BBC9C46-7A3A-4BC9-9542-DC33DFA165C2}"/>
    <cellStyle name="Normal 9 6 8 2" xfId="18288" xr:uid="{95F8375E-DEFB-48CC-8A2C-677C2F0FC8BC}"/>
    <cellStyle name="Normal 9 6 8 2 2" xfId="36883" xr:uid="{6FEA8D87-512E-4F45-870E-22F7540F294E}"/>
    <cellStyle name="Normal 9 6 8 3" xfId="27586" xr:uid="{109A0F1D-3759-4308-9ECA-480A1A381D92}"/>
    <cellStyle name="Normal 9 6 9" xfId="10010" xr:uid="{422E79D3-7346-483D-B8A8-4080F6B687D5}"/>
    <cellStyle name="Normal 9 6 9 2" xfId="28606" xr:uid="{8197AF76-8E85-46BD-9285-D909DDE5C3F2}"/>
    <cellStyle name="Normal 9 7" xfId="977" xr:uid="{00000000-0005-0000-0000-000086200000}"/>
    <cellStyle name="Normal 9 7 2" xfId="9609" xr:uid="{1246D22D-2382-4FAF-A8D6-CB26E2B9F9CE}"/>
    <cellStyle name="Normal 9 7 3" xfId="9167" xr:uid="{F9EED645-1D44-43CF-99A5-77176BA4CE36}"/>
    <cellStyle name="Normal 9 7 3 2" xfId="18485" xr:uid="{2E701749-E99A-4C85-A12D-FBCC921F43DE}"/>
    <cellStyle name="Normal 9 7 3 2 2" xfId="37079" xr:uid="{BBFB921F-BD54-4431-99A4-B0E9401F7E58}"/>
    <cellStyle name="Normal 9 7 3 3" xfId="27782" xr:uid="{04A81D98-14F4-4F0A-B221-9CEDB9B07B03}"/>
    <cellStyle name="Normal 9 8" xfId="8745" xr:uid="{C1852A12-4F74-491B-976C-56AD8D4478B4}"/>
    <cellStyle name="Normal 9 8 2" xfId="18069" xr:uid="{7935F82F-005A-4DF5-98B5-DED7A166535C}"/>
    <cellStyle name="Normal 9 8 2 2" xfId="36664" xr:uid="{F6A13A7D-2148-4DC1-BF87-68CD320CA230}"/>
    <cellStyle name="Normal 9 8 3" xfId="27367" xr:uid="{5400CD57-A184-44C8-A97E-40A1147B0068}"/>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A68252FA-A051-4117-88A8-F200111689E0}"/>
    <cellStyle name="Note 2 2 10 2 2 2" xfId="34969" xr:uid="{F337F46B-73BC-4FF2-979E-A0221968703D}"/>
    <cellStyle name="Note 2 2 10 2 3" xfId="25672" xr:uid="{5B439EED-0E72-4692-BD7A-509ECA5D581B}"/>
    <cellStyle name="Note 2 2 10 3" xfId="12156" xr:uid="{3DBDAC33-2BE2-4BAB-8BBE-87EA662415F2}"/>
    <cellStyle name="Note 2 2 10 3 2" xfId="30752" xr:uid="{F5818C8E-A92C-4746-A08D-1AB68E993602}"/>
    <cellStyle name="Note 2 2 10 4" xfId="21455" xr:uid="{1DBF6731-7937-481B-9B31-EB0E246D6AB9}"/>
    <cellStyle name="Note 2 2 11" xfId="4902" xr:uid="{00000000-0005-0000-0000-000094200000}"/>
    <cellStyle name="Note 2 2 11 2" xfId="14228" xr:uid="{3E83F4B5-C8AF-49E1-8C1A-61CDE7151845}"/>
    <cellStyle name="Note 2 2 11 2 2" xfId="32824" xr:uid="{FC000F82-8B5E-4E6E-A2F2-C5E2A90290C0}"/>
    <cellStyle name="Note 2 2 11 3" xfId="23527" xr:uid="{96CDDD04-C551-4A11-A938-E3CFDCA4CC2A}"/>
    <cellStyle name="Note 2 2 12" xfId="8841" xr:uid="{E94E1FD8-31C4-4718-9658-C7A587CBF323}"/>
    <cellStyle name="Note 2 2 12 2" xfId="18165" xr:uid="{C956751D-EAC0-4E36-A9A7-BDDC17DD3C2A}"/>
    <cellStyle name="Note 2 2 12 2 2" xfId="36760" xr:uid="{F3D3566C-B1F9-4BBA-A65B-DB867845361F}"/>
    <cellStyle name="Note 2 2 12 3" xfId="27463" xr:uid="{127BCE2B-9662-4DE2-9236-FD018BCF4C18}"/>
    <cellStyle name="Note 2 2 13" xfId="10011" xr:uid="{608AB960-7A4B-4D3C-821C-DB97C99FC7B4}"/>
    <cellStyle name="Note 2 2 13 2" xfId="28607" xr:uid="{D7FBADA5-D335-43CA-842C-77D58835E0AB}"/>
    <cellStyle name="Note 2 2 14" xfId="19310" xr:uid="{4AC9AD0D-F9FA-4EEE-B4C1-9FDDA26C120A}"/>
    <cellStyle name="Note 2 2 2" xfId="546" xr:uid="{00000000-0005-0000-0000-000095200000}"/>
    <cellStyle name="Note 2 2 2 10" xfId="4903" xr:uid="{00000000-0005-0000-0000-000096200000}"/>
    <cellStyle name="Note 2 2 2 10 2" xfId="14229" xr:uid="{601C6CA1-2167-452E-920C-244308F9FF4E}"/>
    <cellStyle name="Note 2 2 2 10 2 2" xfId="32825" xr:uid="{6EF3A69D-98FE-4E34-8DEA-50F03B6517CB}"/>
    <cellStyle name="Note 2 2 2 10 3" xfId="23528" xr:uid="{1525918B-CC08-4F33-8714-469022AF559A}"/>
    <cellStyle name="Note 2 2 2 11" xfId="8944" xr:uid="{B75A3404-A4A3-41D6-B6C3-54560C6DD592}"/>
    <cellStyle name="Note 2 2 2 11 2" xfId="18268" xr:uid="{E33ACAEF-EB97-4722-A915-36EEF2398F55}"/>
    <cellStyle name="Note 2 2 2 11 2 2" xfId="36863" xr:uid="{A5DDD327-6F45-4754-8E03-38DC059B8D3A}"/>
    <cellStyle name="Note 2 2 2 11 3" xfId="27566" xr:uid="{9277D8AE-A3EF-489F-863F-5BF385882897}"/>
    <cellStyle name="Note 2 2 2 12" xfId="10012" xr:uid="{F4CAF238-EBDC-46D2-A625-51E67796B3E9}"/>
    <cellStyle name="Note 2 2 2 12 2" xfId="28608" xr:uid="{F8652DE0-ABCB-4102-B6FF-4624BE3C966E}"/>
    <cellStyle name="Note 2 2 2 13" xfId="19311" xr:uid="{25C46E8A-2C16-433F-A54D-372DEB09EF82}"/>
    <cellStyle name="Note 2 2 2 2" xfId="547" xr:uid="{00000000-0005-0000-0000-000097200000}"/>
    <cellStyle name="Note 2 2 2 2 10" xfId="9151" xr:uid="{DE810DD8-00EC-4339-9CFC-C84D5E182971}"/>
    <cellStyle name="Note 2 2 2 2 10 2" xfId="18475" xr:uid="{CDF88C3B-B6A2-4030-A765-BA1235CCA216}"/>
    <cellStyle name="Note 2 2 2 2 10 2 2" xfId="37070" xr:uid="{A3B77918-49BF-4CE9-BB7D-5B5DF6F20121}"/>
    <cellStyle name="Note 2 2 2 2 10 3" xfId="27773" xr:uid="{DA0540FB-BE44-4521-A1A5-C081ECEFEC2F}"/>
    <cellStyle name="Note 2 2 2 2 11" xfId="10013" xr:uid="{2F22151B-90FB-4DC8-AFDD-7A7879FC6628}"/>
    <cellStyle name="Note 2 2 2 2 11 2" xfId="28609" xr:uid="{9E359380-31EA-4E51-8D7D-3896F17284DE}"/>
    <cellStyle name="Note 2 2 2 2 12" xfId="19312" xr:uid="{6F602BD8-21F0-408E-8CDD-A5CFDB50CBDD}"/>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ABA105DB-20BB-4B9B-9E91-135144875DD4}"/>
    <cellStyle name="Note 2 2 2 2 2 2 2 2 2" xfId="35384" xr:uid="{7E4AE5E2-3EDC-4CAD-978B-9956B8165796}"/>
    <cellStyle name="Note 2 2 2 2 2 2 2 3" xfId="26087" xr:uid="{CF09F0E2-92C1-45A5-93B1-C3A66FFC99AD}"/>
    <cellStyle name="Note 2 2 2 2 2 2 3" xfId="12571" xr:uid="{CA8AEE0D-33D3-4B4E-A112-DA84292BC8D7}"/>
    <cellStyle name="Note 2 2 2 2 2 2 3 2" xfId="31167" xr:uid="{3FC877E2-9CB1-45E9-BD89-6AD55ED0BA21}"/>
    <cellStyle name="Note 2 2 2 2 2 2 4" xfId="21870" xr:uid="{B36EF6FF-284A-4229-9838-87C10F1FEBDF}"/>
    <cellStyle name="Note 2 2 2 2 2 3" xfId="5317" xr:uid="{00000000-0005-0000-0000-00009B200000}"/>
    <cellStyle name="Note 2 2 2 2 2 3 2" xfId="14643" xr:uid="{ABB52C57-9628-476F-81B4-3C60B56E05B5}"/>
    <cellStyle name="Note 2 2 2 2 2 3 2 2" xfId="33239" xr:uid="{93956464-8FCB-446F-A4C1-CC30A65BD4FF}"/>
    <cellStyle name="Note 2 2 2 2 2 3 3" xfId="23942" xr:uid="{0BE299D7-7D50-475C-84B9-BED9A96C5AFB}"/>
    <cellStyle name="Note 2 2 2 2 2 4" xfId="9576" xr:uid="{375E296C-598F-454E-B7C4-9E851CE02ED2}"/>
    <cellStyle name="Note 2 2 2 2 2 4 2" xfId="18891" xr:uid="{E7D03DAB-89C5-4183-9CAA-AC15F3DBB891}"/>
    <cellStyle name="Note 2 2 2 2 2 4 2 2" xfId="37485" xr:uid="{C18E0469-62DB-4DE4-AE48-34F00EDB5C19}"/>
    <cellStyle name="Note 2 2 2 2 2 4 3" xfId="28188" xr:uid="{3B7B994F-56C5-4D9E-98C6-CD418EAFAF1F}"/>
    <cellStyle name="Note 2 2 2 2 2 5" xfId="10426" xr:uid="{03530CD7-9EE9-4CD4-99DC-9ACD1C165795}"/>
    <cellStyle name="Note 2 2 2 2 2 5 2" xfId="29022" xr:uid="{28FE69D5-39B1-40BD-913F-89EFDC4D42A7}"/>
    <cellStyle name="Note 2 2 2 2 2 6" xfId="19725" xr:uid="{64B5EC92-9510-4212-B02F-9B8D8446A88D}"/>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9581A9B5-3F9B-4D4C-9C6C-91BC817FC4BA}"/>
    <cellStyle name="Note 2 2 2 2 3 2 2 2 2" xfId="35797" xr:uid="{4DD5585F-5271-4522-A100-51F391C08BA3}"/>
    <cellStyle name="Note 2 2 2 2 3 2 2 3" xfId="26500" xr:uid="{6996F2A9-4D33-4573-B54A-8530C36E192A}"/>
    <cellStyle name="Note 2 2 2 2 3 2 3" xfId="12984" xr:uid="{276B0C08-6F87-4B40-97E2-BC659D729528}"/>
    <cellStyle name="Note 2 2 2 2 3 2 3 2" xfId="31580" xr:uid="{5611AA62-B884-4010-B685-98C2AC22BDB1}"/>
    <cellStyle name="Note 2 2 2 2 3 2 4" xfId="22283" xr:uid="{C29C8AC9-0190-4174-A856-59106AD32C34}"/>
    <cellStyle name="Note 2 2 2 2 3 3" xfId="5730" xr:uid="{00000000-0005-0000-0000-00009F200000}"/>
    <cellStyle name="Note 2 2 2 2 3 3 2" xfId="15056" xr:uid="{199C5D6C-F681-434D-B5F2-ADC007738C9F}"/>
    <cellStyle name="Note 2 2 2 2 3 3 2 2" xfId="33652" xr:uid="{165DE17A-2C45-4F6C-BA3E-DBFF4AB5A84F}"/>
    <cellStyle name="Note 2 2 2 2 3 3 3" xfId="24355" xr:uid="{DCE2620D-618B-420F-AA13-A52EF7081BBB}"/>
    <cellStyle name="Note 2 2 2 2 3 4" xfId="10839" xr:uid="{55EB7600-7723-4957-9E68-89338C2C87F8}"/>
    <cellStyle name="Note 2 2 2 2 3 4 2" xfId="29435" xr:uid="{0F118617-F11A-4053-98F0-1C2F197DD9C6}"/>
    <cellStyle name="Note 2 2 2 2 3 5" xfId="20138" xr:uid="{E582D2D9-15D7-4142-A7EA-3D92BD1D5034}"/>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C3EE7BD0-B7CC-40CC-A5FC-F921653A4AB8}"/>
    <cellStyle name="Note 2 2 2 2 4 2 2 2 2" xfId="36210" xr:uid="{276622B6-4475-4863-959E-389F3BA0B7D7}"/>
    <cellStyle name="Note 2 2 2 2 4 2 2 3" xfId="26913" xr:uid="{0AA0BC56-5DF5-4D5F-AE37-AC39B983F703}"/>
    <cellStyle name="Note 2 2 2 2 4 2 3" xfId="13397" xr:uid="{C63E17DA-4910-4A21-A73A-D0ADA144E1C8}"/>
    <cellStyle name="Note 2 2 2 2 4 2 3 2" xfId="31993" xr:uid="{17E565D7-0E6D-44AC-9544-B274A93CEFB7}"/>
    <cellStyle name="Note 2 2 2 2 4 2 4" xfId="22696" xr:uid="{1C63EB1D-1926-4411-AA8B-0331CB9DF416}"/>
    <cellStyle name="Note 2 2 2 2 4 3" xfId="6143" xr:uid="{00000000-0005-0000-0000-0000A3200000}"/>
    <cellStyle name="Note 2 2 2 2 4 3 2" xfId="15469" xr:uid="{DA7939E6-B441-4D74-AAA0-32D2DCDCCA27}"/>
    <cellStyle name="Note 2 2 2 2 4 3 2 2" xfId="34065" xr:uid="{D8783B2C-77FF-406E-A804-79E2E8D6BD90}"/>
    <cellStyle name="Note 2 2 2 2 4 3 3" xfId="24768" xr:uid="{B2474F5A-CBCB-494A-B064-C214BF25FC6D}"/>
    <cellStyle name="Note 2 2 2 2 4 4" xfId="11252" xr:uid="{384B99E2-A188-4CAC-B29D-B862CDCDAD9C}"/>
    <cellStyle name="Note 2 2 2 2 4 4 2" xfId="29848" xr:uid="{2786005D-511D-4CB0-A31A-A82F452BC45F}"/>
    <cellStyle name="Note 2 2 2 2 4 5" xfId="20551" xr:uid="{43E6AB9A-A0A4-45CA-A03A-4AA7A4CE105F}"/>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8D70D7D6-010B-4809-8024-11D7C44725AE}"/>
    <cellStyle name="Note 2 2 2 2 5 2 2 2 2" xfId="36623" xr:uid="{F3D51C48-4FEB-46D9-AD61-F8BDF12C6B2F}"/>
    <cellStyle name="Note 2 2 2 2 5 2 2 3" xfId="27326" xr:uid="{B93C9A21-8E88-455F-885A-FF56AF7E29E6}"/>
    <cellStyle name="Note 2 2 2 2 5 2 3" xfId="13810" xr:uid="{29EDF152-181C-4DA9-9008-1FAD2CDF2F08}"/>
    <cellStyle name="Note 2 2 2 2 5 2 3 2" xfId="32406" xr:uid="{7CF03B02-7227-4506-BD4E-FEC12A056887}"/>
    <cellStyle name="Note 2 2 2 2 5 2 4" xfId="23109" xr:uid="{6AE0B706-FFE0-48B1-9D3D-D069A9EDA86B}"/>
    <cellStyle name="Note 2 2 2 2 5 3" xfId="6556" xr:uid="{00000000-0005-0000-0000-0000A7200000}"/>
    <cellStyle name="Note 2 2 2 2 5 3 2" xfId="15882" xr:uid="{8B823454-858D-4427-B4C1-27059B341FAB}"/>
    <cellStyle name="Note 2 2 2 2 5 3 2 2" xfId="34478" xr:uid="{B00A0CFA-19C8-49F4-90A6-7EF0C80B4F68}"/>
    <cellStyle name="Note 2 2 2 2 5 3 3" xfId="25181" xr:uid="{45597DFA-0204-4110-8B73-9887F6360553}"/>
    <cellStyle name="Note 2 2 2 2 5 4" xfId="11665" xr:uid="{B35AFE72-49EC-47B0-B291-FE16F3E302BF}"/>
    <cellStyle name="Note 2 2 2 2 5 4 2" xfId="30261" xr:uid="{1B2C9517-704C-44D7-8984-40287BF3EE36}"/>
    <cellStyle name="Note 2 2 2 2 5 5" xfId="20964" xr:uid="{82BBCC92-5772-4320-8674-E592AB552844}"/>
    <cellStyle name="Note 2 2 2 2 6" xfId="2686" xr:uid="{00000000-0005-0000-0000-0000A8200000}"/>
    <cellStyle name="Note 2 2 2 2 6 2" xfId="6969" xr:uid="{00000000-0005-0000-0000-0000A9200000}"/>
    <cellStyle name="Note 2 2 2 2 6 2 2" xfId="16295" xr:uid="{CBE2F38D-7311-47B9-B31A-0A80C60F5D0F}"/>
    <cellStyle name="Note 2 2 2 2 6 2 2 2" xfId="34891" xr:uid="{CAA445F0-E3AD-4441-B97E-B1BEE52E2AEA}"/>
    <cellStyle name="Note 2 2 2 2 6 2 3" xfId="25594" xr:uid="{5F51FD97-4DFE-4A98-846E-B98677038D85}"/>
    <cellStyle name="Note 2 2 2 2 6 3" xfId="12078" xr:uid="{2E91B26A-8B6E-4F94-8EDF-6DA700B522B2}"/>
    <cellStyle name="Note 2 2 2 2 6 3 2" xfId="30674" xr:uid="{EE6D145E-3D26-43D1-8388-0963C1955AD2}"/>
    <cellStyle name="Note 2 2 2 2 6 4" xfId="21377" xr:uid="{2AA53F82-8DB3-4A43-BEC0-639345BB9B72}"/>
    <cellStyle name="Note 2 2 2 2 7" xfId="2745" xr:uid="{00000000-0005-0000-0000-0000AA200000}"/>
    <cellStyle name="Note 2 2 2 2 8" xfId="2826" xr:uid="{00000000-0005-0000-0000-0000AB200000}"/>
    <cellStyle name="Note 2 2 2 2 8 2" xfId="7049" xr:uid="{00000000-0005-0000-0000-0000AC200000}"/>
    <cellStyle name="Note 2 2 2 2 8 2 2" xfId="16375" xr:uid="{DC35C932-38D7-4933-8D90-1AA9967219AF}"/>
    <cellStyle name="Note 2 2 2 2 8 2 2 2" xfId="34971" xr:uid="{5C343763-B974-40D3-B74D-3E1FA6CC0E87}"/>
    <cellStyle name="Note 2 2 2 2 8 2 3" xfId="25674" xr:uid="{BEB2A3DF-248E-4EE2-AD8B-14BE9CB3B1FE}"/>
    <cellStyle name="Note 2 2 2 2 8 3" xfId="12158" xr:uid="{04624D34-4326-4CDD-92FA-4C9BD1CD3A20}"/>
    <cellStyle name="Note 2 2 2 2 8 3 2" xfId="30754" xr:uid="{C0A172F1-EBC3-48B7-A497-0412B0B5D94A}"/>
    <cellStyle name="Note 2 2 2 2 8 4" xfId="21457" xr:uid="{5B0EC859-6054-4371-855B-756CAF52E2F4}"/>
    <cellStyle name="Note 2 2 2 2 9" xfId="4904" xr:uid="{00000000-0005-0000-0000-0000AD200000}"/>
    <cellStyle name="Note 2 2 2 2 9 2" xfId="14230" xr:uid="{2D6280CD-419F-4734-B719-CE5BD96E3543}"/>
    <cellStyle name="Note 2 2 2 2 9 2 2" xfId="32826" xr:uid="{6DBD7D5A-795E-4E49-89B1-CCD028CDE97E}"/>
    <cellStyle name="Note 2 2 2 2 9 3" xfId="23529" xr:uid="{CDEF73E7-9F1F-4543-9C08-82206D5A4C4A}"/>
    <cellStyle name="Note 2 2 2 3" xfId="1007" xr:uid="{00000000-0005-0000-0000-0000AE200000}"/>
    <cellStyle name="Note 2 2 2 3 2" xfId="3239" xr:uid="{00000000-0005-0000-0000-0000AF200000}"/>
    <cellStyle name="Note 2 2 2 3 2 2" xfId="7461" xr:uid="{00000000-0005-0000-0000-0000B0200000}"/>
    <cellStyle name="Note 2 2 2 3 2 2 2" xfId="16787" xr:uid="{6E8FAABB-2613-40E8-9EB1-9BCB4E06330D}"/>
    <cellStyle name="Note 2 2 2 3 2 2 2 2" xfId="35383" xr:uid="{CF4E37DF-EC01-46F1-8CC2-A5E1E65AA481}"/>
    <cellStyle name="Note 2 2 2 3 2 2 3" xfId="26086" xr:uid="{14671C0F-9D47-445D-A613-0B56A7D64216}"/>
    <cellStyle name="Note 2 2 2 3 2 3" xfId="12570" xr:uid="{F7C1823B-14CE-42AD-B552-E2603B2DAFFC}"/>
    <cellStyle name="Note 2 2 2 3 2 3 2" xfId="31166" xr:uid="{BC8CBA89-E5B3-4F75-94E5-63B58F3A03EB}"/>
    <cellStyle name="Note 2 2 2 3 2 4" xfId="21869" xr:uid="{7F1DB868-1417-434F-B98C-1D9E94488D06}"/>
    <cellStyle name="Note 2 2 2 3 3" xfId="5316" xr:uid="{00000000-0005-0000-0000-0000B1200000}"/>
    <cellStyle name="Note 2 2 2 3 3 2" xfId="14642" xr:uid="{16CCC72F-6668-439F-A0A5-F73788BC6E2B}"/>
    <cellStyle name="Note 2 2 2 3 3 2 2" xfId="33238" xr:uid="{7A9CF6B4-E95D-4A78-B6C9-EE08915D44F6}"/>
    <cellStyle name="Note 2 2 2 3 3 3" xfId="23941" xr:uid="{76FA578D-6B80-4B48-A0B5-88CB375DC773}"/>
    <cellStyle name="Note 2 2 2 3 4" xfId="9369" xr:uid="{37FCA23B-964B-404F-A343-B489211FDCDC}"/>
    <cellStyle name="Note 2 2 2 3 4 2" xfId="18684" xr:uid="{9D59CF87-E2F6-49EC-9FA3-21FDCBA800B9}"/>
    <cellStyle name="Note 2 2 2 3 4 2 2" xfId="37278" xr:uid="{DC110AA4-BB3E-4B71-897C-9A4C840BFAE3}"/>
    <cellStyle name="Note 2 2 2 3 4 3" xfId="27981" xr:uid="{BEDF1B83-AA1B-4653-9E7F-6CE974A44D6C}"/>
    <cellStyle name="Note 2 2 2 3 5" xfId="10425" xr:uid="{72928997-8892-4A79-BBBE-37092370F217}"/>
    <cellStyle name="Note 2 2 2 3 5 2" xfId="29021" xr:uid="{E24D1437-7386-4D74-8F36-8FDE5AC74542}"/>
    <cellStyle name="Note 2 2 2 3 6" xfId="19724" xr:uid="{EAE4DD15-F600-4B20-AE2F-CA99B2DF3B05}"/>
    <cellStyle name="Note 2 2 2 4" xfId="1422" xr:uid="{00000000-0005-0000-0000-0000B2200000}"/>
    <cellStyle name="Note 2 2 2 4 2" xfId="3652" xr:uid="{00000000-0005-0000-0000-0000B3200000}"/>
    <cellStyle name="Note 2 2 2 4 2 2" xfId="7874" xr:uid="{00000000-0005-0000-0000-0000B4200000}"/>
    <cellStyle name="Note 2 2 2 4 2 2 2" xfId="17200" xr:uid="{2D28C4D0-A437-4B6D-B974-55F865609794}"/>
    <cellStyle name="Note 2 2 2 4 2 2 2 2" xfId="35796" xr:uid="{B853783A-932B-4FAA-878E-8C748E98A49E}"/>
    <cellStyle name="Note 2 2 2 4 2 2 3" xfId="26499" xr:uid="{15B7AB51-912B-478C-8D02-E87CD432B505}"/>
    <cellStyle name="Note 2 2 2 4 2 3" xfId="12983" xr:uid="{EDA1B444-4F27-482D-94B0-FAC8FBA0FF2B}"/>
    <cellStyle name="Note 2 2 2 4 2 3 2" xfId="31579" xr:uid="{DDA5EA5A-EFD7-4B5E-AF96-7B4F8BBAA403}"/>
    <cellStyle name="Note 2 2 2 4 2 4" xfId="22282" xr:uid="{E2212A00-FA02-44F5-964F-0105E377A22D}"/>
    <cellStyle name="Note 2 2 2 4 3" xfId="5729" xr:uid="{00000000-0005-0000-0000-0000B5200000}"/>
    <cellStyle name="Note 2 2 2 4 3 2" xfId="15055" xr:uid="{27B7510C-5A34-4528-A5E2-1E104E0AD65C}"/>
    <cellStyle name="Note 2 2 2 4 3 2 2" xfId="33651" xr:uid="{9E464725-AB9B-43F8-8411-E15C11C8CC47}"/>
    <cellStyle name="Note 2 2 2 4 3 3" xfId="24354" xr:uid="{3F0A5C41-2FAA-4EDB-9988-595B771BAC7D}"/>
    <cellStyle name="Note 2 2 2 4 4" xfId="10838" xr:uid="{F203F0D1-BF5B-4E63-B5A0-38E4643B38DC}"/>
    <cellStyle name="Note 2 2 2 4 4 2" xfId="29434" xr:uid="{80BF419B-27B6-4B5A-AA80-74232699C85D}"/>
    <cellStyle name="Note 2 2 2 4 5" xfId="20137" xr:uid="{17ADDC3C-528B-4B8A-BF78-F92E41525882}"/>
    <cellStyle name="Note 2 2 2 5" xfId="1836" xr:uid="{00000000-0005-0000-0000-0000B6200000}"/>
    <cellStyle name="Note 2 2 2 5 2" xfId="4065" xr:uid="{00000000-0005-0000-0000-0000B7200000}"/>
    <cellStyle name="Note 2 2 2 5 2 2" xfId="8287" xr:uid="{00000000-0005-0000-0000-0000B8200000}"/>
    <cellStyle name="Note 2 2 2 5 2 2 2" xfId="17613" xr:uid="{9A94FB0C-6952-44E9-9B1F-2C85DEF6EDF9}"/>
    <cellStyle name="Note 2 2 2 5 2 2 2 2" xfId="36209" xr:uid="{D6F92FFE-82DA-4916-A5D7-D7D0C25C8498}"/>
    <cellStyle name="Note 2 2 2 5 2 2 3" xfId="26912" xr:uid="{4F33EC71-EE80-4E17-BD6B-590947BF84BD}"/>
    <cellStyle name="Note 2 2 2 5 2 3" xfId="13396" xr:uid="{04B21D1D-8982-474C-9C07-46CED87661EF}"/>
    <cellStyle name="Note 2 2 2 5 2 3 2" xfId="31992" xr:uid="{CE770A7D-8AF6-4C1F-8759-85376B180217}"/>
    <cellStyle name="Note 2 2 2 5 2 4" xfId="22695" xr:uid="{45F5D428-FBAD-4248-8713-C313783A0C43}"/>
    <cellStyle name="Note 2 2 2 5 3" xfId="6142" xr:uid="{00000000-0005-0000-0000-0000B9200000}"/>
    <cellStyle name="Note 2 2 2 5 3 2" xfId="15468" xr:uid="{9BBD6FCD-FDDA-4564-8F6B-EBAD698D06CA}"/>
    <cellStyle name="Note 2 2 2 5 3 2 2" xfId="34064" xr:uid="{111635B3-6B8B-46A7-81AD-B278D0218F29}"/>
    <cellStyle name="Note 2 2 2 5 3 3" xfId="24767" xr:uid="{8A3C8A93-6BB3-456C-A298-833DA3C4D065}"/>
    <cellStyle name="Note 2 2 2 5 4" xfId="11251" xr:uid="{B5D1EBF0-4399-4691-A0CA-D0EE3308B4C3}"/>
    <cellStyle name="Note 2 2 2 5 4 2" xfId="29847" xr:uid="{979C60FE-B664-4092-94C9-5F1C4976F7E1}"/>
    <cellStyle name="Note 2 2 2 5 5" xfId="20550" xr:uid="{9CFCB2F0-8606-4BC9-8544-893C7C6F0517}"/>
    <cellStyle name="Note 2 2 2 6" xfId="2249" xr:uid="{00000000-0005-0000-0000-0000BA200000}"/>
    <cellStyle name="Note 2 2 2 6 2" xfId="4478" xr:uid="{00000000-0005-0000-0000-0000BB200000}"/>
    <cellStyle name="Note 2 2 2 6 2 2" xfId="8700" xr:uid="{00000000-0005-0000-0000-0000BC200000}"/>
    <cellStyle name="Note 2 2 2 6 2 2 2" xfId="18026" xr:uid="{2B63AF84-3F87-4151-A366-5425C3AABF5F}"/>
    <cellStyle name="Note 2 2 2 6 2 2 2 2" xfId="36622" xr:uid="{0EE137AC-AE41-4F82-BA02-C50C41CE2921}"/>
    <cellStyle name="Note 2 2 2 6 2 2 3" xfId="27325" xr:uid="{DFDEDE09-4923-41AA-B44D-3639781FC627}"/>
    <cellStyle name="Note 2 2 2 6 2 3" xfId="13809" xr:uid="{8408693A-CF1A-42C0-8406-EE4198428E66}"/>
    <cellStyle name="Note 2 2 2 6 2 3 2" xfId="32405" xr:uid="{7938A631-1115-4E1A-B1CC-CE510ED50832}"/>
    <cellStyle name="Note 2 2 2 6 2 4" xfId="23108" xr:uid="{7A4CC038-9DD7-41DC-B8EF-D7D867110E00}"/>
    <cellStyle name="Note 2 2 2 6 3" xfId="6555" xr:uid="{00000000-0005-0000-0000-0000BD200000}"/>
    <cellStyle name="Note 2 2 2 6 3 2" xfId="15881" xr:uid="{873D0FB7-DC90-40A2-9520-F882BC79E95A}"/>
    <cellStyle name="Note 2 2 2 6 3 2 2" xfId="34477" xr:uid="{CFD94894-07C0-49FB-8987-1691C0BAF8E7}"/>
    <cellStyle name="Note 2 2 2 6 3 3" xfId="25180" xr:uid="{CB2ABFD0-CACF-4025-A7E4-73DE2DC0E0EA}"/>
    <cellStyle name="Note 2 2 2 6 4" xfId="11664" xr:uid="{22249E53-747F-42D8-95E4-C0DE284B3385}"/>
    <cellStyle name="Note 2 2 2 6 4 2" xfId="30260" xr:uid="{47317AF7-B884-4AC4-96B2-BDBF24BBDB68}"/>
    <cellStyle name="Note 2 2 2 6 5" xfId="20963" xr:uid="{C6ADCE7D-BC3E-48B8-81F4-27A1CE493946}"/>
    <cellStyle name="Note 2 2 2 7" xfId="2685" xr:uid="{00000000-0005-0000-0000-0000BE200000}"/>
    <cellStyle name="Note 2 2 2 7 2" xfId="6968" xr:uid="{00000000-0005-0000-0000-0000BF200000}"/>
    <cellStyle name="Note 2 2 2 7 2 2" xfId="16294" xr:uid="{295563A0-F4A9-412B-8F7E-9022D99CD89F}"/>
    <cellStyle name="Note 2 2 2 7 2 2 2" xfId="34890" xr:uid="{FA73E31D-1B13-423A-AB24-0555B291FFA7}"/>
    <cellStyle name="Note 2 2 2 7 2 3" xfId="25593" xr:uid="{993F84C5-1BFB-40F4-B28A-1B0C3DD3264C}"/>
    <cellStyle name="Note 2 2 2 7 3" xfId="12077" xr:uid="{AE71952B-B652-4B89-BBDA-92EF7668591A}"/>
    <cellStyle name="Note 2 2 2 7 3 2" xfId="30673" xr:uid="{13DDF394-027A-4337-A865-F471FF13D7FF}"/>
    <cellStyle name="Note 2 2 2 7 4" xfId="21376" xr:uid="{835B0006-D641-4F26-9674-B7419C29ED94}"/>
    <cellStyle name="Note 2 2 2 8" xfId="2744" xr:uid="{00000000-0005-0000-0000-0000C0200000}"/>
    <cellStyle name="Note 2 2 2 9" xfId="2825" xr:uid="{00000000-0005-0000-0000-0000C1200000}"/>
    <cellStyle name="Note 2 2 2 9 2" xfId="7048" xr:uid="{00000000-0005-0000-0000-0000C2200000}"/>
    <cellStyle name="Note 2 2 2 9 2 2" xfId="16374" xr:uid="{14DD273E-09A8-4FBE-BCB5-2138C0C95F67}"/>
    <cellStyle name="Note 2 2 2 9 2 2 2" xfId="34970" xr:uid="{1812A6F8-5BEF-4EC1-B594-D030449A94E3}"/>
    <cellStyle name="Note 2 2 2 9 2 3" xfId="25673" xr:uid="{6E6C98F0-EA17-4C02-8E15-91FE08CD179C}"/>
    <cellStyle name="Note 2 2 2 9 3" xfId="12157" xr:uid="{F5B445FA-92A3-4990-A4F6-E5E9AD8BF5C7}"/>
    <cellStyle name="Note 2 2 2 9 3 2" xfId="30753" xr:uid="{5E8B57DC-2FC8-44C7-A8FA-56F92A4A6A40}"/>
    <cellStyle name="Note 2 2 2 9 4" xfId="21456" xr:uid="{5C11A489-788C-4843-BFE9-C3D13E89CAB5}"/>
    <cellStyle name="Note 2 2 3" xfId="548" xr:uid="{00000000-0005-0000-0000-0000C3200000}"/>
    <cellStyle name="Note 2 2 3 10" xfId="9048" xr:uid="{894401FF-B7D8-49E8-91E6-A1C42DD04D54}"/>
    <cellStyle name="Note 2 2 3 10 2" xfId="18372" xr:uid="{4567CAEA-AAFC-4DBB-BDEA-1463F6AFB65B}"/>
    <cellStyle name="Note 2 2 3 10 2 2" xfId="36967" xr:uid="{BBC63015-897B-4C6E-8A39-2B478A8E53DA}"/>
    <cellStyle name="Note 2 2 3 10 3" xfId="27670" xr:uid="{06D292EF-3495-4FBF-9A9F-D5E08CD366D5}"/>
    <cellStyle name="Note 2 2 3 11" xfId="10014" xr:uid="{87A61FBD-F466-4A1A-B014-EE317DB974DE}"/>
    <cellStyle name="Note 2 2 3 11 2" xfId="28610" xr:uid="{693A8DA7-40DE-42F8-B389-666DCF106769}"/>
    <cellStyle name="Note 2 2 3 12" xfId="19313" xr:uid="{4521968B-558E-4447-8EA2-88EA8FA9414C}"/>
    <cellStyle name="Note 2 2 3 2" xfId="1009" xr:uid="{00000000-0005-0000-0000-0000C4200000}"/>
    <cellStyle name="Note 2 2 3 2 2" xfId="3241" xr:uid="{00000000-0005-0000-0000-0000C5200000}"/>
    <cellStyle name="Note 2 2 3 2 2 2" xfId="7463" xr:uid="{00000000-0005-0000-0000-0000C6200000}"/>
    <cellStyle name="Note 2 2 3 2 2 2 2" xfId="16789" xr:uid="{40AA2956-42B3-4039-8EE5-2C50AC6F61F3}"/>
    <cellStyle name="Note 2 2 3 2 2 2 2 2" xfId="35385" xr:uid="{56218B15-17E3-452D-B9C9-B3E574981524}"/>
    <cellStyle name="Note 2 2 3 2 2 2 3" xfId="26088" xr:uid="{A4E7C833-759E-42D0-BD9A-1B5CB6D4CE1E}"/>
    <cellStyle name="Note 2 2 3 2 2 3" xfId="12572" xr:uid="{E524BEAA-592B-468B-AD52-77C7D95288C7}"/>
    <cellStyle name="Note 2 2 3 2 2 3 2" xfId="31168" xr:uid="{D3DC305A-FD8C-4BAB-8058-508078F52B01}"/>
    <cellStyle name="Note 2 2 3 2 2 4" xfId="21871" xr:uid="{A36E16DD-495D-4A28-9AF4-AAB61B0D2866}"/>
    <cellStyle name="Note 2 2 3 2 3" xfId="5318" xr:uid="{00000000-0005-0000-0000-0000C7200000}"/>
    <cellStyle name="Note 2 2 3 2 3 2" xfId="14644" xr:uid="{FDF4126C-326A-4B0D-94C0-01AB8F13EF42}"/>
    <cellStyle name="Note 2 2 3 2 3 2 2" xfId="33240" xr:uid="{52317D58-BEDA-4669-A3EE-CDE22A773E22}"/>
    <cellStyle name="Note 2 2 3 2 3 3" xfId="23943" xr:uid="{9125B2BD-C23A-4D7A-928D-A014D17C397B}"/>
    <cellStyle name="Note 2 2 3 2 4" xfId="9473" xr:uid="{7711F4E0-385B-44CD-ACEA-5E9D7E4CD8DC}"/>
    <cellStyle name="Note 2 2 3 2 4 2" xfId="18788" xr:uid="{1D13EAF2-293A-44F9-985F-BC062153A326}"/>
    <cellStyle name="Note 2 2 3 2 4 2 2" xfId="37382" xr:uid="{C77893E7-13DC-4241-8434-5203171773ED}"/>
    <cellStyle name="Note 2 2 3 2 4 3" xfId="28085" xr:uid="{199B5438-4A44-4938-A8C4-4C9DCFCA3CB1}"/>
    <cellStyle name="Note 2 2 3 2 5" xfId="10427" xr:uid="{65411CD4-B43A-433D-AD87-B412415EFCCF}"/>
    <cellStyle name="Note 2 2 3 2 5 2" xfId="29023" xr:uid="{C142A69F-EE69-482F-B07F-5E2680BE0D78}"/>
    <cellStyle name="Note 2 2 3 2 6" xfId="19726" xr:uid="{5E32A67E-9ABB-4F7C-933E-F5DE2300485B}"/>
    <cellStyle name="Note 2 2 3 3" xfId="1424" xr:uid="{00000000-0005-0000-0000-0000C8200000}"/>
    <cellStyle name="Note 2 2 3 3 2" xfId="3654" xr:uid="{00000000-0005-0000-0000-0000C9200000}"/>
    <cellStyle name="Note 2 2 3 3 2 2" xfId="7876" xr:uid="{00000000-0005-0000-0000-0000CA200000}"/>
    <cellStyle name="Note 2 2 3 3 2 2 2" xfId="17202" xr:uid="{96F6BF73-7D4C-4C79-92EC-CF48BB06CB5E}"/>
    <cellStyle name="Note 2 2 3 3 2 2 2 2" xfId="35798" xr:uid="{314147CA-014D-4FF2-9653-C4149EDF344A}"/>
    <cellStyle name="Note 2 2 3 3 2 2 3" xfId="26501" xr:uid="{26FB7E49-EDC4-4F86-AC34-EA3802F3C675}"/>
    <cellStyle name="Note 2 2 3 3 2 3" xfId="12985" xr:uid="{BFE3DE30-A4F7-4E64-BFE0-1F4B059C315A}"/>
    <cellStyle name="Note 2 2 3 3 2 3 2" xfId="31581" xr:uid="{DD90186C-C8E1-4A86-86EE-B0BA11724944}"/>
    <cellStyle name="Note 2 2 3 3 2 4" xfId="22284" xr:uid="{CBA5A4B9-3DF7-4CED-B6D0-310FFDBDDFD7}"/>
    <cellStyle name="Note 2 2 3 3 3" xfId="5731" xr:uid="{00000000-0005-0000-0000-0000CB200000}"/>
    <cellStyle name="Note 2 2 3 3 3 2" xfId="15057" xr:uid="{B7342CE1-C410-48C2-B0AB-2BA34D9AE496}"/>
    <cellStyle name="Note 2 2 3 3 3 2 2" xfId="33653" xr:uid="{0623E767-B4BF-4E32-A9C3-090462777A3C}"/>
    <cellStyle name="Note 2 2 3 3 3 3" xfId="24356" xr:uid="{7A788AD5-3B23-4D1C-96C9-DE1D4EEE178F}"/>
    <cellStyle name="Note 2 2 3 3 4" xfId="10840" xr:uid="{FB8B17BD-7695-4CCF-B621-298627E046FE}"/>
    <cellStyle name="Note 2 2 3 3 4 2" xfId="29436" xr:uid="{D6AA829A-7711-4CE6-B3C4-4640C34BA74C}"/>
    <cellStyle name="Note 2 2 3 3 5" xfId="20139" xr:uid="{C52F8EC8-2343-4000-BC02-D66B0B8051FC}"/>
    <cellStyle name="Note 2 2 3 4" xfId="1838" xr:uid="{00000000-0005-0000-0000-0000CC200000}"/>
    <cellStyle name="Note 2 2 3 4 2" xfId="4067" xr:uid="{00000000-0005-0000-0000-0000CD200000}"/>
    <cellStyle name="Note 2 2 3 4 2 2" xfId="8289" xr:uid="{00000000-0005-0000-0000-0000CE200000}"/>
    <cellStyle name="Note 2 2 3 4 2 2 2" xfId="17615" xr:uid="{39BE3212-15B2-450B-9DC6-582E03663B2F}"/>
    <cellStyle name="Note 2 2 3 4 2 2 2 2" xfId="36211" xr:uid="{79174FC8-C2EE-44E7-B4E3-110B756D39B1}"/>
    <cellStyle name="Note 2 2 3 4 2 2 3" xfId="26914" xr:uid="{D27FE0CA-2930-4222-AE92-20681AC1B902}"/>
    <cellStyle name="Note 2 2 3 4 2 3" xfId="13398" xr:uid="{40B22282-D7B9-49B2-A597-462EB371B285}"/>
    <cellStyle name="Note 2 2 3 4 2 3 2" xfId="31994" xr:uid="{83D58891-D133-4A88-ACF1-044571DAF708}"/>
    <cellStyle name="Note 2 2 3 4 2 4" xfId="22697" xr:uid="{E5E40E22-4778-44D3-9BE7-C0A452E66B36}"/>
    <cellStyle name="Note 2 2 3 4 3" xfId="6144" xr:uid="{00000000-0005-0000-0000-0000CF200000}"/>
    <cellStyle name="Note 2 2 3 4 3 2" xfId="15470" xr:uid="{E5EBA034-8154-460D-B918-184AF045AA71}"/>
    <cellStyle name="Note 2 2 3 4 3 2 2" xfId="34066" xr:uid="{7B8C61B4-4E17-4D93-984C-A1E4AB0B8923}"/>
    <cellStyle name="Note 2 2 3 4 3 3" xfId="24769" xr:uid="{EB0AADEA-5A76-41C3-B6F0-475CE1818F09}"/>
    <cellStyle name="Note 2 2 3 4 4" xfId="11253" xr:uid="{3415D598-494B-4A61-A7C8-22FBE68056A1}"/>
    <cellStyle name="Note 2 2 3 4 4 2" xfId="29849" xr:uid="{15CCFFE5-BB33-4720-8B21-0E610BC562C9}"/>
    <cellStyle name="Note 2 2 3 4 5" xfId="20552" xr:uid="{75E25589-31AF-4D11-BDB3-37ECC6C5A87D}"/>
    <cellStyle name="Note 2 2 3 5" xfId="2251" xr:uid="{00000000-0005-0000-0000-0000D0200000}"/>
    <cellStyle name="Note 2 2 3 5 2" xfId="4480" xr:uid="{00000000-0005-0000-0000-0000D1200000}"/>
    <cellStyle name="Note 2 2 3 5 2 2" xfId="8702" xr:uid="{00000000-0005-0000-0000-0000D2200000}"/>
    <cellStyle name="Note 2 2 3 5 2 2 2" xfId="18028" xr:uid="{0B868815-1F63-4F46-A8D6-5FAB3F2666D3}"/>
    <cellStyle name="Note 2 2 3 5 2 2 2 2" xfId="36624" xr:uid="{5BA5E8C9-DCEC-49E5-8D15-F841A8E6BEB8}"/>
    <cellStyle name="Note 2 2 3 5 2 2 3" xfId="27327" xr:uid="{8C15F1E6-CECA-44B4-A069-02A4820B2CB2}"/>
    <cellStyle name="Note 2 2 3 5 2 3" xfId="13811" xr:uid="{B36BC985-496E-4688-A1FE-9C11B0DF6461}"/>
    <cellStyle name="Note 2 2 3 5 2 3 2" xfId="32407" xr:uid="{69A45EDD-E0B4-4BDD-82C3-5F8BFF864622}"/>
    <cellStyle name="Note 2 2 3 5 2 4" xfId="23110" xr:uid="{3404873F-EA7B-422E-82B8-9A96810D8FBF}"/>
    <cellStyle name="Note 2 2 3 5 3" xfId="6557" xr:uid="{00000000-0005-0000-0000-0000D3200000}"/>
    <cellStyle name="Note 2 2 3 5 3 2" xfId="15883" xr:uid="{BABF995E-2521-4F63-B1FC-37F39D31B507}"/>
    <cellStyle name="Note 2 2 3 5 3 2 2" xfId="34479" xr:uid="{D056685C-00D3-4F6F-B304-6701E8DE4403}"/>
    <cellStyle name="Note 2 2 3 5 3 3" xfId="25182" xr:uid="{BA88AE0D-AC84-4F54-B383-23D20C487F3C}"/>
    <cellStyle name="Note 2 2 3 5 4" xfId="11666" xr:uid="{875C087E-14D6-456E-A818-B09B4F960E79}"/>
    <cellStyle name="Note 2 2 3 5 4 2" xfId="30262" xr:uid="{2545AE7E-A27C-4E95-98CF-D73C91BB07D4}"/>
    <cellStyle name="Note 2 2 3 5 5" xfId="20965" xr:uid="{37E1C7A2-3624-48AB-ADBB-94973BCCCBB5}"/>
    <cellStyle name="Note 2 2 3 6" xfId="2687" xr:uid="{00000000-0005-0000-0000-0000D4200000}"/>
    <cellStyle name="Note 2 2 3 6 2" xfId="6970" xr:uid="{00000000-0005-0000-0000-0000D5200000}"/>
    <cellStyle name="Note 2 2 3 6 2 2" xfId="16296" xr:uid="{FC9C33B7-4CA1-4D6F-8D93-6C93D98C7039}"/>
    <cellStyle name="Note 2 2 3 6 2 2 2" xfId="34892" xr:uid="{05AC4FEA-57AB-4089-9F84-EE3A63162DDB}"/>
    <cellStyle name="Note 2 2 3 6 2 3" xfId="25595" xr:uid="{6DE9E2AC-5C40-4408-B962-290496311341}"/>
    <cellStyle name="Note 2 2 3 6 3" xfId="12079" xr:uid="{2F8AF8BE-3D30-4390-B460-06400531861D}"/>
    <cellStyle name="Note 2 2 3 6 3 2" xfId="30675" xr:uid="{5BAAF381-9F80-4DD7-9A85-2EA7CF91127A}"/>
    <cellStyle name="Note 2 2 3 6 4" xfId="21378" xr:uid="{771429EB-FE47-4979-8272-95A41D324F90}"/>
    <cellStyle name="Note 2 2 3 7" xfId="2746" xr:uid="{00000000-0005-0000-0000-0000D6200000}"/>
    <cellStyle name="Note 2 2 3 8" xfId="2827" xr:uid="{00000000-0005-0000-0000-0000D7200000}"/>
    <cellStyle name="Note 2 2 3 8 2" xfId="7050" xr:uid="{00000000-0005-0000-0000-0000D8200000}"/>
    <cellStyle name="Note 2 2 3 8 2 2" xfId="16376" xr:uid="{050B65FC-257F-44B7-B6CE-1A58AF7413DD}"/>
    <cellStyle name="Note 2 2 3 8 2 2 2" xfId="34972" xr:uid="{416730E6-9BE5-4158-A4C4-79120E9F3756}"/>
    <cellStyle name="Note 2 2 3 8 2 3" xfId="25675" xr:uid="{0EBB1AFB-3BF7-4B78-9A79-E1486009DF1C}"/>
    <cellStyle name="Note 2 2 3 8 3" xfId="12159" xr:uid="{102F967E-AF0C-402E-ACB4-4EC79FE93E28}"/>
    <cellStyle name="Note 2 2 3 8 3 2" xfId="30755" xr:uid="{002A15ED-EDCA-4290-99DA-9DFBFF8B6B14}"/>
    <cellStyle name="Note 2 2 3 8 4" xfId="21458" xr:uid="{EEC27407-5FE5-4817-91B4-02FD56606F94}"/>
    <cellStyle name="Note 2 2 3 9" xfId="4905" xr:uid="{00000000-0005-0000-0000-0000D9200000}"/>
    <cellStyle name="Note 2 2 3 9 2" xfId="14231" xr:uid="{62CBC598-F2D8-44F9-903D-BE1F5E1F7FBA}"/>
    <cellStyle name="Note 2 2 3 9 2 2" xfId="32827" xr:uid="{081C17AC-88FB-4DB7-BB98-2A0477199E41}"/>
    <cellStyle name="Note 2 2 3 9 3" xfId="23530" xr:uid="{5A978B19-540A-4DA2-98D0-7539EF070EC2}"/>
    <cellStyle name="Note 2 2 4" xfId="1006" xr:uid="{00000000-0005-0000-0000-0000DA200000}"/>
    <cellStyle name="Note 2 2 4 2" xfId="3238" xr:uid="{00000000-0005-0000-0000-0000DB200000}"/>
    <cellStyle name="Note 2 2 4 2 2" xfId="7460" xr:uid="{00000000-0005-0000-0000-0000DC200000}"/>
    <cellStyle name="Note 2 2 4 2 2 2" xfId="16786" xr:uid="{33C42C41-B6BA-4994-A638-D321B18CBF08}"/>
    <cellStyle name="Note 2 2 4 2 2 2 2" xfId="35382" xr:uid="{B77A3744-5CDD-41BC-AE9B-3553215AE876}"/>
    <cellStyle name="Note 2 2 4 2 2 3" xfId="26085" xr:uid="{5CB0BA77-C7BB-4524-AFBD-76742B4080EB}"/>
    <cellStyle name="Note 2 2 4 2 3" xfId="12569" xr:uid="{D70833FB-ED6A-4B8C-B447-116201B93A4B}"/>
    <cellStyle name="Note 2 2 4 2 3 2" xfId="31165" xr:uid="{DFF2ADDE-8A61-45DF-8A90-A1223F199767}"/>
    <cellStyle name="Note 2 2 4 2 4" xfId="21868" xr:uid="{B31EFE31-6DFF-4CD9-A6C1-C9377BD9C2C5}"/>
    <cellStyle name="Note 2 2 4 3" xfId="5315" xr:uid="{00000000-0005-0000-0000-0000DD200000}"/>
    <cellStyle name="Note 2 2 4 3 2" xfId="14641" xr:uid="{F216AAE6-D3CA-4412-870D-796BEF6B71F0}"/>
    <cellStyle name="Note 2 2 4 3 2 2" xfId="33237" xr:uid="{3B9D0458-B46C-450B-9624-3492FCC6E379}"/>
    <cellStyle name="Note 2 2 4 3 3" xfId="23940" xr:uid="{84116063-B862-4CC8-AB60-5B2D3F904FE3}"/>
    <cellStyle name="Note 2 2 4 4" xfId="9266" xr:uid="{8B6F7B8D-50FA-47DA-836F-17B0F9492E54}"/>
    <cellStyle name="Note 2 2 4 4 2" xfId="18581" xr:uid="{BB97BF76-9B02-47E3-834E-E3D3B2A6F892}"/>
    <cellStyle name="Note 2 2 4 4 2 2" xfId="37175" xr:uid="{0E19594F-D16E-4264-92F0-5ADC7AD18395}"/>
    <cellStyle name="Note 2 2 4 4 3" xfId="27878" xr:uid="{C891F924-BDD8-4CCB-A66C-1E43E5F8F9F1}"/>
    <cellStyle name="Note 2 2 4 5" xfId="10424" xr:uid="{08C7878F-1027-4EC9-911E-ED0FD4C66887}"/>
    <cellStyle name="Note 2 2 4 5 2" xfId="29020" xr:uid="{FFDA4A91-3B81-4D9A-A8F6-989D98351A06}"/>
    <cellStyle name="Note 2 2 4 6" xfId="19723" xr:uid="{D00F879B-398C-4D8C-9311-3267D994F8DB}"/>
    <cellStyle name="Note 2 2 5" xfId="1421" xr:uid="{00000000-0005-0000-0000-0000DE200000}"/>
    <cellStyle name="Note 2 2 5 2" xfId="3651" xr:uid="{00000000-0005-0000-0000-0000DF200000}"/>
    <cellStyle name="Note 2 2 5 2 2" xfId="7873" xr:uid="{00000000-0005-0000-0000-0000E0200000}"/>
    <cellStyle name="Note 2 2 5 2 2 2" xfId="17199" xr:uid="{5AE6CC6E-C77F-46BA-940D-348568AEA65D}"/>
    <cellStyle name="Note 2 2 5 2 2 2 2" xfId="35795" xr:uid="{267C352B-1E56-41DF-833B-65F0966E3361}"/>
    <cellStyle name="Note 2 2 5 2 2 3" xfId="26498" xr:uid="{25F5DB63-3D38-45CF-A9F5-3D8CA58BC29C}"/>
    <cellStyle name="Note 2 2 5 2 3" xfId="12982" xr:uid="{E533987A-94DA-44DC-AA8F-14F3E3FE513B}"/>
    <cellStyle name="Note 2 2 5 2 3 2" xfId="31578" xr:uid="{CF2D5FA3-93AE-4AA2-A2CF-DDA3A70EEB54}"/>
    <cellStyle name="Note 2 2 5 2 4" xfId="22281" xr:uid="{B911BFED-FFF7-4241-932E-B3CFF03A59E6}"/>
    <cellStyle name="Note 2 2 5 3" xfId="5728" xr:uid="{00000000-0005-0000-0000-0000E1200000}"/>
    <cellStyle name="Note 2 2 5 3 2" xfId="15054" xr:uid="{8F6BA305-A304-4575-8C1A-F9A4230770AE}"/>
    <cellStyle name="Note 2 2 5 3 2 2" xfId="33650" xr:uid="{D2B8E767-9956-4FDF-AEA8-BAD70C48F2AF}"/>
    <cellStyle name="Note 2 2 5 3 3" xfId="24353" xr:uid="{A9ACC367-3492-46FD-AD99-BB8D9461DDAA}"/>
    <cellStyle name="Note 2 2 5 4" xfId="10837" xr:uid="{D3276E08-6C90-421B-B70E-3D064BD38330}"/>
    <cellStyle name="Note 2 2 5 4 2" xfId="29433" xr:uid="{9C021DA4-EF6E-4884-875D-5C3C8DE393F2}"/>
    <cellStyle name="Note 2 2 5 5" xfId="20136" xr:uid="{4F7CD01E-AA79-4F8D-88BA-80E61D0B0627}"/>
    <cellStyle name="Note 2 2 6" xfId="1835" xr:uid="{00000000-0005-0000-0000-0000E2200000}"/>
    <cellStyle name="Note 2 2 6 2" xfId="4064" xr:uid="{00000000-0005-0000-0000-0000E3200000}"/>
    <cellStyle name="Note 2 2 6 2 2" xfId="8286" xr:uid="{00000000-0005-0000-0000-0000E4200000}"/>
    <cellStyle name="Note 2 2 6 2 2 2" xfId="17612" xr:uid="{C92A7648-0086-43E2-94A2-B8E4C5C7AFE8}"/>
    <cellStyle name="Note 2 2 6 2 2 2 2" xfId="36208" xr:uid="{03408186-0A87-47F1-AE60-C15969152312}"/>
    <cellStyle name="Note 2 2 6 2 2 3" xfId="26911" xr:uid="{B0E5D29F-3B4B-4EC3-AE14-C8A7F9281C76}"/>
    <cellStyle name="Note 2 2 6 2 3" xfId="13395" xr:uid="{E25454E7-E4B4-474C-8C72-D2F00825454E}"/>
    <cellStyle name="Note 2 2 6 2 3 2" xfId="31991" xr:uid="{FB8AE796-544E-4E4C-BEAF-AC3A38F80275}"/>
    <cellStyle name="Note 2 2 6 2 4" xfId="22694" xr:uid="{63AF36C5-44C8-4C39-9306-AB7485DE5F30}"/>
    <cellStyle name="Note 2 2 6 3" xfId="6141" xr:uid="{00000000-0005-0000-0000-0000E5200000}"/>
    <cellStyle name="Note 2 2 6 3 2" xfId="15467" xr:uid="{D46486C9-9323-436A-8F1E-C593A9B61C55}"/>
    <cellStyle name="Note 2 2 6 3 2 2" xfId="34063" xr:uid="{52183059-9EFF-4202-A454-C57C0C6A991B}"/>
    <cellStyle name="Note 2 2 6 3 3" xfId="24766" xr:uid="{4E6A567F-B441-4F67-816C-3776CE52D744}"/>
    <cellStyle name="Note 2 2 6 4" xfId="11250" xr:uid="{09A64B39-28D6-4CCB-87FA-883102AE6CEA}"/>
    <cellStyle name="Note 2 2 6 4 2" xfId="29846" xr:uid="{2AE9768D-490D-46CA-9922-B2DF5890D0CD}"/>
    <cellStyle name="Note 2 2 6 5" xfId="20549" xr:uid="{872711CE-8AF7-40F2-B3CC-77BE80B2C283}"/>
    <cellStyle name="Note 2 2 7" xfId="2248" xr:uid="{00000000-0005-0000-0000-0000E6200000}"/>
    <cellStyle name="Note 2 2 7 2" xfId="4477" xr:uid="{00000000-0005-0000-0000-0000E7200000}"/>
    <cellStyle name="Note 2 2 7 2 2" xfId="8699" xr:uid="{00000000-0005-0000-0000-0000E8200000}"/>
    <cellStyle name="Note 2 2 7 2 2 2" xfId="18025" xr:uid="{54925F29-95B7-4A1D-8466-B5CCF97C6117}"/>
    <cellStyle name="Note 2 2 7 2 2 2 2" xfId="36621" xr:uid="{445D0A79-4E5E-4AA9-A7F4-9229D3E0045C}"/>
    <cellStyle name="Note 2 2 7 2 2 3" xfId="27324" xr:uid="{0AE7F391-2E92-4E55-B2D0-313993C1D80F}"/>
    <cellStyle name="Note 2 2 7 2 3" xfId="13808" xr:uid="{1C5EDFA5-78A5-4E77-ACBB-5A9EA953013A}"/>
    <cellStyle name="Note 2 2 7 2 3 2" xfId="32404" xr:uid="{1992FE08-FED9-4E9F-A3FF-D85A8B1555C0}"/>
    <cellStyle name="Note 2 2 7 2 4" xfId="23107" xr:uid="{0C672096-65AC-45CA-913A-9D5E0FB971EF}"/>
    <cellStyle name="Note 2 2 7 3" xfId="6554" xr:uid="{00000000-0005-0000-0000-0000E9200000}"/>
    <cellStyle name="Note 2 2 7 3 2" xfId="15880" xr:uid="{532AC802-4620-4262-8750-92BC7F55A092}"/>
    <cellStyle name="Note 2 2 7 3 2 2" xfId="34476" xr:uid="{40C3860A-ABC7-43D4-98F3-DD6CED65B068}"/>
    <cellStyle name="Note 2 2 7 3 3" xfId="25179" xr:uid="{AC0E9CA9-C329-4F80-98D0-61A0405F30D3}"/>
    <cellStyle name="Note 2 2 7 4" xfId="11663" xr:uid="{03BA3A21-AD68-49F4-9883-8EBE5C4B82CF}"/>
    <cellStyle name="Note 2 2 7 4 2" xfId="30259" xr:uid="{A35BBC0A-7EF7-434E-A274-C3F69D358D27}"/>
    <cellStyle name="Note 2 2 7 5" xfId="20962" xr:uid="{19186D15-CD7D-4397-A749-CB8AFB13A88B}"/>
    <cellStyle name="Note 2 2 8" xfId="2684" xr:uid="{00000000-0005-0000-0000-0000EA200000}"/>
    <cellStyle name="Note 2 2 8 2" xfId="6967" xr:uid="{00000000-0005-0000-0000-0000EB200000}"/>
    <cellStyle name="Note 2 2 8 2 2" xfId="16293" xr:uid="{38F91144-E893-4D2C-8289-D48A90D67309}"/>
    <cellStyle name="Note 2 2 8 2 2 2" xfId="34889" xr:uid="{0B50AFD4-3CEC-4122-998C-68597A8F4DAF}"/>
    <cellStyle name="Note 2 2 8 2 3" xfId="25592" xr:uid="{35AA924E-E931-4A96-A8BE-91E5219417B6}"/>
    <cellStyle name="Note 2 2 8 3" xfId="12076" xr:uid="{C453BAEF-893B-4FB2-A6A0-CC134B0DB584}"/>
    <cellStyle name="Note 2 2 8 3 2" xfId="30672" xr:uid="{F584F73E-7071-4394-948A-F75E4549CBB2}"/>
    <cellStyle name="Note 2 2 8 4" xfId="21375" xr:uid="{D0469FC4-DDE4-4FD5-801E-C835A31855AC}"/>
    <cellStyle name="Note 2 2 9" xfId="2743" xr:uid="{00000000-0005-0000-0000-0000EC200000}"/>
    <cellStyle name="Note 2 3" xfId="549" xr:uid="{00000000-0005-0000-0000-0000ED200000}"/>
    <cellStyle name="Note 2 3 10" xfId="4906" xr:uid="{00000000-0005-0000-0000-0000EE200000}"/>
    <cellStyle name="Note 2 3 10 2" xfId="14232" xr:uid="{D64DC34B-4025-46E3-89BC-0A85FCB41CC3}"/>
    <cellStyle name="Note 2 3 10 2 2" xfId="32828" xr:uid="{17F4C5DF-0583-4524-9156-3D3F2F248EBA}"/>
    <cellStyle name="Note 2 3 10 3" xfId="23531" xr:uid="{BCD42853-6BDD-4A61-A190-5EB35F82F915}"/>
    <cellStyle name="Note 2 3 11" xfId="8894" xr:uid="{2BFFE8D0-DA42-4876-8895-58F80713E965}"/>
    <cellStyle name="Note 2 3 11 2" xfId="18218" xr:uid="{AE13043A-0EA1-4B8C-A363-798B060546AE}"/>
    <cellStyle name="Note 2 3 11 2 2" xfId="36813" xr:uid="{0BBBDB33-B88D-471C-83AA-5A8D1CE011D4}"/>
    <cellStyle name="Note 2 3 11 3" xfId="27516" xr:uid="{2EEAECEA-7C79-4874-8BC9-AE8E5FDFB9A2}"/>
    <cellStyle name="Note 2 3 12" xfId="10015" xr:uid="{E5DD6AF5-2569-42B4-ABD9-E61DBE4C2DF2}"/>
    <cellStyle name="Note 2 3 12 2" xfId="28611" xr:uid="{BAE977B8-4A1E-4702-B436-4781F09DE9E0}"/>
    <cellStyle name="Note 2 3 13" xfId="19314" xr:uid="{81FC7AA6-220D-4D18-8C51-1643ADBB682A}"/>
    <cellStyle name="Note 2 3 2" xfId="550" xr:uid="{00000000-0005-0000-0000-0000EF200000}"/>
    <cellStyle name="Note 2 3 2 10" xfId="9101" xr:uid="{1822EEA2-225E-465E-B4CD-D4615440EC62}"/>
    <cellStyle name="Note 2 3 2 10 2" xfId="18425" xr:uid="{BCCE6023-ACDB-4158-AB1F-901443F1805E}"/>
    <cellStyle name="Note 2 3 2 10 2 2" xfId="37020" xr:uid="{A0517857-67EB-4F63-9209-BA5A143A6801}"/>
    <cellStyle name="Note 2 3 2 10 3" xfId="27723" xr:uid="{BEDC12C8-B63C-406D-BB02-C6A9D0A05BDB}"/>
    <cellStyle name="Note 2 3 2 11" xfId="10016" xr:uid="{0C3317E7-49D2-4B7E-A658-31A288104F16}"/>
    <cellStyle name="Note 2 3 2 11 2" xfId="28612" xr:uid="{1FB4C322-DBAA-4622-A24F-522E54E06E5A}"/>
    <cellStyle name="Note 2 3 2 12" xfId="19315" xr:uid="{C2252C86-2B66-4DE0-8DBA-A9599E1CE60A}"/>
    <cellStyle name="Note 2 3 2 2" xfId="1011" xr:uid="{00000000-0005-0000-0000-0000F0200000}"/>
    <cellStyle name="Note 2 3 2 2 2" xfId="3243" xr:uid="{00000000-0005-0000-0000-0000F1200000}"/>
    <cellStyle name="Note 2 3 2 2 2 2" xfId="7465" xr:uid="{00000000-0005-0000-0000-0000F2200000}"/>
    <cellStyle name="Note 2 3 2 2 2 2 2" xfId="16791" xr:uid="{3415C132-634A-46CE-8F7D-CAD58229C61B}"/>
    <cellStyle name="Note 2 3 2 2 2 2 2 2" xfId="35387" xr:uid="{CEC3E74C-1EF6-43CA-A31E-93FD8E5DB273}"/>
    <cellStyle name="Note 2 3 2 2 2 2 3" xfId="26090" xr:uid="{7AB34FB6-FFF2-4D4D-AFB5-C69C00F14A88}"/>
    <cellStyle name="Note 2 3 2 2 2 3" xfId="12574" xr:uid="{964E2FBD-F4EE-403F-AF65-D07267940AEE}"/>
    <cellStyle name="Note 2 3 2 2 2 3 2" xfId="31170" xr:uid="{95158159-B5E6-469D-9CD1-87EFA5C9ACAD}"/>
    <cellStyle name="Note 2 3 2 2 2 4" xfId="21873" xr:uid="{0CF7FB2E-0476-4AA4-A14E-D3D54ACB0CB0}"/>
    <cellStyle name="Note 2 3 2 2 3" xfId="5320" xr:uid="{00000000-0005-0000-0000-0000F3200000}"/>
    <cellStyle name="Note 2 3 2 2 3 2" xfId="14646" xr:uid="{31ED9086-5C47-4D90-8E03-270EDC45CEA1}"/>
    <cellStyle name="Note 2 3 2 2 3 2 2" xfId="33242" xr:uid="{F2BBD716-1680-4249-82CE-B8DB0BF20605}"/>
    <cellStyle name="Note 2 3 2 2 3 3" xfId="23945" xr:uid="{818C435B-AD5E-48BD-A448-86DECC35A178}"/>
    <cellStyle name="Note 2 3 2 2 4" xfId="9526" xr:uid="{1C428179-0C82-4F5D-9FE4-E11D597F9E89}"/>
    <cellStyle name="Note 2 3 2 2 4 2" xfId="18841" xr:uid="{A97C276A-4352-4618-9CEB-1453731D64AD}"/>
    <cellStyle name="Note 2 3 2 2 4 2 2" xfId="37435" xr:uid="{75F7FB85-8C6A-47C7-8A15-52E636C045C3}"/>
    <cellStyle name="Note 2 3 2 2 4 3" xfId="28138" xr:uid="{6E2A6894-9CF7-4816-AA21-0EA23CDCE696}"/>
    <cellStyle name="Note 2 3 2 2 5" xfId="10429" xr:uid="{9F03B106-7263-4FF7-BF86-75862E15BB5A}"/>
    <cellStyle name="Note 2 3 2 2 5 2" xfId="29025" xr:uid="{233C2B19-41B9-4E07-B2B1-B2CE0D873F93}"/>
    <cellStyle name="Note 2 3 2 2 6" xfId="19728" xr:uid="{96C588A9-1EA0-48C5-A339-7F59D397899E}"/>
    <cellStyle name="Note 2 3 2 3" xfId="1426" xr:uid="{00000000-0005-0000-0000-0000F4200000}"/>
    <cellStyle name="Note 2 3 2 3 2" xfId="3656" xr:uid="{00000000-0005-0000-0000-0000F5200000}"/>
    <cellStyle name="Note 2 3 2 3 2 2" xfId="7878" xr:uid="{00000000-0005-0000-0000-0000F6200000}"/>
    <cellStyle name="Note 2 3 2 3 2 2 2" xfId="17204" xr:uid="{C81A6E3A-CFCF-46A4-B875-8B3B9918436B}"/>
    <cellStyle name="Note 2 3 2 3 2 2 2 2" xfId="35800" xr:uid="{06A365A4-0D17-4764-B63E-393418E4BB7D}"/>
    <cellStyle name="Note 2 3 2 3 2 2 3" xfId="26503" xr:uid="{1573CEDA-3900-4164-A68C-9B6CBEFD3ECF}"/>
    <cellStyle name="Note 2 3 2 3 2 3" xfId="12987" xr:uid="{7265442C-9720-46D1-B10F-6CBFD1BE5ECD}"/>
    <cellStyle name="Note 2 3 2 3 2 3 2" xfId="31583" xr:uid="{0D6F5DDE-1A1C-47BA-8B77-3BFD4A98AD2A}"/>
    <cellStyle name="Note 2 3 2 3 2 4" xfId="22286" xr:uid="{738B6C07-4EEE-4FEE-B630-616864D4400C}"/>
    <cellStyle name="Note 2 3 2 3 3" xfId="5733" xr:uid="{00000000-0005-0000-0000-0000F7200000}"/>
    <cellStyle name="Note 2 3 2 3 3 2" xfId="15059" xr:uid="{F5A3F71C-0FC2-4D42-8441-D4932BEE5466}"/>
    <cellStyle name="Note 2 3 2 3 3 2 2" xfId="33655" xr:uid="{7871B7EC-66B3-4CE6-B219-35C76CFC4DA9}"/>
    <cellStyle name="Note 2 3 2 3 3 3" xfId="24358" xr:uid="{2CB49747-D349-493D-B09B-614BE4AAD85B}"/>
    <cellStyle name="Note 2 3 2 3 4" xfId="10842" xr:uid="{9FAAEDB1-6474-42DE-BF7F-3373F0347CBC}"/>
    <cellStyle name="Note 2 3 2 3 4 2" xfId="29438" xr:uid="{7F6AAA28-8BF0-4C0F-B4B9-E971150A916D}"/>
    <cellStyle name="Note 2 3 2 3 5" xfId="20141" xr:uid="{53A91BF2-45EB-4F49-8425-04D49C8310F4}"/>
    <cellStyle name="Note 2 3 2 4" xfId="1840" xr:uid="{00000000-0005-0000-0000-0000F8200000}"/>
    <cellStyle name="Note 2 3 2 4 2" xfId="4069" xr:uid="{00000000-0005-0000-0000-0000F9200000}"/>
    <cellStyle name="Note 2 3 2 4 2 2" xfId="8291" xr:uid="{00000000-0005-0000-0000-0000FA200000}"/>
    <cellStyle name="Note 2 3 2 4 2 2 2" xfId="17617" xr:uid="{C0B73529-20A5-4C06-B7C1-C3A3362A00CB}"/>
    <cellStyle name="Note 2 3 2 4 2 2 2 2" xfId="36213" xr:uid="{875126F5-CB87-43F1-8B13-9B3B0190EE7F}"/>
    <cellStyle name="Note 2 3 2 4 2 2 3" xfId="26916" xr:uid="{6266FF63-8DD8-4CB7-8F8C-34998CAC47B7}"/>
    <cellStyle name="Note 2 3 2 4 2 3" xfId="13400" xr:uid="{C7CBA222-FF20-49ED-B5C3-FEC86552C3DE}"/>
    <cellStyle name="Note 2 3 2 4 2 3 2" xfId="31996" xr:uid="{48F2E69D-DC82-43AE-BB2B-DBEBF5C141E1}"/>
    <cellStyle name="Note 2 3 2 4 2 4" xfId="22699" xr:uid="{633F4FAF-6369-4F6A-AB45-A56B557D2B09}"/>
    <cellStyle name="Note 2 3 2 4 3" xfId="6146" xr:uid="{00000000-0005-0000-0000-0000FB200000}"/>
    <cellStyle name="Note 2 3 2 4 3 2" xfId="15472" xr:uid="{D989E2DF-DFCE-4497-93B9-3E73676B7D1D}"/>
    <cellStyle name="Note 2 3 2 4 3 2 2" xfId="34068" xr:uid="{225D6BE0-79E6-4791-A2CA-20DCD57A4C8A}"/>
    <cellStyle name="Note 2 3 2 4 3 3" xfId="24771" xr:uid="{2503126A-AD99-494B-A05A-7F3041AF2702}"/>
    <cellStyle name="Note 2 3 2 4 4" xfId="11255" xr:uid="{353F18E6-AE79-4A23-90D3-A5AC71C17373}"/>
    <cellStyle name="Note 2 3 2 4 4 2" xfId="29851" xr:uid="{36183DA0-819E-4517-90A6-4BE76FC00EEA}"/>
    <cellStyle name="Note 2 3 2 4 5" xfId="20554" xr:uid="{B80B1071-1BF6-43C9-9429-545CF9972DF6}"/>
    <cellStyle name="Note 2 3 2 5" xfId="2253" xr:uid="{00000000-0005-0000-0000-0000FC200000}"/>
    <cellStyle name="Note 2 3 2 5 2" xfId="4482" xr:uid="{00000000-0005-0000-0000-0000FD200000}"/>
    <cellStyle name="Note 2 3 2 5 2 2" xfId="8704" xr:uid="{00000000-0005-0000-0000-0000FE200000}"/>
    <cellStyle name="Note 2 3 2 5 2 2 2" xfId="18030" xr:uid="{D4EE6C4A-AAFB-463D-95E3-C91965D4F9B0}"/>
    <cellStyle name="Note 2 3 2 5 2 2 2 2" xfId="36626" xr:uid="{E57A0FD3-22BD-4734-B5C9-278E787EE63A}"/>
    <cellStyle name="Note 2 3 2 5 2 2 3" xfId="27329" xr:uid="{32E797DB-56B2-43BA-A16C-3E6F8637AD12}"/>
    <cellStyle name="Note 2 3 2 5 2 3" xfId="13813" xr:uid="{EA59305F-349F-4C5A-A3BA-3182B1EF6622}"/>
    <cellStyle name="Note 2 3 2 5 2 3 2" xfId="32409" xr:uid="{5C2FA96A-8407-48C0-A8D3-636D8A11E248}"/>
    <cellStyle name="Note 2 3 2 5 2 4" xfId="23112" xr:uid="{971B2D78-B2EC-41D3-B6C1-584556462C24}"/>
    <cellStyle name="Note 2 3 2 5 3" xfId="6559" xr:uid="{00000000-0005-0000-0000-0000FF200000}"/>
    <cellStyle name="Note 2 3 2 5 3 2" xfId="15885" xr:uid="{A3427708-2D05-4543-B66F-3EA1F9218735}"/>
    <cellStyle name="Note 2 3 2 5 3 2 2" xfId="34481" xr:uid="{E3DAD4AA-D4F3-424E-AA9C-62A96991F961}"/>
    <cellStyle name="Note 2 3 2 5 3 3" xfId="25184" xr:uid="{6FAF1838-7C41-4414-A4A5-78A3E06DD6FE}"/>
    <cellStyle name="Note 2 3 2 5 4" xfId="11668" xr:uid="{08154B26-257D-4372-B7CE-8E83F070470B}"/>
    <cellStyle name="Note 2 3 2 5 4 2" xfId="30264" xr:uid="{5B707893-F507-467E-8AC0-C46B789892B3}"/>
    <cellStyle name="Note 2 3 2 5 5" xfId="20967" xr:uid="{25D39DFF-6733-4263-8BA0-670DFF3FDDED}"/>
    <cellStyle name="Note 2 3 2 6" xfId="2689" xr:uid="{00000000-0005-0000-0000-000000210000}"/>
    <cellStyle name="Note 2 3 2 6 2" xfId="6972" xr:uid="{00000000-0005-0000-0000-000001210000}"/>
    <cellStyle name="Note 2 3 2 6 2 2" xfId="16298" xr:uid="{FE691270-4896-4A78-93FB-16CDBC14A867}"/>
    <cellStyle name="Note 2 3 2 6 2 2 2" xfId="34894" xr:uid="{5E9EEDC4-7C4F-4A6C-8CCA-9F22610D17FC}"/>
    <cellStyle name="Note 2 3 2 6 2 3" xfId="25597" xr:uid="{1F5EC0BE-50E7-4ACF-B423-771088ACB01F}"/>
    <cellStyle name="Note 2 3 2 6 3" xfId="12081" xr:uid="{A2D498BD-8E17-4C68-B6DE-B66B0B2B5DCA}"/>
    <cellStyle name="Note 2 3 2 6 3 2" xfId="30677" xr:uid="{DCA50E60-4FD8-4865-9CBF-0138D0E663E2}"/>
    <cellStyle name="Note 2 3 2 6 4" xfId="21380" xr:uid="{B0C57520-3D75-4665-9052-480F84F39747}"/>
    <cellStyle name="Note 2 3 2 7" xfId="2748" xr:uid="{00000000-0005-0000-0000-000002210000}"/>
    <cellStyle name="Note 2 3 2 8" xfId="2829" xr:uid="{00000000-0005-0000-0000-000003210000}"/>
    <cellStyle name="Note 2 3 2 8 2" xfId="7052" xr:uid="{00000000-0005-0000-0000-000004210000}"/>
    <cellStyle name="Note 2 3 2 8 2 2" xfId="16378" xr:uid="{3CD7A677-8FFA-4502-94F7-AC4E51270252}"/>
    <cellStyle name="Note 2 3 2 8 2 2 2" xfId="34974" xr:uid="{C5E3676F-6D8E-4B2E-AB48-03700579D518}"/>
    <cellStyle name="Note 2 3 2 8 2 3" xfId="25677" xr:uid="{5B836F0A-47A7-4CF3-B179-D62DBCEC2462}"/>
    <cellStyle name="Note 2 3 2 8 3" xfId="12161" xr:uid="{D577EF6E-3740-4237-A96E-A463B70FAC74}"/>
    <cellStyle name="Note 2 3 2 8 3 2" xfId="30757" xr:uid="{62C73476-E579-481F-ADD9-0A0E36D42E58}"/>
    <cellStyle name="Note 2 3 2 8 4" xfId="21460" xr:uid="{3007005C-6858-4CB0-99A7-D3DB9820B2CB}"/>
    <cellStyle name="Note 2 3 2 9" xfId="4907" xr:uid="{00000000-0005-0000-0000-000005210000}"/>
    <cellStyle name="Note 2 3 2 9 2" xfId="14233" xr:uid="{82961CE7-51FB-4F53-B270-CC58DC5E937E}"/>
    <cellStyle name="Note 2 3 2 9 2 2" xfId="32829" xr:uid="{4FAB7FD9-1985-482F-BD7A-091E34F6F36A}"/>
    <cellStyle name="Note 2 3 2 9 3" xfId="23532" xr:uid="{9E2762DA-FEE3-433E-96F3-2C1B2E01A567}"/>
    <cellStyle name="Note 2 3 3" xfId="1010" xr:uid="{00000000-0005-0000-0000-000006210000}"/>
    <cellStyle name="Note 2 3 3 2" xfId="3242" xr:uid="{00000000-0005-0000-0000-000007210000}"/>
    <cellStyle name="Note 2 3 3 2 2" xfId="7464" xr:uid="{00000000-0005-0000-0000-000008210000}"/>
    <cellStyle name="Note 2 3 3 2 2 2" xfId="16790" xr:uid="{867D82AB-45FF-4225-8E96-1E76179105D1}"/>
    <cellStyle name="Note 2 3 3 2 2 2 2" xfId="35386" xr:uid="{8E8E5B04-382F-4C76-9B06-442054949407}"/>
    <cellStyle name="Note 2 3 3 2 2 3" xfId="26089" xr:uid="{BA47DBDF-F270-4FC4-B13B-B53CE97613F7}"/>
    <cellStyle name="Note 2 3 3 2 3" xfId="12573" xr:uid="{D9803528-686D-4D17-8B9A-046D32BB42AF}"/>
    <cellStyle name="Note 2 3 3 2 3 2" xfId="31169" xr:uid="{82A06570-0164-42CA-9898-92C34A554A51}"/>
    <cellStyle name="Note 2 3 3 2 4" xfId="21872" xr:uid="{47875505-F7F5-4775-844C-91EF02BA7DB2}"/>
    <cellStyle name="Note 2 3 3 3" xfId="5319" xr:uid="{00000000-0005-0000-0000-000009210000}"/>
    <cellStyle name="Note 2 3 3 3 2" xfId="14645" xr:uid="{D84656A9-400C-46E9-91B0-33A62F2786DD}"/>
    <cellStyle name="Note 2 3 3 3 2 2" xfId="33241" xr:uid="{41D0B07A-32E0-4769-BAC4-62F4B19354D0}"/>
    <cellStyle name="Note 2 3 3 3 3" xfId="23944" xr:uid="{40E7F8E6-D2FE-449A-B4DF-D478E1C4F3C7}"/>
    <cellStyle name="Note 2 3 3 4" xfId="9319" xr:uid="{06E4A3C6-5CAA-4424-B4C3-41162F21AE7D}"/>
    <cellStyle name="Note 2 3 3 4 2" xfId="18634" xr:uid="{38A8F520-2C66-4CC7-A789-5F80CC9B4DBA}"/>
    <cellStyle name="Note 2 3 3 4 2 2" xfId="37228" xr:uid="{3164C841-3A29-44D6-AB37-E5EBB15CA4BE}"/>
    <cellStyle name="Note 2 3 3 4 3" xfId="27931" xr:uid="{4054BD58-043A-4353-A624-DDBF12E65C11}"/>
    <cellStyle name="Note 2 3 3 5" xfId="10428" xr:uid="{0EF7F484-1217-4035-A5E7-DEB745CCD24E}"/>
    <cellStyle name="Note 2 3 3 5 2" xfId="29024" xr:uid="{A8499E04-C4CB-4C13-B9E0-16581F987C32}"/>
    <cellStyle name="Note 2 3 3 6" xfId="19727" xr:uid="{9F2A9BD6-78A6-4AC9-AF7E-50F449726F86}"/>
    <cellStyle name="Note 2 3 4" xfId="1425" xr:uid="{00000000-0005-0000-0000-00000A210000}"/>
    <cellStyle name="Note 2 3 4 2" xfId="3655" xr:uid="{00000000-0005-0000-0000-00000B210000}"/>
    <cellStyle name="Note 2 3 4 2 2" xfId="7877" xr:uid="{00000000-0005-0000-0000-00000C210000}"/>
    <cellStyle name="Note 2 3 4 2 2 2" xfId="17203" xr:uid="{EEEFB30F-C2DC-4A59-8221-E9D0A1445E86}"/>
    <cellStyle name="Note 2 3 4 2 2 2 2" xfId="35799" xr:uid="{BF5BFFF0-DDC6-4267-BB26-859AC819C065}"/>
    <cellStyle name="Note 2 3 4 2 2 3" xfId="26502" xr:uid="{FB3F22F7-1DBA-4F51-9C19-3E8120B28B48}"/>
    <cellStyle name="Note 2 3 4 2 3" xfId="12986" xr:uid="{D3C78212-B882-42D2-8BC1-00C530FB3780}"/>
    <cellStyle name="Note 2 3 4 2 3 2" xfId="31582" xr:uid="{26BB82F2-0689-46FA-8679-786AB5D9CB05}"/>
    <cellStyle name="Note 2 3 4 2 4" xfId="22285" xr:uid="{EFBEB0BE-55FA-452B-8461-B508F61E01CF}"/>
    <cellStyle name="Note 2 3 4 3" xfId="5732" xr:uid="{00000000-0005-0000-0000-00000D210000}"/>
    <cellStyle name="Note 2 3 4 3 2" xfId="15058" xr:uid="{FF609BA4-685C-440E-83CF-AD8A9EB435A5}"/>
    <cellStyle name="Note 2 3 4 3 2 2" xfId="33654" xr:uid="{F0A4CF79-BDA6-4B12-B285-82831F372147}"/>
    <cellStyle name="Note 2 3 4 3 3" xfId="24357" xr:uid="{D0EF33C7-34BF-42CF-B02D-2E7D7F1D5F37}"/>
    <cellStyle name="Note 2 3 4 4" xfId="10841" xr:uid="{8B233DFA-ADAC-40E4-A7C8-20B671958DD8}"/>
    <cellStyle name="Note 2 3 4 4 2" xfId="29437" xr:uid="{8EF34FF4-2A32-4F1E-A4D7-2F194A264CCB}"/>
    <cellStyle name="Note 2 3 4 5" xfId="20140" xr:uid="{6648729C-F7A7-4AD1-96EF-36BA107D185A}"/>
    <cellStyle name="Note 2 3 5" xfId="1839" xr:uid="{00000000-0005-0000-0000-00000E210000}"/>
    <cellStyle name="Note 2 3 5 2" xfId="4068" xr:uid="{00000000-0005-0000-0000-00000F210000}"/>
    <cellStyle name="Note 2 3 5 2 2" xfId="8290" xr:uid="{00000000-0005-0000-0000-000010210000}"/>
    <cellStyle name="Note 2 3 5 2 2 2" xfId="17616" xr:uid="{63B4E619-FC02-4A14-8B99-50E505B88F2E}"/>
    <cellStyle name="Note 2 3 5 2 2 2 2" xfId="36212" xr:uid="{7FBAAB67-9819-41EA-90D9-E92BD38F98FA}"/>
    <cellStyle name="Note 2 3 5 2 2 3" xfId="26915" xr:uid="{424BCD0B-6998-4C9E-928A-0B5F98312095}"/>
    <cellStyle name="Note 2 3 5 2 3" xfId="13399" xr:uid="{E7B87E8E-E48F-4A08-96E5-F94893CB6CE1}"/>
    <cellStyle name="Note 2 3 5 2 3 2" xfId="31995" xr:uid="{184B9633-261F-4F9E-8EAC-2A1D31E0FC56}"/>
    <cellStyle name="Note 2 3 5 2 4" xfId="22698" xr:uid="{A1C8D1EE-5B3F-429D-9F8E-9824A744E595}"/>
    <cellStyle name="Note 2 3 5 3" xfId="6145" xr:uid="{00000000-0005-0000-0000-000011210000}"/>
    <cellStyle name="Note 2 3 5 3 2" xfId="15471" xr:uid="{7D5356AC-E2EC-4E88-A7B6-6B3D9E53721B}"/>
    <cellStyle name="Note 2 3 5 3 2 2" xfId="34067" xr:uid="{D15DF5F7-4705-414D-BCFA-2A0FDADA7DFF}"/>
    <cellStyle name="Note 2 3 5 3 3" xfId="24770" xr:uid="{3C95CA65-9D3C-448A-81CA-61FF71775CCF}"/>
    <cellStyle name="Note 2 3 5 4" xfId="11254" xr:uid="{D6E9AFDB-EF6B-416D-AC39-97629B3C8B70}"/>
    <cellStyle name="Note 2 3 5 4 2" xfId="29850" xr:uid="{A42B3628-5858-4971-BCFE-319112020876}"/>
    <cellStyle name="Note 2 3 5 5" xfId="20553" xr:uid="{66E6993E-B6B6-4F71-8570-2E183401E186}"/>
    <cellStyle name="Note 2 3 6" xfId="2252" xr:uid="{00000000-0005-0000-0000-000012210000}"/>
    <cellStyle name="Note 2 3 6 2" xfId="4481" xr:uid="{00000000-0005-0000-0000-000013210000}"/>
    <cellStyle name="Note 2 3 6 2 2" xfId="8703" xr:uid="{00000000-0005-0000-0000-000014210000}"/>
    <cellStyle name="Note 2 3 6 2 2 2" xfId="18029" xr:uid="{AA504D97-8F10-44AA-9F06-DD9AFF9894DF}"/>
    <cellStyle name="Note 2 3 6 2 2 2 2" xfId="36625" xr:uid="{8459803F-E1B7-4444-8C1C-A8760CDBE517}"/>
    <cellStyle name="Note 2 3 6 2 2 3" xfId="27328" xr:uid="{56E722A5-849D-4CB3-A590-409F305821F3}"/>
    <cellStyle name="Note 2 3 6 2 3" xfId="13812" xr:uid="{27A1C8A0-439C-4652-8997-B3B7349BBC2E}"/>
    <cellStyle name="Note 2 3 6 2 3 2" xfId="32408" xr:uid="{BE94819D-C826-4082-89D5-4FDF23CD305E}"/>
    <cellStyle name="Note 2 3 6 2 4" xfId="23111" xr:uid="{85E27920-D6D4-4644-BA32-07B50A9AF2DE}"/>
    <cellStyle name="Note 2 3 6 3" xfId="6558" xr:uid="{00000000-0005-0000-0000-000015210000}"/>
    <cellStyle name="Note 2 3 6 3 2" xfId="15884" xr:uid="{A2EC1BCB-85BE-4BDA-B0C3-2333646E1B0D}"/>
    <cellStyle name="Note 2 3 6 3 2 2" xfId="34480" xr:uid="{59947447-1BCA-422F-B402-13FDE88B5BDB}"/>
    <cellStyle name="Note 2 3 6 3 3" xfId="25183" xr:uid="{1E78D1E7-24F5-4A18-9113-90F4D03D35A1}"/>
    <cellStyle name="Note 2 3 6 4" xfId="11667" xr:uid="{D11621E8-3171-43FD-9107-6270C7EAC026}"/>
    <cellStyle name="Note 2 3 6 4 2" xfId="30263" xr:uid="{78A59F22-4E29-4472-9740-BF6705746B1C}"/>
    <cellStyle name="Note 2 3 6 5" xfId="20966" xr:uid="{A8A16251-C708-4AEB-A1B9-07E2FD9C9A6D}"/>
    <cellStyle name="Note 2 3 7" xfId="2688" xr:uid="{00000000-0005-0000-0000-000016210000}"/>
    <cellStyle name="Note 2 3 7 2" xfId="6971" xr:uid="{00000000-0005-0000-0000-000017210000}"/>
    <cellStyle name="Note 2 3 7 2 2" xfId="16297" xr:uid="{258F0913-2EF1-435C-A503-9D56E471A763}"/>
    <cellStyle name="Note 2 3 7 2 2 2" xfId="34893" xr:uid="{1B724DC0-6FAF-457F-9B4C-23D404746295}"/>
    <cellStyle name="Note 2 3 7 2 3" xfId="25596" xr:uid="{C671792B-7411-4ADE-9CD5-3F59C955B0D2}"/>
    <cellStyle name="Note 2 3 7 3" xfId="12080" xr:uid="{A8FD59A0-9E51-4831-99C5-DF59B9832E48}"/>
    <cellStyle name="Note 2 3 7 3 2" xfId="30676" xr:uid="{501A1BE4-9CC3-4E52-9284-CB9F23C4727C}"/>
    <cellStyle name="Note 2 3 7 4" xfId="21379" xr:uid="{700CC25E-6B66-410E-87DB-79B61E2AEC10}"/>
    <cellStyle name="Note 2 3 8" xfId="2747" xr:uid="{00000000-0005-0000-0000-000018210000}"/>
    <cellStyle name="Note 2 3 9" xfId="2828" xr:uid="{00000000-0005-0000-0000-000019210000}"/>
    <cellStyle name="Note 2 3 9 2" xfId="7051" xr:uid="{00000000-0005-0000-0000-00001A210000}"/>
    <cellStyle name="Note 2 3 9 2 2" xfId="16377" xr:uid="{0A1A5D60-A2B6-4460-BA6C-1A76984F0399}"/>
    <cellStyle name="Note 2 3 9 2 2 2" xfId="34973" xr:uid="{D64A9A56-A539-41B2-89C1-B549EF6105F3}"/>
    <cellStyle name="Note 2 3 9 2 3" xfId="25676" xr:uid="{D856E5FB-5362-40F4-96E2-E12110C347B5}"/>
    <cellStyle name="Note 2 3 9 3" xfId="12160" xr:uid="{B027CE48-C26D-43BA-974B-75F5F46653CC}"/>
    <cellStyle name="Note 2 3 9 3 2" xfId="30756" xr:uid="{00EE2805-8BF1-44D9-9031-0F6061538E32}"/>
    <cellStyle name="Note 2 3 9 4" xfId="21459" xr:uid="{BD2A276F-501C-4F1A-8B04-A7D6132B929F}"/>
    <cellStyle name="Note 2 4" xfId="551" xr:uid="{00000000-0005-0000-0000-00001B210000}"/>
    <cellStyle name="Note 2 4 10" xfId="8998" xr:uid="{AC87C288-14A9-4FB3-A26C-1706964E6651}"/>
    <cellStyle name="Note 2 4 10 2" xfId="18322" xr:uid="{6B9A933A-4AC3-460C-A335-ED6DD2D16E7C}"/>
    <cellStyle name="Note 2 4 10 2 2" xfId="36917" xr:uid="{65251C5F-707D-4379-9FEE-FEACB8FEF3B4}"/>
    <cellStyle name="Note 2 4 10 3" xfId="27620" xr:uid="{895CD1DC-A148-494E-A7D6-B1E62174CA3D}"/>
    <cellStyle name="Note 2 4 11" xfId="10017" xr:uid="{E09DC8EB-B226-4512-A036-19FA6CA2BFA0}"/>
    <cellStyle name="Note 2 4 11 2" xfId="28613" xr:uid="{5D9A47DA-FBE6-45FE-A379-5420B88D2BCA}"/>
    <cellStyle name="Note 2 4 12" xfId="19316" xr:uid="{F947E6A2-09F7-446F-9A9B-5EB70788D660}"/>
    <cellStyle name="Note 2 4 2" xfId="1012" xr:uid="{00000000-0005-0000-0000-00001C210000}"/>
    <cellStyle name="Note 2 4 2 2" xfId="3244" xr:uid="{00000000-0005-0000-0000-00001D210000}"/>
    <cellStyle name="Note 2 4 2 2 2" xfId="7466" xr:uid="{00000000-0005-0000-0000-00001E210000}"/>
    <cellStyle name="Note 2 4 2 2 2 2" xfId="16792" xr:uid="{39035930-019D-4610-9BBB-A41013DF5824}"/>
    <cellStyle name="Note 2 4 2 2 2 2 2" xfId="35388" xr:uid="{C44318D4-AF12-4110-A4B1-09829195A51F}"/>
    <cellStyle name="Note 2 4 2 2 2 3" xfId="26091" xr:uid="{7C1361EB-5AA8-4ECE-B506-2AE0AFF78E74}"/>
    <cellStyle name="Note 2 4 2 2 3" xfId="12575" xr:uid="{0C9A45A6-70EB-4528-8EA7-8D52F55D7343}"/>
    <cellStyle name="Note 2 4 2 2 3 2" xfId="31171" xr:uid="{3B3A7F5E-116E-415B-825F-05F8CBBC76C2}"/>
    <cellStyle name="Note 2 4 2 2 4" xfId="21874" xr:uid="{C7F0D179-8A16-4325-B1B8-C51EE8FA5243}"/>
    <cellStyle name="Note 2 4 2 3" xfId="5321" xr:uid="{00000000-0005-0000-0000-00001F210000}"/>
    <cellStyle name="Note 2 4 2 3 2" xfId="14647" xr:uid="{F00306B1-CB11-45DC-9654-06D0F8AD780E}"/>
    <cellStyle name="Note 2 4 2 3 2 2" xfId="33243" xr:uid="{044063E4-62D3-4E6B-B65B-8A9373606ECB}"/>
    <cellStyle name="Note 2 4 2 3 3" xfId="23946" xr:uid="{104FEC2E-0870-42DD-9401-73CCAE55FBA7}"/>
    <cellStyle name="Note 2 4 2 4" xfId="9423" xr:uid="{43B93802-BE55-43D9-BEBC-4095E3C1FF74}"/>
    <cellStyle name="Note 2 4 2 4 2" xfId="18738" xr:uid="{9B0E5926-21BD-447F-BE0F-04DB55DB8952}"/>
    <cellStyle name="Note 2 4 2 4 2 2" xfId="37332" xr:uid="{0280DEB2-65A4-4502-B49B-C6F7F02FE6E7}"/>
    <cellStyle name="Note 2 4 2 4 3" xfId="28035" xr:uid="{C7A15C89-F03F-41E2-B681-82FE60D527BA}"/>
    <cellStyle name="Note 2 4 2 5" xfId="10430" xr:uid="{D4DB6DDB-9509-464D-AAB2-E0F741BD1F57}"/>
    <cellStyle name="Note 2 4 2 5 2" xfId="29026" xr:uid="{5760C030-94DA-409A-A8B5-2D150C722D95}"/>
    <cellStyle name="Note 2 4 2 6" xfId="19729" xr:uid="{CD4A9BF5-78C2-4ACB-B3B7-9474966B6D45}"/>
    <cellStyle name="Note 2 4 3" xfId="1427" xr:uid="{00000000-0005-0000-0000-000020210000}"/>
    <cellStyle name="Note 2 4 3 2" xfId="3657" xr:uid="{00000000-0005-0000-0000-000021210000}"/>
    <cellStyle name="Note 2 4 3 2 2" xfId="7879" xr:uid="{00000000-0005-0000-0000-000022210000}"/>
    <cellStyle name="Note 2 4 3 2 2 2" xfId="17205" xr:uid="{5AAA45E4-33DD-4D4E-B2D1-27882F537612}"/>
    <cellStyle name="Note 2 4 3 2 2 2 2" xfId="35801" xr:uid="{2B078BCE-047B-4BCE-8D39-F6F50B04B06C}"/>
    <cellStyle name="Note 2 4 3 2 2 3" xfId="26504" xr:uid="{66E3CB5C-4DE7-407A-87F6-A7126463E50E}"/>
    <cellStyle name="Note 2 4 3 2 3" xfId="12988" xr:uid="{CBFF167F-CB0B-4B8F-932F-F53D6A19F3CD}"/>
    <cellStyle name="Note 2 4 3 2 3 2" xfId="31584" xr:uid="{50271B49-CA7B-42A3-8D8C-D52B04EF2D64}"/>
    <cellStyle name="Note 2 4 3 2 4" xfId="22287" xr:uid="{DACE64C4-2D33-4403-8040-DCE69C4B58CF}"/>
    <cellStyle name="Note 2 4 3 3" xfId="5734" xr:uid="{00000000-0005-0000-0000-000023210000}"/>
    <cellStyle name="Note 2 4 3 3 2" xfId="15060" xr:uid="{017AD357-3DDA-42D8-B6A7-FA0DEB19FDC2}"/>
    <cellStyle name="Note 2 4 3 3 2 2" xfId="33656" xr:uid="{B101DC2C-58B9-4139-823E-299AD8854756}"/>
    <cellStyle name="Note 2 4 3 3 3" xfId="24359" xr:uid="{3AACA933-4CA5-4588-9486-AD76E91530E8}"/>
    <cellStyle name="Note 2 4 3 4" xfId="10843" xr:uid="{20B7BB83-87C1-4F82-8B8F-D492E12D43AD}"/>
    <cellStyle name="Note 2 4 3 4 2" xfId="29439" xr:uid="{D35C9939-029D-491F-9877-DCF58B6B5EBD}"/>
    <cellStyle name="Note 2 4 3 5" xfId="20142" xr:uid="{7FF2B20A-D808-4AB1-ACD7-ACA1210DB911}"/>
    <cellStyle name="Note 2 4 4" xfId="1841" xr:uid="{00000000-0005-0000-0000-000024210000}"/>
    <cellStyle name="Note 2 4 4 2" xfId="4070" xr:uid="{00000000-0005-0000-0000-000025210000}"/>
    <cellStyle name="Note 2 4 4 2 2" xfId="8292" xr:uid="{00000000-0005-0000-0000-000026210000}"/>
    <cellStyle name="Note 2 4 4 2 2 2" xfId="17618" xr:uid="{14F25E1E-0E24-4D09-A947-C86BC46162D5}"/>
    <cellStyle name="Note 2 4 4 2 2 2 2" xfId="36214" xr:uid="{A68111EB-E898-4384-9476-518D0CB82A4C}"/>
    <cellStyle name="Note 2 4 4 2 2 3" xfId="26917" xr:uid="{B82F3ED2-2048-48D9-812A-66C60E301DD4}"/>
    <cellStyle name="Note 2 4 4 2 3" xfId="13401" xr:uid="{0890F806-C293-487A-9819-C25ED3FC63BA}"/>
    <cellStyle name="Note 2 4 4 2 3 2" xfId="31997" xr:uid="{E4917589-4F4E-4AE1-B069-A6ACCD924C3D}"/>
    <cellStyle name="Note 2 4 4 2 4" xfId="22700" xr:uid="{D8CFE038-C03C-464D-841D-C251C5DF382F}"/>
    <cellStyle name="Note 2 4 4 3" xfId="6147" xr:uid="{00000000-0005-0000-0000-000027210000}"/>
    <cellStyle name="Note 2 4 4 3 2" xfId="15473" xr:uid="{F96004A1-C50A-4656-A1DF-3381697824B8}"/>
    <cellStyle name="Note 2 4 4 3 2 2" xfId="34069" xr:uid="{F5E66A28-5DEE-4218-B361-9E28C7EE038B}"/>
    <cellStyle name="Note 2 4 4 3 3" xfId="24772" xr:uid="{103E2AD7-D3DB-4390-81B5-0AFE435F8A66}"/>
    <cellStyle name="Note 2 4 4 4" xfId="11256" xr:uid="{406EE960-2370-4305-857B-6B70D7D020B9}"/>
    <cellStyle name="Note 2 4 4 4 2" xfId="29852" xr:uid="{953680B8-C033-4664-8599-4FDABAA76261}"/>
    <cellStyle name="Note 2 4 4 5" xfId="20555" xr:uid="{8E15E43D-41AB-4FDB-9CD7-4CEA0CB0C028}"/>
    <cellStyle name="Note 2 4 5" xfId="2254" xr:uid="{00000000-0005-0000-0000-000028210000}"/>
    <cellStyle name="Note 2 4 5 2" xfId="4483" xr:uid="{00000000-0005-0000-0000-000029210000}"/>
    <cellStyle name="Note 2 4 5 2 2" xfId="8705" xr:uid="{00000000-0005-0000-0000-00002A210000}"/>
    <cellStyle name="Note 2 4 5 2 2 2" xfId="18031" xr:uid="{E3379717-BBCC-494E-9604-A5C2AC266A6E}"/>
    <cellStyle name="Note 2 4 5 2 2 2 2" xfId="36627" xr:uid="{BE2AF283-D63D-4D32-B390-DDEF34EA928F}"/>
    <cellStyle name="Note 2 4 5 2 2 3" xfId="27330" xr:uid="{CB474BCC-2250-4EDA-8124-394788DB775F}"/>
    <cellStyle name="Note 2 4 5 2 3" xfId="13814" xr:uid="{36489333-89AE-46B9-BD44-7735953AE90E}"/>
    <cellStyle name="Note 2 4 5 2 3 2" xfId="32410" xr:uid="{553BDECF-766F-4633-8E68-23CE4673F7E0}"/>
    <cellStyle name="Note 2 4 5 2 4" xfId="23113" xr:uid="{06BCFEE5-0E04-49EA-82EB-B701B474386A}"/>
    <cellStyle name="Note 2 4 5 3" xfId="6560" xr:uid="{00000000-0005-0000-0000-00002B210000}"/>
    <cellStyle name="Note 2 4 5 3 2" xfId="15886" xr:uid="{C9018293-AAB1-4976-923A-0BE8C5C8CC8F}"/>
    <cellStyle name="Note 2 4 5 3 2 2" xfId="34482" xr:uid="{C1874942-7573-4B13-9C90-F27DEE48034C}"/>
    <cellStyle name="Note 2 4 5 3 3" xfId="25185" xr:uid="{07F1DED8-4E09-4842-8C3E-87204278AF55}"/>
    <cellStyle name="Note 2 4 5 4" xfId="11669" xr:uid="{5D16755E-8738-4B54-AA1C-015B7CF375C4}"/>
    <cellStyle name="Note 2 4 5 4 2" xfId="30265" xr:uid="{70AE37EE-81B0-4C40-BA9D-720734E3B71D}"/>
    <cellStyle name="Note 2 4 5 5" xfId="20968" xr:uid="{DC97B9EB-8765-4F48-8861-436D65AE5DA0}"/>
    <cellStyle name="Note 2 4 6" xfId="2690" xr:uid="{00000000-0005-0000-0000-00002C210000}"/>
    <cellStyle name="Note 2 4 6 2" xfId="6973" xr:uid="{00000000-0005-0000-0000-00002D210000}"/>
    <cellStyle name="Note 2 4 6 2 2" xfId="16299" xr:uid="{3B60DEDA-498C-4051-8A22-13823EEF1CE7}"/>
    <cellStyle name="Note 2 4 6 2 2 2" xfId="34895" xr:uid="{31418AFA-6B79-4CF2-B02A-053EB56E191E}"/>
    <cellStyle name="Note 2 4 6 2 3" xfId="25598" xr:uid="{367805A5-925A-4A98-9756-44F2C918B92B}"/>
    <cellStyle name="Note 2 4 6 3" xfId="12082" xr:uid="{2CE772B1-3DF8-4011-A143-3E8590976ACD}"/>
    <cellStyle name="Note 2 4 6 3 2" xfId="30678" xr:uid="{831A568F-8092-41D7-8D7F-CCDC6AA5F69C}"/>
    <cellStyle name="Note 2 4 6 4" xfId="21381" xr:uid="{C185410C-FB77-4324-9A33-65B4FBDE399A}"/>
    <cellStyle name="Note 2 4 7" xfId="2749" xr:uid="{00000000-0005-0000-0000-00002E210000}"/>
    <cellStyle name="Note 2 4 8" xfId="2830" xr:uid="{00000000-0005-0000-0000-00002F210000}"/>
    <cellStyle name="Note 2 4 8 2" xfId="7053" xr:uid="{00000000-0005-0000-0000-000030210000}"/>
    <cellStyle name="Note 2 4 8 2 2" xfId="16379" xr:uid="{87D59AEB-686E-43C6-B550-1D26679E2741}"/>
    <cellStyle name="Note 2 4 8 2 2 2" xfId="34975" xr:uid="{DDCC8222-2C4D-4FBB-BE61-3CB3E542FB4D}"/>
    <cellStyle name="Note 2 4 8 2 3" xfId="25678" xr:uid="{F849A0E0-1BD5-4A68-89DA-9EBF444D7904}"/>
    <cellStyle name="Note 2 4 8 3" xfId="12162" xr:uid="{6B89BB80-A4E7-4510-8124-66248EFA879E}"/>
    <cellStyle name="Note 2 4 8 3 2" xfId="30758" xr:uid="{61F50EDA-241E-4BCA-91C2-F4369AF5690E}"/>
    <cellStyle name="Note 2 4 8 4" xfId="21461" xr:uid="{8D86F460-56C4-4877-98C2-B269CD017E00}"/>
    <cellStyle name="Note 2 4 9" xfId="4908" xr:uid="{00000000-0005-0000-0000-000031210000}"/>
    <cellStyle name="Note 2 4 9 2" xfId="14234" xr:uid="{E2B5493E-B3AB-4711-8296-6DD36E27D236}"/>
    <cellStyle name="Note 2 4 9 2 2" xfId="32830" xr:uid="{94548F9B-0519-4DC8-87FB-D1A426E5A74E}"/>
    <cellStyle name="Note 2 4 9 3" xfId="23533" xr:uid="{153FB299-3587-425C-93AB-71C2C1042F6B}"/>
    <cellStyle name="Note 2 5" xfId="552" xr:uid="{00000000-0005-0000-0000-000032210000}"/>
    <cellStyle name="Note 2 5 10" xfId="9215" xr:uid="{69947D86-0683-476F-9E74-96CA08091560}"/>
    <cellStyle name="Note 2 5 10 2" xfId="18531" xr:uid="{0D20320B-D8FC-4B6F-A75A-465426098068}"/>
    <cellStyle name="Note 2 5 10 2 2" xfId="37125" xr:uid="{7DF49998-B789-4915-8DE5-7B1CF22D26DA}"/>
    <cellStyle name="Note 2 5 10 3" xfId="27828" xr:uid="{B0CC9AF5-F861-47D9-95E3-9684D42A6DCE}"/>
    <cellStyle name="Note 2 5 11" xfId="10018" xr:uid="{69535569-E11C-46BE-9D22-6E3F23916D94}"/>
    <cellStyle name="Note 2 5 11 2" xfId="28614" xr:uid="{F1FF49B9-207C-4330-8463-E80D25B8F741}"/>
    <cellStyle name="Note 2 5 12" xfId="19317" xr:uid="{4AEC0F8E-2F20-47ED-A4A0-EF795569D9F5}"/>
    <cellStyle name="Note 2 5 2" xfId="1013" xr:uid="{00000000-0005-0000-0000-000033210000}"/>
    <cellStyle name="Note 2 5 2 2" xfId="3245" xr:uid="{00000000-0005-0000-0000-000034210000}"/>
    <cellStyle name="Note 2 5 2 2 2" xfId="7467" xr:uid="{00000000-0005-0000-0000-000035210000}"/>
    <cellStyle name="Note 2 5 2 2 2 2" xfId="16793" xr:uid="{FF15403F-D056-4A16-8EDD-ED199C066D1F}"/>
    <cellStyle name="Note 2 5 2 2 2 2 2" xfId="35389" xr:uid="{A482D33A-EC65-46A8-B7E0-7B7F806748E9}"/>
    <cellStyle name="Note 2 5 2 2 2 3" xfId="26092" xr:uid="{82DA79C6-02ED-4ABF-9463-C373D3E30DD9}"/>
    <cellStyle name="Note 2 5 2 2 3" xfId="12576" xr:uid="{2ACC4AAC-FE33-4415-AAC3-1AB763976AAF}"/>
    <cellStyle name="Note 2 5 2 2 3 2" xfId="31172" xr:uid="{85C7DC31-57B7-497F-9B8B-7812B96F3845}"/>
    <cellStyle name="Note 2 5 2 2 4" xfId="21875" xr:uid="{B848BD2B-F082-4A7A-A5CC-B2C6362EB77D}"/>
    <cellStyle name="Note 2 5 2 3" xfId="5322" xr:uid="{00000000-0005-0000-0000-000036210000}"/>
    <cellStyle name="Note 2 5 2 3 2" xfId="14648" xr:uid="{4B4A8090-151E-4267-B68B-F99AA9F3AFFE}"/>
    <cellStyle name="Note 2 5 2 3 2 2" xfId="33244" xr:uid="{DA7AB8EF-DA0F-472A-8816-7E8985A628F1}"/>
    <cellStyle name="Note 2 5 2 3 3" xfId="23947" xr:uid="{F367E1FE-6CD1-49B2-9E36-1757185C25EC}"/>
    <cellStyle name="Note 2 5 2 4" xfId="9610" xr:uid="{26530D10-1DF8-4FA4-8FC9-4C945AA92A94}"/>
    <cellStyle name="Note 2 5 2 4 2" xfId="18910" xr:uid="{940793A6-E45E-45F2-BED9-787582092836}"/>
    <cellStyle name="Note 2 5 2 4 2 2" xfId="37504" xr:uid="{B80FFFC1-D688-429F-B8EE-D6E34FE17F2F}"/>
    <cellStyle name="Note 2 5 2 4 3" xfId="28207" xr:uid="{83B8F58B-AC20-4BA8-B5B3-DE734FF716A7}"/>
    <cellStyle name="Note 2 5 2 5" xfId="10431" xr:uid="{99E54081-5CC0-4D8C-89B9-20DF7C46B788}"/>
    <cellStyle name="Note 2 5 2 5 2" xfId="29027" xr:uid="{63B39090-57CE-489E-B0C6-45A5507EBF33}"/>
    <cellStyle name="Note 2 5 2 6" xfId="19730" xr:uid="{59E2A05B-B1A5-4109-AADE-36841CCD965F}"/>
    <cellStyle name="Note 2 5 3" xfId="1428" xr:uid="{00000000-0005-0000-0000-000037210000}"/>
    <cellStyle name="Note 2 5 3 2" xfId="3658" xr:uid="{00000000-0005-0000-0000-000038210000}"/>
    <cellStyle name="Note 2 5 3 2 2" xfId="7880" xr:uid="{00000000-0005-0000-0000-000039210000}"/>
    <cellStyle name="Note 2 5 3 2 2 2" xfId="17206" xr:uid="{06D08C00-5286-4443-A3F5-317F3AD7AB26}"/>
    <cellStyle name="Note 2 5 3 2 2 2 2" xfId="35802" xr:uid="{F81E10F2-B2A0-46B2-AB59-1591B9071AA2}"/>
    <cellStyle name="Note 2 5 3 2 2 3" xfId="26505" xr:uid="{90C9FBDC-4CC0-4954-9BC9-03D3662DE604}"/>
    <cellStyle name="Note 2 5 3 2 3" xfId="12989" xr:uid="{EAF7FC51-8EEB-4E33-B135-DA55E05D1ECD}"/>
    <cellStyle name="Note 2 5 3 2 3 2" xfId="31585" xr:uid="{8E20A065-7CA4-4703-9549-66836477E738}"/>
    <cellStyle name="Note 2 5 3 2 4" xfId="22288" xr:uid="{5F01A0F9-467A-4A11-A858-1388ECD47A15}"/>
    <cellStyle name="Note 2 5 3 3" xfId="5735" xr:uid="{00000000-0005-0000-0000-00003A210000}"/>
    <cellStyle name="Note 2 5 3 3 2" xfId="15061" xr:uid="{9D8568FA-3768-4A58-9F87-0648D226D7ED}"/>
    <cellStyle name="Note 2 5 3 3 2 2" xfId="33657" xr:uid="{F06BCE9B-8159-4D91-9FDC-16336177C87F}"/>
    <cellStyle name="Note 2 5 3 3 3" xfId="24360" xr:uid="{44A6980B-0E67-4B1B-BA24-B826978349E9}"/>
    <cellStyle name="Note 2 5 3 4" xfId="10844" xr:uid="{637B4B58-FAA0-477C-B920-E5FFAB9CF288}"/>
    <cellStyle name="Note 2 5 3 4 2" xfId="29440" xr:uid="{DE828BCA-708C-444A-9122-592200F3B7CE}"/>
    <cellStyle name="Note 2 5 3 5" xfId="20143" xr:uid="{E41E5BC3-937B-4B48-BF97-6A1776986A3C}"/>
    <cellStyle name="Note 2 5 4" xfId="1842" xr:uid="{00000000-0005-0000-0000-00003B210000}"/>
    <cellStyle name="Note 2 5 4 2" xfId="4071" xr:uid="{00000000-0005-0000-0000-00003C210000}"/>
    <cellStyle name="Note 2 5 4 2 2" xfId="8293" xr:uid="{00000000-0005-0000-0000-00003D210000}"/>
    <cellStyle name="Note 2 5 4 2 2 2" xfId="17619" xr:uid="{6D4E6118-FBC2-484B-8FDF-2492A487687A}"/>
    <cellStyle name="Note 2 5 4 2 2 2 2" xfId="36215" xr:uid="{38F9D911-7299-4F9D-9BBD-28D1033E1CBF}"/>
    <cellStyle name="Note 2 5 4 2 2 3" xfId="26918" xr:uid="{F54938BD-E589-48C9-BE30-CFC8925BD4E2}"/>
    <cellStyle name="Note 2 5 4 2 3" xfId="13402" xr:uid="{D5FE3918-DD8A-4E7D-B47D-B5DCDA7F7986}"/>
    <cellStyle name="Note 2 5 4 2 3 2" xfId="31998" xr:uid="{D4692BB5-4045-41AD-8D51-2A1432AB5DE3}"/>
    <cellStyle name="Note 2 5 4 2 4" xfId="22701" xr:uid="{701D269E-900A-467E-8878-9F81757F7062}"/>
    <cellStyle name="Note 2 5 4 3" xfId="6148" xr:uid="{00000000-0005-0000-0000-00003E210000}"/>
    <cellStyle name="Note 2 5 4 3 2" xfId="15474" xr:uid="{FDE8CF6A-8B0F-47D1-BF3D-1E05290CF157}"/>
    <cellStyle name="Note 2 5 4 3 2 2" xfId="34070" xr:uid="{FF01D4F3-7A00-4007-96E5-01616B1BB414}"/>
    <cellStyle name="Note 2 5 4 3 3" xfId="24773" xr:uid="{3855F05D-158C-4240-81ED-19E8C59AF452}"/>
    <cellStyle name="Note 2 5 4 4" xfId="11257" xr:uid="{E2C04CFA-C368-4D73-B5DF-85A3E47B530F}"/>
    <cellStyle name="Note 2 5 4 4 2" xfId="29853" xr:uid="{16895E5B-3BD9-45C1-AD6C-19774FFC2476}"/>
    <cellStyle name="Note 2 5 4 5" xfId="20556" xr:uid="{D0ABEEA8-34DA-45C1-BFB4-B7D6A6A4C77A}"/>
    <cellStyle name="Note 2 5 5" xfId="2255" xr:uid="{00000000-0005-0000-0000-00003F210000}"/>
    <cellStyle name="Note 2 5 5 2" xfId="4484" xr:uid="{00000000-0005-0000-0000-000040210000}"/>
    <cellStyle name="Note 2 5 5 2 2" xfId="8706" xr:uid="{00000000-0005-0000-0000-000041210000}"/>
    <cellStyle name="Note 2 5 5 2 2 2" xfId="18032" xr:uid="{ED907191-4C1F-439E-B80F-675C082EF7D9}"/>
    <cellStyle name="Note 2 5 5 2 2 2 2" xfId="36628" xr:uid="{601310E6-5915-4DF0-AD8B-15E2326ACC3A}"/>
    <cellStyle name="Note 2 5 5 2 2 3" xfId="27331" xr:uid="{E752C870-F0E6-4644-93BA-B5C1F54DE970}"/>
    <cellStyle name="Note 2 5 5 2 3" xfId="13815" xr:uid="{687BE333-C30D-4E3A-813E-AA9B4FD64661}"/>
    <cellStyle name="Note 2 5 5 2 3 2" xfId="32411" xr:uid="{4348E0FD-C218-43E9-8542-C34C89EEB493}"/>
    <cellStyle name="Note 2 5 5 2 4" xfId="23114" xr:uid="{C7346886-21AB-464F-9329-1755EAA1E004}"/>
    <cellStyle name="Note 2 5 5 3" xfId="6561" xr:uid="{00000000-0005-0000-0000-000042210000}"/>
    <cellStyle name="Note 2 5 5 3 2" xfId="15887" xr:uid="{22F57C8F-E66B-43C0-80FF-9661E200AF32}"/>
    <cellStyle name="Note 2 5 5 3 2 2" xfId="34483" xr:uid="{18541E3E-B723-4BEA-92BB-C81FAB7A0C03}"/>
    <cellStyle name="Note 2 5 5 3 3" xfId="25186" xr:uid="{9DA36D12-BAFD-464E-B786-D3AE052D0A58}"/>
    <cellStyle name="Note 2 5 5 4" xfId="11670" xr:uid="{59589D28-096E-410E-80C3-DF995494A549}"/>
    <cellStyle name="Note 2 5 5 4 2" xfId="30266" xr:uid="{5D07D0B2-9A0A-4451-9B12-0756D62244A8}"/>
    <cellStyle name="Note 2 5 5 5" xfId="20969" xr:uid="{E41AFF15-6634-454A-A11F-5E1A6255761E}"/>
    <cellStyle name="Note 2 5 6" xfId="2691" xr:uid="{00000000-0005-0000-0000-000043210000}"/>
    <cellStyle name="Note 2 5 6 2" xfId="6974" xr:uid="{00000000-0005-0000-0000-000044210000}"/>
    <cellStyle name="Note 2 5 6 2 2" xfId="16300" xr:uid="{7E1B0320-DB23-443C-A570-A745E970EE33}"/>
    <cellStyle name="Note 2 5 6 2 2 2" xfId="34896" xr:uid="{58BE16BA-81DE-45F7-9C0E-FF0DD0C8FC6F}"/>
    <cellStyle name="Note 2 5 6 2 3" xfId="25599" xr:uid="{1D3D60EE-6B86-41CC-83A9-CD6CFBA62B40}"/>
    <cellStyle name="Note 2 5 6 3" xfId="12083" xr:uid="{67AA247E-D553-4588-BED1-2A5243BDA8BA}"/>
    <cellStyle name="Note 2 5 6 3 2" xfId="30679" xr:uid="{9D900699-B3A5-4543-B14D-E15E032B7088}"/>
    <cellStyle name="Note 2 5 6 4" xfId="21382" xr:uid="{1AFAAE8C-3FE0-474C-BBE5-444CF15FB223}"/>
    <cellStyle name="Note 2 5 7" xfId="2750" xr:uid="{00000000-0005-0000-0000-000045210000}"/>
    <cellStyle name="Note 2 5 8" xfId="2831" xr:uid="{00000000-0005-0000-0000-000046210000}"/>
    <cellStyle name="Note 2 5 8 2" xfId="7054" xr:uid="{00000000-0005-0000-0000-000047210000}"/>
    <cellStyle name="Note 2 5 8 2 2" xfId="16380" xr:uid="{67D4858C-9BE5-41CD-A6D1-D8F389208F79}"/>
    <cellStyle name="Note 2 5 8 2 2 2" xfId="34976" xr:uid="{C79C1E79-E1C4-4C49-A8D3-84CB8E3E5572}"/>
    <cellStyle name="Note 2 5 8 2 3" xfId="25679" xr:uid="{39B3A5A4-2962-47DB-BD35-7AD22D786595}"/>
    <cellStyle name="Note 2 5 8 3" xfId="12163" xr:uid="{90338CD9-EA9B-4290-AD8E-E4AC19671FAA}"/>
    <cellStyle name="Note 2 5 8 3 2" xfId="30759" xr:uid="{3B17EF30-6FDD-4A9E-8212-7EB860AC32B7}"/>
    <cellStyle name="Note 2 5 8 4" xfId="21462" xr:uid="{A936D7CA-0D19-4162-96C2-E544F5EACC05}"/>
    <cellStyle name="Note 2 5 9" xfId="4909" xr:uid="{00000000-0005-0000-0000-000048210000}"/>
    <cellStyle name="Note 2 5 9 2" xfId="14235" xr:uid="{60FD484F-0E8D-4208-AE2B-60A6A2141AAB}"/>
    <cellStyle name="Note 2 5 9 2 2" xfId="32831" xr:uid="{A0FCADDA-F745-4AE3-9F90-DEF90141029C}"/>
    <cellStyle name="Note 2 5 9 3" xfId="23534" xr:uid="{5900E906-1ED3-476C-8B41-95C74822A0F0}"/>
    <cellStyle name="Note 2 6" xfId="9587" xr:uid="{DE0DCBC9-1C06-4AD6-BDCF-10B3C6A625B6}"/>
    <cellStyle name="Note 2 7" xfId="8791" xr:uid="{7AC3614D-154D-4BB0-B207-B3151ECF2433}"/>
    <cellStyle name="Note 2 7 2" xfId="18115" xr:uid="{A44067FF-180B-4372-83CC-926DF2ED84E0}"/>
    <cellStyle name="Note 2 7 2 2" xfId="36710" xr:uid="{CED5E18A-E968-4397-A0E2-432EE7362954}"/>
    <cellStyle name="Note 2 7 3" xfId="27413" xr:uid="{DF4F7DD4-D181-413C-B5CE-1AF78E60A082}"/>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A39C8893-1076-4F82-944F-FE22C0B07F5F}"/>
    <cellStyle name="Note 3 2 10 2 2 2" xfId="34977" xr:uid="{7396EF75-A27C-49B2-B2ED-954EB6EA5858}"/>
    <cellStyle name="Note 3 2 10 2 3" xfId="25680" xr:uid="{77F31604-F67F-41B3-ACB3-1B67246AE295}"/>
    <cellStyle name="Note 3 2 10 3" xfId="12164" xr:uid="{5336A0C0-85AD-4AA7-8F7E-056152FD612B}"/>
    <cellStyle name="Note 3 2 10 3 2" xfId="30760" xr:uid="{4DAA3D33-862D-40D9-84E3-AE1B544AC8E2}"/>
    <cellStyle name="Note 3 2 10 4" xfId="21463" xr:uid="{ABAC4FE1-AF56-43ED-9E12-2FD085E402D9}"/>
    <cellStyle name="Note 3 2 11" xfId="4910" xr:uid="{00000000-0005-0000-0000-00004D210000}"/>
    <cellStyle name="Note 3 2 11 2" xfId="14236" xr:uid="{BA8BDAE1-2DCC-4A96-8204-CC2ED462CFCA}"/>
    <cellStyle name="Note 3 2 11 2 2" xfId="32832" xr:uid="{C0183063-858D-4F02-AA9C-F5B731F688C0}"/>
    <cellStyle name="Note 3 2 11 3" xfId="23535" xr:uid="{1354B1DF-080E-4FFF-9F0A-35AC35951082}"/>
    <cellStyle name="Note 3 2 12" xfId="8842" xr:uid="{646587AC-B7A9-43E2-AC1E-1B77745805D8}"/>
    <cellStyle name="Note 3 2 12 2" xfId="18166" xr:uid="{33758D99-3541-4EED-8EB7-3496772E1821}"/>
    <cellStyle name="Note 3 2 12 2 2" xfId="36761" xr:uid="{7F0B4CAD-35FF-457E-801B-1B768ADD2056}"/>
    <cellStyle name="Note 3 2 12 3" xfId="27464" xr:uid="{68B5A219-12FF-4A87-91EE-A0204C81879E}"/>
    <cellStyle name="Note 3 2 13" xfId="10019" xr:uid="{93F5C973-9144-4521-8AA5-58AA558480C9}"/>
    <cellStyle name="Note 3 2 13 2" xfId="28615" xr:uid="{E2E7045B-8AF7-4CA3-BC3C-ADCDCAE415D4}"/>
    <cellStyle name="Note 3 2 14" xfId="19318" xr:uid="{2B393625-E1BC-4239-B892-1811ED1ADED4}"/>
    <cellStyle name="Note 3 2 2" xfId="555" xr:uid="{00000000-0005-0000-0000-00004E210000}"/>
    <cellStyle name="Note 3 2 2 10" xfId="4911" xr:uid="{00000000-0005-0000-0000-00004F210000}"/>
    <cellStyle name="Note 3 2 2 10 2" xfId="14237" xr:uid="{F1570F07-FC18-4B08-8882-A2D6DA5AB4F0}"/>
    <cellStyle name="Note 3 2 2 10 2 2" xfId="32833" xr:uid="{B19C6314-8294-4D09-87A1-28076A4BA25D}"/>
    <cellStyle name="Note 3 2 2 10 3" xfId="23536" xr:uid="{BF47AF15-C1DC-44BF-AA5A-0F9C818137D6}"/>
    <cellStyle name="Note 3 2 2 11" xfId="8945" xr:uid="{D320AF38-4F47-4266-9CB9-3BD7E15BFDAE}"/>
    <cellStyle name="Note 3 2 2 11 2" xfId="18269" xr:uid="{4722C868-D5EB-4461-9925-ACF8AA2E4208}"/>
    <cellStyle name="Note 3 2 2 11 2 2" xfId="36864" xr:uid="{E442D302-FAF5-421E-BE72-DF973B147FCB}"/>
    <cellStyle name="Note 3 2 2 11 3" xfId="27567" xr:uid="{F5FF73C6-628C-46DA-BDF5-2D565B63EA08}"/>
    <cellStyle name="Note 3 2 2 12" xfId="10020" xr:uid="{9F9F280C-955E-4764-9B02-2373193B2733}"/>
    <cellStyle name="Note 3 2 2 12 2" xfId="28616" xr:uid="{E193D711-8CED-4447-9F65-77DE5571CED2}"/>
    <cellStyle name="Note 3 2 2 13" xfId="19319" xr:uid="{886F38CC-16D8-4ECD-BC20-48482A5E2676}"/>
    <cellStyle name="Note 3 2 2 2" xfId="556" xr:uid="{00000000-0005-0000-0000-000050210000}"/>
    <cellStyle name="Note 3 2 2 2 10" xfId="9152" xr:uid="{24874F5B-4700-44ED-9556-84C4E89A274D}"/>
    <cellStyle name="Note 3 2 2 2 10 2" xfId="18476" xr:uid="{2E7B988A-82B3-4AE7-8D63-28E89EFEF23D}"/>
    <cellStyle name="Note 3 2 2 2 10 2 2" xfId="37071" xr:uid="{923C89D1-1FD9-4923-9A81-FD63A921114B}"/>
    <cellStyle name="Note 3 2 2 2 10 3" xfId="27774" xr:uid="{02D37141-64AB-4E9C-981B-8C89679CF6CD}"/>
    <cellStyle name="Note 3 2 2 2 11" xfId="10021" xr:uid="{C73F7665-B9AD-4970-9110-8B3E76611E10}"/>
    <cellStyle name="Note 3 2 2 2 11 2" xfId="28617" xr:uid="{F5EE3279-B67B-488A-98E0-F150F50FE041}"/>
    <cellStyle name="Note 3 2 2 2 12" xfId="19320" xr:uid="{159A21A9-8115-4CB0-81E1-FDC94E3EA6F4}"/>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10F3036C-B353-4D56-88C9-86DAFA328FD6}"/>
    <cellStyle name="Note 3 2 2 2 2 2 2 2 2" xfId="35392" xr:uid="{ECE117A8-E5AE-4CC3-BE5E-48039BF18DAB}"/>
    <cellStyle name="Note 3 2 2 2 2 2 2 3" xfId="26095" xr:uid="{E2E1244B-A696-4CCD-853D-51268C2D56CB}"/>
    <cellStyle name="Note 3 2 2 2 2 2 3" xfId="12579" xr:uid="{756CF8E3-27C3-4580-88E4-61963D7739DA}"/>
    <cellStyle name="Note 3 2 2 2 2 2 3 2" xfId="31175" xr:uid="{C41FE836-8651-4926-A979-80CAB1C7CBAB}"/>
    <cellStyle name="Note 3 2 2 2 2 2 4" xfId="21878" xr:uid="{415BB4B1-B162-4817-8CCE-48074FF93DCE}"/>
    <cellStyle name="Note 3 2 2 2 2 3" xfId="5325" xr:uid="{00000000-0005-0000-0000-000054210000}"/>
    <cellStyle name="Note 3 2 2 2 2 3 2" xfId="14651" xr:uid="{730C4ED5-5658-4514-A511-DEF5E1F7B425}"/>
    <cellStyle name="Note 3 2 2 2 2 3 2 2" xfId="33247" xr:uid="{39F29ABF-7B93-455F-A7CF-3A7CBDBFCC9E}"/>
    <cellStyle name="Note 3 2 2 2 2 3 3" xfId="23950" xr:uid="{4407B2BD-F379-4584-AB81-80BF8F8F5C18}"/>
    <cellStyle name="Note 3 2 2 2 2 4" xfId="9577" xr:uid="{7C0C89D7-CA14-4942-89B2-D584AC810EDC}"/>
    <cellStyle name="Note 3 2 2 2 2 4 2" xfId="18892" xr:uid="{B5B4D8AC-5823-4F21-AE3F-4E62B10E9E90}"/>
    <cellStyle name="Note 3 2 2 2 2 4 2 2" xfId="37486" xr:uid="{6A631BAB-F89B-406D-AF13-F7242296CEFE}"/>
    <cellStyle name="Note 3 2 2 2 2 4 3" xfId="28189" xr:uid="{95B44C48-226E-4999-A53B-A353811BCDDF}"/>
    <cellStyle name="Note 3 2 2 2 2 5" xfId="10434" xr:uid="{978B2677-1401-4B76-AF20-D52B96C60324}"/>
    <cellStyle name="Note 3 2 2 2 2 5 2" xfId="29030" xr:uid="{01707469-B974-4155-A435-A7120ADB24C9}"/>
    <cellStyle name="Note 3 2 2 2 2 6" xfId="19733" xr:uid="{23A89F0D-196D-4CB1-A1AC-7D6E3B65D869}"/>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0E816E52-1C52-4824-817C-11AED8F23B33}"/>
    <cellStyle name="Note 3 2 2 2 3 2 2 2 2" xfId="35805" xr:uid="{494B2A04-9142-4E8A-8761-3662CA3D5459}"/>
    <cellStyle name="Note 3 2 2 2 3 2 2 3" xfId="26508" xr:uid="{C391BCB1-BD13-4880-800D-AB770BE2D49F}"/>
    <cellStyle name="Note 3 2 2 2 3 2 3" xfId="12992" xr:uid="{79E7D1DF-6286-4079-8458-6CF1CEFA7B7F}"/>
    <cellStyle name="Note 3 2 2 2 3 2 3 2" xfId="31588" xr:uid="{9E378434-3AD4-4E9F-B542-D4CB73B64331}"/>
    <cellStyle name="Note 3 2 2 2 3 2 4" xfId="22291" xr:uid="{86E1073C-ACE1-4D81-B89C-02E9F9490D2E}"/>
    <cellStyle name="Note 3 2 2 2 3 3" xfId="5738" xr:uid="{00000000-0005-0000-0000-000058210000}"/>
    <cellStyle name="Note 3 2 2 2 3 3 2" xfId="15064" xr:uid="{4D0915E6-0E3F-4288-9DC1-C77403778D21}"/>
    <cellStyle name="Note 3 2 2 2 3 3 2 2" xfId="33660" xr:uid="{1B80AC9E-21DE-498B-9622-19D9F2335839}"/>
    <cellStyle name="Note 3 2 2 2 3 3 3" xfId="24363" xr:uid="{F4FCA050-332C-4F08-BC6D-BA7CDC533ADA}"/>
    <cellStyle name="Note 3 2 2 2 3 4" xfId="10847" xr:uid="{A1D020E8-9F85-4494-AB69-18CE264BACDB}"/>
    <cellStyle name="Note 3 2 2 2 3 4 2" xfId="29443" xr:uid="{E9F7FB6F-424E-4C3D-9064-0BD5F0104A6C}"/>
    <cellStyle name="Note 3 2 2 2 3 5" xfId="20146" xr:uid="{6E774337-5F5A-4787-B60C-96DD081FEF3A}"/>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3D1892F9-3489-4B01-979D-BBEFA24A2BB0}"/>
    <cellStyle name="Note 3 2 2 2 4 2 2 2 2" xfId="36218" xr:uid="{0B6AAD48-7167-4C17-8673-0E2D880BEF6C}"/>
    <cellStyle name="Note 3 2 2 2 4 2 2 3" xfId="26921" xr:uid="{A5BC9DE7-06AC-4C78-8FEB-754D836ADE09}"/>
    <cellStyle name="Note 3 2 2 2 4 2 3" xfId="13405" xr:uid="{86882B3D-9DD5-467B-8FE4-03EC64C3DB45}"/>
    <cellStyle name="Note 3 2 2 2 4 2 3 2" xfId="32001" xr:uid="{2A007581-71A1-4598-A8F5-1D9A069F35B3}"/>
    <cellStyle name="Note 3 2 2 2 4 2 4" xfId="22704" xr:uid="{C57E051B-7819-418C-9C36-1F644D22C26E}"/>
    <cellStyle name="Note 3 2 2 2 4 3" xfId="6151" xr:uid="{00000000-0005-0000-0000-00005C210000}"/>
    <cellStyle name="Note 3 2 2 2 4 3 2" xfId="15477" xr:uid="{3402ECA3-2168-456D-93C1-CD0221902EBE}"/>
    <cellStyle name="Note 3 2 2 2 4 3 2 2" xfId="34073" xr:uid="{D68BF748-2F77-4747-8C51-F5EC7B6E508D}"/>
    <cellStyle name="Note 3 2 2 2 4 3 3" xfId="24776" xr:uid="{E9B233E9-E2BD-4390-B088-AF6E5EFD5E9F}"/>
    <cellStyle name="Note 3 2 2 2 4 4" xfId="11260" xr:uid="{AB5C4CA8-ECA9-48B2-8ACF-FC59B7B910F4}"/>
    <cellStyle name="Note 3 2 2 2 4 4 2" xfId="29856" xr:uid="{EB9FC67B-D9FE-4995-BE91-ABD4E7B8087B}"/>
    <cellStyle name="Note 3 2 2 2 4 5" xfId="20559" xr:uid="{F19E2A28-7FA6-48A9-8141-D47D8089CC62}"/>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47520AAB-3B7E-47A3-81EC-A96847794D95}"/>
    <cellStyle name="Note 3 2 2 2 5 2 2 2 2" xfId="36631" xr:uid="{203B6322-1F9A-4A8F-B626-87361A1F404A}"/>
    <cellStyle name="Note 3 2 2 2 5 2 2 3" xfId="27334" xr:uid="{88952081-B6F5-4064-8705-036119FC286D}"/>
    <cellStyle name="Note 3 2 2 2 5 2 3" xfId="13818" xr:uid="{9024FA05-3BB4-4034-9579-3186FED14182}"/>
    <cellStyle name="Note 3 2 2 2 5 2 3 2" xfId="32414" xr:uid="{90A3A1B7-3364-46E9-8569-94B017603A08}"/>
    <cellStyle name="Note 3 2 2 2 5 2 4" xfId="23117" xr:uid="{889BF575-F86A-403E-BC37-2AA7FF63CA13}"/>
    <cellStyle name="Note 3 2 2 2 5 3" xfId="6564" xr:uid="{00000000-0005-0000-0000-000060210000}"/>
    <cellStyle name="Note 3 2 2 2 5 3 2" xfId="15890" xr:uid="{2BC614BC-2FE4-441C-AB96-1E9EAE013D2B}"/>
    <cellStyle name="Note 3 2 2 2 5 3 2 2" xfId="34486" xr:uid="{911FBF23-68CC-45E3-80CA-DB6405331DC2}"/>
    <cellStyle name="Note 3 2 2 2 5 3 3" xfId="25189" xr:uid="{27E05C13-3E68-4A7F-BCB8-46327D141C1D}"/>
    <cellStyle name="Note 3 2 2 2 5 4" xfId="11673" xr:uid="{EC5BAF24-A8EC-45BE-9ADF-04598E5CA621}"/>
    <cellStyle name="Note 3 2 2 2 5 4 2" xfId="30269" xr:uid="{6689B2D4-93A5-4264-B306-B03C7124035C}"/>
    <cellStyle name="Note 3 2 2 2 5 5" xfId="20972" xr:uid="{139EF12A-0347-48ED-97AD-E626195209E5}"/>
    <cellStyle name="Note 3 2 2 2 6" xfId="2694" xr:uid="{00000000-0005-0000-0000-000061210000}"/>
    <cellStyle name="Note 3 2 2 2 6 2" xfId="6977" xr:uid="{00000000-0005-0000-0000-000062210000}"/>
    <cellStyle name="Note 3 2 2 2 6 2 2" xfId="16303" xr:uid="{F18DDBF0-640F-4A39-BA11-12516664D71A}"/>
    <cellStyle name="Note 3 2 2 2 6 2 2 2" xfId="34899" xr:uid="{88AF633D-6A35-4569-A6A3-4B0B73010987}"/>
    <cellStyle name="Note 3 2 2 2 6 2 3" xfId="25602" xr:uid="{8F0E187B-580E-49BA-A6BE-9B2A1A4A1007}"/>
    <cellStyle name="Note 3 2 2 2 6 3" xfId="12086" xr:uid="{D071F2EA-478A-4F48-B171-7214FBD1EF49}"/>
    <cellStyle name="Note 3 2 2 2 6 3 2" xfId="30682" xr:uid="{7EEE010F-E458-4114-AC7A-EDBC3831E418}"/>
    <cellStyle name="Note 3 2 2 2 6 4" xfId="21385" xr:uid="{34E8D151-4875-4EDF-BA71-344091FB7E3C}"/>
    <cellStyle name="Note 3 2 2 2 7" xfId="2753" xr:uid="{00000000-0005-0000-0000-000063210000}"/>
    <cellStyle name="Note 3 2 2 2 8" xfId="2834" xr:uid="{00000000-0005-0000-0000-000064210000}"/>
    <cellStyle name="Note 3 2 2 2 8 2" xfId="7057" xr:uid="{00000000-0005-0000-0000-000065210000}"/>
    <cellStyle name="Note 3 2 2 2 8 2 2" xfId="16383" xr:uid="{1F31B82D-BA97-4219-86C3-1AA186D027AA}"/>
    <cellStyle name="Note 3 2 2 2 8 2 2 2" xfId="34979" xr:uid="{FCEDE8AC-FDAE-4C55-868A-4D782513A698}"/>
    <cellStyle name="Note 3 2 2 2 8 2 3" xfId="25682" xr:uid="{B3BF9029-5D6A-4EC0-ABEB-1A4B22CDFFD6}"/>
    <cellStyle name="Note 3 2 2 2 8 3" xfId="12166" xr:uid="{9730A94A-2A28-4892-9067-A16D429558F6}"/>
    <cellStyle name="Note 3 2 2 2 8 3 2" xfId="30762" xr:uid="{C7858C96-9EC4-4090-A7F9-4EF4BF4C9351}"/>
    <cellStyle name="Note 3 2 2 2 8 4" xfId="21465" xr:uid="{A44882F1-FD7A-4BA0-9720-E525A426FA13}"/>
    <cellStyle name="Note 3 2 2 2 9" xfId="4912" xr:uid="{00000000-0005-0000-0000-000066210000}"/>
    <cellStyle name="Note 3 2 2 2 9 2" xfId="14238" xr:uid="{5861B50D-5336-401D-B091-C29B5DF899B2}"/>
    <cellStyle name="Note 3 2 2 2 9 2 2" xfId="32834" xr:uid="{4B4129BC-23B2-4FBB-98DD-B739195EB1F8}"/>
    <cellStyle name="Note 3 2 2 2 9 3" xfId="23537" xr:uid="{751557A2-4E9D-4505-AA35-D2EF98896654}"/>
    <cellStyle name="Note 3 2 2 3" xfId="1015" xr:uid="{00000000-0005-0000-0000-000067210000}"/>
    <cellStyle name="Note 3 2 2 3 2" xfId="3247" xr:uid="{00000000-0005-0000-0000-000068210000}"/>
    <cellStyle name="Note 3 2 2 3 2 2" xfId="7469" xr:uid="{00000000-0005-0000-0000-000069210000}"/>
    <cellStyle name="Note 3 2 2 3 2 2 2" xfId="16795" xr:uid="{D696C188-CF6C-4C11-A179-C7F9536F9867}"/>
    <cellStyle name="Note 3 2 2 3 2 2 2 2" xfId="35391" xr:uid="{529D0A1D-73EE-4E97-8CDB-923E96A75815}"/>
    <cellStyle name="Note 3 2 2 3 2 2 3" xfId="26094" xr:uid="{C075F444-F453-47EB-B9D2-20540C439618}"/>
    <cellStyle name="Note 3 2 2 3 2 3" xfId="12578" xr:uid="{4C9BAEE1-3B3B-410A-A048-AABCDF149D29}"/>
    <cellStyle name="Note 3 2 2 3 2 3 2" xfId="31174" xr:uid="{CC5EDB72-C1BC-4269-B364-AE44DCF5066F}"/>
    <cellStyle name="Note 3 2 2 3 2 4" xfId="21877" xr:uid="{81E48637-471D-499E-80B3-1DF122F3F550}"/>
    <cellStyle name="Note 3 2 2 3 3" xfId="5324" xr:uid="{00000000-0005-0000-0000-00006A210000}"/>
    <cellStyle name="Note 3 2 2 3 3 2" xfId="14650" xr:uid="{92A158F1-19B6-4604-8E8F-132A7F44847A}"/>
    <cellStyle name="Note 3 2 2 3 3 2 2" xfId="33246" xr:uid="{51652B0D-FF48-4869-A183-CE696ECFEDBE}"/>
    <cellStyle name="Note 3 2 2 3 3 3" xfId="23949" xr:uid="{C2F4535E-7FD8-41C7-A886-482FC96977D0}"/>
    <cellStyle name="Note 3 2 2 3 4" xfId="9370" xr:uid="{7A803908-679B-4EF0-9BD4-89724B1FB321}"/>
    <cellStyle name="Note 3 2 2 3 4 2" xfId="18685" xr:uid="{6EB282C0-2385-404D-8E78-48D8672C8316}"/>
    <cellStyle name="Note 3 2 2 3 4 2 2" xfId="37279" xr:uid="{F3D7D7AB-BF41-4A4D-8FBC-1B7A324E9754}"/>
    <cellStyle name="Note 3 2 2 3 4 3" xfId="27982" xr:uid="{E6C30F93-E2D0-4A7F-AECB-B2831EFB5058}"/>
    <cellStyle name="Note 3 2 2 3 5" xfId="10433" xr:uid="{6D769D47-5D1D-4BD1-B4C8-2C06A265178B}"/>
    <cellStyle name="Note 3 2 2 3 5 2" xfId="29029" xr:uid="{A26DD94C-E36F-4118-AB39-CDF247AA0A8E}"/>
    <cellStyle name="Note 3 2 2 3 6" xfId="19732" xr:uid="{7C3860EE-C99E-46E1-922F-1F0EFEDD9D40}"/>
    <cellStyle name="Note 3 2 2 4" xfId="1430" xr:uid="{00000000-0005-0000-0000-00006B210000}"/>
    <cellStyle name="Note 3 2 2 4 2" xfId="3660" xr:uid="{00000000-0005-0000-0000-00006C210000}"/>
    <cellStyle name="Note 3 2 2 4 2 2" xfId="7882" xr:uid="{00000000-0005-0000-0000-00006D210000}"/>
    <cellStyle name="Note 3 2 2 4 2 2 2" xfId="17208" xr:uid="{1FF16C3C-017C-4C7D-A7DD-FBEAC88F22D6}"/>
    <cellStyle name="Note 3 2 2 4 2 2 2 2" xfId="35804" xr:uid="{71178CEA-4AE8-4567-AEF8-5C389BD283ED}"/>
    <cellStyle name="Note 3 2 2 4 2 2 3" xfId="26507" xr:uid="{06309011-4D8A-4DC6-B9D3-8593CC71E031}"/>
    <cellStyle name="Note 3 2 2 4 2 3" xfId="12991" xr:uid="{DC78278F-4A49-4D03-8B10-C92F785F71B3}"/>
    <cellStyle name="Note 3 2 2 4 2 3 2" xfId="31587" xr:uid="{6658E2A2-3A6D-46D2-97CD-03C14FF1F53B}"/>
    <cellStyle name="Note 3 2 2 4 2 4" xfId="22290" xr:uid="{FA4F7B7B-710C-465E-9AC5-D6E89B316DFA}"/>
    <cellStyle name="Note 3 2 2 4 3" xfId="5737" xr:uid="{00000000-0005-0000-0000-00006E210000}"/>
    <cellStyle name="Note 3 2 2 4 3 2" xfId="15063" xr:uid="{D1A86ECC-DDB5-41BD-AD69-5D6FA196E105}"/>
    <cellStyle name="Note 3 2 2 4 3 2 2" xfId="33659" xr:uid="{5A46AD6B-CEC6-4D7D-ACF7-99F0E93C533A}"/>
    <cellStyle name="Note 3 2 2 4 3 3" xfId="24362" xr:uid="{94EDCBD2-0087-4C1F-B5ED-79576E683CFC}"/>
    <cellStyle name="Note 3 2 2 4 4" xfId="10846" xr:uid="{04FAE7A7-8D68-4E2A-B71B-D8A9AE94D3C8}"/>
    <cellStyle name="Note 3 2 2 4 4 2" xfId="29442" xr:uid="{BB9C7A7D-391E-461F-AE63-E9464BE1FBAC}"/>
    <cellStyle name="Note 3 2 2 4 5" xfId="20145" xr:uid="{3865405C-F1D4-4FBD-BFCB-5AB3B21FBDA6}"/>
    <cellStyle name="Note 3 2 2 5" xfId="1844" xr:uid="{00000000-0005-0000-0000-00006F210000}"/>
    <cellStyle name="Note 3 2 2 5 2" xfId="4073" xr:uid="{00000000-0005-0000-0000-000070210000}"/>
    <cellStyle name="Note 3 2 2 5 2 2" xfId="8295" xr:uid="{00000000-0005-0000-0000-000071210000}"/>
    <cellStyle name="Note 3 2 2 5 2 2 2" xfId="17621" xr:uid="{42E67829-FC67-4241-93ED-FE21E777D0DC}"/>
    <cellStyle name="Note 3 2 2 5 2 2 2 2" xfId="36217" xr:uid="{76F1FE50-2443-44D6-ADE4-28330859B472}"/>
    <cellStyle name="Note 3 2 2 5 2 2 3" xfId="26920" xr:uid="{F8A444C8-679E-44A3-B93B-437A14B845D0}"/>
    <cellStyle name="Note 3 2 2 5 2 3" xfId="13404" xr:uid="{F80F53BE-5009-49A3-8B77-19AD9694F2C3}"/>
    <cellStyle name="Note 3 2 2 5 2 3 2" xfId="32000" xr:uid="{2B9E5509-1753-4D52-918C-BBEAF159E1C2}"/>
    <cellStyle name="Note 3 2 2 5 2 4" xfId="22703" xr:uid="{637BA54B-A31F-405A-BC60-00E16AE0526F}"/>
    <cellStyle name="Note 3 2 2 5 3" xfId="6150" xr:uid="{00000000-0005-0000-0000-000072210000}"/>
    <cellStyle name="Note 3 2 2 5 3 2" xfId="15476" xr:uid="{FC63379C-49A6-494E-B7B8-1445D28567EB}"/>
    <cellStyle name="Note 3 2 2 5 3 2 2" xfId="34072" xr:uid="{B5962E5C-4BD7-4675-AF09-07FED7F152BD}"/>
    <cellStyle name="Note 3 2 2 5 3 3" xfId="24775" xr:uid="{69269B01-1649-4C00-B63F-840AD5819CE5}"/>
    <cellStyle name="Note 3 2 2 5 4" xfId="11259" xr:uid="{CC329B82-D124-4F82-AAB8-EB94615374D2}"/>
    <cellStyle name="Note 3 2 2 5 4 2" xfId="29855" xr:uid="{375E8319-42BB-4058-A43E-6ED2DF7345DA}"/>
    <cellStyle name="Note 3 2 2 5 5" xfId="20558" xr:uid="{4D8E9906-8C63-4AAF-9035-ABC313D629C5}"/>
    <cellStyle name="Note 3 2 2 6" xfId="2257" xr:uid="{00000000-0005-0000-0000-000073210000}"/>
    <cellStyle name="Note 3 2 2 6 2" xfId="4486" xr:uid="{00000000-0005-0000-0000-000074210000}"/>
    <cellStyle name="Note 3 2 2 6 2 2" xfId="8708" xr:uid="{00000000-0005-0000-0000-000075210000}"/>
    <cellStyle name="Note 3 2 2 6 2 2 2" xfId="18034" xr:uid="{69876069-4C71-4E80-8A3B-78B33FAB0ACA}"/>
    <cellStyle name="Note 3 2 2 6 2 2 2 2" xfId="36630" xr:uid="{9E7DA641-99EB-439F-9711-201A65A5E636}"/>
    <cellStyle name="Note 3 2 2 6 2 2 3" xfId="27333" xr:uid="{D9FD81C1-643A-455F-8006-EA7AA56C53FC}"/>
    <cellStyle name="Note 3 2 2 6 2 3" xfId="13817" xr:uid="{EB0547B5-40B5-4F36-ADB8-5366908CDD86}"/>
    <cellStyle name="Note 3 2 2 6 2 3 2" xfId="32413" xr:uid="{E0B96BEA-A300-47F7-AB89-A9D3478A97FC}"/>
    <cellStyle name="Note 3 2 2 6 2 4" xfId="23116" xr:uid="{54E21138-14C4-425F-A928-8060FF28A254}"/>
    <cellStyle name="Note 3 2 2 6 3" xfId="6563" xr:uid="{00000000-0005-0000-0000-000076210000}"/>
    <cellStyle name="Note 3 2 2 6 3 2" xfId="15889" xr:uid="{8EED1740-5063-43F0-A734-CA9DEAF2EC65}"/>
    <cellStyle name="Note 3 2 2 6 3 2 2" xfId="34485" xr:uid="{79A48A82-C479-4CCA-BCED-B05ABAABAB64}"/>
    <cellStyle name="Note 3 2 2 6 3 3" xfId="25188" xr:uid="{25D805DD-A7A9-4BFF-BB8D-D9CB45A47E9A}"/>
    <cellStyle name="Note 3 2 2 6 4" xfId="11672" xr:uid="{DC65AD26-5A3B-4617-803F-3663E9CA222B}"/>
    <cellStyle name="Note 3 2 2 6 4 2" xfId="30268" xr:uid="{2F01B73D-048F-4339-8FB3-EAD77E74BB8F}"/>
    <cellStyle name="Note 3 2 2 6 5" xfId="20971" xr:uid="{83E40E3F-4292-4F54-9C4D-D5C2F059B298}"/>
    <cellStyle name="Note 3 2 2 7" xfId="2693" xr:uid="{00000000-0005-0000-0000-000077210000}"/>
    <cellStyle name="Note 3 2 2 7 2" xfId="6976" xr:uid="{00000000-0005-0000-0000-000078210000}"/>
    <cellStyle name="Note 3 2 2 7 2 2" xfId="16302" xr:uid="{065E1598-249E-4115-9114-D6789A136EB4}"/>
    <cellStyle name="Note 3 2 2 7 2 2 2" xfId="34898" xr:uid="{003DC91E-B7A4-4D96-8AB5-D8BF723A61A1}"/>
    <cellStyle name="Note 3 2 2 7 2 3" xfId="25601" xr:uid="{C024A87C-2DD4-426F-A6E7-098B7B534022}"/>
    <cellStyle name="Note 3 2 2 7 3" xfId="12085" xr:uid="{9701FAB5-FBE6-4C86-BB2C-2515281DB443}"/>
    <cellStyle name="Note 3 2 2 7 3 2" xfId="30681" xr:uid="{459FE26B-3409-4F02-B891-694F03800DEF}"/>
    <cellStyle name="Note 3 2 2 7 4" xfId="21384" xr:uid="{13621B08-A747-420B-85ED-6DCFA28CE360}"/>
    <cellStyle name="Note 3 2 2 8" xfId="2752" xr:uid="{00000000-0005-0000-0000-000079210000}"/>
    <cellStyle name="Note 3 2 2 9" xfId="2833" xr:uid="{00000000-0005-0000-0000-00007A210000}"/>
    <cellStyle name="Note 3 2 2 9 2" xfId="7056" xr:uid="{00000000-0005-0000-0000-00007B210000}"/>
    <cellStyle name="Note 3 2 2 9 2 2" xfId="16382" xr:uid="{6B8B4FB3-10C8-48DD-B8F5-EB5DB79795DC}"/>
    <cellStyle name="Note 3 2 2 9 2 2 2" xfId="34978" xr:uid="{5554A54D-5DCB-49D6-8A11-084861B72AD1}"/>
    <cellStyle name="Note 3 2 2 9 2 3" xfId="25681" xr:uid="{B3EBE3FA-98FE-4C42-9E87-5C70589455B4}"/>
    <cellStyle name="Note 3 2 2 9 3" xfId="12165" xr:uid="{147B840F-98AD-4842-B44E-6B5548DE5300}"/>
    <cellStyle name="Note 3 2 2 9 3 2" xfId="30761" xr:uid="{8808F770-A582-47A8-88A9-6461BA650105}"/>
    <cellStyle name="Note 3 2 2 9 4" xfId="21464" xr:uid="{EFA446FE-D2B6-49C7-93C1-BD99D02E8CA7}"/>
    <cellStyle name="Note 3 2 3" xfId="557" xr:uid="{00000000-0005-0000-0000-00007C210000}"/>
    <cellStyle name="Note 3 2 3 10" xfId="9049" xr:uid="{98DA21AE-8EED-4AF2-A5D5-94394E9C9EFE}"/>
    <cellStyle name="Note 3 2 3 10 2" xfId="18373" xr:uid="{002CFF8A-E800-47AA-95A1-C96E52997A20}"/>
    <cellStyle name="Note 3 2 3 10 2 2" xfId="36968" xr:uid="{9D67B583-E6BD-4A67-BE2F-5B9D8B351FB0}"/>
    <cellStyle name="Note 3 2 3 10 3" xfId="27671" xr:uid="{8D68AF42-F89D-4580-BCEB-DBF298CD33B8}"/>
    <cellStyle name="Note 3 2 3 11" xfId="10022" xr:uid="{E0D77D3C-DDB0-4D08-9E27-8E63532C5009}"/>
    <cellStyle name="Note 3 2 3 11 2" xfId="28618" xr:uid="{16BE3624-B51A-49E4-97B2-94B4037867E7}"/>
    <cellStyle name="Note 3 2 3 12" xfId="19321" xr:uid="{E599E018-C7C5-48EC-BD79-4C35AA1F6C46}"/>
    <cellStyle name="Note 3 2 3 2" xfId="1017" xr:uid="{00000000-0005-0000-0000-00007D210000}"/>
    <cellStyle name="Note 3 2 3 2 2" xfId="3249" xr:uid="{00000000-0005-0000-0000-00007E210000}"/>
    <cellStyle name="Note 3 2 3 2 2 2" xfId="7471" xr:uid="{00000000-0005-0000-0000-00007F210000}"/>
    <cellStyle name="Note 3 2 3 2 2 2 2" xfId="16797" xr:uid="{0E261D48-5200-4EE4-9507-8BB8C9FCBBF6}"/>
    <cellStyle name="Note 3 2 3 2 2 2 2 2" xfId="35393" xr:uid="{9FFEDEAF-2B92-4E6B-A07C-54B02B0395EF}"/>
    <cellStyle name="Note 3 2 3 2 2 2 3" xfId="26096" xr:uid="{11824B32-4989-4D66-9A86-9C838AFE4A58}"/>
    <cellStyle name="Note 3 2 3 2 2 3" xfId="12580" xr:uid="{B8F26F75-7FD8-47F5-82FA-962FAAAA9349}"/>
    <cellStyle name="Note 3 2 3 2 2 3 2" xfId="31176" xr:uid="{21E48BD2-1B31-4B5E-B681-C6E9DDA22095}"/>
    <cellStyle name="Note 3 2 3 2 2 4" xfId="21879" xr:uid="{17F7C03B-CC33-477C-A319-F787D875E13B}"/>
    <cellStyle name="Note 3 2 3 2 3" xfId="5326" xr:uid="{00000000-0005-0000-0000-000080210000}"/>
    <cellStyle name="Note 3 2 3 2 3 2" xfId="14652" xr:uid="{49398C8B-28DA-4675-A08D-631C12FBF533}"/>
    <cellStyle name="Note 3 2 3 2 3 2 2" xfId="33248" xr:uid="{1C06467B-79FE-4D56-86C2-24404AE102FB}"/>
    <cellStyle name="Note 3 2 3 2 3 3" xfId="23951" xr:uid="{D81E50D6-41D9-4849-AE3B-EC99D197FFE6}"/>
    <cellStyle name="Note 3 2 3 2 4" xfId="9474" xr:uid="{8827394E-7DCF-4E58-BF45-94E8587F7D91}"/>
    <cellStyle name="Note 3 2 3 2 4 2" xfId="18789" xr:uid="{D29D4DC2-F06D-4D31-A2BF-70E6C8D3E856}"/>
    <cellStyle name="Note 3 2 3 2 4 2 2" xfId="37383" xr:uid="{82B60F16-530C-4235-99F7-35A1CAA8D069}"/>
    <cellStyle name="Note 3 2 3 2 4 3" xfId="28086" xr:uid="{6B21F4F4-1269-4AF8-A16D-380E59B9771D}"/>
    <cellStyle name="Note 3 2 3 2 5" xfId="10435" xr:uid="{11CC6DC0-5729-4409-86FC-FA6D99A25C98}"/>
    <cellStyle name="Note 3 2 3 2 5 2" xfId="29031" xr:uid="{9138BC1E-5104-411D-AEC7-FFD34FB2EA82}"/>
    <cellStyle name="Note 3 2 3 2 6" xfId="19734" xr:uid="{02E7FE89-A27C-4456-9F4F-03A464EED561}"/>
    <cellStyle name="Note 3 2 3 3" xfId="1432" xr:uid="{00000000-0005-0000-0000-000081210000}"/>
    <cellStyle name="Note 3 2 3 3 2" xfId="3662" xr:uid="{00000000-0005-0000-0000-000082210000}"/>
    <cellStyle name="Note 3 2 3 3 2 2" xfId="7884" xr:uid="{00000000-0005-0000-0000-000083210000}"/>
    <cellStyle name="Note 3 2 3 3 2 2 2" xfId="17210" xr:uid="{162C6ABC-F2CA-4C71-A6F1-3F7EED84E65C}"/>
    <cellStyle name="Note 3 2 3 3 2 2 2 2" xfId="35806" xr:uid="{DA107BE5-1379-4347-B0E9-E6091FE62145}"/>
    <cellStyle name="Note 3 2 3 3 2 2 3" xfId="26509" xr:uid="{A5BA7101-263A-41E0-BD7D-DFA5708222DF}"/>
    <cellStyle name="Note 3 2 3 3 2 3" xfId="12993" xr:uid="{8E336211-94E4-4F9F-A06A-89B146205194}"/>
    <cellStyle name="Note 3 2 3 3 2 3 2" xfId="31589" xr:uid="{11E1E78C-C00A-439F-B8D3-DED94C6A3F21}"/>
    <cellStyle name="Note 3 2 3 3 2 4" xfId="22292" xr:uid="{A8694DEF-5FFD-48BC-8789-9EE56D56942A}"/>
    <cellStyle name="Note 3 2 3 3 3" xfId="5739" xr:uid="{00000000-0005-0000-0000-000084210000}"/>
    <cellStyle name="Note 3 2 3 3 3 2" xfId="15065" xr:uid="{966343C1-EE63-4F33-8D95-315A3D01C22F}"/>
    <cellStyle name="Note 3 2 3 3 3 2 2" xfId="33661" xr:uid="{36D37FFA-98BC-4BE8-A712-C803C933F213}"/>
    <cellStyle name="Note 3 2 3 3 3 3" xfId="24364" xr:uid="{4EB9BB4A-28FD-433A-A890-F2E32DBF3F28}"/>
    <cellStyle name="Note 3 2 3 3 4" xfId="10848" xr:uid="{E462682D-7244-404E-BF6D-869CAE087A3D}"/>
    <cellStyle name="Note 3 2 3 3 4 2" xfId="29444" xr:uid="{5CEFF526-C3ED-4777-92E7-9337A1B307EB}"/>
    <cellStyle name="Note 3 2 3 3 5" xfId="20147" xr:uid="{58D5CE1B-8A28-4172-8095-CE0B7257B09A}"/>
    <cellStyle name="Note 3 2 3 4" xfId="1846" xr:uid="{00000000-0005-0000-0000-000085210000}"/>
    <cellStyle name="Note 3 2 3 4 2" xfId="4075" xr:uid="{00000000-0005-0000-0000-000086210000}"/>
    <cellStyle name="Note 3 2 3 4 2 2" xfId="8297" xr:uid="{00000000-0005-0000-0000-000087210000}"/>
    <cellStyle name="Note 3 2 3 4 2 2 2" xfId="17623" xr:uid="{23F66614-CBD1-427B-B1B0-EAAFEB0EA16C}"/>
    <cellStyle name="Note 3 2 3 4 2 2 2 2" xfId="36219" xr:uid="{D6642936-6A22-4FE7-A0DE-CF1F75DE1A9C}"/>
    <cellStyle name="Note 3 2 3 4 2 2 3" xfId="26922" xr:uid="{30AD76D9-5D66-4CF3-B336-027B18939FE6}"/>
    <cellStyle name="Note 3 2 3 4 2 3" xfId="13406" xr:uid="{980406EB-6E9F-4253-B52D-69EB52B519EF}"/>
    <cellStyle name="Note 3 2 3 4 2 3 2" xfId="32002" xr:uid="{60FE2915-C233-4348-BB37-E1144011B005}"/>
    <cellStyle name="Note 3 2 3 4 2 4" xfId="22705" xr:uid="{E8681702-7329-41AB-BA1B-474610FB4C66}"/>
    <cellStyle name="Note 3 2 3 4 3" xfId="6152" xr:uid="{00000000-0005-0000-0000-000088210000}"/>
    <cellStyle name="Note 3 2 3 4 3 2" xfId="15478" xr:uid="{4FF7849A-0297-4D0B-8514-0466B0BEF829}"/>
    <cellStyle name="Note 3 2 3 4 3 2 2" xfId="34074" xr:uid="{01A08868-B485-4C6A-8D2E-D48FD72CE239}"/>
    <cellStyle name="Note 3 2 3 4 3 3" xfId="24777" xr:uid="{DDCA3036-B587-4805-9524-E1B28F9DDF21}"/>
    <cellStyle name="Note 3 2 3 4 4" xfId="11261" xr:uid="{4669A83F-08A2-403D-BCDA-697CE2B1928E}"/>
    <cellStyle name="Note 3 2 3 4 4 2" xfId="29857" xr:uid="{60D7D8C8-1847-4D8D-A55C-183874EAD1FC}"/>
    <cellStyle name="Note 3 2 3 4 5" xfId="20560" xr:uid="{B4FD7E15-0307-48DC-ACB6-7F91DE1F5481}"/>
    <cellStyle name="Note 3 2 3 5" xfId="2259" xr:uid="{00000000-0005-0000-0000-000089210000}"/>
    <cellStyle name="Note 3 2 3 5 2" xfId="4488" xr:uid="{00000000-0005-0000-0000-00008A210000}"/>
    <cellStyle name="Note 3 2 3 5 2 2" xfId="8710" xr:uid="{00000000-0005-0000-0000-00008B210000}"/>
    <cellStyle name="Note 3 2 3 5 2 2 2" xfId="18036" xr:uid="{39D75D33-B080-4E8B-AA2E-8D7CC583369C}"/>
    <cellStyle name="Note 3 2 3 5 2 2 2 2" xfId="36632" xr:uid="{1E1D8EA4-DABC-4B44-8237-7C5AC3E30E80}"/>
    <cellStyle name="Note 3 2 3 5 2 2 3" xfId="27335" xr:uid="{150C197D-A589-4B8C-8111-DDAE8BAC8A36}"/>
    <cellStyle name="Note 3 2 3 5 2 3" xfId="13819" xr:uid="{78928523-FCFA-4DC0-82F1-E125615FC951}"/>
    <cellStyle name="Note 3 2 3 5 2 3 2" xfId="32415" xr:uid="{644AF4CB-F6DC-4B44-BA22-362E652A0C83}"/>
    <cellStyle name="Note 3 2 3 5 2 4" xfId="23118" xr:uid="{0D777AED-A09B-4208-9C28-127AC4868C1F}"/>
    <cellStyle name="Note 3 2 3 5 3" xfId="6565" xr:uid="{00000000-0005-0000-0000-00008C210000}"/>
    <cellStyle name="Note 3 2 3 5 3 2" xfId="15891" xr:uid="{5E1921EF-F1CC-4394-941C-B0CADF1DF74D}"/>
    <cellStyle name="Note 3 2 3 5 3 2 2" xfId="34487" xr:uid="{EF4D5AF2-DA38-4CFD-A371-0DCB787E39CF}"/>
    <cellStyle name="Note 3 2 3 5 3 3" xfId="25190" xr:uid="{44C803F7-6A27-420D-95C0-2D74AF8365B6}"/>
    <cellStyle name="Note 3 2 3 5 4" xfId="11674" xr:uid="{A357D61C-4D7C-4B0D-A64E-89835E35CEE5}"/>
    <cellStyle name="Note 3 2 3 5 4 2" xfId="30270" xr:uid="{8B437A2F-3A75-4147-842C-8DD101908CA4}"/>
    <cellStyle name="Note 3 2 3 5 5" xfId="20973" xr:uid="{4EAF64F8-2AEF-4161-8D2E-79FC12A968F5}"/>
    <cellStyle name="Note 3 2 3 6" xfId="2695" xr:uid="{00000000-0005-0000-0000-00008D210000}"/>
    <cellStyle name="Note 3 2 3 6 2" xfId="6978" xr:uid="{00000000-0005-0000-0000-00008E210000}"/>
    <cellStyle name="Note 3 2 3 6 2 2" xfId="16304" xr:uid="{4139F5DC-B13F-4A64-AAE3-0E16B497C2C0}"/>
    <cellStyle name="Note 3 2 3 6 2 2 2" xfId="34900" xr:uid="{01A6ADE8-0109-4628-8E06-E54E5ECD5D54}"/>
    <cellStyle name="Note 3 2 3 6 2 3" xfId="25603" xr:uid="{0DA61678-1C4C-4F16-8B51-87A6925C0B9C}"/>
    <cellStyle name="Note 3 2 3 6 3" xfId="12087" xr:uid="{8113594E-328D-4F7A-A87E-2C9DD40981CE}"/>
    <cellStyle name="Note 3 2 3 6 3 2" xfId="30683" xr:uid="{18151944-8EB6-45E6-B660-F117854ECF07}"/>
    <cellStyle name="Note 3 2 3 6 4" xfId="21386" xr:uid="{FDF0D222-C072-40BA-B696-37A97094D3B8}"/>
    <cellStyle name="Note 3 2 3 7" xfId="2754" xr:uid="{00000000-0005-0000-0000-00008F210000}"/>
    <cellStyle name="Note 3 2 3 8" xfId="2835" xr:uid="{00000000-0005-0000-0000-000090210000}"/>
    <cellStyle name="Note 3 2 3 8 2" xfId="7058" xr:uid="{00000000-0005-0000-0000-000091210000}"/>
    <cellStyle name="Note 3 2 3 8 2 2" xfId="16384" xr:uid="{2B608AF1-F8A2-4BEE-926F-0F758169ECDA}"/>
    <cellStyle name="Note 3 2 3 8 2 2 2" xfId="34980" xr:uid="{FC8C8511-AF0C-4E64-8761-6124E14C2981}"/>
    <cellStyle name="Note 3 2 3 8 2 3" xfId="25683" xr:uid="{5154E6F6-30B2-4C0F-A8BE-C4FA89CF8551}"/>
    <cellStyle name="Note 3 2 3 8 3" xfId="12167" xr:uid="{B762B3F3-2B59-438A-B36A-F91B863828F5}"/>
    <cellStyle name="Note 3 2 3 8 3 2" xfId="30763" xr:uid="{C26439AF-A30F-4EEC-A46D-27BD05B713B0}"/>
    <cellStyle name="Note 3 2 3 8 4" xfId="21466" xr:uid="{39C800EB-4F71-4AE2-A202-442E51FC36A0}"/>
    <cellStyle name="Note 3 2 3 9" xfId="4913" xr:uid="{00000000-0005-0000-0000-000092210000}"/>
    <cellStyle name="Note 3 2 3 9 2" xfId="14239" xr:uid="{4D7F0629-51DA-4278-ACA1-6565B61B53D6}"/>
    <cellStyle name="Note 3 2 3 9 2 2" xfId="32835" xr:uid="{526BE717-95D3-4BAE-9316-6A2DA178F398}"/>
    <cellStyle name="Note 3 2 3 9 3" xfId="23538" xr:uid="{9502D468-0D78-4CC8-AEC2-2A2C10598850}"/>
    <cellStyle name="Note 3 2 4" xfId="1014" xr:uid="{00000000-0005-0000-0000-000093210000}"/>
    <cellStyle name="Note 3 2 4 2" xfId="3246" xr:uid="{00000000-0005-0000-0000-000094210000}"/>
    <cellStyle name="Note 3 2 4 2 2" xfId="7468" xr:uid="{00000000-0005-0000-0000-000095210000}"/>
    <cellStyle name="Note 3 2 4 2 2 2" xfId="16794" xr:uid="{2B27FC1A-C8D6-4345-A709-B3F5F5CCEC10}"/>
    <cellStyle name="Note 3 2 4 2 2 2 2" xfId="35390" xr:uid="{105C8229-DDF2-43A3-BB2C-82CEE93B7B10}"/>
    <cellStyle name="Note 3 2 4 2 2 3" xfId="26093" xr:uid="{03C89FE2-1297-4C0A-B3C4-2F96F235433D}"/>
    <cellStyle name="Note 3 2 4 2 3" xfId="12577" xr:uid="{D91A4837-9828-42F6-A0C4-D67D52C5CFCF}"/>
    <cellStyle name="Note 3 2 4 2 3 2" xfId="31173" xr:uid="{C27AD6C1-B631-4E23-AE1D-E86600649E2C}"/>
    <cellStyle name="Note 3 2 4 2 4" xfId="21876" xr:uid="{79D48ACB-8B64-4036-B12B-853A82A0E6F8}"/>
    <cellStyle name="Note 3 2 4 3" xfId="5323" xr:uid="{00000000-0005-0000-0000-000096210000}"/>
    <cellStyle name="Note 3 2 4 3 2" xfId="14649" xr:uid="{C10618B8-3F4F-4083-9650-86331D342A4E}"/>
    <cellStyle name="Note 3 2 4 3 2 2" xfId="33245" xr:uid="{26809F85-D4B7-4D45-8E2D-7EECCE2A0D35}"/>
    <cellStyle name="Note 3 2 4 3 3" xfId="23948" xr:uid="{12F6F3DA-D949-4A52-BC5C-4D0D08E2CD4E}"/>
    <cellStyle name="Note 3 2 4 4" xfId="9267" xr:uid="{1291CED5-E18E-4F1A-8856-A132B18F5C81}"/>
    <cellStyle name="Note 3 2 4 4 2" xfId="18582" xr:uid="{5E05572A-18CB-46D3-BB98-964B45018736}"/>
    <cellStyle name="Note 3 2 4 4 2 2" xfId="37176" xr:uid="{51C03F4D-156E-42AF-8B14-F581DCE81662}"/>
    <cellStyle name="Note 3 2 4 4 3" xfId="27879" xr:uid="{F535E911-0959-4C86-B152-53F11BEF4F1A}"/>
    <cellStyle name="Note 3 2 4 5" xfId="10432" xr:uid="{A7DBE868-E657-40ED-BFCA-82C1161C58CE}"/>
    <cellStyle name="Note 3 2 4 5 2" xfId="29028" xr:uid="{928947AA-AF9F-4F20-8182-3D793E36F725}"/>
    <cellStyle name="Note 3 2 4 6" xfId="19731" xr:uid="{BB69C70F-7B6A-4220-BF06-F2714A85416A}"/>
    <cellStyle name="Note 3 2 5" xfId="1429" xr:uid="{00000000-0005-0000-0000-000097210000}"/>
    <cellStyle name="Note 3 2 5 2" xfId="3659" xr:uid="{00000000-0005-0000-0000-000098210000}"/>
    <cellStyle name="Note 3 2 5 2 2" xfId="7881" xr:uid="{00000000-0005-0000-0000-000099210000}"/>
    <cellStyle name="Note 3 2 5 2 2 2" xfId="17207" xr:uid="{82E2B424-AE4F-434D-9B80-8D743BD23E30}"/>
    <cellStyle name="Note 3 2 5 2 2 2 2" xfId="35803" xr:uid="{39A7BEB4-0E83-4F07-94FF-08A09BA81504}"/>
    <cellStyle name="Note 3 2 5 2 2 3" xfId="26506" xr:uid="{17256B84-8A29-41A5-82B6-200A4BB65D9E}"/>
    <cellStyle name="Note 3 2 5 2 3" xfId="12990" xr:uid="{D0C0DAD4-4580-468A-92A5-D465CF661A12}"/>
    <cellStyle name="Note 3 2 5 2 3 2" xfId="31586" xr:uid="{EFBF1122-5813-4051-A009-C8BF43434A14}"/>
    <cellStyle name="Note 3 2 5 2 4" xfId="22289" xr:uid="{A94A2191-A316-40E1-9F25-F4BC717B45F0}"/>
    <cellStyle name="Note 3 2 5 3" xfId="5736" xr:uid="{00000000-0005-0000-0000-00009A210000}"/>
    <cellStyle name="Note 3 2 5 3 2" xfId="15062" xr:uid="{672ED7AE-6F8A-400E-B5CD-8E9AB82818CC}"/>
    <cellStyle name="Note 3 2 5 3 2 2" xfId="33658" xr:uid="{78E0F419-2175-4CEE-8BCF-E51058AB0430}"/>
    <cellStyle name="Note 3 2 5 3 3" xfId="24361" xr:uid="{D55842D0-2E15-435D-B30C-D9525A7BB9BF}"/>
    <cellStyle name="Note 3 2 5 4" xfId="10845" xr:uid="{C72BF7EA-F6F0-4742-BF80-F19F6FEE8FE7}"/>
    <cellStyle name="Note 3 2 5 4 2" xfId="29441" xr:uid="{5809072F-1698-44B8-B2B7-3D7AB43EBD4E}"/>
    <cellStyle name="Note 3 2 5 5" xfId="20144" xr:uid="{1BE5BC62-5A26-415D-AF58-4009C1E4EB75}"/>
    <cellStyle name="Note 3 2 6" xfId="1843" xr:uid="{00000000-0005-0000-0000-00009B210000}"/>
    <cellStyle name="Note 3 2 6 2" xfId="4072" xr:uid="{00000000-0005-0000-0000-00009C210000}"/>
    <cellStyle name="Note 3 2 6 2 2" xfId="8294" xr:uid="{00000000-0005-0000-0000-00009D210000}"/>
    <cellStyle name="Note 3 2 6 2 2 2" xfId="17620" xr:uid="{494633EC-BFCA-4E88-B90E-7A8B76DB0EF9}"/>
    <cellStyle name="Note 3 2 6 2 2 2 2" xfId="36216" xr:uid="{4372F580-F3CA-4C4B-8DC1-5EBAD747165F}"/>
    <cellStyle name="Note 3 2 6 2 2 3" xfId="26919" xr:uid="{A6047FDA-F1A9-4EA9-8C9C-FECF3DA0ECE1}"/>
    <cellStyle name="Note 3 2 6 2 3" xfId="13403" xr:uid="{12E0BD24-E27D-4A13-938B-DAA863ED756A}"/>
    <cellStyle name="Note 3 2 6 2 3 2" xfId="31999" xr:uid="{7ADB1968-73DF-45E9-A1BF-4E179C4A0671}"/>
    <cellStyle name="Note 3 2 6 2 4" xfId="22702" xr:uid="{B8FEF185-5083-43B6-8CFD-D96E35CF9639}"/>
    <cellStyle name="Note 3 2 6 3" xfId="6149" xr:uid="{00000000-0005-0000-0000-00009E210000}"/>
    <cellStyle name="Note 3 2 6 3 2" xfId="15475" xr:uid="{016ADEA5-3EA2-4D2D-A8FC-896E880C0DDD}"/>
    <cellStyle name="Note 3 2 6 3 2 2" xfId="34071" xr:uid="{B7CAD6A5-54AD-4E1A-A97F-A6B1123F01B8}"/>
    <cellStyle name="Note 3 2 6 3 3" xfId="24774" xr:uid="{4B525D02-DB22-4B7B-96BC-7652DA2986ED}"/>
    <cellStyle name="Note 3 2 6 4" xfId="11258" xr:uid="{E6C7CA8D-EFC3-4A23-9744-FAC3FE8769CA}"/>
    <cellStyle name="Note 3 2 6 4 2" xfId="29854" xr:uid="{61A719DB-749E-45AC-9D84-2C0D418EB731}"/>
    <cellStyle name="Note 3 2 6 5" xfId="20557" xr:uid="{DF785306-75EF-4DF4-8B4B-94927F9782F4}"/>
    <cellStyle name="Note 3 2 7" xfId="2256" xr:uid="{00000000-0005-0000-0000-00009F210000}"/>
    <cellStyle name="Note 3 2 7 2" xfId="4485" xr:uid="{00000000-0005-0000-0000-0000A0210000}"/>
    <cellStyle name="Note 3 2 7 2 2" xfId="8707" xr:uid="{00000000-0005-0000-0000-0000A1210000}"/>
    <cellStyle name="Note 3 2 7 2 2 2" xfId="18033" xr:uid="{7F0F8F1B-AD5B-4980-8571-93663FC3BE79}"/>
    <cellStyle name="Note 3 2 7 2 2 2 2" xfId="36629" xr:uid="{0A5241C6-E551-4A0A-8F43-8EB066E67294}"/>
    <cellStyle name="Note 3 2 7 2 2 3" xfId="27332" xr:uid="{DBF84C6F-9142-4342-9981-D3A85A2DDDCA}"/>
    <cellStyle name="Note 3 2 7 2 3" xfId="13816" xr:uid="{274D3F6A-5500-426D-992B-856F79993383}"/>
    <cellStyle name="Note 3 2 7 2 3 2" xfId="32412" xr:uid="{893FA055-F28A-4D1A-81DD-66E2C32E4ED5}"/>
    <cellStyle name="Note 3 2 7 2 4" xfId="23115" xr:uid="{D5EF2007-8B54-47AC-BDE2-0382A2670A73}"/>
    <cellStyle name="Note 3 2 7 3" xfId="6562" xr:uid="{00000000-0005-0000-0000-0000A2210000}"/>
    <cellStyle name="Note 3 2 7 3 2" xfId="15888" xr:uid="{4474E855-BED0-40EF-A38D-7242350A849A}"/>
    <cellStyle name="Note 3 2 7 3 2 2" xfId="34484" xr:uid="{AFDC06A3-8632-4835-99E6-5C412188928A}"/>
    <cellStyle name="Note 3 2 7 3 3" xfId="25187" xr:uid="{D39D4A4A-E179-4B64-885D-2376DD3ED593}"/>
    <cellStyle name="Note 3 2 7 4" xfId="11671" xr:uid="{58E7C7EA-D5D5-401C-A938-86D83DF4CAF3}"/>
    <cellStyle name="Note 3 2 7 4 2" xfId="30267" xr:uid="{4E516860-4FB7-4388-9F68-61ECB19AE050}"/>
    <cellStyle name="Note 3 2 7 5" xfId="20970" xr:uid="{57571733-217C-4AC7-A833-B8B5FE985185}"/>
    <cellStyle name="Note 3 2 8" xfId="2692" xr:uid="{00000000-0005-0000-0000-0000A3210000}"/>
    <cellStyle name="Note 3 2 8 2" xfId="6975" xr:uid="{00000000-0005-0000-0000-0000A4210000}"/>
    <cellStyle name="Note 3 2 8 2 2" xfId="16301" xr:uid="{1A213262-720C-456A-9A98-147ACC579CBF}"/>
    <cellStyle name="Note 3 2 8 2 2 2" xfId="34897" xr:uid="{DBBF48A6-91B2-4656-959D-FC0B4989ABF1}"/>
    <cellStyle name="Note 3 2 8 2 3" xfId="25600" xr:uid="{DC8C09B5-D23D-4A09-BC07-5EFA1B6DED0E}"/>
    <cellStyle name="Note 3 2 8 3" xfId="12084" xr:uid="{860E22E5-756F-4580-B44E-C5CF2B6C2AA4}"/>
    <cellStyle name="Note 3 2 8 3 2" xfId="30680" xr:uid="{06BCC23D-66A5-4756-83E8-7160717749B1}"/>
    <cellStyle name="Note 3 2 8 4" xfId="21383" xr:uid="{D5C076A2-F1BB-489D-A3A3-74CD2D757667}"/>
    <cellStyle name="Note 3 2 9" xfId="2751" xr:uid="{00000000-0005-0000-0000-0000A5210000}"/>
    <cellStyle name="Note 3 3" xfId="558" xr:uid="{00000000-0005-0000-0000-0000A6210000}"/>
    <cellStyle name="Note 3 3 10" xfId="4914" xr:uid="{00000000-0005-0000-0000-0000A7210000}"/>
    <cellStyle name="Note 3 3 10 2" xfId="14240" xr:uid="{5DE740BC-26D1-4CE9-AF32-F115455AEA24}"/>
    <cellStyle name="Note 3 3 10 2 2" xfId="32836" xr:uid="{80F46D10-2BFC-4399-820F-8E61221DEF4F}"/>
    <cellStyle name="Note 3 3 10 3" xfId="23539" xr:uid="{3EB7525A-76A9-4B32-A8E7-724FEF3E54F0}"/>
    <cellStyle name="Note 3 3 11" xfId="8892" xr:uid="{8511F94A-7472-4DD0-A9AB-40754FEE5F47}"/>
    <cellStyle name="Note 3 3 11 2" xfId="18216" xr:uid="{5D794887-224A-46AE-9574-93849E565B35}"/>
    <cellStyle name="Note 3 3 11 2 2" xfId="36811" xr:uid="{E7EEC2F3-7A4B-425F-BBEA-13B92EC04F9B}"/>
    <cellStyle name="Note 3 3 11 3" xfId="27514" xr:uid="{F802D196-5223-4C0E-9B0D-3DBC3A1A8A51}"/>
    <cellStyle name="Note 3 3 12" xfId="10023" xr:uid="{70ED5B71-9452-4968-9C79-AF9A48113ED2}"/>
    <cellStyle name="Note 3 3 12 2" xfId="28619" xr:uid="{0F3E55BB-AE21-4BEB-BB15-59021DDFDC28}"/>
    <cellStyle name="Note 3 3 13" xfId="19322" xr:uid="{584FB4EE-8376-4FE8-A1ED-E7E9AC702068}"/>
    <cellStyle name="Note 3 3 2" xfId="559" xr:uid="{00000000-0005-0000-0000-0000A8210000}"/>
    <cellStyle name="Note 3 3 2 10" xfId="9099" xr:uid="{29F3AC20-D296-4B59-BA53-0A5C025B0569}"/>
    <cellStyle name="Note 3 3 2 10 2" xfId="18423" xr:uid="{CE0B3CEE-3227-4C9B-AA45-F0E2BA0BCA7D}"/>
    <cellStyle name="Note 3 3 2 10 2 2" xfId="37018" xr:uid="{ED1F7516-5EFB-4051-ACF8-FC451D66FDDA}"/>
    <cellStyle name="Note 3 3 2 10 3" xfId="27721" xr:uid="{A29F5104-C92E-4F19-A686-CA4FBE7D7276}"/>
    <cellStyle name="Note 3 3 2 11" xfId="10024" xr:uid="{351EB514-9F86-4A61-B7B8-E3294986811A}"/>
    <cellStyle name="Note 3 3 2 11 2" xfId="28620" xr:uid="{C3A74117-DF02-4B65-B46C-530BC1C20C1A}"/>
    <cellStyle name="Note 3 3 2 12" xfId="19323" xr:uid="{3B473710-7E23-4E10-A1C5-AD51C53D8D2E}"/>
    <cellStyle name="Note 3 3 2 2" xfId="1019" xr:uid="{00000000-0005-0000-0000-0000A9210000}"/>
    <cellStyle name="Note 3 3 2 2 2" xfId="3251" xr:uid="{00000000-0005-0000-0000-0000AA210000}"/>
    <cellStyle name="Note 3 3 2 2 2 2" xfId="7473" xr:uid="{00000000-0005-0000-0000-0000AB210000}"/>
    <cellStyle name="Note 3 3 2 2 2 2 2" xfId="16799" xr:uid="{2CEEEC68-5CC8-49DA-974E-2FC68028DD8A}"/>
    <cellStyle name="Note 3 3 2 2 2 2 2 2" xfId="35395" xr:uid="{7B0710D0-C8CA-479D-8A05-F6F5C7E9F571}"/>
    <cellStyle name="Note 3 3 2 2 2 2 3" xfId="26098" xr:uid="{09AC27A3-7472-4131-9D59-D4AE27A8E54E}"/>
    <cellStyle name="Note 3 3 2 2 2 3" xfId="12582" xr:uid="{34F2CDD0-99BB-4603-97F4-A014F065AFD1}"/>
    <cellStyle name="Note 3 3 2 2 2 3 2" xfId="31178" xr:uid="{335788B3-89C5-407B-90F2-2E82042B4F95}"/>
    <cellStyle name="Note 3 3 2 2 2 4" xfId="21881" xr:uid="{4CA407D8-C911-4F12-99A3-E24894936C87}"/>
    <cellStyle name="Note 3 3 2 2 3" xfId="5328" xr:uid="{00000000-0005-0000-0000-0000AC210000}"/>
    <cellStyle name="Note 3 3 2 2 3 2" xfId="14654" xr:uid="{EC27B3C6-19AF-4901-8C2A-9268499FF86F}"/>
    <cellStyle name="Note 3 3 2 2 3 2 2" xfId="33250" xr:uid="{A5A6D937-9EAA-4B41-8555-F5E0E76490B9}"/>
    <cellStyle name="Note 3 3 2 2 3 3" xfId="23953" xr:uid="{7AAF12DB-5456-4A14-BFBE-BE073E80926E}"/>
    <cellStyle name="Note 3 3 2 2 4" xfId="9524" xr:uid="{D03F5DE7-D9AB-48C0-A1E3-0A929D2C18C5}"/>
    <cellStyle name="Note 3 3 2 2 4 2" xfId="18839" xr:uid="{3D7D4779-5403-4527-B690-C1FF4C7532E5}"/>
    <cellStyle name="Note 3 3 2 2 4 2 2" xfId="37433" xr:uid="{412C074F-D09A-458D-8BD5-8AF199AF7AA5}"/>
    <cellStyle name="Note 3 3 2 2 4 3" xfId="28136" xr:uid="{C4B814F4-66EA-48CA-BC3B-A2E54B377D01}"/>
    <cellStyle name="Note 3 3 2 2 5" xfId="10437" xr:uid="{D41F71B5-B38D-4BAF-85D7-59B7EAD0AF1B}"/>
    <cellStyle name="Note 3 3 2 2 5 2" xfId="29033" xr:uid="{FA33E439-EDD7-4F06-95BA-957BEE8EB99E}"/>
    <cellStyle name="Note 3 3 2 2 6" xfId="19736" xr:uid="{86831BB2-3072-4097-A548-772A1000B6C0}"/>
    <cellStyle name="Note 3 3 2 3" xfId="1434" xr:uid="{00000000-0005-0000-0000-0000AD210000}"/>
    <cellStyle name="Note 3 3 2 3 2" xfId="3664" xr:uid="{00000000-0005-0000-0000-0000AE210000}"/>
    <cellStyle name="Note 3 3 2 3 2 2" xfId="7886" xr:uid="{00000000-0005-0000-0000-0000AF210000}"/>
    <cellStyle name="Note 3 3 2 3 2 2 2" xfId="17212" xr:uid="{AA024606-3444-4770-9D37-571C5BC1BDA5}"/>
    <cellStyle name="Note 3 3 2 3 2 2 2 2" xfId="35808" xr:uid="{B16CC734-82FF-4D8F-B50F-CD8107BC8340}"/>
    <cellStyle name="Note 3 3 2 3 2 2 3" xfId="26511" xr:uid="{7DC88F2C-659E-4A45-8294-3BCF365C1EEF}"/>
    <cellStyle name="Note 3 3 2 3 2 3" xfId="12995" xr:uid="{F0185624-4A4D-4A77-BAFE-98ECB7A7F371}"/>
    <cellStyle name="Note 3 3 2 3 2 3 2" xfId="31591" xr:uid="{E0009DC2-1F8B-4144-B9B7-B755DE473169}"/>
    <cellStyle name="Note 3 3 2 3 2 4" xfId="22294" xr:uid="{367AACF6-572F-4910-AD67-7F9F337B4C8F}"/>
    <cellStyle name="Note 3 3 2 3 3" xfId="5741" xr:uid="{00000000-0005-0000-0000-0000B0210000}"/>
    <cellStyle name="Note 3 3 2 3 3 2" xfId="15067" xr:uid="{198F8DC8-032B-4D73-83FB-9AF0DB2438FD}"/>
    <cellStyle name="Note 3 3 2 3 3 2 2" xfId="33663" xr:uid="{F595A213-8009-498D-87C1-40933C16B02B}"/>
    <cellStyle name="Note 3 3 2 3 3 3" xfId="24366" xr:uid="{7CC0ED87-9CF9-4D5A-BA08-8B8EEDDCBFB9}"/>
    <cellStyle name="Note 3 3 2 3 4" xfId="10850" xr:uid="{25CA4AEB-CC4F-43C3-81DF-B6C3CC539A1D}"/>
    <cellStyle name="Note 3 3 2 3 4 2" xfId="29446" xr:uid="{837EA105-5FE3-4B9C-88FB-4D0EA9A487D2}"/>
    <cellStyle name="Note 3 3 2 3 5" xfId="20149" xr:uid="{21BD5CAA-839C-4B29-BA84-902625E26212}"/>
    <cellStyle name="Note 3 3 2 4" xfId="1848" xr:uid="{00000000-0005-0000-0000-0000B1210000}"/>
    <cellStyle name="Note 3 3 2 4 2" xfId="4077" xr:uid="{00000000-0005-0000-0000-0000B2210000}"/>
    <cellStyle name="Note 3 3 2 4 2 2" xfId="8299" xr:uid="{00000000-0005-0000-0000-0000B3210000}"/>
    <cellStyle name="Note 3 3 2 4 2 2 2" xfId="17625" xr:uid="{3184DFAE-6C35-46CC-9B12-2F1E2CE94A2F}"/>
    <cellStyle name="Note 3 3 2 4 2 2 2 2" xfId="36221" xr:uid="{F6766E78-D3F1-4C20-9780-278348C16D82}"/>
    <cellStyle name="Note 3 3 2 4 2 2 3" xfId="26924" xr:uid="{D1E5BB79-186A-4F38-8E46-55B015A0CB0D}"/>
    <cellStyle name="Note 3 3 2 4 2 3" xfId="13408" xr:uid="{EBC38F7B-5411-4EE3-B8A8-64B468B3256D}"/>
    <cellStyle name="Note 3 3 2 4 2 3 2" xfId="32004" xr:uid="{01E8277B-54B1-4DE3-B421-E56D209D0D5D}"/>
    <cellStyle name="Note 3 3 2 4 2 4" xfId="22707" xr:uid="{DA757DB2-2C00-49B8-A80B-9338884F7FC7}"/>
    <cellStyle name="Note 3 3 2 4 3" xfId="6154" xr:uid="{00000000-0005-0000-0000-0000B4210000}"/>
    <cellStyle name="Note 3 3 2 4 3 2" xfId="15480" xr:uid="{1D8BC344-1960-498F-AFED-74250DB12C0F}"/>
    <cellStyle name="Note 3 3 2 4 3 2 2" xfId="34076" xr:uid="{E1313C91-7C90-435D-91C8-C0503F618DC5}"/>
    <cellStyle name="Note 3 3 2 4 3 3" xfId="24779" xr:uid="{E6DB6A1B-5D03-47FD-93C4-EC67BC6BF539}"/>
    <cellStyle name="Note 3 3 2 4 4" xfId="11263" xr:uid="{BBF9B305-CF10-4445-860D-A2BD29F3679F}"/>
    <cellStyle name="Note 3 3 2 4 4 2" xfId="29859" xr:uid="{3182D6A9-BAE6-4A8C-BCA0-2A997294B94B}"/>
    <cellStyle name="Note 3 3 2 4 5" xfId="20562" xr:uid="{6D3AA695-AC80-499F-91DA-1114F2B00045}"/>
    <cellStyle name="Note 3 3 2 5" xfId="2261" xr:uid="{00000000-0005-0000-0000-0000B5210000}"/>
    <cellStyle name="Note 3 3 2 5 2" xfId="4490" xr:uid="{00000000-0005-0000-0000-0000B6210000}"/>
    <cellStyle name="Note 3 3 2 5 2 2" xfId="8712" xr:uid="{00000000-0005-0000-0000-0000B7210000}"/>
    <cellStyle name="Note 3 3 2 5 2 2 2" xfId="18038" xr:uid="{481E1FBE-F56E-46DA-81B9-BF427F3D1252}"/>
    <cellStyle name="Note 3 3 2 5 2 2 2 2" xfId="36634" xr:uid="{6FC66094-AD28-4D42-B2FA-8B52567072FD}"/>
    <cellStyle name="Note 3 3 2 5 2 2 3" xfId="27337" xr:uid="{A2A714B9-07EF-4408-8B84-9066339028EA}"/>
    <cellStyle name="Note 3 3 2 5 2 3" xfId="13821" xr:uid="{7CB5BC27-20F6-4157-B116-FD65EE37147E}"/>
    <cellStyle name="Note 3 3 2 5 2 3 2" xfId="32417" xr:uid="{AC908C42-1408-4B14-9403-3B7A62152D93}"/>
    <cellStyle name="Note 3 3 2 5 2 4" xfId="23120" xr:uid="{64AF3782-8276-4BF6-9B70-116D7928395D}"/>
    <cellStyle name="Note 3 3 2 5 3" xfId="6567" xr:uid="{00000000-0005-0000-0000-0000B8210000}"/>
    <cellStyle name="Note 3 3 2 5 3 2" xfId="15893" xr:uid="{64675C35-0433-46A3-AE55-444F9B3D9726}"/>
    <cellStyle name="Note 3 3 2 5 3 2 2" xfId="34489" xr:uid="{47744685-8A92-4BDA-B724-26F12D3F3136}"/>
    <cellStyle name="Note 3 3 2 5 3 3" xfId="25192" xr:uid="{FDC77F9C-6730-4562-B7D2-24674D5D45EF}"/>
    <cellStyle name="Note 3 3 2 5 4" xfId="11676" xr:uid="{91229D1D-9872-4642-9F5A-B35380E1F54C}"/>
    <cellStyle name="Note 3 3 2 5 4 2" xfId="30272" xr:uid="{B9567F65-BF08-4CC5-91A4-FD01880610B6}"/>
    <cellStyle name="Note 3 3 2 5 5" xfId="20975" xr:uid="{CF36F0E3-2159-465E-A3D8-5BCB778BDCD4}"/>
    <cellStyle name="Note 3 3 2 6" xfId="2697" xr:uid="{00000000-0005-0000-0000-0000B9210000}"/>
    <cellStyle name="Note 3 3 2 6 2" xfId="6980" xr:uid="{00000000-0005-0000-0000-0000BA210000}"/>
    <cellStyle name="Note 3 3 2 6 2 2" xfId="16306" xr:uid="{D144AE3B-750D-43DF-987A-BFC5BFBF9B13}"/>
    <cellStyle name="Note 3 3 2 6 2 2 2" xfId="34902" xr:uid="{89ACF8D3-D11D-4C59-A273-595EBCB35D48}"/>
    <cellStyle name="Note 3 3 2 6 2 3" xfId="25605" xr:uid="{380718D0-61ED-43CC-A577-72D70FC8E48C}"/>
    <cellStyle name="Note 3 3 2 6 3" xfId="12089" xr:uid="{5685C479-E26E-4900-A71B-9B6CE9785A57}"/>
    <cellStyle name="Note 3 3 2 6 3 2" xfId="30685" xr:uid="{7CB0314F-016E-40F0-B5B0-4D1B1C14CCED}"/>
    <cellStyle name="Note 3 3 2 6 4" xfId="21388" xr:uid="{0FFBB272-E7B0-4133-B2DD-51D1860AD05D}"/>
    <cellStyle name="Note 3 3 2 7" xfId="2756" xr:uid="{00000000-0005-0000-0000-0000BB210000}"/>
    <cellStyle name="Note 3 3 2 8" xfId="2837" xr:uid="{00000000-0005-0000-0000-0000BC210000}"/>
    <cellStyle name="Note 3 3 2 8 2" xfId="7060" xr:uid="{00000000-0005-0000-0000-0000BD210000}"/>
    <cellStyle name="Note 3 3 2 8 2 2" xfId="16386" xr:uid="{26E6B04E-F655-48B8-9269-0329ADA625A1}"/>
    <cellStyle name="Note 3 3 2 8 2 2 2" xfId="34982" xr:uid="{C6A6CF3D-58E4-4CE4-86E7-8A3F154CB81E}"/>
    <cellStyle name="Note 3 3 2 8 2 3" xfId="25685" xr:uid="{00D2A077-6131-402A-9449-DE1857BB575F}"/>
    <cellStyle name="Note 3 3 2 8 3" xfId="12169" xr:uid="{ABD7FDC4-6DA4-47FD-AFC0-D3AAB943DE23}"/>
    <cellStyle name="Note 3 3 2 8 3 2" xfId="30765" xr:uid="{3ACE9B19-03E0-422F-9E2C-3F0EFC96DB94}"/>
    <cellStyle name="Note 3 3 2 8 4" xfId="21468" xr:uid="{3730D4C6-8010-4975-88DF-41F9AA7A8831}"/>
    <cellStyle name="Note 3 3 2 9" xfId="4915" xr:uid="{00000000-0005-0000-0000-0000BE210000}"/>
    <cellStyle name="Note 3 3 2 9 2" xfId="14241" xr:uid="{86F4685A-23BB-4D3A-89C4-EF84B3F6C417}"/>
    <cellStyle name="Note 3 3 2 9 2 2" xfId="32837" xr:uid="{585A7DF5-4669-4AB1-8AE0-4B74F9BF47FF}"/>
    <cellStyle name="Note 3 3 2 9 3" xfId="23540" xr:uid="{E8792781-3772-4FD1-80A5-30032543BE38}"/>
    <cellStyle name="Note 3 3 3" xfId="1018" xr:uid="{00000000-0005-0000-0000-0000BF210000}"/>
    <cellStyle name="Note 3 3 3 2" xfId="3250" xr:uid="{00000000-0005-0000-0000-0000C0210000}"/>
    <cellStyle name="Note 3 3 3 2 2" xfId="7472" xr:uid="{00000000-0005-0000-0000-0000C1210000}"/>
    <cellStyle name="Note 3 3 3 2 2 2" xfId="16798" xr:uid="{38F849C4-19F1-45F4-B592-444B6D7FEE10}"/>
    <cellStyle name="Note 3 3 3 2 2 2 2" xfId="35394" xr:uid="{5B195B02-AFEB-4258-8BD7-1C693CFBFAEF}"/>
    <cellStyle name="Note 3 3 3 2 2 3" xfId="26097" xr:uid="{7E53EA9F-B2E5-4BEC-BFE0-E5EEE1BE438B}"/>
    <cellStyle name="Note 3 3 3 2 3" xfId="12581" xr:uid="{0BFAE9B5-7361-4CB3-AC3B-5B8417039D31}"/>
    <cellStyle name="Note 3 3 3 2 3 2" xfId="31177" xr:uid="{580D38A1-185E-4D9A-94F4-6E69E0E5C987}"/>
    <cellStyle name="Note 3 3 3 2 4" xfId="21880" xr:uid="{E86CB60E-07F2-4FA3-B6AA-89934E63423D}"/>
    <cellStyle name="Note 3 3 3 3" xfId="5327" xr:uid="{00000000-0005-0000-0000-0000C2210000}"/>
    <cellStyle name="Note 3 3 3 3 2" xfId="14653" xr:uid="{869A80FD-421B-4564-9B3D-D87D4FC59E41}"/>
    <cellStyle name="Note 3 3 3 3 2 2" xfId="33249" xr:uid="{E75384E0-819B-42C4-BA91-65024188F67B}"/>
    <cellStyle name="Note 3 3 3 3 3" xfId="23952" xr:uid="{0B16CF24-F324-494A-89F7-CA7267B99966}"/>
    <cellStyle name="Note 3 3 3 4" xfId="9317" xr:uid="{171D8024-554D-4F15-BFD3-81CBE1A601EA}"/>
    <cellStyle name="Note 3 3 3 4 2" xfId="18632" xr:uid="{32B47384-C786-4E8C-ADF0-42940A655B99}"/>
    <cellStyle name="Note 3 3 3 4 2 2" xfId="37226" xr:uid="{D7A1F1D8-C0FE-4C5F-B076-34F5D8ED08BE}"/>
    <cellStyle name="Note 3 3 3 4 3" xfId="27929" xr:uid="{6C282F82-8159-4E1D-8F5C-E489132D876E}"/>
    <cellStyle name="Note 3 3 3 5" xfId="10436" xr:uid="{DA9ABC63-9A72-4B64-83A7-97187E96BA9C}"/>
    <cellStyle name="Note 3 3 3 5 2" xfId="29032" xr:uid="{BA5BF9FE-6CA5-4FE3-BCB7-1DC8B98DCE5C}"/>
    <cellStyle name="Note 3 3 3 6" xfId="19735" xr:uid="{F7B3A5CD-748B-44BD-B56A-20E0FD60FEE4}"/>
    <cellStyle name="Note 3 3 4" xfId="1433" xr:uid="{00000000-0005-0000-0000-0000C3210000}"/>
    <cellStyle name="Note 3 3 4 2" xfId="3663" xr:uid="{00000000-0005-0000-0000-0000C4210000}"/>
    <cellStyle name="Note 3 3 4 2 2" xfId="7885" xr:uid="{00000000-0005-0000-0000-0000C5210000}"/>
    <cellStyle name="Note 3 3 4 2 2 2" xfId="17211" xr:uid="{1C07D7FF-8000-4A71-8417-B5859431579C}"/>
    <cellStyle name="Note 3 3 4 2 2 2 2" xfId="35807" xr:uid="{D98BEDF5-F674-4A7A-9FE2-88B13F2D0013}"/>
    <cellStyle name="Note 3 3 4 2 2 3" xfId="26510" xr:uid="{2F5E037B-4A28-4807-B1DD-719A855DD578}"/>
    <cellStyle name="Note 3 3 4 2 3" xfId="12994" xr:uid="{4736F59B-BA4C-41C8-8E78-D629D52ECFF1}"/>
    <cellStyle name="Note 3 3 4 2 3 2" xfId="31590" xr:uid="{6B88E729-926C-47B9-A90A-E5E6F696C407}"/>
    <cellStyle name="Note 3 3 4 2 4" xfId="22293" xr:uid="{80D62C4D-8EEF-4084-860C-82D0BE82B27B}"/>
    <cellStyle name="Note 3 3 4 3" xfId="5740" xr:uid="{00000000-0005-0000-0000-0000C6210000}"/>
    <cellStyle name="Note 3 3 4 3 2" xfId="15066" xr:uid="{FAAB96A6-4381-4C26-BFD0-7FDDC2EFE502}"/>
    <cellStyle name="Note 3 3 4 3 2 2" xfId="33662" xr:uid="{41449CE1-F2B9-40B1-8820-31EA38B728EA}"/>
    <cellStyle name="Note 3 3 4 3 3" xfId="24365" xr:uid="{F208CFD6-46A6-424A-B8AA-CCE18746106E}"/>
    <cellStyle name="Note 3 3 4 4" xfId="10849" xr:uid="{80BCC619-A688-4A8C-91F3-0E0486AD291C}"/>
    <cellStyle name="Note 3 3 4 4 2" xfId="29445" xr:uid="{4BB1317B-B56B-4C8C-A753-11B8C52F84CB}"/>
    <cellStyle name="Note 3 3 4 5" xfId="20148" xr:uid="{96BDD80B-B4C0-4699-BB27-213655D2346F}"/>
    <cellStyle name="Note 3 3 5" xfId="1847" xr:uid="{00000000-0005-0000-0000-0000C7210000}"/>
    <cellStyle name="Note 3 3 5 2" xfId="4076" xr:uid="{00000000-0005-0000-0000-0000C8210000}"/>
    <cellStyle name="Note 3 3 5 2 2" xfId="8298" xr:uid="{00000000-0005-0000-0000-0000C9210000}"/>
    <cellStyle name="Note 3 3 5 2 2 2" xfId="17624" xr:uid="{47B22C8C-9396-42D9-8DA8-C339DC144AF6}"/>
    <cellStyle name="Note 3 3 5 2 2 2 2" xfId="36220" xr:uid="{D6F4A905-537A-4F35-8530-059657615FCA}"/>
    <cellStyle name="Note 3 3 5 2 2 3" xfId="26923" xr:uid="{24E27F14-BE06-4757-BB2F-AF8EE295EB37}"/>
    <cellStyle name="Note 3 3 5 2 3" xfId="13407" xr:uid="{F6C66440-4066-4A73-A40A-92B074494D41}"/>
    <cellStyle name="Note 3 3 5 2 3 2" xfId="32003" xr:uid="{6E5CACF9-7BEB-4EFD-845C-05F7CC9EAC9E}"/>
    <cellStyle name="Note 3 3 5 2 4" xfId="22706" xr:uid="{53585C2F-9296-479F-B626-D1CEADCB179E}"/>
    <cellStyle name="Note 3 3 5 3" xfId="6153" xr:uid="{00000000-0005-0000-0000-0000CA210000}"/>
    <cellStyle name="Note 3 3 5 3 2" xfId="15479" xr:uid="{2E0A75BD-A80B-4DCF-ABD6-100D20A41E79}"/>
    <cellStyle name="Note 3 3 5 3 2 2" xfId="34075" xr:uid="{B81C4CEF-2C44-431D-BEE8-0C37552D4B60}"/>
    <cellStyle name="Note 3 3 5 3 3" xfId="24778" xr:uid="{8879D540-0D63-4405-B237-F0E460F5ADC2}"/>
    <cellStyle name="Note 3 3 5 4" xfId="11262" xr:uid="{E9AF0702-38BF-4951-BE6F-2A9335EC2800}"/>
    <cellStyle name="Note 3 3 5 4 2" xfId="29858" xr:uid="{D5EE43BE-2A6B-4D74-BC2E-F8B6383B413B}"/>
    <cellStyle name="Note 3 3 5 5" xfId="20561" xr:uid="{7953F90B-E7AE-469D-A6FE-5C00CAA80395}"/>
    <cellStyle name="Note 3 3 6" xfId="2260" xr:uid="{00000000-0005-0000-0000-0000CB210000}"/>
    <cellStyle name="Note 3 3 6 2" xfId="4489" xr:uid="{00000000-0005-0000-0000-0000CC210000}"/>
    <cellStyle name="Note 3 3 6 2 2" xfId="8711" xr:uid="{00000000-0005-0000-0000-0000CD210000}"/>
    <cellStyle name="Note 3 3 6 2 2 2" xfId="18037" xr:uid="{E3686448-BE6E-43F2-A4CF-F33D8BC04884}"/>
    <cellStyle name="Note 3 3 6 2 2 2 2" xfId="36633" xr:uid="{25CB34EC-0C6D-4D83-96A1-8E2FF7122781}"/>
    <cellStyle name="Note 3 3 6 2 2 3" xfId="27336" xr:uid="{C9ADEC5B-31DB-45DB-A7E0-CF26458D12BC}"/>
    <cellStyle name="Note 3 3 6 2 3" xfId="13820" xr:uid="{EB984595-9A25-487D-B341-D77AF51DF508}"/>
    <cellStyle name="Note 3 3 6 2 3 2" xfId="32416" xr:uid="{75A7AEFA-58F3-4A0B-B1D0-BB92B8DEB959}"/>
    <cellStyle name="Note 3 3 6 2 4" xfId="23119" xr:uid="{336ACD25-8E92-4D35-8F50-D463223630D3}"/>
    <cellStyle name="Note 3 3 6 3" xfId="6566" xr:uid="{00000000-0005-0000-0000-0000CE210000}"/>
    <cellStyle name="Note 3 3 6 3 2" xfId="15892" xr:uid="{CDD343D5-86B9-4116-98FA-518B7771E352}"/>
    <cellStyle name="Note 3 3 6 3 2 2" xfId="34488" xr:uid="{ED27ABE6-1DDB-4ADD-9AD1-AFF0D0664370}"/>
    <cellStyle name="Note 3 3 6 3 3" xfId="25191" xr:uid="{FE164D37-2108-4F1B-967A-36768A72B561}"/>
    <cellStyle name="Note 3 3 6 4" xfId="11675" xr:uid="{653D1818-5DC4-489E-A4E1-619C7894DA4C}"/>
    <cellStyle name="Note 3 3 6 4 2" xfId="30271" xr:uid="{07B4B83F-D642-47AB-B91C-797CC0A87122}"/>
    <cellStyle name="Note 3 3 6 5" xfId="20974" xr:uid="{D9D3AAA0-AFB9-41E8-B1F3-7B31307B5590}"/>
    <cellStyle name="Note 3 3 7" xfId="2696" xr:uid="{00000000-0005-0000-0000-0000CF210000}"/>
    <cellStyle name="Note 3 3 7 2" xfId="6979" xr:uid="{00000000-0005-0000-0000-0000D0210000}"/>
    <cellStyle name="Note 3 3 7 2 2" xfId="16305" xr:uid="{F3CE72C7-BB51-48A5-A49B-8911CDC9241C}"/>
    <cellStyle name="Note 3 3 7 2 2 2" xfId="34901" xr:uid="{882B0578-535E-4E70-BD95-F10E882D1132}"/>
    <cellStyle name="Note 3 3 7 2 3" xfId="25604" xr:uid="{44936E83-2A39-4D92-9812-8687821E909E}"/>
    <cellStyle name="Note 3 3 7 3" xfId="12088" xr:uid="{056AF44B-9041-41FB-AB61-FA942C317178}"/>
    <cellStyle name="Note 3 3 7 3 2" xfId="30684" xr:uid="{AA982198-A32D-41BE-9929-B75589732A36}"/>
    <cellStyle name="Note 3 3 7 4" xfId="21387" xr:uid="{CD32899D-BB80-484F-9B62-DC58A936A4D9}"/>
    <cellStyle name="Note 3 3 8" xfId="2755" xr:uid="{00000000-0005-0000-0000-0000D1210000}"/>
    <cellStyle name="Note 3 3 9" xfId="2836" xr:uid="{00000000-0005-0000-0000-0000D2210000}"/>
    <cellStyle name="Note 3 3 9 2" xfId="7059" xr:uid="{00000000-0005-0000-0000-0000D3210000}"/>
    <cellStyle name="Note 3 3 9 2 2" xfId="16385" xr:uid="{336B0D35-DCFF-416F-ABF5-F48AD69D7E8F}"/>
    <cellStyle name="Note 3 3 9 2 2 2" xfId="34981" xr:uid="{4F751686-75CD-47DB-9D5B-B65E61236BB7}"/>
    <cellStyle name="Note 3 3 9 2 3" xfId="25684" xr:uid="{FB142676-BD9D-4D21-B59F-1BC924A1BDF7}"/>
    <cellStyle name="Note 3 3 9 3" xfId="12168" xr:uid="{EBF39CCB-047F-4B37-84DA-9E6246832833}"/>
    <cellStyle name="Note 3 3 9 3 2" xfId="30764" xr:uid="{714AFA18-23AB-4B2E-B407-78855CCEEC8A}"/>
    <cellStyle name="Note 3 3 9 4" xfId="21467" xr:uid="{3EF27C58-7701-4D95-B559-E2472AB45B66}"/>
    <cellStyle name="Note 3 4" xfId="560" xr:uid="{00000000-0005-0000-0000-0000D4210000}"/>
    <cellStyle name="Note 3 4 10" xfId="8996" xr:uid="{0D704BEA-0820-4E61-9EA3-F4C1E73C6543}"/>
    <cellStyle name="Note 3 4 10 2" xfId="18320" xr:uid="{C887FB27-1577-43CD-BAC5-1B6C8EB43398}"/>
    <cellStyle name="Note 3 4 10 2 2" xfId="36915" xr:uid="{026E07C4-650C-466B-BC48-4F538A6CF788}"/>
    <cellStyle name="Note 3 4 10 3" xfId="27618" xr:uid="{0B053884-2444-476B-9E43-8F9659E2A8A7}"/>
    <cellStyle name="Note 3 4 11" xfId="10025" xr:uid="{6590089F-33CA-422C-9C3A-3DCEF98A7CD2}"/>
    <cellStyle name="Note 3 4 11 2" xfId="28621" xr:uid="{D6DEE728-0373-44E0-B3ED-2D6B11451778}"/>
    <cellStyle name="Note 3 4 12" xfId="19324" xr:uid="{99B502B6-9611-49AB-8D81-F93557B575F2}"/>
    <cellStyle name="Note 3 4 2" xfId="1020" xr:uid="{00000000-0005-0000-0000-0000D5210000}"/>
    <cellStyle name="Note 3 4 2 2" xfId="3252" xr:uid="{00000000-0005-0000-0000-0000D6210000}"/>
    <cellStyle name="Note 3 4 2 2 2" xfId="7474" xr:uid="{00000000-0005-0000-0000-0000D7210000}"/>
    <cellStyle name="Note 3 4 2 2 2 2" xfId="16800" xr:uid="{C4DCAC61-6AB5-4571-A1B8-0708A918BB5B}"/>
    <cellStyle name="Note 3 4 2 2 2 2 2" xfId="35396" xr:uid="{ABFB6CCC-DF03-435D-99E7-EDE643E2D284}"/>
    <cellStyle name="Note 3 4 2 2 2 3" xfId="26099" xr:uid="{E86B1C80-845A-4FA3-A8FA-CF7E7EA8B66E}"/>
    <cellStyle name="Note 3 4 2 2 3" xfId="12583" xr:uid="{B5C80D9A-318E-4CF3-BAAE-D0C1B8070B67}"/>
    <cellStyle name="Note 3 4 2 2 3 2" xfId="31179" xr:uid="{CDAC8238-84D1-494B-B511-E49878B0DF59}"/>
    <cellStyle name="Note 3 4 2 2 4" xfId="21882" xr:uid="{71020BEE-B864-4B94-9F4E-AB307A27F283}"/>
    <cellStyle name="Note 3 4 2 3" xfId="5329" xr:uid="{00000000-0005-0000-0000-0000D8210000}"/>
    <cellStyle name="Note 3 4 2 3 2" xfId="14655" xr:uid="{4567F43D-3161-4EE1-AC49-583F2C2BA232}"/>
    <cellStyle name="Note 3 4 2 3 2 2" xfId="33251" xr:uid="{6A7BD1BE-A20C-42E4-836E-305C15EBAAAB}"/>
    <cellStyle name="Note 3 4 2 3 3" xfId="23954" xr:uid="{1F661BF6-31E2-463A-8F2B-C34CB2F3F0E6}"/>
    <cellStyle name="Note 3 4 2 4" xfId="9421" xr:uid="{EC0A57E0-416C-4EC5-866A-A09E44531CB5}"/>
    <cellStyle name="Note 3 4 2 4 2" xfId="18736" xr:uid="{2ADD3C66-27EC-4056-8A69-DF8095BBB124}"/>
    <cellStyle name="Note 3 4 2 4 2 2" xfId="37330" xr:uid="{B438BF38-5E66-4981-B1AB-C2F03ED9B042}"/>
    <cellStyle name="Note 3 4 2 4 3" xfId="28033" xr:uid="{A3CA0327-84E2-42CD-9E30-DBF285D63844}"/>
    <cellStyle name="Note 3 4 2 5" xfId="10438" xr:uid="{13E2BA1A-FAD8-4D43-8E6A-59DEE285EDC4}"/>
    <cellStyle name="Note 3 4 2 5 2" xfId="29034" xr:uid="{49CDD61B-2E6E-459D-9884-5104CE594817}"/>
    <cellStyle name="Note 3 4 2 6" xfId="19737" xr:uid="{E1A61927-BE53-4B51-A650-4BCC2075AC3B}"/>
    <cellStyle name="Note 3 4 3" xfId="1435" xr:uid="{00000000-0005-0000-0000-0000D9210000}"/>
    <cellStyle name="Note 3 4 3 2" xfId="3665" xr:uid="{00000000-0005-0000-0000-0000DA210000}"/>
    <cellStyle name="Note 3 4 3 2 2" xfId="7887" xr:uid="{00000000-0005-0000-0000-0000DB210000}"/>
    <cellStyle name="Note 3 4 3 2 2 2" xfId="17213" xr:uid="{156B14D6-CE0E-422B-A7C6-D6BB947F0643}"/>
    <cellStyle name="Note 3 4 3 2 2 2 2" xfId="35809" xr:uid="{B97E5E4A-E2A1-4BC9-812A-F76D6FDF20A1}"/>
    <cellStyle name="Note 3 4 3 2 2 3" xfId="26512" xr:uid="{49584E06-4508-44A7-B244-858B5AD72477}"/>
    <cellStyle name="Note 3 4 3 2 3" xfId="12996" xr:uid="{F1C2E297-A4D4-4753-BEA4-6CCB6F168926}"/>
    <cellStyle name="Note 3 4 3 2 3 2" xfId="31592" xr:uid="{D1144028-04BA-4956-839D-925BB0AD1430}"/>
    <cellStyle name="Note 3 4 3 2 4" xfId="22295" xr:uid="{C953B68B-C3A2-4313-A2BC-A615B0A0F394}"/>
    <cellStyle name="Note 3 4 3 3" xfId="5742" xr:uid="{00000000-0005-0000-0000-0000DC210000}"/>
    <cellStyle name="Note 3 4 3 3 2" xfId="15068" xr:uid="{C6BA95B0-7428-4F77-B572-CE5AA482C9B9}"/>
    <cellStyle name="Note 3 4 3 3 2 2" xfId="33664" xr:uid="{27376A00-7177-445F-9E6C-592A6757A8A6}"/>
    <cellStyle name="Note 3 4 3 3 3" xfId="24367" xr:uid="{D22737E7-FACB-4EC7-B347-07BA53B15AA7}"/>
    <cellStyle name="Note 3 4 3 4" xfId="10851" xr:uid="{48641B66-24FE-4575-9ECD-67DC00727B3A}"/>
    <cellStyle name="Note 3 4 3 4 2" xfId="29447" xr:uid="{E57FD345-4ABC-4F94-8094-F9A10D6B46B1}"/>
    <cellStyle name="Note 3 4 3 5" xfId="20150" xr:uid="{86CA36DA-CEA7-409F-9E0D-35C60D552699}"/>
    <cellStyle name="Note 3 4 4" xfId="1849" xr:uid="{00000000-0005-0000-0000-0000DD210000}"/>
    <cellStyle name="Note 3 4 4 2" xfId="4078" xr:uid="{00000000-0005-0000-0000-0000DE210000}"/>
    <cellStyle name="Note 3 4 4 2 2" xfId="8300" xr:uid="{00000000-0005-0000-0000-0000DF210000}"/>
    <cellStyle name="Note 3 4 4 2 2 2" xfId="17626" xr:uid="{9114D74C-FC83-4F78-8697-6FF79A54689B}"/>
    <cellStyle name="Note 3 4 4 2 2 2 2" xfId="36222" xr:uid="{AAEBF030-6172-4B6B-BF14-DF49C0BC3D84}"/>
    <cellStyle name="Note 3 4 4 2 2 3" xfId="26925" xr:uid="{2A48F98F-2656-4B34-B7C2-43F61FC0D5B3}"/>
    <cellStyle name="Note 3 4 4 2 3" xfId="13409" xr:uid="{5ADB9DD9-68B2-4963-8543-77B6755CCD44}"/>
    <cellStyle name="Note 3 4 4 2 3 2" xfId="32005" xr:uid="{48EBE16E-7EFD-4065-988F-E229853718DF}"/>
    <cellStyle name="Note 3 4 4 2 4" xfId="22708" xr:uid="{A6C9245D-2F86-43AC-A419-4093B8DAE90E}"/>
    <cellStyle name="Note 3 4 4 3" xfId="6155" xr:uid="{00000000-0005-0000-0000-0000E0210000}"/>
    <cellStyle name="Note 3 4 4 3 2" xfId="15481" xr:uid="{8C9629BF-EBBA-4270-B8BD-F16F221555FA}"/>
    <cellStyle name="Note 3 4 4 3 2 2" xfId="34077" xr:uid="{4848E395-C82C-49AF-843B-93E73B479096}"/>
    <cellStyle name="Note 3 4 4 3 3" xfId="24780" xr:uid="{5761D699-5157-4461-9678-B70009C335EC}"/>
    <cellStyle name="Note 3 4 4 4" xfId="11264" xr:uid="{437217E2-4B37-4F8D-9463-241FB34555DA}"/>
    <cellStyle name="Note 3 4 4 4 2" xfId="29860" xr:uid="{9958FE4B-ECA6-4ED1-BB94-690077580CC5}"/>
    <cellStyle name="Note 3 4 4 5" xfId="20563" xr:uid="{3F658066-130A-4CB7-B790-303BF7F45854}"/>
    <cellStyle name="Note 3 4 5" xfId="2262" xr:uid="{00000000-0005-0000-0000-0000E1210000}"/>
    <cellStyle name="Note 3 4 5 2" xfId="4491" xr:uid="{00000000-0005-0000-0000-0000E2210000}"/>
    <cellStyle name="Note 3 4 5 2 2" xfId="8713" xr:uid="{00000000-0005-0000-0000-0000E3210000}"/>
    <cellStyle name="Note 3 4 5 2 2 2" xfId="18039" xr:uid="{98461431-FBFE-40A8-93B7-0FAF2BD776F4}"/>
    <cellStyle name="Note 3 4 5 2 2 2 2" xfId="36635" xr:uid="{CA2AA745-2E4D-4AC2-A5FB-9E91469418F9}"/>
    <cellStyle name="Note 3 4 5 2 2 3" xfId="27338" xr:uid="{4547EE36-703B-44CE-ACB1-7192E5F59007}"/>
    <cellStyle name="Note 3 4 5 2 3" xfId="13822" xr:uid="{D45C293D-ED7C-4F96-8DC2-02A170793383}"/>
    <cellStyle name="Note 3 4 5 2 3 2" xfId="32418" xr:uid="{8E2363B8-BED0-4CB0-AF1A-C66A02C69DC4}"/>
    <cellStyle name="Note 3 4 5 2 4" xfId="23121" xr:uid="{676F554D-1165-4591-B452-1DD3C05E6B04}"/>
    <cellStyle name="Note 3 4 5 3" xfId="6568" xr:uid="{00000000-0005-0000-0000-0000E4210000}"/>
    <cellStyle name="Note 3 4 5 3 2" xfId="15894" xr:uid="{005303D2-F893-412A-A2A9-C1AE2C2AD46C}"/>
    <cellStyle name="Note 3 4 5 3 2 2" xfId="34490" xr:uid="{53333197-FF36-48C5-9FD4-44DCB903C5E8}"/>
    <cellStyle name="Note 3 4 5 3 3" xfId="25193" xr:uid="{5C666C90-406F-4BC4-9CB2-5016A19137AD}"/>
    <cellStyle name="Note 3 4 5 4" xfId="11677" xr:uid="{F20CB4BA-BA4F-4DA5-A167-41C83BD290FA}"/>
    <cellStyle name="Note 3 4 5 4 2" xfId="30273" xr:uid="{E6665139-7090-439F-91D5-A42126F29881}"/>
    <cellStyle name="Note 3 4 5 5" xfId="20976" xr:uid="{C78FDC9F-2301-4ED0-9517-C3E4C60F7E04}"/>
    <cellStyle name="Note 3 4 6" xfId="2698" xr:uid="{00000000-0005-0000-0000-0000E5210000}"/>
    <cellStyle name="Note 3 4 6 2" xfId="6981" xr:uid="{00000000-0005-0000-0000-0000E6210000}"/>
    <cellStyle name="Note 3 4 6 2 2" xfId="16307" xr:uid="{2A55881C-C122-4D29-8365-71B261362F49}"/>
    <cellStyle name="Note 3 4 6 2 2 2" xfId="34903" xr:uid="{80C94039-CB9E-4F50-8FF3-05572FFA3B3A}"/>
    <cellStyle name="Note 3 4 6 2 3" xfId="25606" xr:uid="{420EDE1C-73A9-4DD0-9865-EB1A047FF6E1}"/>
    <cellStyle name="Note 3 4 6 3" xfId="12090" xr:uid="{9000E1B9-EA09-449F-A3D6-72649F2921A9}"/>
    <cellStyle name="Note 3 4 6 3 2" xfId="30686" xr:uid="{F78EA17D-2C9B-464A-B235-593BAA92F132}"/>
    <cellStyle name="Note 3 4 6 4" xfId="21389" xr:uid="{5BC3A617-9DE1-4625-89E7-53EA19768C72}"/>
    <cellStyle name="Note 3 4 7" xfId="2757" xr:uid="{00000000-0005-0000-0000-0000E7210000}"/>
    <cellStyle name="Note 3 4 8" xfId="2838" xr:uid="{00000000-0005-0000-0000-0000E8210000}"/>
    <cellStyle name="Note 3 4 8 2" xfId="7061" xr:uid="{00000000-0005-0000-0000-0000E9210000}"/>
    <cellStyle name="Note 3 4 8 2 2" xfId="16387" xr:uid="{03C06F96-D454-4A00-99CF-840C5D39CA4D}"/>
    <cellStyle name="Note 3 4 8 2 2 2" xfId="34983" xr:uid="{F4C7A0D7-E1E1-4867-9D45-DA9A287DE8E9}"/>
    <cellStyle name="Note 3 4 8 2 3" xfId="25686" xr:uid="{42F7DCE4-F200-4CDD-AB91-021C64805AE7}"/>
    <cellStyle name="Note 3 4 8 3" xfId="12170" xr:uid="{37E300E2-2862-4F2A-A274-C1AB2B1D597A}"/>
    <cellStyle name="Note 3 4 8 3 2" xfId="30766" xr:uid="{71FB5F30-7AEF-40F2-B815-45243D968CA5}"/>
    <cellStyle name="Note 3 4 8 4" xfId="21469" xr:uid="{2E19B7D6-45CA-4D4A-AE10-B7C1222EFD1C}"/>
    <cellStyle name="Note 3 4 9" xfId="4916" xr:uid="{00000000-0005-0000-0000-0000EA210000}"/>
    <cellStyle name="Note 3 4 9 2" xfId="14242" xr:uid="{85E245F1-D6D3-4DB0-A5CD-7746FA03F67B}"/>
    <cellStyle name="Note 3 4 9 2 2" xfId="32838" xr:uid="{56D7BF85-3D7E-49E1-B473-FCA2127F67BA}"/>
    <cellStyle name="Note 3 4 9 3" xfId="23541" xr:uid="{4FA292AF-54E8-45AC-BCCF-DE99672F7597}"/>
    <cellStyle name="Note 3 5" xfId="561" xr:uid="{00000000-0005-0000-0000-0000EB210000}"/>
    <cellStyle name="Note 3 5 10" xfId="9213" xr:uid="{D9D7FB9A-B03C-4A97-A778-36731B43DF3F}"/>
    <cellStyle name="Note 3 5 10 2" xfId="18529" xr:uid="{1B5E6B4C-3226-413E-95D7-A090C8474A23}"/>
    <cellStyle name="Note 3 5 10 2 2" xfId="37123" xr:uid="{17A64536-DA10-4C19-87AB-92734E7C9188}"/>
    <cellStyle name="Note 3 5 10 3" xfId="27826" xr:uid="{BFC83DFB-9F4F-45C0-9F30-0E99F8DEB444}"/>
    <cellStyle name="Note 3 5 11" xfId="10026" xr:uid="{DA76707F-C646-4EB9-AC7C-AEA330BDD1B1}"/>
    <cellStyle name="Note 3 5 11 2" xfId="28622" xr:uid="{C8724A7F-5493-4318-8770-8D1A6BA4223D}"/>
    <cellStyle name="Note 3 5 12" xfId="19325" xr:uid="{AD1CDD9C-9A91-4A4C-91A5-EA2B56C8EE1B}"/>
    <cellStyle name="Note 3 5 2" xfId="1021" xr:uid="{00000000-0005-0000-0000-0000EC210000}"/>
    <cellStyle name="Note 3 5 2 2" xfId="3253" xr:uid="{00000000-0005-0000-0000-0000ED210000}"/>
    <cellStyle name="Note 3 5 2 2 2" xfId="7475" xr:uid="{00000000-0005-0000-0000-0000EE210000}"/>
    <cellStyle name="Note 3 5 2 2 2 2" xfId="16801" xr:uid="{CCF822F1-5C96-419F-9841-3B067B977172}"/>
    <cellStyle name="Note 3 5 2 2 2 2 2" xfId="35397" xr:uid="{71790760-1AD4-4789-A158-BFA64C5FDA4B}"/>
    <cellStyle name="Note 3 5 2 2 2 3" xfId="26100" xr:uid="{A1585417-C97B-4B52-A88A-8D8369B8AF00}"/>
    <cellStyle name="Note 3 5 2 2 3" xfId="12584" xr:uid="{309A6D66-5646-40F4-AEE3-80A4C1590BA9}"/>
    <cellStyle name="Note 3 5 2 2 3 2" xfId="31180" xr:uid="{6B023F19-254F-4CB2-89BC-69DEA97564AB}"/>
    <cellStyle name="Note 3 5 2 2 4" xfId="21883" xr:uid="{5E4D671E-2601-4EBF-B396-0BD6729562EF}"/>
    <cellStyle name="Note 3 5 2 3" xfId="5330" xr:uid="{00000000-0005-0000-0000-0000EF210000}"/>
    <cellStyle name="Note 3 5 2 3 2" xfId="14656" xr:uid="{BBEFC04D-D1B5-41C8-B290-2194BBA52629}"/>
    <cellStyle name="Note 3 5 2 3 2 2" xfId="33252" xr:uid="{BD9528C0-C697-40B3-A776-B34D1B13DF9E}"/>
    <cellStyle name="Note 3 5 2 3 3" xfId="23955" xr:uid="{517E1180-87BD-40B3-944F-0EAF249C827B}"/>
    <cellStyle name="Note 3 5 2 4" xfId="9611" xr:uid="{74765414-66B3-4FDA-BA21-3BFFEF98E338}"/>
    <cellStyle name="Note 3 5 2 4 2" xfId="18911" xr:uid="{A6949FC8-9B22-4C33-82F5-34769E0A5A8A}"/>
    <cellStyle name="Note 3 5 2 4 2 2" xfId="37505" xr:uid="{B8DC14D0-E4FF-48DF-9B92-CC059EC2AC8D}"/>
    <cellStyle name="Note 3 5 2 4 3" xfId="28208" xr:uid="{8777ED1B-3E9A-4643-A78A-D507674E8F6C}"/>
    <cellStyle name="Note 3 5 2 5" xfId="10439" xr:uid="{1C9048E0-6254-46D2-937E-CF4276E5DE1E}"/>
    <cellStyle name="Note 3 5 2 5 2" xfId="29035" xr:uid="{17B801A4-2AD1-4333-B578-C3DE885BC73C}"/>
    <cellStyle name="Note 3 5 2 6" xfId="19738" xr:uid="{F1E66853-3614-4A8C-9947-47A49B22714C}"/>
    <cellStyle name="Note 3 5 3" xfId="1436" xr:uid="{00000000-0005-0000-0000-0000F0210000}"/>
    <cellStyle name="Note 3 5 3 2" xfId="3666" xr:uid="{00000000-0005-0000-0000-0000F1210000}"/>
    <cellStyle name="Note 3 5 3 2 2" xfId="7888" xr:uid="{00000000-0005-0000-0000-0000F2210000}"/>
    <cellStyle name="Note 3 5 3 2 2 2" xfId="17214" xr:uid="{52BB1D77-9291-4019-8440-2AA25555DE01}"/>
    <cellStyle name="Note 3 5 3 2 2 2 2" xfId="35810" xr:uid="{DD8895F3-7BE4-4FD9-AD72-F679305017E8}"/>
    <cellStyle name="Note 3 5 3 2 2 3" xfId="26513" xr:uid="{A8082542-BC30-4CDD-BF08-D79B2DF2C46F}"/>
    <cellStyle name="Note 3 5 3 2 3" xfId="12997" xr:uid="{D663E4BA-A997-44E2-826B-9731BA2A618B}"/>
    <cellStyle name="Note 3 5 3 2 3 2" xfId="31593" xr:uid="{CBFCD540-B2D1-4B92-92BF-AA7405F929E5}"/>
    <cellStyle name="Note 3 5 3 2 4" xfId="22296" xr:uid="{2586DAF9-77F6-457A-A261-F0A0EF17A90C}"/>
    <cellStyle name="Note 3 5 3 3" xfId="5743" xr:uid="{00000000-0005-0000-0000-0000F3210000}"/>
    <cellStyle name="Note 3 5 3 3 2" xfId="15069" xr:uid="{43E47274-DFA2-4F1C-A96B-E6F18CA39E0D}"/>
    <cellStyle name="Note 3 5 3 3 2 2" xfId="33665" xr:uid="{70E80A0F-ABEB-46C5-B60E-74B748EE2CB6}"/>
    <cellStyle name="Note 3 5 3 3 3" xfId="24368" xr:uid="{7A937FB7-7F01-495F-B2C8-C032C1923D75}"/>
    <cellStyle name="Note 3 5 3 4" xfId="10852" xr:uid="{D9004986-39EF-40AF-8291-29056330D05A}"/>
    <cellStyle name="Note 3 5 3 4 2" xfId="29448" xr:uid="{26133E33-E1D8-496A-B5FC-2FAA5DB3D3CC}"/>
    <cellStyle name="Note 3 5 3 5" xfId="20151" xr:uid="{82581F06-727C-40DA-B8F3-706DEBA0E72A}"/>
    <cellStyle name="Note 3 5 4" xfId="1850" xr:uid="{00000000-0005-0000-0000-0000F4210000}"/>
    <cellStyle name="Note 3 5 4 2" xfId="4079" xr:uid="{00000000-0005-0000-0000-0000F5210000}"/>
    <cellStyle name="Note 3 5 4 2 2" xfId="8301" xr:uid="{00000000-0005-0000-0000-0000F6210000}"/>
    <cellStyle name="Note 3 5 4 2 2 2" xfId="17627" xr:uid="{D780EE31-7AC6-4E20-9FA5-5CD2BF920B9F}"/>
    <cellStyle name="Note 3 5 4 2 2 2 2" xfId="36223" xr:uid="{7FB88985-AE9E-452C-8891-2F52CFA91094}"/>
    <cellStyle name="Note 3 5 4 2 2 3" xfId="26926" xr:uid="{B2C3875C-DD6A-4E66-A83A-D8A0EAFF1004}"/>
    <cellStyle name="Note 3 5 4 2 3" xfId="13410" xr:uid="{6A1D4F34-506D-4B9F-9EA6-F0C525536FA6}"/>
    <cellStyle name="Note 3 5 4 2 3 2" xfId="32006" xr:uid="{894ACC90-C8C8-49C0-9A91-D896E7C8C6DD}"/>
    <cellStyle name="Note 3 5 4 2 4" xfId="22709" xr:uid="{E9042CE4-73E5-482B-8E7B-2CE9212BD820}"/>
    <cellStyle name="Note 3 5 4 3" xfId="6156" xr:uid="{00000000-0005-0000-0000-0000F7210000}"/>
    <cellStyle name="Note 3 5 4 3 2" xfId="15482" xr:uid="{538ADB12-5F62-4A16-B958-B069D4017B78}"/>
    <cellStyle name="Note 3 5 4 3 2 2" xfId="34078" xr:uid="{90BAAE8B-272A-4E03-965D-DF637ACB23E7}"/>
    <cellStyle name="Note 3 5 4 3 3" xfId="24781" xr:uid="{7B098E41-87F0-4CE2-97DC-A347B7E8C9D7}"/>
    <cellStyle name="Note 3 5 4 4" xfId="11265" xr:uid="{185CD4F4-8692-48A2-873A-41F1526EAB5B}"/>
    <cellStyle name="Note 3 5 4 4 2" xfId="29861" xr:uid="{81A36B9D-ABB2-440D-8FC4-EE6907A3A5D5}"/>
    <cellStyle name="Note 3 5 4 5" xfId="20564" xr:uid="{1D4A298F-150D-4D02-B5C0-B079EECF5A09}"/>
    <cellStyle name="Note 3 5 5" xfId="2263" xr:uid="{00000000-0005-0000-0000-0000F8210000}"/>
    <cellStyle name="Note 3 5 5 2" xfId="4492" xr:uid="{00000000-0005-0000-0000-0000F9210000}"/>
    <cellStyle name="Note 3 5 5 2 2" xfId="8714" xr:uid="{00000000-0005-0000-0000-0000FA210000}"/>
    <cellStyle name="Note 3 5 5 2 2 2" xfId="18040" xr:uid="{1D004466-3EF2-46BE-8DBF-645311709193}"/>
    <cellStyle name="Note 3 5 5 2 2 2 2" xfId="36636" xr:uid="{24D5B1E4-456D-410B-9038-77986F567D9F}"/>
    <cellStyle name="Note 3 5 5 2 2 3" xfId="27339" xr:uid="{4CA4144E-A2F1-4969-97BB-3AFE41522632}"/>
    <cellStyle name="Note 3 5 5 2 3" xfId="13823" xr:uid="{4FE2AE9C-99A1-4011-8A28-5A4FB23228CD}"/>
    <cellStyle name="Note 3 5 5 2 3 2" xfId="32419" xr:uid="{350BF795-7D49-4569-937B-E67E5568CAEC}"/>
    <cellStyle name="Note 3 5 5 2 4" xfId="23122" xr:uid="{0B587DF8-0179-4E9C-9F52-8B2BB194EF17}"/>
    <cellStyle name="Note 3 5 5 3" xfId="6569" xr:uid="{00000000-0005-0000-0000-0000FB210000}"/>
    <cellStyle name="Note 3 5 5 3 2" xfId="15895" xr:uid="{E18857E3-942D-46C7-A21F-4AE38A36F1D5}"/>
    <cellStyle name="Note 3 5 5 3 2 2" xfId="34491" xr:uid="{A47319DD-C679-4078-96B3-B0B2B2A4725A}"/>
    <cellStyle name="Note 3 5 5 3 3" xfId="25194" xr:uid="{591C914B-2744-43BF-A446-C50B6E4F5253}"/>
    <cellStyle name="Note 3 5 5 4" xfId="11678" xr:uid="{C3EBD53A-2B3B-4FB5-94C3-D2A4F8CB2629}"/>
    <cellStyle name="Note 3 5 5 4 2" xfId="30274" xr:uid="{05550887-805F-45AC-80E8-32EE8017E927}"/>
    <cellStyle name="Note 3 5 5 5" xfId="20977" xr:uid="{6129C37A-3316-4B14-9EF3-A1BACD161172}"/>
    <cellStyle name="Note 3 5 6" xfId="2699" xr:uid="{00000000-0005-0000-0000-0000FC210000}"/>
    <cellStyle name="Note 3 5 6 2" xfId="6982" xr:uid="{00000000-0005-0000-0000-0000FD210000}"/>
    <cellStyle name="Note 3 5 6 2 2" xfId="16308" xr:uid="{CB01F354-7A5E-40C0-80D9-EAE2D9528342}"/>
    <cellStyle name="Note 3 5 6 2 2 2" xfId="34904" xr:uid="{4EAA1CF5-8B71-4896-89E7-F4A1B8795AD7}"/>
    <cellStyle name="Note 3 5 6 2 3" xfId="25607" xr:uid="{D042DFEA-269B-416E-935F-D62DE795B04D}"/>
    <cellStyle name="Note 3 5 6 3" xfId="12091" xr:uid="{24F360FF-51D9-47D7-B279-B5FFFDFA44C1}"/>
    <cellStyle name="Note 3 5 6 3 2" xfId="30687" xr:uid="{BB89DAFC-E1DF-4C25-B584-B99A952854B6}"/>
    <cellStyle name="Note 3 5 6 4" xfId="21390" xr:uid="{CD877A7F-B874-41C2-8929-CA2B17A06688}"/>
    <cellStyle name="Note 3 5 7" xfId="2758" xr:uid="{00000000-0005-0000-0000-0000FE210000}"/>
    <cellStyle name="Note 3 5 8" xfId="2839" xr:uid="{00000000-0005-0000-0000-0000FF210000}"/>
    <cellStyle name="Note 3 5 8 2" xfId="7062" xr:uid="{00000000-0005-0000-0000-000000220000}"/>
    <cellStyle name="Note 3 5 8 2 2" xfId="16388" xr:uid="{86ABA51D-9E68-4652-BE1D-A53CBF82FD00}"/>
    <cellStyle name="Note 3 5 8 2 2 2" xfId="34984" xr:uid="{B01E85E5-A0D3-460F-BA14-EFB4584BCA07}"/>
    <cellStyle name="Note 3 5 8 2 3" xfId="25687" xr:uid="{7B8C0791-ACF2-4746-83DD-9D730CD5A676}"/>
    <cellStyle name="Note 3 5 8 3" xfId="12171" xr:uid="{A13E33D0-7D7E-4F54-83BE-7CE9CC53531E}"/>
    <cellStyle name="Note 3 5 8 3 2" xfId="30767" xr:uid="{5CDC7016-9AB7-45FF-A8E5-A9F31462E0A8}"/>
    <cellStyle name="Note 3 5 8 4" xfId="21470" xr:uid="{BA22CFBB-00AF-401F-942D-5354515221F0}"/>
    <cellStyle name="Note 3 5 9" xfId="4917" xr:uid="{00000000-0005-0000-0000-000001220000}"/>
    <cellStyle name="Note 3 5 9 2" xfId="14243" xr:uid="{0E5BF5E5-1FEF-4DC9-AE50-028A955E70CC}"/>
    <cellStyle name="Note 3 5 9 2 2" xfId="32839" xr:uid="{A376D53F-3CF9-4AB9-BD1E-363B8E1F592A}"/>
    <cellStyle name="Note 3 5 9 3" xfId="23542" xr:uid="{30C9E6D0-DC02-4754-ABED-4A653D97646B}"/>
    <cellStyle name="Note 3 6" xfId="9588" xr:uid="{4A2A2C5B-BA67-4FBC-A2F1-7546BE1E0E7F}"/>
    <cellStyle name="Note 3 7" xfId="8789" xr:uid="{EE6BC007-A514-4F23-A927-A69B937DFEC6}"/>
    <cellStyle name="Note 3 7 2" xfId="18113" xr:uid="{42F96324-53BA-40D2-BC48-42FB13657554}"/>
    <cellStyle name="Note 3 7 2 2" xfId="36708" xr:uid="{59D1D651-7683-4E83-B1C0-CA30FA95AE52}"/>
    <cellStyle name="Note 3 7 3" xfId="27411" xr:uid="{ACEB4A76-B387-461D-9361-6368DF53FB99}"/>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2 2" xfId="18896" xr:uid="{3B90467F-77B8-43B7-80C0-25E643CFD935}"/>
    <cellStyle name="Percent 3 2 2 2" xfId="37490" xr:uid="{73D20F5E-3293-4901-90D4-A59197BF024E}"/>
    <cellStyle name="Percent 3 2 3" xfId="28193" xr:uid="{D41F9CD1-78CE-4EE9-AE24-9102E1DED9E1}"/>
    <cellStyle name="Percent 3 3" xfId="13826" xr:uid="{DA927E5B-8A60-46D5-AFA8-6F98F37B9524}"/>
    <cellStyle name="Percent 3 3 2" xfId="32422" xr:uid="{EFBE777C-9B29-4BC8-8CB6-ECAA7CBD685B}"/>
    <cellStyle name="Percent 3 4" xfId="23125" xr:uid="{8836427B-A884-454A-B6E0-60B90B7468A1}"/>
    <cellStyle name="Percent 4" xfId="4502" xr:uid="{00000000-0005-0000-0000-000007220000}"/>
    <cellStyle name="Percent 4 2" xfId="8717" xr:uid="{00000000-0005-0000-0000-000008220000}"/>
    <cellStyle name="Percent 4 2 2" xfId="18043" xr:uid="{A76772D4-3D60-4454-A499-633FE9456C8C}"/>
    <cellStyle name="Percent 4 2 2 2" xfId="36639" xr:uid="{129D74BE-DA03-4B11-A366-B3A29561D0C3}"/>
    <cellStyle name="Percent 4 2 3" xfId="27342" xr:uid="{8506D515-048A-4216-A338-BC4774C2FB11}"/>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2 2" xfId="18062" xr:uid="{411A069A-0182-423B-A43A-E69A8327C973}"/>
    <cellStyle name="Percent 4 3 2 2 2 2 2 2 2" xfId="36658" xr:uid="{C0EAB4A9-CC76-4BDC-A896-6430311B582C}"/>
    <cellStyle name="Percent 4 3 2 2 2 2 2 3" xfId="27361" xr:uid="{CFC39558-6DCA-4F74-AE83-C55FE672766A}"/>
    <cellStyle name="Percent 4 3 2 2 2 2 3" xfId="18059" xr:uid="{380D0318-0AA5-460B-A366-9748FA39F2E6}"/>
    <cellStyle name="Percent 4 3 2 2 2 2 3 2" xfId="36655" xr:uid="{DBF9B625-CB78-4F80-8CA5-EBDEA35611BD}"/>
    <cellStyle name="Percent 4 3 2 2 2 2 4" xfId="27358" xr:uid="{FCA5D56E-435F-459B-9605-F09E6DEEABB9}"/>
    <cellStyle name="Percent 4 3 2 2 2 3" xfId="18056" xr:uid="{987424DE-BC4E-4A3D-90E3-50B71095EFAB}"/>
    <cellStyle name="Percent 4 3 2 2 2 3 2" xfId="36652" xr:uid="{7A07881A-5102-4B20-99FD-EA41CFD296D6}"/>
    <cellStyle name="Percent 4 3 2 2 2 4" xfId="27355" xr:uid="{8C0748B0-CCE9-48A1-9C44-19D0DF8F00BC}"/>
    <cellStyle name="Percent 4 3 2 2 3" xfId="18052" xr:uid="{9F9A11DF-F0EB-490C-82ED-BE1AE0669C95}"/>
    <cellStyle name="Percent 4 3 2 2 3 2" xfId="36648" xr:uid="{DB7450A8-686D-4520-AF8C-F2AF6B8A3C24}"/>
    <cellStyle name="Percent 4 3 2 2 4" xfId="27351" xr:uid="{B6241157-9CF4-4DAE-9832-3897D3CED776}"/>
    <cellStyle name="Percent 4 3 2 3" xfId="18049" xr:uid="{3343F144-A483-470A-9288-07DAF28E334B}"/>
    <cellStyle name="Percent 4 3 2 3 2" xfId="36645" xr:uid="{ABA56E20-CAAA-4B96-9536-47A46D05440D}"/>
    <cellStyle name="Percent 4 3 2 4" xfId="27348" xr:uid="{6649AFBF-6066-4520-80D1-F203584D5CA1}"/>
    <cellStyle name="Percent 4 3 3" xfId="18046" xr:uid="{F84F82EE-B7A2-4A8D-961C-6B62B01AD159}"/>
    <cellStyle name="Percent 4 3 3 2" xfId="36642" xr:uid="{88A8EA9B-DD6C-473E-B873-BF43B919D644}"/>
    <cellStyle name="Percent 4 3 4" xfId="27345" xr:uid="{E2F9538A-0AF0-4F73-86AF-9CB68E1B55A0}"/>
    <cellStyle name="Percent 4 4" xfId="13829" xr:uid="{8EA509AC-98DA-47FC-8F4A-945976BD5BD3}"/>
    <cellStyle name="Percent 4 4 2" xfId="32425" xr:uid="{D43D9F34-1F52-4938-9FFC-F433215FC7B5}"/>
    <cellStyle name="Percent 4 5" xfId="23128" xr:uid="{E9C0D915-6E77-4259-BA1F-324DC1024AC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8">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7">
  <autoFilter ref="BD2:BF110" xr:uid="{20D12FE9-D671-46AE-8E74-697FC9E00D36}"/>
  <tableColumns count="3">
    <tableColumn id="1" xr3:uid="{6D57456F-8765-4265-AAB0-1C6229D75231}" name="Key"/>
    <tableColumn id="2" xr3:uid="{364B4D43-EEAF-424D-B3F3-B1165A9E3181}" name="Value" dataDxfId="126"/>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5" dataDxfId="124" headerRowCellStyle="Normal 16 3" dataCellStyle="Normal 16 3">
  <autoFilter ref="BM8:BM13" xr:uid="{EC5E3245-E94C-4732-9264-A1FF7840F5A2}"/>
  <tableColumns count="1">
    <tableColumn id="1" xr3:uid="{FC9561DE-AB40-4108-8A40-2198A441853F}" name="Construction Type" dataDxfId="123"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2" dataDxfId="121"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20" dataCellStyle="Normal 15">
      <calculatedColumnFormula>IFERROR(MIN(4,MATCH(Application!B726,UnitSizes,0)-1),"")</calculatedColumnFormula>
    </tableColumn>
    <tableColumn id="3" xr3:uid="{3C170205-C158-4CBB-8CF5-9AF725351349}" name="Quantity" dataDxfId="119" dataCellStyle="Normal 15">
      <calculatedColumnFormula>Application!G726</calculatedColumnFormula>
    </tableColumn>
    <tableColumn id="6" xr3:uid="{7C05B4DE-3AC1-47F3-9C25-D16553367CFA}" name="iAMI" dataDxfId="118" dataCellStyle="Percent">
      <calculatedColumnFormula>Application!AC726</calculatedColumnFormula>
    </tableColumn>
    <tableColumn id="7" xr3:uid="{2B6706B4-1A54-4104-A649-2FE0A4FF8E92}" name="AMI" dataDxfId="117" dataCellStyle="Percent">
      <calculatedColumnFormula>IF(Cdlac[[#This Row],[Quantity]]&gt;0,IF(Cdlac[[#This Row],[Federal]],30%,IF(AND(OR(NOT($G$38),$G$38=""),$G$43),40%,Cdlac[[#This Row],[iAMI]])),"")</calculatedColumnFormula>
    </tableColumn>
    <tableColumn id="8" xr3:uid="{A8EB42BE-4789-45EE-A11C-67C20CB0D91B}" name="Restricted Rent" dataDxfId="116" dataCellStyle="Normal 15">
      <calculatedColumnFormula array="1">IF(Cdlac[[#This Row],[Quantity]]&gt;0,INDEX(TcacRents,$P$18,Cdlac[[#This Row],[Bedrooms]]+1)*Cdlac[[#This Row],[AMI]],"")</calculatedColumnFormula>
    </tableColumn>
    <tableColumn id="1" xr3:uid="{DB79DEA5-8C58-4800-B67F-14CBEB0E0B62}" name="Preservation Rent" dataDxfId="115" dataCellStyle="Normal 15"/>
    <tableColumn id="9" xr3:uid="{E7AC364D-B07B-4A38-B74E-DAE64921E290}" name="Fair Market Rent" dataDxfId="114" dataCellStyle="Normal 15">
      <calculatedColumnFormula array="1">IF(Cdlac[[#This Row],[Quantity]]&gt;0,INDEX(HudFmrs,$P$18,Cdlac[[#This Row],[Bedrooms]]+1),"")</calculatedColumnFormula>
    </tableColumn>
    <tableColumn id="10" xr3:uid="{630C504C-0251-4207-88FB-451973BE380A}" name="Delta" dataDxfId="113"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2" dataCellStyle="Normal 15">
      <calculatedColumnFormula>IF(Cdlac[[#This Row],[Quantity]]&gt;0,AND(Application!AK726&lt;&gt;"N/A",Application!AK726&lt;&gt;"")*Cdlac[[#This Row],[Quantity]],"")</calculatedColumnFormula>
    </tableColumn>
    <tableColumn id="4" xr3:uid="{5D52F6BE-992B-4621-8785-ED1E8B62A78F}" name="Federal" dataDxfId="111"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453125" customWidth="1"/>
    <col min="6" max="6" width="3" customWidth="1"/>
    <col min="7" max="38" width="2.453125" customWidth="1"/>
    <col min="39" max="16384" width="2.453125" hidden="1"/>
  </cols>
  <sheetData>
    <row r="1" spans="1:38">
      <c r="A1" s="1251" t="s">
        <v>0</v>
      </c>
      <c r="B1" s="1251"/>
      <c r="C1" s="1251"/>
      <c r="D1" s="1251"/>
      <c r="E1" s="1251"/>
      <c r="F1" s="1251"/>
      <c r="G1" s="1251"/>
      <c r="H1" s="1251"/>
      <c r="I1" s="1251"/>
      <c r="J1" s="1251"/>
      <c r="K1" s="1251"/>
      <c r="L1" s="1251"/>
      <c r="M1" s="1251"/>
      <c r="N1" s="1251"/>
      <c r="O1" s="1251"/>
      <c r="P1" s="1251"/>
      <c r="Q1" s="1251"/>
      <c r="R1" s="1251"/>
      <c r="S1" s="1251"/>
      <c r="T1" s="1251"/>
      <c r="U1" s="1251"/>
      <c r="V1" s="1251"/>
      <c r="W1" s="1251"/>
      <c r="X1" s="1251"/>
      <c r="Y1" s="1251"/>
      <c r="Z1" s="1251"/>
      <c r="AA1" s="1251"/>
      <c r="AB1" s="1251"/>
      <c r="AC1" s="1251"/>
      <c r="AD1" s="1251"/>
      <c r="AE1" s="1251"/>
      <c r="AF1" s="1251"/>
      <c r="AG1" s="1251"/>
      <c r="AH1" s="1251"/>
      <c r="AI1" s="1251"/>
      <c r="AJ1" s="1251"/>
      <c r="AK1" s="1251"/>
      <c r="AL1" s="1251"/>
    </row>
    <row r="2" spans="1:38" ht="13" thickBot="1">
      <c r="A2" s="1252"/>
      <c r="B2" s="1252"/>
      <c r="C2" s="1252"/>
      <c r="D2" s="1252"/>
      <c r="E2" s="1252"/>
      <c r="F2" s="1252"/>
      <c r="G2" s="1252"/>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c r="AJ2" s="1252"/>
      <c r="AK2" s="1252"/>
      <c r="AL2" s="1252"/>
    </row>
    <row r="3" spans="1:38" ht="13" thickTop="1"/>
    <row r="4" spans="1:38" s="5" customFormat="1" ht="13">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5" customHeight="1">
      <c r="A7" s="136"/>
      <c r="B7" s="136"/>
      <c r="C7" s="137"/>
      <c r="D7" s="1241" t="s">
        <v>5</v>
      </c>
      <c r="E7" s="1241"/>
      <c r="F7" s="1241"/>
      <c r="G7" s="1241"/>
      <c r="H7" s="1241"/>
      <c r="I7" s="1241"/>
      <c r="J7" s="1241"/>
      <c r="K7" s="1241"/>
      <c r="L7" s="1241"/>
      <c r="M7" s="1241"/>
      <c r="N7" s="1241"/>
      <c r="O7" s="1241"/>
      <c r="P7" s="1241"/>
      <c r="Q7" s="1241"/>
      <c r="R7" s="1241"/>
      <c r="S7" s="1241"/>
      <c r="T7" s="1241"/>
      <c r="U7" s="1241"/>
      <c r="V7" s="1241"/>
      <c r="W7" s="1241"/>
      <c r="X7" s="1241"/>
      <c r="Y7" s="1241"/>
      <c r="Z7" s="1241"/>
      <c r="AA7" s="1241"/>
      <c r="AB7" s="1241"/>
      <c r="AC7" s="1241"/>
      <c r="AD7" s="1241"/>
      <c r="AE7" s="1241"/>
      <c r="AF7" s="1241"/>
      <c r="AG7" s="1241"/>
      <c r="AH7" s="1241"/>
      <c r="AI7" s="1241"/>
      <c r="AJ7" s="1241"/>
      <c r="AK7" s="1241"/>
      <c r="AL7" s="357"/>
    </row>
    <row r="8" spans="1:38" ht="13">
      <c r="A8" s="136"/>
      <c r="B8" s="136"/>
      <c r="C8" s="137"/>
      <c r="D8" s="1241"/>
      <c r="E8" s="1241"/>
      <c r="F8" s="1241"/>
      <c r="G8" s="1241"/>
      <c r="H8" s="1241"/>
      <c r="I8" s="1241"/>
      <c r="J8" s="1241"/>
      <c r="K8" s="1241"/>
      <c r="L8" s="1241"/>
      <c r="M8" s="1241"/>
      <c r="N8" s="1241"/>
      <c r="O8" s="1241"/>
      <c r="P8" s="1241"/>
      <c r="Q8" s="1241"/>
      <c r="R8" s="1241"/>
      <c r="S8" s="1241"/>
      <c r="T8" s="1241"/>
      <c r="U8" s="1241"/>
      <c r="V8" s="1241"/>
      <c r="W8" s="1241"/>
      <c r="X8" s="1241"/>
      <c r="Y8" s="1241"/>
      <c r="Z8" s="1241"/>
      <c r="AA8" s="1241"/>
      <c r="AB8" s="1241"/>
      <c r="AC8" s="1241"/>
      <c r="AD8" s="1241"/>
      <c r="AE8" s="1241"/>
      <c r="AF8" s="1241"/>
      <c r="AG8" s="1241"/>
      <c r="AH8" s="1241"/>
      <c r="AI8" s="1241"/>
      <c r="AJ8" s="1241"/>
      <c r="AK8" s="1241"/>
      <c r="AL8" s="357"/>
    </row>
    <row r="9" spans="1:38" ht="13">
      <c r="A9" s="136"/>
      <c r="B9" s="136"/>
      <c r="C9" s="137"/>
      <c r="D9" s="1241"/>
      <c r="E9" s="1241"/>
      <c r="F9" s="1241"/>
      <c r="G9" s="1241"/>
      <c r="H9" s="1241"/>
      <c r="I9" s="1241"/>
      <c r="J9" s="1241"/>
      <c r="K9" s="1241"/>
      <c r="L9" s="1241"/>
      <c r="M9" s="1241"/>
      <c r="N9" s="1241"/>
      <c r="O9" s="1241"/>
      <c r="P9" s="1241"/>
      <c r="Q9" s="1241"/>
      <c r="R9" s="1241"/>
      <c r="S9" s="1241"/>
      <c r="T9" s="1241"/>
      <c r="U9" s="1241"/>
      <c r="V9" s="1241"/>
      <c r="W9" s="1241"/>
      <c r="X9" s="1241"/>
      <c r="Y9" s="1241"/>
      <c r="Z9" s="1241"/>
      <c r="AA9" s="1241"/>
      <c r="AB9" s="1241"/>
      <c r="AC9" s="1241"/>
      <c r="AD9" s="1241"/>
      <c r="AE9" s="1241"/>
      <c r="AF9" s="1241"/>
      <c r="AG9" s="1241"/>
      <c r="AH9" s="1241"/>
      <c r="AI9" s="1241"/>
      <c r="AJ9" s="1241"/>
      <c r="AK9" s="1241"/>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41" t="s">
        <v>6</v>
      </c>
      <c r="E11" s="1241"/>
      <c r="F11" s="1241"/>
      <c r="G11" s="1241"/>
      <c r="H11" s="1241"/>
      <c r="I11" s="1241"/>
      <c r="J11" s="1241"/>
      <c r="K11" s="1241"/>
      <c r="L11" s="1241"/>
      <c r="M11" s="1241"/>
      <c r="N11" s="1241"/>
      <c r="O11" s="1241"/>
      <c r="P11" s="1241"/>
      <c r="Q11" s="1241"/>
      <c r="R11" s="1241"/>
      <c r="S11" s="1241"/>
      <c r="T11" s="1241"/>
      <c r="U11" s="1241"/>
      <c r="V11" s="1241"/>
      <c r="W11" s="1241"/>
      <c r="X11" s="1241"/>
      <c r="Y11" s="1241"/>
      <c r="Z11" s="1241"/>
      <c r="AA11" s="1241"/>
      <c r="AB11" s="1241"/>
      <c r="AC11" s="1241"/>
      <c r="AD11" s="1241"/>
      <c r="AE11" s="1241"/>
      <c r="AF11" s="1241"/>
      <c r="AG11" s="1241"/>
      <c r="AH11" s="1241"/>
      <c r="AI11" s="1241"/>
      <c r="AJ11" s="1241"/>
      <c r="AK11" s="1241"/>
      <c r="AL11" s="357"/>
    </row>
    <row r="12" spans="1:38" ht="13">
      <c r="A12" s="136"/>
      <c r="B12" s="136"/>
      <c r="C12" s="137"/>
      <c r="D12" s="1241"/>
      <c r="E12" s="1241"/>
      <c r="F12" s="1241"/>
      <c r="G12" s="1241"/>
      <c r="H12" s="1241"/>
      <c r="I12" s="1241"/>
      <c r="J12" s="1241"/>
      <c r="K12" s="1241"/>
      <c r="L12" s="1241"/>
      <c r="M12" s="1241"/>
      <c r="N12" s="1241"/>
      <c r="O12" s="1241"/>
      <c r="P12" s="1241"/>
      <c r="Q12" s="1241"/>
      <c r="R12" s="1241"/>
      <c r="S12" s="1241"/>
      <c r="T12" s="1241"/>
      <c r="U12" s="1241"/>
      <c r="V12" s="1241"/>
      <c r="W12" s="1241"/>
      <c r="X12" s="1241"/>
      <c r="Y12" s="1241"/>
      <c r="Z12" s="1241"/>
      <c r="AA12" s="1241"/>
      <c r="AB12" s="1241"/>
      <c r="AC12" s="1241"/>
      <c r="AD12" s="1241"/>
      <c r="AE12" s="1241"/>
      <c r="AF12" s="1241"/>
      <c r="AG12" s="1241"/>
      <c r="AH12" s="1241"/>
      <c r="AI12" s="1241"/>
      <c r="AJ12" s="1241"/>
      <c r="AK12" s="1241"/>
      <c r="AL12" s="357"/>
    </row>
    <row r="13" spans="1:38" ht="13">
      <c r="A13" s="136"/>
      <c r="B13" s="136"/>
      <c r="C13" s="137"/>
      <c r="D13" s="1241"/>
      <c r="E13" s="1241"/>
      <c r="F13" s="1241"/>
      <c r="G13" s="1241"/>
      <c r="H13" s="1241"/>
      <c r="I13" s="1241"/>
      <c r="J13" s="1241"/>
      <c r="K13" s="1241"/>
      <c r="L13" s="1241"/>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5" customHeight="1">
      <c r="A15" s="136"/>
      <c r="B15" s="136"/>
      <c r="C15" s="137"/>
      <c r="D15" s="1241" t="s">
        <v>7</v>
      </c>
      <c r="E15" s="1241"/>
      <c r="F15" s="1241"/>
      <c r="G15" s="1241"/>
      <c r="H15" s="1241"/>
      <c r="I15" s="1241"/>
      <c r="J15" s="1241"/>
      <c r="K15" s="1241"/>
      <c r="L15" s="1241"/>
      <c r="M15" s="1241"/>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357"/>
    </row>
    <row r="16" spans="1:38" ht="13.5" customHeight="1">
      <c r="A16" s="136"/>
      <c r="B16" s="136"/>
      <c r="C16" s="137"/>
      <c r="D16" s="1241"/>
      <c r="E16" s="1241"/>
      <c r="F16" s="1241"/>
      <c r="G16" s="1241"/>
      <c r="H16" s="1241"/>
      <c r="I16" s="1241"/>
      <c r="J16" s="1241"/>
      <c r="K16" s="1241"/>
      <c r="L16" s="1241"/>
      <c r="M16" s="1241"/>
      <c r="N16" s="1241"/>
      <c r="O16" s="1241"/>
      <c r="P16" s="1241"/>
      <c r="Q16" s="1241"/>
      <c r="R16" s="1241"/>
      <c r="S16" s="1241"/>
      <c r="T16" s="1241"/>
      <c r="U16" s="1241"/>
      <c r="V16" s="1241"/>
      <c r="W16" s="1241"/>
      <c r="X16" s="1241"/>
      <c r="Y16" s="1241"/>
      <c r="Z16" s="1241"/>
      <c r="AA16" s="1241"/>
      <c r="AB16" s="1241"/>
      <c r="AC16" s="1241"/>
      <c r="AD16" s="1241"/>
      <c r="AE16" s="1241"/>
      <c r="AF16" s="1241"/>
      <c r="AG16" s="1241"/>
      <c r="AH16" s="1241"/>
      <c r="AI16" s="1241"/>
      <c r="AJ16" s="1241"/>
      <c r="AK16" s="1241"/>
      <c r="AL16" s="357"/>
    </row>
    <row r="17" spans="1:38" ht="13">
      <c r="A17" s="136"/>
      <c r="B17" s="136"/>
      <c r="C17" s="137"/>
      <c r="D17" s="1241"/>
      <c r="E17" s="1241"/>
      <c r="F17" s="1241"/>
      <c r="G17" s="1241"/>
      <c r="H17" s="1241"/>
      <c r="I17" s="1241"/>
      <c r="J17" s="1241"/>
      <c r="K17" s="1241"/>
      <c r="L17" s="1241"/>
      <c r="M17" s="1241"/>
      <c r="N17" s="1241"/>
      <c r="O17" s="1241"/>
      <c r="P17" s="1241"/>
      <c r="Q17" s="1241"/>
      <c r="R17" s="1241"/>
      <c r="S17" s="1241"/>
      <c r="T17" s="1241"/>
      <c r="U17" s="1241"/>
      <c r="V17" s="1241"/>
      <c r="W17" s="1241"/>
      <c r="X17" s="1241"/>
      <c r="Y17" s="1241"/>
      <c r="Z17" s="1241"/>
      <c r="AA17" s="1241"/>
      <c r="AB17" s="1241"/>
      <c r="AC17" s="1241"/>
      <c r="AD17" s="1241"/>
      <c r="AE17" s="1241"/>
      <c r="AF17" s="1241"/>
      <c r="AG17" s="1241"/>
      <c r="AH17" s="1241"/>
      <c r="AI17" s="1241"/>
      <c r="AJ17" s="1241"/>
      <c r="AK17" s="1241"/>
      <c r="AL17" s="357"/>
    </row>
    <row r="18" spans="1:38" ht="13">
      <c r="A18" s="136"/>
      <c r="B18" s="136"/>
      <c r="C18" s="137"/>
      <c r="D18" s="419" t="s">
        <v>8</v>
      </c>
      <c r="E18" s="344"/>
      <c r="G18" s="344"/>
      <c r="H18" s="344"/>
      <c r="I18" s="344"/>
      <c r="J18" s="1254" t="s">
        <v>9</v>
      </c>
      <c r="K18" s="1254"/>
      <c r="L18" s="1254"/>
      <c r="M18" s="1254"/>
      <c r="N18" s="1254"/>
      <c r="O18" s="1254"/>
      <c r="P18" s="1254"/>
      <c r="Q18" s="1254"/>
      <c r="R18" s="1254"/>
      <c r="S18" s="1254"/>
      <c r="T18" s="1254"/>
      <c r="U18" s="1254"/>
      <c r="V18" s="1254"/>
      <c r="W18" s="1254"/>
      <c r="X18" s="1254"/>
      <c r="Y18" s="1254"/>
      <c r="Z18" s="1254"/>
      <c r="AA18" s="1254"/>
      <c r="AB18" s="1254"/>
      <c r="AC18" s="1254"/>
      <c r="AD18" s="1254"/>
      <c r="AE18" s="1254"/>
      <c r="AF18" s="1254"/>
      <c r="AG18" s="1254"/>
      <c r="AH18" s="1254"/>
      <c r="AI18" s="1254"/>
      <c r="AJ18" s="1254"/>
      <c r="AK18" s="1254"/>
      <c r="AL18" s="357"/>
    </row>
    <row r="19" spans="1:38" ht="13">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5" customHeight="1">
      <c r="A20" s="136"/>
      <c r="B20" s="136"/>
      <c r="C20" s="137"/>
      <c r="D20" s="1241" t="s">
        <v>10</v>
      </c>
      <c r="E20" s="1241"/>
      <c r="F20" s="1241"/>
      <c r="G20" s="1241"/>
      <c r="H20" s="1241"/>
      <c r="I20" s="1241"/>
      <c r="J20" s="1241"/>
      <c r="K20" s="1241"/>
      <c r="L20" s="1241"/>
      <c r="M20" s="1241"/>
      <c r="N20" s="1241"/>
      <c r="O20" s="1241"/>
      <c r="P20" s="1241"/>
      <c r="Q20" s="1241"/>
      <c r="R20" s="1241"/>
      <c r="S20" s="1241"/>
      <c r="T20" s="1241"/>
      <c r="U20" s="1241"/>
      <c r="V20" s="1241"/>
      <c r="W20" s="1241"/>
      <c r="X20" s="1241"/>
      <c r="Y20" s="1241"/>
      <c r="Z20" s="1241"/>
      <c r="AA20" s="1241"/>
      <c r="AB20" s="1241"/>
      <c r="AC20" s="1241"/>
      <c r="AD20" s="1241"/>
      <c r="AE20" s="1241"/>
      <c r="AF20" s="1241"/>
      <c r="AG20" s="1241"/>
      <c r="AH20" s="1241"/>
      <c r="AI20" s="1241"/>
      <c r="AJ20" s="1241"/>
      <c r="AK20" s="1241"/>
      <c r="AL20" s="136"/>
    </row>
    <row r="21" spans="1:38" ht="13">
      <c r="A21" s="136"/>
      <c r="B21" s="136"/>
      <c r="C21" s="137"/>
      <c r="D21" s="1241"/>
      <c r="E21" s="1241"/>
      <c r="F21" s="1241"/>
      <c r="G21" s="1241"/>
      <c r="H21" s="1241"/>
      <c r="I21" s="1241"/>
      <c r="J21" s="1241"/>
      <c r="K21" s="1241"/>
      <c r="L21" s="1241"/>
      <c r="M21" s="1241"/>
      <c r="N21" s="1241"/>
      <c r="O21" s="1241"/>
      <c r="P21" s="1241"/>
      <c r="Q21" s="1241"/>
      <c r="R21" s="1241"/>
      <c r="S21" s="1241"/>
      <c r="T21" s="1241"/>
      <c r="U21" s="1241"/>
      <c r="V21" s="1241"/>
      <c r="W21" s="1241"/>
      <c r="X21" s="1241"/>
      <c r="Y21" s="1241"/>
      <c r="Z21" s="1241"/>
      <c r="AA21" s="1241"/>
      <c r="AB21" s="1241"/>
      <c r="AC21" s="1241"/>
      <c r="AD21" s="1241"/>
      <c r="AE21" s="1241"/>
      <c r="AF21" s="1241"/>
      <c r="AG21" s="1241"/>
      <c r="AH21" s="1241"/>
      <c r="AI21" s="1241"/>
      <c r="AJ21" s="1241"/>
      <c r="AK21" s="1241"/>
      <c r="AL21" s="136"/>
    </row>
    <row r="22" spans="1:38" ht="13">
      <c r="A22" s="136"/>
      <c r="B22" s="136"/>
      <c r="C22" s="137"/>
      <c r="D22" s="1241"/>
      <c r="E22" s="1241"/>
      <c r="F22" s="1241"/>
      <c r="G22" s="1241"/>
      <c r="H22" s="1241"/>
      <c r="I22" s="1241"/>
      <c r="J22" s="1241"/>
      <c r="K22" s="1241"/>
      <c r="L22" s="1241"/>
      <c r="M22" s="1241"/>
      <c r="N22" s="1241"/>
      <c r="O22" s="1241"/>
      <c r="P22" s="1241"/>
      <c r="Q22" s="1241"/>
      <c r="R22" s="1241"/>
      <c r="S22" s="1241"/>
      <c r="T22" s="1241"/>
      <c r="U22" s="1241"/>
      <c r="V22" s="1241"/>
      <c r="W22" s="1241"/>
      <c r="X22" s="1241"/>
      <c r="Y22" s="1241"/>
      <c r="Z22" s="1241"/>
      <c r="AA22" s="1241"/>
      <c r="AB22" s="1241"/>
      <c r="AC22" s="1241"/>
      <c r="AD22" s="1241"/>
      <c r="AE22" s="1241"/>
      <c r="AF22" s="1241"/>
      <c r="AG22" s="1241"/>
      <c r="AH22" s="1241"/>
      <c r="AI22" s="1241"/>
      <c r="AJ22" s="1241"/>
      <c r="AK22" s="1241"/>
      <c r="AL22" s="136"/>
    </row>
    <row r="23" spans="1:38" ht="13.5" customHeight="1">
      <c r="A23" s="136"/>
      <c r="B23" s="136"/>
      <c r="C23" s="137"/>
      <c r="D23" s="1241"/>
      <c r="E23" s="1241"/>
      <c r="F23" s="1241"/>
      <c r="G23" s="1241"/>
      <c r="H23" s="1241"/>
      <c r="I23" s="1241"/>
      <c r="J23" s="1241"/>
      <c r="K23" s="1241"/>
      <c r="L23" s="1241"/>
      <c r="M23" s="1241"/>
      <c r="N23" s="1241"/>
      <c r="O23" s="1241"/>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1"/>
      <c r="AL23" s="136"/>
    </row>
    <row r="24" spans="1:38" ht="13">
      <c r="A24" s="136"/>
      <c r="B24" s="136"/>
      <c r="C24" s="137"/>
      <c r="D24" s="1241"/>
      <c r="E24" s="1241"/>
      <c r="F24" s="1241"/>
      <c r="G24" s="1241"/>
      <c r="H24" s="1241"/>
      <c r="I24" s="1241"/>
      <c r="J24" s="1241"/>
      <c r="K24" s="1241"/>
      <c r="L24" s="1241"/>
      <c r="M24" s="1241"/>
      <c r="N24" s="1241"/>
      <c r="O24" s="1241"/>
      <c r="P24" s="1241"/>
      <c r="Q24" s="1241"/>
      <c r="R24" s="1241"/>
      <c r="S24" s="1241"/>
      <c r="T24" s="1241"/>
      <c r="U24" s="1241"/>
      <c r="V24" s="1241"/>
      <c r="W24" s="1241"/>
      <c r="X24" s="1241"/>
      <c r="Y24" s="1241"/>
      <c r="Z24" s="1241"/>
      <c r="AA24" s="1241"/>
      <c r="AB24" s="1241"/>
      <c r="AC24" s="1241"/>
      <c r="AD24" s="1241"/>
      <c r="AE24" s="1241"/>
      <c r="AF24" s="1241"/>
      <c r="AG24" s="1241"/>
      <c r="AH24" s="1241"/>
      <c r="AI24" s="1241"/>
      <c r="AJ24" s="1241"/>
      <c r="AK24" s="1241"/>
      <c r="AL24" s="136"/>
    </row>
    <row r="25" spans="1:38" ht="13">
      <c r="A25" s="136"/>
      <c r="B25" s="136"/>
      <c r="C25" s="137"/>
      <c r="D25" s="1241"/>
      <c r="E25" s="1241"/>
      <c r="F25" s="1241"/>
      <c r="G25" s="1241"/>
      <c r="H25" s="1241"/>
      <c r="I25" s="1241"/>
      <c r="J25" s="1241"/>
      <c r="K25" s="1241"/>
      <c r="L25" s="1241"/>
      <c r="M25" s="1241"/>
      <c r="N25" s="1241"/>
      <c r="O25" s="1241"/>
      <c r="P25" s="1241"/>
      <c r="Q25" s="1241"/>
      <c r="R25" s="1241"/>
      <c r="S25" s="1241"/>
      <c r="T25" s="1241"/>
      <c r="U25" s="1241"/>
      <c r="V25" s="1241"/>
      <c r="W25" s="1241"/>
      <c r="X25" s="1241"/>
      <c r="Y25" s="1241"/>
      <c r="Z25" s="1241"/>
      <c r="AA25" s="1241"/>
      <c r="AB25" s="1241"/>
      <c r="AC25" s="1241"/>
      <c r="AD25" s="1241"/>
      <c r="AE25" s="1241"/>
      <c r="AF25" s="1241"/>
      <c r="AG25" s="1241"/>
      <c r="AH25" s="1241"/>
      <c r="AI25" s="1241"/>
      <c r="AJ25" s="1241"/>
      <c r="AK25" s="1241"/>
      <c r="AL25" s="136"/>
    </row>
    <row r="26" spans="1:38" ht="13">
      <c r="A26" s="136"/>
      <c r="B26" s="136"/>
      <c r="C26" s="137"/>
      <c r="D26" s="1241"/>
      <c r="E26" s="1241"/>
      <c r="F26" s="1241"/>
      <c r="G26" s="1241"/>
      <c r="H26" s="1241"/>
      <c r="I26" s="1241"/>
      <c r="J26" s="1241"/>
      <c r="K26" s="1241"/>
      <c r="L26" s="1241"/>
      <c r="M26" s="1241"/>
      <c r="N26" s="1241"/>
      <c r="O26" s="1241"/>
      <c r="P26" s="1241"/>
      <c r="Q26" s="1241"/>
      <c r="R26" s="1241"/>
      <c r="S26" s="1241"/>
      <c r="T26" s="1241"/>
      <c r="U26" s="1241"/>
      <c r="V26" s="1241"/>
      <c r="W26" s="1241"/>
      <c r="X26" s="1241"/>
      <c r="Y26" s="1241"/>
      <c r="Z26" s="1241"/>
      <c r="AA26" s="1241"/>
      <c r="AB26" s="1241"/>
      <c r="AC26" s="1241"/>
      <c r="AD26" s="1241"/>
      <c r="AE26" s="1241"/>
      <c r="AF26" s="1241"/>
      <c r="AG26" s="1241"/>
      <c r="AH26" s="1241"/>
      <c r="AI26" s="1241"/>
      <c r="AJ26" s="1241"/>
      <c r="AK26" s="1241"/>
      <c r="AL26" s="136"/>
    </row>
    <row r="27" spans="1:38" ht="13">
      <c r="A27" s="136"/>
      <c r="B27" s="136"/>
      <c r="C27" s="137"/>
      <c r="D27" s="1241"/>
      <c r="E27" s="1241"/>
      <c r="F27" s="1241"/>
      <c r="G27" s="1241"/>
      <c r="H27" s="1241"/>
      <c r="I27" s="1241"/>
      <c r="J27" s="1241"/>
      <c r="K27" s="1241"/>
      <c r="L27" s="1241"/>
      <c r="M27" s="1241"/>
      <c r="N27" s="1241"/>
      <c r="O27" s="1241"/>
      <c r="P27" s="1241"/>
      <c r="Q27" s="1241"/>
      <c r="R27" s="1241"/>
      <c r="S27" s="1241"/>
      <c r="T27" s="1241"/>
      <c r="U27" s="1241"/>
      <c r="V27" s="1241"/>
      <c r="W27" s="1241"/>
      <c r="X27" s="1241"/>
      <c r="Y27" s="1241"/>
      <c r="Z27" s="1241"/>
      <c r="AA27" s="1241"/>
      <c r="AB27" s="1241"/>
      <c r="AC27" s="1241"/>
      <c r="AD27" s="1241"/>
      <c r="AE27" s="1241"/>
      <c r="AF27" s="1241"/>
      <c r="AG27" s="1241"/>
      <c r="AH27" s="1241"/>
      <c r="AI27" s="1241"/>
      <c r="AJ27" s="1241"/>
      <c r="AK27" s="1241"/>
      <c r="AL27" s="136"/>
    </row>
    <row r="28" spans="1:38" ht="13">
      <c r="A28" s="136"/>
      <c r="B28" s="136"/>
      <c r="C28" s="137"/>
      <c r="D28" s="1241"/>
      <c r="E28" s="1241"/>
      <c r="F28" s="1241"/>
      <c r="G28" s="1241"/>
      <c r="H28" s="1241"/>
      <c r="I28" s="1241"/>
      <c r="J28" s="1241"/>
      <c r="K28" s="1241"/>
      <c r="L28" s="1241"/>
      <c r="M28" s="1241"/>
      <c r="N28" s="1241"/>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5" customHeight="1">
      <c r="A30" s="136"/>
      <c r="B30" s="136"/>
      <c r="C30" s="137"/>
      <c r="D30" s="1241" t="s">
        <v>11</v>
      </c>
      <c r="E30" s="1241"/>
      <c r="F30" s="1241"/>
      <c r="G30" s="1241"/>
      <c r="H30" s="1241"/>
      <c r="I30" s="1241"/>
      <c r="J30" s="1241"/>
      <c r="K30" s="1241"/>
      <c r="L30" s="1241"/>
      <c r="M30" s="1241"/>
      <c r="N30" s="1241"/>
      <c r="O30" s="1241"/>
      <c r="P30" s="1241"/>
      <c r="Q30" s="1241"/>
      <c r="R30" s="1241"/>
      <c r="S30" s="1241"/>
      <c r="T30" s="1241"/>
      <c r="U30" s="1241"/>
      <c r="V30" s="1241"/>
      <c r="W30" s="1241"/>
      <c r="X30" s="1241"/>
      <c r="Y30" s="1241"/>
      <c r="Z30" s="1241"/>
      <c r="AA30" s="1241"/>
      <c r="AB30" s="1241"/>
      <c r="AC30" s="1241"/>
      <c r="AD30" s="1241"/>
      <c r="AE30" s="1241"/>
      <c r="AF30" s="1241"/>
      <c r="AG30" s="1241"/>
      <c r="AH30" s="1241"/>
      <c r="AI30" s="1241"/>
      <c r="AJ30" s="1241"/>
      <c r="AK30" s="1241"/>
      <c r="AL30" s="136"/>
    </row>
    <row r="31" spans="1:38" ht="13">
      <c r="A31" s="136"/>
      <c r="B31" s="136"/>
      <c r="C31" s="137"/>
      <c r="D31" s="357"/>
      <c r="E31" s="1242" t="s">
        <v>12</v>
      </c>
      <c r="F31" s="1243"/>
      <c r="G31" s="1243"/>
      <c r="H31" s="1243"/>
      <c r="I31" s="1243"/>
      <c r="J31" s="1243"/>
      <c r="K31" s="1243"/>
      <c r="L31" s="1243"/>
      <c r="M31" s="1243"/>
      <c r="N31" s="1243"/>
      <c r="O31" s="1243"/>
      <c r="P31" s="1243"/>
      <c r="Q31" s="1243"/>
      <c r="R31" s="1243"/>
      <c r="S31" s="1243"/>
      <c r="T31" s="1243"/>
      <c r="U31" s="1243"/>
      <c r="V31" s="1243"/>
      <c r="W31" s="1243"/>
      <c r="X31" s="1243"/>
      <c r="Y31" s="1243"/>
      <c r="Z31" s="1243"/>
      <c r="AA31" s="1243"/>
      <c r="AB31" s="1243"/>
      <c r="AC31" s="1243"/>
      <c r="AD31" s="1243"/>
      <c r="AE31" s="1243"/>
      <c r="AF31" s="1243"/>
      <c r="AG31" s="1243"/>
      <c r="AH31" s="1243"/>
      <c r="AI31" s="1243"/>
      <c r="AJ31" s="1243"/>
      <c r="AK31" s="1243"/>
      <c r="AL31" s="136"/>
    </row>
    <row r="32" spans="1:38" ht="13">
      <c r="A32" s="3"/>
      <c r="C32" s="2"/>
    </row>
    <row r="33" spans="1:38">
      <c r="A33" s="3"/>
      <c r="D33" s="1253" t="s">
        <v>13</v>
      </c>
      <c r="E33" s="1253"/>
      <c r="F33" s="1253"/>
      <c r="G33" s="1253"/>
      <c r="H33" s="1253"/>
      <c r="I33" s="1253"/>
      <c r="J33" s="1253"/>
      <c r="K33" s="1253"/>
      <c r="L33" s="1253"/>
      <c r="M33" s="1253"/>
      <c r="N33" s="1253"/>
      <c r="O33" s="1253"/>
      <c r="P33" s="1253"/>
      <c r="Q33" s="1253"/>
      <c r="R33" s="1253"/>
      <c r="S33" s="1253"/>
      <c r="T33" s="1253"/>
      <c r="U33" s="1253"/>
      <c r="V33" s="1253"/>
      <c r="W33" s="1253"/>
      <c r="X33" s="1253"/>
      <c r="Y33" s="1253"/>
      <c r="Z33" s="1253"/>
      <c r="AA33" s="1253"/>
      <c r="AB33" s="1253"/>
      <c r="AC33" s="1253"/>
      <c r="AD33" s="1253"/>
      <c r="AE33" s="1253"/>
      <c r="AF33" s="1253"/>
      <c r="AG33" s="1253"/>
      <c r="AH33" s="1253"/>
      <c r="AI33" s="1253"/>
      <c r="AJ33" s="1253"/>
      <c r="AK33" s="1253"/>
    </row>
    <row r="34" spans="1:38">
      <c r="A34" s="3"/>
      <c r="D34" s="1253"/>
      <c r="E34" s="1253"/>
      <c r="F34" s="1253"/>
      <c r="G34" s="1253"/>
      <c r="H34" s="1253"/>
      <c r="I34" s="1253"/>
      <c r="J34" s="1253"/>
      <c r="K34" s="1253"/>
      <c r="L34" s="1253"/>
      <c r="M34" s="1253"/>
      <c r="N34" s="1253"/>
      <c r="O34" s="1253"/>
      <c r="P34" s="1253"/>
      <c r="Q34" s="1253"/>
      <c r="R34" s="1253"/>
      <c r="S34" s="1253"/>
      <c r="T34" s="1253"/>
      <c r="U34" s="1253"/>
      <c r="V34" s="1253"/>
      <c r="W34" s="1253"/>
      <c r="X34" s="1253"/>
      <c r="Y34" s="1253"/>
      <c r="Z34" s="1253"/>
      <c r="AA34" s="1253"/>
      <c r="AB34" s="1253"/>
      <c r="AC34" s="1253"/>
      <c r="AD34" s="1253"/>
      <c r="AE34" s="1253"/>
      <c r="AF34" s="1253"/>
      <c r="AG34" s="1253"/>
      <c r="AH34" s="1253"/>
      <c r="AI34" s="1253"/>
      <c r="AJ34" s="1253"/>
      <c r="AK34" s="1253"/>
    </row>
    <row r="35" spans="1:38" ht="13">
      <c r="A35" s="3"/>
      <c r="D35" s="86"/>
      <c r="E35" s="1248" t="s">
        <v>14</v>
      </c>
      <c r="F35" s="1248"/>
      <c r="G35" s="1248"/>
      <c r="H35" s="1248"/>
      <c r="I35" s="1248"/>
      <c r="J35" s="1248"/>
      <c r="K35" s="1248"/>
      <c r="L35" s="1248"/>
      <c r="M35" s="1248"/>
      <c r="N35" s="1248"/>
      <c r="O35" s="1248"/>
      <c r="P35" s="1248"/>
      <c r="Q35" s="1248"/>
      <c r="R35" s="1248"/>
      <c r="S35" s="1248"/>
      <c r="T35" s="1248"/>
      <c r="U35" s="1248"/>
      <c r="V35" s="1248"/>
      <c r="W35" s="1248"/>
      <c r="X35" s="1248"/>
      <c r="Y35" s="1248"/>
      <c r="Z35" s="1248"/>
      <c r="AA35" s="1248"/>
      <c r="AB35" s="1248"/>
      <c r="AC35" s="1248"/>
      <c r="AD35" s="1248"/>
      <c r="AE35" s="1248"/>
      <c r="AF35" s="1248"/>
      <c r="AG35" s="1248"/>
      <c r="AH35" s="1248"/>
      <c r="AI35" s="1248"/>
      <c r="AJ35" s="1248"/>
      <c r="AK35" s="1248"/>
    </row>
    <row r="36" spans="1:38" ht="13">
      <c r="A36" s="3"/>
      <c r="D36" s="86"/>
      <c r="E36" s="1248" t="s">
        <v>15</v>
      </c>
      <c r="F36" s="1248"/>
      <c r="G36" s="1248"/>
      <c r="H36" s="1248"/>
      <c r="I36" s="1248"/>
      <c r="J36" s="1248"/>
      <c r="K36" s="1248"/>
      <c r="L36" s="1248"/>
      <c r="M36" s="1248"/>
      <c r="N36" s="1248"/>
      <c r="O36" s="1248"/>
      <c r="P36" s="1248"/>
      <c r="Q36" s="1248"/>
      <c r="R36" s="1248"/>
      <c r="S36" s="1248"/>
      <c r="T36" s="1248"/>
      <c r="U36" s="1248"/>
      <c r="V36" s="1248"/>
      <c r="W36" s="1248"/>
      <c r="X36" s="1248"/>
      <c r="Y36" s="1248"/>
      <c r="Z36" s="1248"/>
      <c r="AA36" s="1248"/>
      <c r="AB36" s="1248"/>
      <c r="AC36" s="1248"/>
      <c r="AD36" s="1248"/>
      <c r="AE36" s="1248"/>
      <c r="AF36" s="1248"/>
      <c r="AG36" s="1248"/>
      <c r="AH36" s="1248"/>
      <c r="AI36" s="1248"/>
      <c r="AJ36" s="1248"/>
      <c r="AK36" s="1248"/>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41" customFormat="1" ht="13.5" customHeight="1">
      <c r="A40" s="3"/>
      <c r="B40"/>
      <c r="C40" s="2"/>
      <c r="D40" s="3"/>
      <c r="E40" s="3" t="s">
        <v>20</v>
      </c>
      <c r="F40" s="1241" t="s">
        <v>21</v>
      </c>
    </row>
    <row r="41" spans="1:38" s="1241" customFormat="1" ht="13.5"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5" customHeight="1">
      <c r="A43" s="3"/>
      <c r="B43"/>
      <c r="C43" s="2"/>
      <c r="D43" s="3"/>
      <c r="E43" s="3" t="s">
        <v>24</v>
      </c>
      <c r="F43" s="1247" t="s">
        <v>25</v>
      </c>
      <c r="G43" s="1247"/>
      <c r="H43" s="1247"/>
      <c r="I43" s="1247"/>
      <c r="J43" s="1247"/>
      <c r="K43" s="1247"/>
      <c r="L43" s="1247"/>
      <c r="M43" s="1247"/>
      <c r="N43" s="1247"/>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row>
    <row r="44" spans="1:38" s="84" customFormat="1" ht="13">
      <c r="A44" s="3"/>
      <c r="B44"/>
      <c r="C44" s="2"/>
      <c r="D44" s="3"/>
      <c r="E44" s="3"/>
      <c r="F44" s="1247"/>
      <c r="G44" s="1247"/>
      <c r="H44" s="1247"/>
      <c r="I44" s="1247"/>
      <c r="J44" s="1247"/>
      <c r="K44" s="1247"/>
      <c r="L44" s="1247"/>
      <c r="M44" s="1247"/>
      <c r="N44" s="1247"/>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row>
    <row r="45" spans="1:38" s="84" customFormat="1" ht="13.5" customHeight="1">
      <c r="A45" s="3"/>
      <c r="B45"/>
      <c r="C45" s="2"/>
      <c r="D45" s="3"/>
      <c r="E45" s="3"/>
      <c r="F45" s="1247"/>
      <c r="G45" s="1247"/>
      <c r="H45" s="1247"/>
      <c r="I45" s="1247"/>
      <c r="J45" s="1247"/>
      <c r="K45" s="1247"/>
      <c r="L45" s="1247"/>
      <c r="M45" s="1247"/>
      <c r="N45" s="1247"/>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41" t="s">
        <v>30</v>
      </c>
      <c r="G48" s="1241"/>
      <c r="H48" s="1241"/>
      <c r="I48" s="1241"/>
      <c r="J48" s="1241"/>
      <c r="K48" s="1241"/>
      <c r="L48" s="1241"/>
      <c r="M48" s="1241"/>
      <c r="N48" s="1241"/>
      <c r="O48" s="1241"/>
      <c r="P48" s="1241"/>
      <c r="Q48" s="1241"/>
      <c r="R48" s="1241"/>
      <c r="S48" s="1241"/>
      <c r="T48" s="1241"/>
      <c r="U48" s="1241"/>
      <c r="V48" s="1241"/>
      <c r="W48" s="1241"/>
      <c r="X48" s="1241"/>
      <c r="Y48" s="1241"/>
      <c r="Z48" s="1241"/>
      <c r="AA48" s="1241"/>
      <c r="AB48" s="1241"/>
      <c r="AC48" s="1241"/>
      <c r="AD48" s="1241"/>
      <c r="AE48" s="1241"/>
      <c r="AF48" s="1241"/>
      <c r="AG48" s="1241"/>
      <c r="AH48" s="1241"/>
      <c r="AI48" s="1241"/>
      <c r="AJ48" s="1241"/>
      <c r="AK48" s="1241"/>
    </row>
    <row r="49" spans="1:38" ht="13">
      <c r="A49" s="3"/>
      <c r="C49" s="2"/>
      <c r="D49" s="3"/>
      <c r="E49" s="3"/>
      <c r="F49" s="1241"/>
      <c r="G49" s="1241"/>
      <c r="H49" s="1241"/>
      <c r="I49" s="1241"/>
      <c r="J49" s="1241"/>
      <c r="K49" s="1241"/>
      <c r="L49" s="1241"/>
      <c r="M49" s="1241"/>
      <c r="N49" s="1241"/>
      <c r="O49" s="1241"/>
      <c r="P49" s="1241"/>
      <c r="Q49" s="1241"/>
      <c r="R49" s="1241"/>
      <c r="S49" s="1241"/>
      <c r="T49" s="1241"/>
      <c r="U49" s="1241"/>
      <c r="V49" s="1241"/>
      <c r="W49" s="1241"/>
      <c r="X49" s="1241"/>
      <c r="Y49" s="1241"/>
      <c r="Z49" s="1241"/>
      <c r="AA49" s="1241"/>
      <c r="AB49" s="1241"/>
      <c r="AC49" s="1241"/>
      <c r="AD49" s="1241"/>
      <c r="AE49" s="1241"/>
      <c r="AF49" s="1241"/>
      <c r="AG49" s="1241"/>
      <c r="AH49" s="1241"/>
      <c r="AI49" s="1241"/>
      <c r="AJ49" s="1241"/>
      <c r="AK49" s="1241"/>
    </row>
    <row r="50" spans="1:38" ht="13">
      <c r="A50" s="3"/>
      <c r="C50" s="2"/>
      <c r="D50" s="3"/>
      <c r="F50" s="1241"/>
      <c r="G50" s="1241"/>
      <c r="H50" s="1241"/>
      <c r="I50" s="1241"/>
      <c r="J50" s="1241"/>
      <c r="K50" s="1241"/>
      <c r="L50" s="1241"/>
      <c r="M50" s="1241"/>
      <c r="N50" s="1241"/>
      <c r="O50" s="1241"/>
      <c r="P50" s="1241"/>
      <c r="Q50" s="1241"/>
      <c r="R50" s="1241"/>
      <c r="S50" s="1241"/>
      <c r="T50" s="1241"/>
      <c r="U50" s="1241"/>
      <c r="V50" s="1241"/>
      <c r="W50" s="1241"/>
      <c r="X50" s="1241"/>
      <c r="Y50" s="1241"/>
      <c r="Z50" s="1241"/>
      <c r="AA50" s="1241"/>
      <c r="AB50" s="1241"/>
      <c r="AC50" s="1241"/>
      <c r="AD50" s="1241"/>
      <c r="AE50" s="1241"/>
      <c r="AF50" s="1241"/>
      <c r="AG50" s="1241"/>
      <c r="AH50" s="1241"/>
      <c r="AI50" s="1241"/>
      <c r="AJ50" s="1241"/>
      <c r="AK50" s="1241"/>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5" customHeight="1">
      <c r="A54" s="136"/>
      <c r="B54" s="136"/>
      <c r="C54" s="137"/>
      <c r="D54" s="137"/>
      <c r="E54" s="136"/>
      <c r="F54" s="138" t="s">
        <v>22</v>
      </c>
      <c r="G54" s="1246" t="s">
        <v>34</v>
      </c>
      <c r="H54" s="1246"/>
      <c r="I54" s="1246"/>
      <c r="J54" s="1246"/>
      <c r="K54" s="1246"/>
      <c r="L54" s="1246"/>
      <c r="M54" s="1246"/>
      <c r="N54" s="1246"/>
      <c r="O54" s="1246"/>
      <c r="P54" s="1246"/>
      <c r="Q54" s="1246"/>
      <c r="R54" s="1246"/>
      <c r="S54" s="1246"/>
      <c r="T54" s="1246"/>
      <c r="U54" s="1246"/>
      <c r="V54" s="1246"/>
      <c r="W54" s="1246"/>
      <c r="X54" s="1246"/>
      <c r="Y54" s="1246"/>
      <c r="Z54" s="1246"/>
      <c r="AA54" s="1246"/>
      <c r="AB54" s="1246"/>
      <c r="AC54" s="1246"/>
      <c r="AD54" s="1246"/>
      <c r="AE54" s="1246"/>
      <c r="AF54" s="1246"/>
      <c r="AG54" s="1246"/>
      <c r="AH54" s="1246"/>
      <c r="AI54" s="1246"/>
      <c r="AJ54" s="1246"/>
      <c r="AK54" s="1246"/>
      <c r="AL54" s="136"/>
    </row>
    <row r="55" spans="1:38" ht="1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46" t="s">
        <v>36</v>
      </c>
      <c r="H56" s="1246"/>
      <c r="I56" s="1246"/>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5" customHeight="1">
      <c r="A57" s="136"/>
      <c r="B57" s="137"/>
      <c r="C57" s="137"/>
      <c r="D57" s="137"/>
      <c r="E57" s="136"/>
      <c r="F57" s="138" t="s">
        <v>27</v>
      </c>
      <c r="G57" s="1246" t="s">
        <v>37</v>
      </c>
      <c r="H57" s="1246"/>
      <c r="I57" s="1246"/>
      <c r="J57" s="1246"/>
      <c r="K57" s="1246"/>
      <c r="L57" s="1246"/>
      <c r="M57" s="1246"/>
      <c r="N57" s="1246"/>
      <c r="O57" s="1246"/>
      <c r="P57" s="1246"/>
      <c r="Q57" s="1246"/>
      <c r="R57" s="1246"/>
      <c r="S57" s="1246"/>
      <c r="T57" s="1246"/>
      <c r="U57" s="1246"/>
      <c r="V57" s="1246"/>
      <c r="W57" s="1246"/>
      <c r="X57" s="1246"/>
      <c r="Y57" s="1246"/>
      <c r="Z57" s="1246"/>
      <c r="AA57" s="1246"/>
      <c r="AB57" s="1246"/>
      <c r="AC57" s="1246"/>
      <c r="AD57" s="1246"/>
      <c r="AE57" s="1246"/>
      <c r="AF57" s="1246"/>
      <c r="AG57" s="1246"/>
      <c r="AH57" s="1246"/>
      <c r="AI57" s="1246"/>
      <c r="AJ57" s="1246"/>
      <c r="AK57" s="1246"/>
      <c r="AL57" s="1246"/>
    </row>
    <row r="58" spans="1:38" ht="13">
      <c r="A58" s="136"/>
      <c r="B58" s="136"/>
      <c r="C58" s="137"/>
      <c r="D58" s="137"/>
      <c r="E58" s="136"/>
      <c r="F58" s="138"/>
      <c r="G58" s="1246"/>
      <c r="H58" s="1246"/>
      <c r="I58" s="1246"/>
      <c r="J58" s="1246"/>
      <c r="K58" s="1246"/>
      <c r="L58" s="1246"/>
      <c r="M58" s="1246"/>
      <c r="N58" s="1246"/>
      <c r="O58" s="1246"/>
      <c r="P58" s="1246"/>
      <c r="Q58" s="1246"/>
      <c r="R58" s="1246"/>
      <c r="S58" s="1246"/>
      <c r="T58" s="1246"/>
      <c r="U58" s="1246"/>
      <c r="V58" s="1246"/>
      <c r="W58" s="1246"/>
      <c r="X58" s="1246"/>
      <c r="Y58" s="1246"/>
      <c r="Z58" s="1246"/>
      <c r="AA58" s="1246"/>
      <c r="AB58" s="1246"/>
      <c r="AC58" s="1246"/>
      <c r="AD58" s="1246"/>
      <c r="AE58" s="1246"/>
      <c r="AF58" s="1246"/>
      <c r="AG58" s="1246"/>
      <c r="AH58" s="1246"/>
      <c r="AI58" s="1246"/>
      <c r="AJ58" s="1246"/>
      <c r="AK58" s="1246"/>
      <c r="AL58" s="1246"/>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41" t="s">
        <v>42</v>
      </c>
      <c r="H64" s="1241"/>
      <c r="I64" s="1241"/>
      <c r="J64" s="1241"/>
      <c r="K64" s="1241"/>
      <c r="L64" s="1241"/>
      <c r="M64" s="1241"/>
      <c r="N64" s="1241"/>
      <c r="O64" s="1241"/>
      <c r="P64" s="1241"/>
      <c r="Q64" s="1241"/>
      <c r="R64" s="1241"/>
      <c r="S64" s="1241"/>
      <c r="T64" s="1241"/>
      <c r="U64" s="1241"/>
      <c r="V64" s="1241"/>
      <c r="W64" s="1241"/>
      <c r="X64" s="1241"/>
      <c r="Y64" s="1241"/>
      <c r="Z64" s="1241"/>
      <c r="AA64" s="1241"/>
      <c r="AB64" s="1241"/>
      <c r="AC64" s="1241"/>
      <c r="AD64" s="1241"/>
      <c r="AE64" s="1241"/>
      <c r="AF64" s="1241"/>
      <c r="AG64" s="1241"/>
      <c r="AH64" s="1241"/>
      <c r="AI64" s="1241"/>
      <c r="AJ64" s="1241"/>
      <c r="AK64" s="1241"/>
    </row>
    <row r="65" spans="1:37" ht="13">
      <c r="A65" s="3"/>
      <c r="C65" s="2"/>
      <c r="D65" s="3"/>
      <c r="E65" s="3"/>
      <c r="G65" s="1241"/>
      <c r="H65" s="1241"/>
      <c r="I65" s="1241"/>
      <c r="J65" s="1241"/>
      <c r="K65" s="1241"/>
      <c r="L65" s="1241"/>
      <c r="M65" s="1241"/>
      <c r="N65" s="1241"/>
      <c r="O65" s="1241"/>
      <c r="P65" s="1241"/>
      <c r="Q65" s="1241"/>
      <c r="R65" s="1241"/>
      <c r="S65" s="1241"/>
      <c r="T65" s="1241"/>
      <c r="U65" s="1241"/>
      <c r="V65" s="1241"/>
      <c r="W65" s="1241"/>
      <c r="X65" s="1241"/>
      <c r="Y65" s="1241"/>
      <c r="Z65" s="1241"/>
      <c r="AA65" s="1241"/>
      <c r="AB65" s="1241"/>
      <c r="AC65" s="1241"/>
      <c r="AD65" s="1241"/>
      <c r="AE65" s="1241"/>
      <c r="AF65" s="1241"/>
      <c r="AG65" s="1241"/>
      <c r="AH65" s="1241"/>
      <c r="AI65" s="1241"/>
      <c r="AJ65" s="1241"/>
      <c r="AK65" s="1241"/>
    </row>
    <row r="66" spans="1:37" ht="13">
      <c r="A66" s="3"/>
      <c r="C66" s="2"/>
      <c r="D66" s="3"/>
      <c r="E66" s="3"/>
      <c r="G66" s="1241"/>
      <c r="H66" s="1241"/>
      <c r="I66" s="1241"/>
      <c r="J66" s="1241"/>
      <c r="K66" s="1241"/>
      <c r="L66" s="1241"/>
      <c r="M66" s="1241"/>
      <c r="N66" s="1241"/>
      <c r="O66" s="1241"/>
      <c r="P66" s="1241"/>
      <c r="Q66" s="1241"/>
      <c r="R66" s="1241"/>
      <c r="S66" s="1241"/>
      <c r="T66" s="1241"/>
      <c r="U66" s="1241"/>
      <c r="V66" s="1241"/>
      <c r="W66" s="1241"/>
      <c r="X66" s="1241"/>
      <c r="Y66" s="1241"/>
      <c r="Z66" s="1241"/>
      <c r="AA66" s="1241"/>
      <c r="AB66" s="1241"/>
      <c r="AC66" s="1241"/>
      <c r="AD66" s="1241"/>
      <c r="AE66" s="1241"/>
      <c r="AF66" s="1241"/>
      <c r="AG66" s="1241"/>
      <c r="AH66" s="1241"/>
      <c r="AI66" s="1241"/>
      <c r="AJ66" s="1241"/>
      <c r="AK66" s="1241"/>
    </row>
    <row r="67" spans="1:37" ht="13.5" customHeight="1">
      <c r="A67" s="3"/>
      <c r="C67" s="2"/>
      <c r="D67" s="3"/>
      <c r="E67" s="3"/>
      <c r="F67" t="s">
        <v>27</v>
      </c>
      <c r="G67" s="1241" t="s">
        <v>43</v>
      </c>
      <c r="H67" s="1241"/>
      <c r="I67" s="1241"/>
      <c r="J67" s="1241"/>
      <c r="K67" s="1241"/>
      <c r="L67" s="1241"/>
      <c r="M67" s="1241"/>
      <c r="N67" s="1241"/>
      <c r="O67" s="1241"/>
      <c r="P67" s="1241"/>
      <c r="Q67" s="1241"/>
      <c r="R67" s="1241"/>
      <c r="S67" s="1241"/>
      <c r="T67" s="1241"/>
      <c r="U67" s="1241"/>
      <c r="V67" s="1241"/>
      <c r="W67" s="1241"/>
      <c r="X67" s="1241"/>
      <c r="Y67" s="1241"/>
      <c r="Z67" s="1241"/>
      <c r="AA67" s="1241"/>
      <c r="AB67" s="1241"/>
      <c r="AC67" s="1241"/>
      <c r="AD67" s="1241"/>
      <c r="AE67" s="1241"/>
      <c r="AF67" s="1241"/>
      <c r="AG67" s="1241"/>
      <c r="AH67" s="1241"/>
      <c r="AI67" s="1241"/>
      <c r="AJ67" s="1241"/>
      <c r="AK67" s="1241"/>
    </row>
    <row r="68" spans="1:37" ht="13">
      <c r="A68" s="3"/>
      <c r="C68" s="2"/>
      <c r="D68" s="3"/>
      <c r="E68" s="3"/>
      <c r="F68" s="23"/>
      <c r="G68" s="1241"/>
      <c r="H68" s="1241"/>
      <c r="I68" s="1241"/>
      <c r="J68" s="1241"/>
      <c r="K68" s="1241"/>
      <c r="L68" s="1241"/>
      <c r="M68" s="1241"/>
      <c r="N68" s="1241"/>
      <c r="O68" s="1241"/>
      <c r="P68" s="1241"/>
      <c r="Q68" s="1241"/>
      <c r="R68" s="1241"/>
      <c r="S68" s="1241"/>
      <c r="T68" s="1241"/>
      <c r="U68" s="1241"/>
      <c r="V68" s="1241"/>
      <c r="W68" s="1241"/>
      <c r="X68" s="1241"/>
      <c r="Y68" s="1241"/>
      <c r="Z68" s="1241"/>
      <c r="AA68" s="1241"/>
      <c r="AB68" s="1241"/>
      <c r="AC68" s="1241"/>
      <c r="AD68" s="1241"/>
      <c r="AE68" s="1241"/>
      <c r="AF68" s="1241"/>
      <c r="AG68" s="1241"/>
      <c r="AH68" s="1241"/>
      <c r="AI68" s="1241"/>
      <c r="AJ68" s="1241"/>
      <c r="AK68" s="1241"/>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41" t="s">
        <v>45</v>
      </c>
      <c r="H70" s="1241"/>
      <c r="I70" s="1241"/>
      <c r="J70" s="1241"/>
      <c r="K70" s="1241"/>
      <c r="L70" s="1241"/>
      <c r="M70" s="1241"/>
      <c r="N70" s="1241"/>
      <c r="O70" s="1241"/>
      <c r="P70" s="1241"/>
      <c r="Q70" s="1241"/>
      <c r="R70" s="1241"/>
      <c r="S70" s="1241"/>
      <c r="T70" s="1241"/>
      <c r="U70" s="1241"/>
      <c r="V70" s="1241"/>
      <c r="W70" s="1241"/>
      <c r="X70" s="1241"/>
      <c r="Y70" s="1241"/>
      <c r="Z70" s="1241"/>
      <c r="AA70" s="1241"/>
      <c r="AB70" s="1241"/>
      <c r="AC70" s="1241"/>
      <c r="AD70" s="1241"/>
      <c r="AE70" s="1241"/>
      <c r="AF70" s="1241"/>
      <c r="AG70" s="1241"/>
      <c r="AH70" s="1241"/>
      <c r="AI70" s="1241"/>
      <c r="AJ70" s="1241"/>
      <c r="AK70" s="1241"/>
    </row>
    <row r="71" spans="1:37" ht="13">
      <c r="A71" s="3"/>
      <c r="C71" s="2"/>
      <c r="D71" s="3"/>
      <c r="E71" s="3"/>
      <c r="F71" s="7"/>
      <c r="G71" s="1241"/>
      <c r="H71" s="1241"/>
      <c r="I71" s="1241"/>
      <c r="J71" s="1241"/>
      <c r="K71" s="1241"/>
      <c r="L71" s="1241"/>
      <c r="M71" s="1241"/>
      <c r="N71" s="1241"/>
      <c r="O71" s="1241"/>
      <c r="P71" s="1241"/>
      <c r="Q71" s="1241"/>
      <c r="R71" s="1241"/>
      <c r="S71" s="1241"/>
      <c r="T71" s="1241"/>
      <c r="U71" s="1241"/>
      <c r="V71" s="1241"/>
      <c r="W71" s="1241"/>
      <c r="X71" s="1241"/>
      <c r="Y71" s="1241"/>
      <c r="Z71" s="1241"/>
      <c r="AA71" s="1241"/>
      <c r="AB71" s="1241"/>
      <c r="AC71" s="1241"/>
      <c r="AD71" s="1241"/>
      <c r="AE71" s="1241"/>
      <c r="AF71" s="1241"/>
      <c r="AG71" s="1241"/>
      <c r="AH71" s="1241"/>
      <c r="AI71" s="1241"/>
      <c r="AJ71" s="1241"/>
      <c r="AK71" s="1241"/>
    </row>
    <row r="72" spans="1:37" ht="13">
      <c r="A72" s="3"/>
      <c r="C72" s="2"/>
      <c r="D72" s="3"/>
      <c r="E72" s="3"/>
      <c r="F72" s="7" t="s">
        <v>27</v>
      </c>
      <c r="G72" s="1241" t="s">
        <v>46</v>
      </c>
      <c r="H72" s="1241"/>
      <c r="I72" s="1241"/>
      <c r="J72" s="1241"/>
      <c r="K72" s="1241"/>
      <c r="L72" s="1241"/>
      <c r="M72" s="1241"/>
      <c r="N72" s="1241"/>
      <c r="O72" s="1241"/>
      <c r="P72" s="1241"/>
      <c r="Q72" s="1241"/>
      <c r="R72" s="1241"/>
      <c r="S72" s="1241"/>
      <c r="T72" s="1241"/>
      <c r="U72" s="1241"/>
      <c r="V72" s="1241"/>
      <c r="W72" s="1241"/>
      <c r="X72" s="1241"/>
      <c r="Y72" s="1241"/>
      <c r="Z72" s="1241"/>
      <c r="AA72" s="1241"/>
      <c r="AB72" s="1241"/>
      <c r="AC72" s="1241"/>
      <c r="AD72" s="1241"/>
      <c r="AE72" s="1241"/>
      <c r="AF72" s="1241"/>
      <c r="AG72" s="1241"/>
      <c r="AH72" s="1241"/>
      <c r="AI72" s="1241"/>
      <c r="AJ72" s="1241"/>
      <c r="AK72" s="1241"/>
    </row>
    <row r="73" spans="1:37" ht="13">
      <c r="A73" s="3"/>
      <c r="C73" s="2"/>
      <c r="D73" s="3"/>
      <c r="E73" s="3"/>
      <c r="F73" s="7"/>
      <c r="G73" s="1241"/>
      <c r="H73" s="1241"/>
      <c r="I73" s="1241"/>
      <c r="J73" s="1241"/>
      <c r="K73" s="1241"/>
      <c r="L73" s="1241"/>
      <c r="M73" s="1241"/>
      <c r="N73" s="1241"/>
      <c r="O73" s="1241"/>
      <c r="P73" s="1241"/>
      <c r="Q73" s="1241"/>
      <c r="R73" s="1241"/>
      <c r="S73" s="1241"/>
      <c r="T73" s="1241"/>
      <c r="U73" s="1241"/>
      <c r="V73" s="1241"/>
      <c r="W73" s="1241"/>
      <c r="X73" s="1241"/>
      <c r="Y73" s="1241"/>
      <c r="Z73" s="1241"/>
      <c r="AA73" s="1241"/>
      <c r="AB73" s="1241"/>
      <c r="AC73" s="1241"/>
      <c r="AD73" s="1241"/>
      <c r="AE73" s="1241"/>
      <c r="AF73" s="1241"/>
      <c r="AG73" s="1241"/>
      <c r="AH73" s="1241"/>
      <c r="AI73" s="1241"/>
      <c r="AJ73" s="1241"/>
      <c r="AK73" s="1241"/>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41" t="s">
        <v>56</v>
      </c>
      <c r="H80" s="1241"/>
      <c r="I80" s="1241"/>
      <c r="J80" s="1241"/>
      <c r="K80" s="1241"/>
      <c r="L80" s="1241"/>
      <c r="M80" s="1241"/>
      <c r="N80" s="1241"/>
      <c r="O80" s="1241"/>
      <c r="P80" s="1241"/>
      <c r="Q80" s="1241"/>
      <c r="R80" s="1241"/>
      <c r="S80" s="1241"/>
      <c r="T80" s="1241"/>
      <c r="U80" s="1241"/>
      <c r="V80" s="1241"/>
      <c r="W80" s="1241"/>
      <c r="X80" s="1241"/>
      <c r="Y80" s="1241"/>
      <c r="Z80" s="1241"/>
      <c r="AA80" s="1241"/>
      <c r="AB80" s="1241"/>
      <c r="AC80" s="1241"/>
      <c r="AD80" s="1241"/>
      <c r="AE80" s="1241"/>
      <c r="AF80" s="1241"/>
      <c r="AG80" s="1241"/>
      <c r="AH80" s="1241"/>
      <c r="AI80" s="1241"/>
      <c r="AJ80" s="1241"/>
      <c r="AK80" s="1241"/>
    </row>
    <row r="81" spans="1:37" ht="13">
      <c r="A81" s="3"/>
      <c r="C81" s="2"/>
      <c r="D81" s="3"/>
      <c r="E81" s="3"/>
      <c r="F81" s="3"/>
      <c r="G81" s="1241"/>
      <c r="H81" s="1241"/>
      <c r="I81" s="1241"/>
      <c r="J81" s="1241"/>
      <c r="K81" s="1241"/>
      <c r="L81" s="1241"/>
      <c r="M81" s="1241"/>
      <c r="N81" s="1241"/>
      <c r="O81" s="1241"/>
      <c r="P81" s="1241"/>
      <c r="Q81" s="1241"/>
      <c r="R81" s="1241"/>
      <c r="S81" s="1241"/>
      <c r="T81" s="1241"/>
      <c r="U81" s="1241"/>
      <c r="V81" s="1241"/>
      <c r="W81" s="1241"/>
      <c r="X81" s="1241"/>
      <c r="Y81" s="1241"/>
      <c r="Z81" s="1241"/>
      <c r="AA81" s="1241"/>
      <c r="AB81" s="1241"/>
      <c r="AC81" s="1241"/>
      <c r="AD81" s="1241"/>
      <c r="AE81" s="1241"/>
      <c r="AF81" s="1241"/>
      <c r="AG81" s="1241"/>
      <c r="AH81" s="1241"/>
      <c r="AI81" s="1241"/>
      <c r="AJ81" s="1241"/>
      <c r="AK81" s="1241"/>
    </row>
    <row r="82" spans="1:37" ht="13">
      <c r="A82" s="3"/>
      <c r="C82" s="2"/>
      <c r="D82" s="3"/>
      <c r="E82" s="3"/>
      <c r="F82" s="3"/>
      <c r="G82" s="1241"/>
      <c r="H82" s="1241"/>
      <c r="I82" s="1241"/>
      <c r="J82" s="1241"/>
      <c r="K82" s="1241"/>
      <c r="L82" s="1241"/>
      <c r="M82" s="1241"/>
      <c r="N82" s="1241"/>
      <c r="O82" s="1241"/>
      <c r="P82" s="1241"/>
      <c r="Q82" s="1241"/>
      <c r="R82" s="1241"/>
      <c r="S82" s="1241"/>
      <c r="T82" s="1241"/>
      <c r="U82" s="1241"/>
      <c r="V82" s="1241"/>
      <c r="W82" s="1241"/>
      <c r="X82" s="1241"/>
      <c r="Y82" s="1241"/>
      <c r="Z82" s="1241"/>
      <c r="AA82" s="1241"/>
      <c r="AB82" s="1241"/>
      <c r="AC82" s="1241"/>
      <c r="AD82" s="1241"/>
      <c r="AE82" s="1241"/>
      <c r="AF82" s="1241"/>
      <c r="AG82" s="1241"/>
      <c r="AH82" s="1241"/>
      <c r="AI82" s="1241"/>
      <c r="AJ82" s="1241"/>
      <c r="AK82" s="1241"/>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41" t="s">
        <v>59</v>
      </c>
      <c r="H84" s="1241"/>
      <c r="I84" s="1241"/>
      <c r="J84" s="1241"/>
      <c r="K84" s="1241"/>
      <c r="L84" s="1241"/>
      <c r="M84" s="1241"/>
      <c r="N84" s="1241"/>
      <c r="O84" s="1241"/>
      <c r="P84" s="1241"/>
      <c r="Q84" s="1241"/>
      <c r="R84" s="1241"/>
      <c r="S84" s="1241"/>
      <c r="T84" s="1241"/>
      <c r="U84" s="1241"/>
      <c r="V84" s="1241"/>
      <c r="W84" s="1241"/>
      <c r="X84" s="1241"/>
      <c r="Y84" s="1241"/>
      <c r="Z84" s="1241"/>
      <c r="AA84" s="1241"/>
      <c r="AB84" s="1241"/>
      <c r="AC84" s="1241"/>
      <c r="AD84" s="1241"/>
      <c r="AE84" s="1241"/>
      <c r="AF84" s="1241"/>
      <c r="AG84" s="1241"/>
      <c r="AH84" s="1241"/>
      <c r="AI84" s="1241"/>
      <c r="AJ84" s="1241"/>
      <c r="AK84" s="1241"/>
    </row>
    <row r="85" spans="1:37" ht="13">
      <c r="A85" s="3"/>
      <c r="C85" s="2"/>
      <c r="D85" s="3"/>
      <c r="E85" s="3"/>
      <c r="F85" s="3"/>
      <c r="G85" s="1241"/>
      <c r="H85" s="1241"/>
      <c r="I85" s="1241"/>
      <c r="J85" s="1241"/>
      <c r="K85" s="1241"/>
      <c r="L85" s="1241"/>
      <c r="M85" s="1241"/>
      <c r="N85" s="1241"/>
      <c r="O85" s="1241"/>
      <c r="P85" s="1241"/>
      <c r="Q85" s="1241"/>
      <c r="R85" s="1241"/>
      <c r="S85" s="1241"/>
      <c r="T85" s="1241"/>
      <c r="U85" s="1241"/>
      <c r="V85" s="1241"/>
      <c r="W85" s="1241"/>
      <c r="X85" s="1241"/>
      <c r="Y85" s="1241"/>
      <c r="Z85" s="1241"/>
      <c r="AA85" s="1241"/>
      <c r="AB85" s="1241"/>
      <c r="AC85" s="1241"/>
      <c r="AD85" s="1241"/>
      <c r="AE85" s="1241"/>
      <c r="AF85" s="1241"/>
      <c r="AG85" s="1241"/>
      <c r="AH85" s="1241"/>
      <c r="AI85" s="1241"/>
      <c r="AJ85" s="1241"/>
      <c r="AK85" s="1241"/>
    </row>
    <row r="86" spans="1:37" ht="13">
      <c r="A86" s="3"/>
      <c r="C86" s="2"/>
      <c r="D86" s="3"/>
      <c r="E86" s="3"/>
      <c r="G86" s="1241"/>
      <c r="H86" s="1241"/>
      <c r="I86" s="1241"/>
      <c r="J86" s="1241"/>
      <c r="K86" s="1241"/>
      <c r="L86" s="1241"/>
      <c r="M86" s="1241"/>
      <c r="N86" s="1241"/>
      <c r="O86" s="1241"/>
      <c r="P86" s="1241"/>
      <c r="Q86" s="1241"/>
      <c r="R86" s="1241"/>
      <c r="S86" s="1241"/>
      <c r="T86" s="1241"/>
      <c r="U86" s="1241"/>
      <c r="V86" s="1241"/>
      <c r="W86" s="1241"/>
      <c r="X86" s="1241"/>
      <c r="Y86" s="1241"/>
      <c r="Z86" s="1241"/>
      <c r="AA86" s="1241"/>
      <c r="AB86" s="1241"/>
      <c r="AC86" s="1241"/>
      <c r="AD86" s="1241"/>
      <c r="AE86" s="1241"/>
      <c r="AF86" s="1241"/>
      <c r="AG86" s="1241"/>
      <c r="AH86" s="1241"/>
      <c r="AI86" s="1241"/>
      <c r="AJ86" s="1241"/>
      <c r="AK86" s="1241"/>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44" t="s">
        <v>62</v>
      </c>
      <c r="H88" s="1244"/>
      <c r="I88" s="1244"/>
      <c r="J88" s="1244"/>
      <c r="K88" s="1244"/>
      <c r="L88" s="1244"/>
      <c r="M88" s="1244"/>
      <c r="N88" s="1244"/>
      <c r="O88" s="1244"/>
      <c r="P88" s="1244"/>
      <c r="Q88" s="1244"/>
      <c r="R88" s="1244"/>
      <c r="S88" s="1244"/>
      <c r="T88" s="1244"/>
      <c r="U88" s="1244"/>
      <c r="V88" s="1244"/>
      <c r="W88" s="1244"/>
      <c r="X88" s="1244"/>
      <c r="Y88" s="1244"/>
      <c r="Z88" s="1244"/>
      <c r="AA88" s="1244"/>
      <c r="AB88" s="1244"/>
      <c r="AC88" s="1244"/>
      <c r="AD88" s="1244"/>
      <c r="AE88" s="1244"/>
      <c r="AF88" s="1244"/>
      <c r="AG88" s="1244"/>
      <c r="AH88" s="1244"/>
      <c r="AI88" s="1244"/>
      <c r="AJ88" s="1244"/>
      <c r="AK88" s="1244"/>
    </row>
    <row r="89" spans="1:37" ht="13">
      <c r="A89" s="3"/>
      <c r="C89" s="2"/>
      <c r="D89" s="3"/>
      <c r="E89" s="3"/>
      <c r="G89" s="1244"/>
      <c r="H89" s="1244"/>
      <c r="I89" s="1244"/>
      <c r="J89" s="1244"/>
      <c r="K89" s="1244"/>
      <c r="L89" s="1244"/>
      <c r="M89" s="1244"/>
      <c r="N89" s="1244"/>
      <c r="O89" s="1244"/>
      <c r="P89" s="1244"/>
      <c r="Q89" s="1244"/>
      <c r="R89" s="1244"/>
      <c r="S89" s="1244"/>
      <c r="T89" s="1244"/>
      <c r="U89" s="1244"/>
      <c r="V89" s="1244"/>
      <c r="W89" s="1244"/>
      <c r="X89" s="1244"/>
      <c r="Y89" s="1244"/>
      <c r="Z89" s="1244"/>
      <c r="AA89" s="1244"/>
      <c r="AB89" s="1244"/>
      <c r="AC89" s="1244"/>
      <c r="AD89" s="1244"/>
      <c r="AE89" s="1244"/>
      <c r="AF89" s="1244"/>
      <c r="AG89" s="1244"/>
      <c r="AH89" s="1244"/>
      <c r="AI89" s="1244"/>
      <c r="AJ89" s="1244"/>
      <c r="AK89" s="1244"/>
    </row>
    <row r="90" spans="1:37" ht="13">
      <c r="A90" s="3"/>
      <c r="C90" s="2"/>
      <c r="D90" s="3"/>
      <c r="E90" s="3"/>
      <c r="G90" s="1244"/>
      <c r="H90" s="1244"/>
      <c r="I90" s="1244"/>
      <c r="J90" s="1244"/>
      <c r="K90" s="1244"/>
      <c r="L90" s="1244"/>
      <c r="M90" s="1244"/>
      <c r="N90" s="1244"/>
      <c r="O90" s="1244"/>
      <c r="P90" s="1244"/>
      <c r="Q90" s="1244"/>
      <c r="R90" s="1244"/>
      <c r="S90" s="1244"/>
      <c r="T90" s="1244"/>
      <c r="U90" s="1244"/>
      <c r="V90" s="1244"/>
      <c r="W90" s="1244"/>
      <c r="X90" s="1244"/>
      <c r="Y90" s="1244"/>
      <c r="Z90" s="1244"/>
      <c r="AA90" s="1244"/>
      <c r="AB90" s="1244"/>
      <c r="AC90" s="1244"/>
      <c r="AD90" s="1244"/>
      <c r="AE90" s="1244"/>
      <c r="AF90" s="1244"/>
      <c r="AG90" s="1244"/>
      <c r="AH90" s="1244"/>
      <c r="AI90" s="1244"/>
      <c r="AJ90" s="1244"/>
      <c r="AK90" s="1244"/>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41" t="s">
        <v>65</v>
      </c>
      <c r="H92" s="1241"/>
      <c r="I92" s="1241"/>
      <c r="J92" s="1241"/>
      <c r="K92" s="1241"/>
      <c r="L92" s="1241"/>
      <c r="M92" s="1241"/>
      <c r="N92" s="1241"/>
      <c r="O92" s="1241"/>
      <c r="P92" s="1241"/>
      <c r="Q92" s="1241"/>
      <c r="R92" s="1241"/>
      <c r="S92" s="1241"/>
      <c r="T92" s="1241"/>
      <c r="U92" s="1241"/>
      <c r="V92" s="1241"/>
      <c r="W92" s="1241"/>
      <c r="X92" s="1241"/>
      <c r="Y92" s="1241"/>
      <c r="Z92" s="1241"/>
      <c r="AA92" s="1241"/>
      <c r="AB92" s="1241"/>
      <c r="AC92" s="1241"/>
      <c r="AD92" s="1241"/>
      <c r="AE92" s="1241"/>
      <c r="AF92" s="1241"/>
      <c r="AG92" s="1241"/>
      <c r="AH92" s="1241"/>
      <c r="AI92" s="1241"/>
      <c r="AJ92" s="1241"/>
      <c r="AK92" s="1241"/>
    </row>
    <row r="93" spans="1:37" ht="13">
      <c r="A93" s="3"/>
      <c r="C93" s="2"/>
      <c r="D93" s="3"/>
      <c r="E93" s="3"/>
      <c r="G93" s="1241"/>
      <c r="H93" s="1241"/>
      <c r="I93" s="1241"/>
      <c r="J93" s="1241"/>
      <c r="K93" s="1241"/>
      <c r="L93" s="1241"/>
      <c r="M93" s="1241"/>
      <c r="N93" s="1241"/>
      <c r="O93" s="1241"/>
      <c r="P93" s="1241"/>
      <c r="Q93" s="1241"/>
      <c r="R93" s="1241"/>
      <c r="S93" s="1241"/>
      <c r="T93" s="1241"/>
      <c r="U93" s="1241"/>
      <c r="V93" s="1241"/>
      <c r="W93" s="1241"/>
      <c r="X93" s="1241"/>
      <c r="Y93" s="1241"/>
      <c r="Z93" s="1241"/>
      <c r="AA93" s="1241"/>
      <c r="AB93" s="1241"/>
      <c r="AC93" s="1241"/>
      <c r="AD93" s="1241"/>
      <c r="AE93" s="1241"/>
      <c r="AF93" s="1241"/>
      <c r="AG93" s="1241"/>
      <c r="AH93" s="1241"/>
      <c r="AI93" s="1241"/>
      <c r="AJ93" s="1241"/>
      <c r="AK93" s="1241"/>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41" t="s">
        <v>68</v>
      </c>
      <c r="H95" s="1241"/>
      <c r="I95" s="1241"/>
      <c r="J95" s="1241"/>
      <c r="K95" s="1241"/>
      <c r="L95" s="1241"/>
      <c r="M95" s="1241"/>
      <c r="N95" s="1241"/>
      <c r="O95" s="1241"/>
      <c r="P95" s="1241"/>
      <c r="Q95" s="1241"/>
      <c r="R95" s="1241"/>
      <c r="S95" s="1241"/>
      <c r="T95" s="1241"/>
      <c r="U95" s="1241"/>
      <c r="V95" s="1241"/>
      <c r="W95" s="1241"/>
      <c r="X95" s="1241"/>
      <c r="Y95" s="1241"/>
      <c r="Z95" s="1241"/>
      <c r="AA95" s="1241"/>
      <c r="AB95" s="1241"/>
      <c r="AC95" s="1241"/>
      <c r="AD95" s="1241"/>
      <c r="AE95" s="1241"/>
      <c r="AF95" s="1241"/>
      <c r="AG95" s="1241"/>
      <c r="AH95" s="1241"/>
      <c r="AI95" s="1241"/>
      <c r="AJ95" s="1241"/>
      <c r="AK95" s="1241"/>
    </row>
    <row r="96" spans="1:37" ht="13">
      <c r="A96" s="3"/>
      <c r="C96" s="2"/>
      <c r="D96" s="3"/>
      <c r="E96" s="3"/>
      <c r="G96" s="1241"/>
      <c r="H96" s="1241"/>
      <c r="I96" s="1241"/>
      <c r="J96" s="1241"/>
      <c r="K96" s="1241"/>
      <c r="L96" s="1241"/>
      <c r="M96" s="1241"/>
      <c r="N96" s="1241"/>
      <c r="O96" s="1241"/>
      <c r="P96" s="1241"/>
      <c r="Q96" s="1241"/>
      <c r="R96" s="1241"/>
      <c r="S96" s="1241"/>
      <c r="T96" s="1241"/>
      <c r="U96" s="1241"/>
      <c r="V96" s="1241"/>
      <c r="W96" s="1241"/>
      <c r="X96" s="1241"/>
      <c r="Y96" s="1241"/>
      <c r="Z96" s="1241"/>
      <c r="AA96" s="1241"/>
      <c r="AB96" s="1241"/>
      <c r="AC96" s="1241"/>
      <c r="AD96" s="1241"/>
      <c r="AE96" s="1241"/>
      <c r="AF96" s="1241"/>
      <c r="AG96" s="1241"/>
      <c r="AH96" s="1241"/>
      <c r="AI96" s="1241"/>
      <c r="AJ96" s="1241"/>
      <c r="AK96" s="1241"/>
    </row>
    <row r="97" spans="1:38" ht="13">
      <c r="A97" s="3"/>
      <c r="C97" s="2"/>
      <c r="D97" s="3"/>
      <c r="E97" s="3"/>
      <c r="G97" s="1241"/>
      <c r="H97" s="1241"/>
      <c r="I97" s="1241"/>
      <c r="J97" s="1241"/>
      <c r="K97" s="1241"/>
      <c r="L97" s="1241"/>
      <c r="M97" s="1241"/>
      <c r="N97" s="1241"/>
      <c r="O97" s="1241"/>
      <c r="P97" s="1241"/>
      <c r="Q97" s="1241"/>
      <c r="R97" s="1241"/>
      <c r="S97" s="1241"/>
      <c r="T97" s="1241"/>
      <c r="U97" s="1241"/>
      <c r="V97" s="1241"/>
      <c r="W97" s="1241"/>
      <c r="X97" s="1241"/>
      <c r="Y97" s="1241"/>
      <c r="Z97" s="1241"/>
      <c r="AA97" s="1241"/>
      <c r="AB97" s="1241"/>
      <c r="AC97" s="1241"/>
      <c r="AD97" s="1241"/>
      <c r="AE97" s="1241"/>
      <c r="AF97" s="1241"/>
      <c r="AG97" s="1241"/>
      <c r="AH97" s="1241"/>
      <c r="AI97" s="1241"/>
      <c r="AJ97" s="1241"/>
      <c r="AK97" s="1241"/>
    </row>
    <row r="98" spans="1:38" ht="13">
      <c r="A98" s="3"/>
      <c r="D98" s="74"/>
      <c r="E98" s="1245" t="s">
        <v>69</v>
      </c>
      <c r="F98" s="1245"/>
      <c r="G98" s="1245"/>
      <c r="H98" s="1245"/>
      <c r="I98" s="1245"/>
      <c r="J98" s="1245"/>
      <c r="K98" s="1245"/>
      <c r="L98" s="1245"/>
      <c r="M98" s="1245"/>
      <c r="N98" s="1245"/>
      <c r="O98" s="1245"/>
      <c r="P98" s="1245"/>
      <c r="Q98" s="1245"/>
      <c r="R98" s="1245"/>
      <c r="S98" s="1245"/>
      <c r="T98" s="1245"/>
      <c r="U98" s="1245"/>
      <c r="V98" s="1245"/>
      <c r="W98" s="1245"/>
      <c r="X98" s="1245"/>
      <c r="Y98" s="1245"/>
      <c r="Z98" s="1245"/>
      <c r="AA98" s="1245"/>
      <c r="AB98" s="1245"/>
      <c r="AC98" s="1245"/>
      <c r="AD98" s="1245"/>
      <c r="AE98" s="1245"/>
      <c r="AF98" s="1245"/>
      <c r="AG98" s="1245"/>
      <c r="AH98" s="1245"/>
      <c r="AI98" s="1245"/>
      <c r="AJ98" s="1245"/>
      <c r="AK98" s="1245"/>
    </row>
    <row r="99" spans="1:38" ht="13">
      <c r="A99" s="3"/>
      <c r="D99" s="74"/>
      <c r="E99" s="1245"/>
      <c r="F99" s="1245"/>
      <c r="G99" s="1245"/>
      <c r="H99" s="1245"/>
      <c r="I99" s="1245"/>
      <c r="J99" s="1245"/>
      <c r="K99" s="1245"/>
      <c r="L99" s="1245"/>
      <c r="M99" s="1245"/>
      <c r="N99" s="1245"/>
      <c r="O99" s="1245"/>
      <c r="P99" s="1245"/>
      <c r="Q99" s="1245"/>
      <c r="R99" s="1245"/>
      <c r="S99" s="1245"/>
      <c r="T99" s="1245"/>
      <c r="U99" s="1245"/>
      <c r="V99" s="1245"/>
      <c r="W99" s="1245"/>
      <c r="X99" s="1245"/>
      <c r="Y99" s="1245"/>
      <c r="Z99" s="1245"/>
      <c r="AA99" s="1245"/>
      <c r="AB99" s="1245"/>
      <c r="AC99" s="1245"/>
      <c r="AD99" s="1245"/>
      <c r="AE99" s="1245"/>
      <c r="AF99" s="1245"/>
      <c r="AG99" s="1245"/>
      <c r="AH99" s="1245"/>
      <c r="AI99" s="1245"/>
      <c r="AJ99" s="1245"/>
      <c r="AK99" s="1245"/>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41" t="s">
        <v>158</v>
      </c>
      <c r="H205" s="1241"/>
      <c r="I205" s="1241"/>
      <c r="J205" s="1241"/>
      <c r="K205" s="1241"/>
      <c r="L205" s="1241"/>
      <c r="M205" s="1241"/>
      <c r="N205" s="1241"/>
      <c r="O205" s="1241"/>
      <c r="P205" s="1241"/>
      <c r="Q205" s="1241"/>
      <c r="R205" s="1241"/>
      <c r="S205" s="1241"/>
      <c r="T205" s="1241"/>
      <c r="U205" s="1241"/>
      <c r="V205" s="1241"/>
      <c r="W205" s="1241"/>
      <c r="X205" s="1241"/>
      <c r="Y205" s="1241"/>
      <c r="Z205" s="1241"/>
      <c r="AA205" s="1241"/>
      <c r="AB205" s="1241"/>
      <c r="AC205" s="1241"/>
      <c r="AD205" s="1241"/>
      <c r="AE205" s="1241"/>
      <c r="AF205" s="1241"/>
      <c r="AG205" s="1241"/>
      <c r="AH205" s="1241"/>
      <c r="AI205" s="1241"/>
      <c r="AJ205" s="1241"/>
      <c r="AK205" s="1241"/>
    </row>
    <row r="206" spans="2:37" ht="13">
      <c r="B206" s="3"/>
      <c r="C206" s="3"/>
      <c r="D206" s="2"/>
      <c r="G206" s="1241"/>
      <c r="H206" s="1241"/>
      <c r="I206" s="1241"/>
      <c r="J206" s="1241"/>
      <c r="K206" s="1241"/>
      <c r="L206" s="1241"/>
      <c r="M206" s="1241"/>
      <c r="N206" s="1241"/>
      <c r="O206" s="1241"/>
      <c r="P206" s="1241"/>
      <c r="Q206" s="1241"/>
      <c r="R206" s="1241"/>
      <c r="S206" s="1241"/>
      <c r="T206" s="1241"/>
      <c r="U206" s="1241"/>
      <c r="V206" s="1241"/>
      <c r="W206" s="1241"/>
      <c r="X206" s="1241"/>
      <c r="Y206" s="1241"/>
      <c r="Z206" s="1241"/>
      <c r="AA206" s="1241"/>
      <c r="AB206" s="1241"/>
      <c r="AC206" s="1241"/>
      <c r="AD206" s="1241"/>
      <c r="AE206" s="1241"/>
      <c r="AF206" s="1241"/>
      <c r="AG206" s="1241"/>
      <c r="AH206" s="1241"/>
      <c r="AI206" s="1241"/>
      <c r="AJ206" s="1241"/>
      <c r="AK206" s="1241"/>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41" t="s">
        <v>263</v>
      </c>
      <c r="G336" s="1241"/>
      <c r="H336" s="1241"/>
      <c r="I336" s="1241"/>
      <c r="J336" s="1241"/>
      <c r="K336" s="1241"/>
      <c r="L336" s="1241"/>
      <c r="M336" s="1241"/>
      <c r="N336" s="1241"/>
      <c r="O336" s="1241"/>
      <c r="P336" s="1241"/>
      <c r="Q336" s="1241"/>
      <c r="R336" s="1241"/>
      <c r="S336" s="1241"/>
      <c r="T336" s="1241"/>
      <c r="U336" s="1241"/>
      <c r="V336" s="1241"/>
      <c r="W336" s="1241"/>
      <c r="X336" s="1241"/>
      <c r="Y336" s="1241"/>
      <c r="Z336" s="1241"/>
      <c r="AA336" s="1241"/>
      <c r="AB336" s="1241"/>
      <c r="AC336" s="1241"/>
      <c r="AD336" s="1241"/>
      <c r="AE336" s="1241"/>
      <c r="AF336" s="1241"/>
      <c r="AG336" s="1241"/>
      <c r="AH336" s="1241"/>
      <c r="AI336" s="1241"/>
      <c r="AJ336" s="1241"/>
      <c r="AK336" s="1241"/>
    </row>
    <row r="337" spans="2:37" ht="13">
      <c r="B337" s="2"/>
      <c r="E337" s="3"/>
      <c r="F337" s="1241"/>
      <c r="G337" s="1241"/>
      <c r="H337" s="1241"/>
      <c r="I337" s="1241"/>
      <c r="J337" s="1241"/>
      <c r="K337" s="1241"/>
      <c r="L337" s="1241"/>
      <c r="M337" s="1241"/>
      <c r="N337" s="1241"/>
      <c r="O337" s="1241"/>
      <c r="P337" s="1241"/>
      <c r="Q337" s="1241"/>
      <c r="R337" s="1241"/>
      <c r="S337" s="1241"/>
      <c r="T337" s="1241"/>
      <c r="U337" s="1241"/>
      <c r="V337" s="1241"/>
      <c r="W337" s="1241"/>
      <c r="X337" s="1241"/>
      <c r="Y337" s="1241"/>
      <c r="Z337" s="1241"/>
      <c r="AA337" s="1241"/>
      <c r="AB337" s="1241"/>
      <c r="AC337" s="1241"/>
      <c r="AD337" s="1241"/>
      <c r="AE337" s="1241"/>
      <c r="AF337" s="1241"/>
      <c r="AG337" s="1241"/>
      <c r="AH337" s="1241"/>
      <c r="AI337" s="1241"/>
      <c r="AJ337" s="1241"/>
      <c r="AK337" s="1241"/>
    </row>
    <row r="338" spans="2:37" ht="13">
      <c r="B338" s="2"/>
      <c r="E338" s="3"/>
      <c r="F338" s="1241"/>
      <c r="G338" s="1241"/>
      <c r="H338" s="1241"/>
      <c r="I338" s="1241"/>
      <c r="J338" s="1241"/>
      <c r="K338" s="1241"/>
      <c r="L338" s="1241"/>
      <c r="M338" s="1241"/>
      <c r="N338" s="1241"/>
      <c r="O338" s="1241"/>
      <c r="P338" s="1241"/>
      <c r="Q338" s="1241"/>
      <c r="R338" s="1241"/>
      <c r="S338" s="1241"/>
      <c r="T338" s="1241"/>
      <c r="U338" s="1241"/>
      <c r="V338" s="1241"/>
      <c r="W338" s="1241"/>
      <c r="X338" s="1241"/>
      <c r="Y338" s="1241"/>
      <c r="Z338" s="1241"/>
      <c r="AA338" s="1241"/>
      <c r="AB338" s="1241"/>
      <c r="AC338" s="1241"/>
      <c r="AD338" s="1241"/>
      <c r="AE338" s="1241"/>
      <c r="AF338" s="1241"/>
      <c r="AG338" s="1241"/>
      <c r="AH338" s="1241"/>
      <c r="AI338" s="1241"/>
      <c r="AJ338" s="1241"/>
      <c r="AK338" s="1241"/>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5" customHeight="1">
      <c r="B341" s="2"/>
      <c r="E341" s="1246" t="s">
        <v>265</v>
      </c>
      <c r="F341" s="1246"/>
      <c r="G341" s="1246"/>
      <c r="H341" s="1246"/>
      <c r="I341" s="1246"/>
      <c r="J341" s="1246"/>
      <c r="K341" s="1246"/>
      <c r="L341" s="1246"/>
      <c r="M341" s="1246"/>
      <c r="N341" s="1246"/>
      <c r="O341" s="1246"/>
      <c r="P341" s="1246"/>
      <c r="Q341" s="1246"/>
      <c r="R341" s="1246"/>
      <c r="S341" s="1246"/>
      <c r="T341" s="1246"/>
      <c r="U341" s="1246"/>
      <c r="V341" s="1246"/>
      <c r="W341" s="1246"/>
      <c r="X341" s="1246"/>
      <c r="Y341" s="1246"/>
      <c r="Z341" s="1246"/>
      <c r="AA341" s="1246"/>
      <c r="AB341" s="1246"/>
      <c r="AC341" s="1246"/>
      <c r="AD341" s="1246"/>
      <c r="AE341" s="1246"/>
      <c r="AF341" s="1246"/>
      <c r="AG341" s="1246"/>
      <c r="AH341" s="1246"/>
      <c r="AI341" s="1246"/>
      <c r="AJ341" s="1246"/>
      <c r="AK341" s="1246"/>
    </row>
    <row r="342" spans="2:37" ht="13">
      <c r="B342" s="2"/>
      <c r="E342" s="1246"/>
      <c r="F342" s="1246"/>
      <c r="G342" s="1246"/>
      <c r="H342" s="1246"/>
      <c r="I342" s="1246"/>
      <c r="J342" s="1246"/>
      <c r="K342" s="1246"/>
      <c r="L342" s="1246"/>
      <c r="M342" s="1246"/>
      <c r="N342" s="1246"/>
      <c r="O342" s="1246"/>
      <c r="P342" s="1246"/>
      <c r="Q342" s="1246"/>
      <c r="R342" s="1246"/>
      <c r="S342" s="1246"/>
      <c r="T342" s="1246"/>
      <c r="U342" s="1246"/>
      <c r="V342" s="1246"/>
      <c r="W342" s="1246"/>
      <c r="X342" s="1246"/>
      <c r="Y342" s="1246"/>
      <c r="Z342" s="1246"/>
      <c r="AA342" s="1246"/>
      <c r="AB342" s="1246"/>
      <c r="AC342" s="1246"/>
      <c r="AD342" s="1246"/>
      <c r="AE342" s="1246"/>
      <c r="AF342" s="1246"/>
      <c r="AG342" s="1246"/>
      <c r="AH342" s="1246"/>
      <c r="AI342" s="1246"/>
      <c r="AJ342" s="1246"/>
      <c r="AK342" s="1246"/>
    </row>
    <row r="343" spans="2:37" ht="13">
      <c r="B343" s="2"/>
      <c r="E343" s="1246"/>
      <c r="F343" s="1246"/>
      <c r="G343" s="1246"/>
      <c r="H343" s="1246"/>
      <c r="I343" s="1246"/>
      <c r="J343" s="1246"/>
      <c r="K343" s="1246"/>
      <c r="L343" s="1246"/>
      <c r="M343" s="1246"/>
      <c r="N343" s="1246"/>
      <c r="O343" s="1246"/>
      <c r="P343" s="1246"/>
      <c r="Q343" s="1246"/>
      <c r="R343" s="1246"/>
      <c r="S343" s="1246"/>
      <c r="T343" s="1246"/>
      <c r="U343" s="1246"/>
      <c r="V343" s="1246"/>
      <c r="W343" s="1246"/>
      <c r="X343" s="1246"/>
      <c r="Y343" s="1246"/>
      <c r="Z343" s="1246"/>
      <c r="AA343" s="1246"/>
      <c r="AB343" s="1246"/>
      <c r="AC343" s="1246"/>
      <c r="AD343" s="1246"/>
      <c r="AE343" s="1246"/>
      <c r="AF343" s="1246"/>
      <c r="AG343" s="1246"/>
      <c r="AH343" s="1246"/>
      <c r="AI343" s="1246"/>
      <c r="AJ343" s="1246"/>
      <c r="AK343" s="1246"/>
    </row>
    <row r="344" spans="2:37" ht="13">
      <c r="B344" s="2"/>
      <c r="E344" s="1246"/>
      <c r="F344" s="1246"/>
      <c r="G344" s="1246"/>
      <c r="H344" s="1246"/>
      <c r="I344" s="1246"/>
      <c r="J344" s="1246"/>
      <c r="K344" s="1246"/>
      <c r="L344" s="1246"/>
      <c r="M344" s="1246"/>
      <c r="N344" s="1246"/>
      <c r="O344" s="1246"/>
      <c r="P344" s="1246"/>
      <c r="Q344" s="1246"/>
      <c r="R344" s="1246"/>
      <c r="S344" s="1246"/>
      <c r="T344" s="1246"/>
      <c r="U344" s="1246"/>
      <c r="V344" s="1246"/>
      <c r="W344" s="1246"/>
      <c r="X344" s="1246"/>
      <c r="Y344" s="1246"/>
      <c r="Z344" s="1246"/>
      <c r="AA344" s="1246"/>
      <c r="AB344" s="1246"/>
      <c r="AC344" s="1246"/>
      <c r="AD344" s="1246"/>
      <c r="AE344" s="1246"/>
      <c r="AF344" s="1246"/>
      <c r="AG344" s="1246"/>
      <c r="AH344" s="1246"/>
      <c r="AI344" s="1246"/>
      <c r="AJ344" s="1246"/>
      <c r="AK344" s="1246"/>
    </row>
    <row r="345" spans="2:37" ht="13">
      <c r="B345" s="2"/>
      <c r="E345" s="1246"/>
      <c r="F345" s="1246"/>
      <c r="G345" s="1246"/>
      <c r="H345" s="1246"/>
      <c r="I345" s="1246"/>
      <c r="J345" s="1246"/>
      <c r="K345" s="1246"/>
      <c r="L345" s="1246"/>
      <c r="M345" s="1246"/>
      <c r="N345" s="1246"/>
      <c r="O345" s="1246"/>
      <c r="P345" s="1246"/>
      <c r="Q345" s="1246"/>
      <c r="R345" s="1246"/>
      <c r="S345" s="1246"/>
      <c r="T345" s="1246"/>
      <c r="U345" s="1246"/>
      <c r="V345" s="1246"/>
      <c r="W345" s="1246"/>
      <c r="X345" s="1246"/>
      <c r="Y345" s="1246"/>
      <c r="Z345" s="1246"/>
      <c r="AA345" s="1246"/>
      <c r="AB345" s="1246"/>
      <c r="AC345" s="1246"/>
      <c r="AD345" s="1246"/>
      <c r="AE345" s="1246"/>
      <c r="AF345" s="1246"/>
      <c r="AG345" s="1246"/>
      <c r="AH345" s="1246"/>
      <c r="AI345" s="1246"/>
      <c r="AJ345" s="1246"/>
      <c r="AK345" s="1246"/>
    </row>
    <row r="346" spans="2:37" ht="13">
      <c r="B346" s="2"/>
      <c r="E346" s="3" t="s">
        <v>18</v>
      </c>
      <c r="F346" s="1241" t="s">
        <v>266</v>
      </c>
      <c r="G346" s="1241"/>
      <c r="H346" s="1241"/>
      <c r="I346" s="1241"/>
      <c r="J346" s="1241"/>
      <c r="K346" s="1241"/>
      <c r="L346" s="1241"/>
      <c r="M346" s="1241"/>
      <c r="N346" s="1241"/>
      <c r="O346" s="1241"/>
      <c r="P346" s="1241"/>
      <c r="Q346" s="1241"/>
      <c r="R346" s="1241"/>
      <c r="S346" s="1241"/>
      <c r="T346" s="1241"/>
      <c r="U346" s="1241"/>
      <c r="V346" s="1241"/>
      <c r="W346" s="1241"/>
      <c r="X346" s="1241"/>
      <c r="Y346" s="1241"/>
      <c r="Z346" s="1241"/>
      <c r="AA346" s="1241"/>
      <c r="AB346" s="1241"/>
      <c r="AC346" s="1241"/>
      <c r="AD346" s="1241"/>
      <c r="AE346" s="1241"/>
      <c r="AF346" s="1241"/>
      <c r="AG346" s="1241"/>
      <c r="AH346" s="1241"/>
      <c r="AI346" s="1241"/>
      <c r="AJ346" s="1241"/>
      <c r="AK346" s="1241"/>
    </row>
    <row r="347" spans="2:37" ht="13">
      <c r="B347" s="2"/>
      <c r="E347" s="3"/>
      <c r="F347" s="1241"/>
      <c r="G347" s="1241"/>
      <c r="H347" s="1241"/>
      <c r="I347" s="1241"/>
      <c r="J347" s="1241"/>
      <c r="K347" s="1241"/>
      <c r="L347" s="1241"/>
      <c r="M347" s="1241"/>
      <c r="N347" s="1241"/>
      <c r="O347" s="1241"/>
      <c r="P347" s="1241"/>
      <c r="Q347" s="1241"/>
      <c r="R347" s="1241"/>
      <c r="S347" s="1241"/>
      <c r="T347" s="1241"/>
      <c r="U347" s="1241"/>
      <c r="V347" s="1241"/>
      <c r="W347" s="1241"/>
      <c r="X347" s="1241"/>
      <c r="Y347" s="1241"/>
      <c r="Z347" s="1241"/>
      <c r="AA347" s="1241"/>
      <c r="AB347" s="1241"/>
      <c r="AC347" s="1241"/>
      <c r="AD347" s="1241"/>
      <c r="AE347" s="1241"/>
      <c r="AF347" s="1241"/>
      <c r="AG347" s="1241"/>
      <c r="AH347" s="1241"/>
      <c r="AI347" s="1241"/>
      <c r="AJ347" s="1241"/>
      <c r="AK347" s="1241"/>
    </row>
    <row r="348" spans="2:37" ht="13">
      <c r="B348" s="2"/>
      <c r="E348" s="3"/>
      <c r="F348" s="1241"/>
      <c r="G348" s="1241"/>
      <c r="H348" s="1241"/>
      <c r="I348" s="1241"/>
      <c r="J348" s="1241"/>
      <c r="K348" s="1241"/>
      <c r="L348" s="1241"/>
      <c r="M348" s="1241"/>
      <c r="N348" s="1241"/>
      <c r="O348" s="1241"/>
      <c r="P348" s="1241"/>
      <c r="Q348" s="1241"/>
      <c r="R348" s="1241"/>
      <c r="S348" s="1241"/>
      <c r="T348" s="1241"/>
      <c r="U348" s="1241"/>
      <c r="V348" s="1241"/>
      <c r="W348" s="1241"/>
      <c r="X348" s="1241"/>
      <c r="Y348" s="1241"/>
      <c r="Z348" s="1241"/>
      <c r="AA348" s="1241"/>
      <c r="AB348" s="1241"/>
      <c r="AC348" s="1241"/>
      <c r="AD348" s="1241"/>
      <c r="AE348" s="1241"/>
      <c r="AF348" s="1241"/>
      <c r="AG348" s="1241"/>
      <c r="AH348" s="1241"/>
      <c r="AI348" s="1241"/>
      <c r="AJ348" s="1241"/>
      <c r="AK348" s="1241"/>
    </row>
    <row r="349" spans="2:37" ht="13">
      <c r="B349" s="2"/>
      <c r="E349" s="3"/>
      <c r="F349" s="1241"/>
      <c r="G349" s="1241"/>
      <c r="H349" s="1241"/>
      <c r="I349" s="1241"/>
      <c r="J349" s="1241"/>
      <c r="K349" s="1241"/>
      <c r="L349" s="1241"/>
      <c r="M349" s="1241"/>
      <c r="N349" s="1241"/>
      <c r="O349" s="1241"/>
      <c r="P349" s="1241"/>
      <c r="Q349" s="1241"/>
      <c r="R349" s="1241"/>
      <c r="S349" s="1241"/>
      <c r="T349" s="1241"/>
      <c r="U349" s="1241"/>
      <c r="V349" s="1241"/>
      <c r="W349" s="1241"/>
      <c r="X349" s="1241"/>
      <c r="Y349" s="1241"/>
      <c r="Z349" s="1241"/>
      <c r="AA349" s="1241"/>
      <c r="AB349" s="1241"/>
      <c r="AC349" s="1241"/>
      <c r="AD349" s="1241"/>
      <c r="AE349" s="1241"/>
      <c r="AF349" s="1241"/>
      <c r="AG349" s="1241"/>
      <c r="AH349" s="1241"/>
      <c r="AI349" s="1241"/>
      <c r="AJ349" s="1241"/>
      <c r="AK349" s="1241"/>
    </row>
    <row r="350" spans="2:37" ht="13">
      <c r="B350" s="2"/>
      <c r="E350" s="3" t="s">
        <v>31</v>
      </c>
      <c r="F350" s="1241" t="s">
        <v>267</v>
      </c>
      <c r="G350" s="1241"/>
      <c r="H350" s="1241"/>
      <c r="I350" s="1241"/>
      <c r="J350" s="1241"/>
      <c r="K350" s="1241"/>
      <c r="L350" s="1241"/>
      <c r="M350" s="1241"/>
      <c r="N350" s="1241"/>
      <c r="O350" s="1241"/>
      <c r="P350" s="1241"/>
      <c r="Q350" s="1241"/>
      <c r="R350" s="1241"/>
      <c r="S350" s="1241"/>
      <c r="T350" s="1241"/>
      <c r="U350" s="1241"/>
      <c r="V350" s="1241"/>
      <c r="W350" s="1241"/>
      <c r="X350" s="1241"/>
      <c r="Y350" s="1241"/>
      <c r="Z350" s="1241"/>
      <c r="AA350" s="1241"/>
      <c r="AB350" s="1241"/>
      <c r="AC350" s="1241"/>
      <c r="AD350" s="1241"/>
      <c r="AE350" s="1241"/>
      <c r="AF350" s="1241"/>
      <c r="AG350" s="1241"/>
      <c r="AH350" s="1241"/>
      <c r="AI350" s="1241"/>
      <c r="AJ350" s="1241"/>
      <c r="AK350" s="1241"/>
    </row>
    <row r="351" spans="2:37" ht="13">
      <c r="B351" s="2"/>
      <c r="F351" s="1241"/>
      <c r="G351" s="1241"/>
      <c r="H351" s="1241"/>
      <c r="I351" s="1241"/>
      <c r="J351" s="1241"/>
      <c r="K351" s="1241"/>
      <c r="L351" s="1241"/>
      <c r="M351" s="1241"/>
      <c r="N351" s="1241"/>
      <c r="O351" s="1241"/>
      <c r="P351" s="1241"/>
      <c r="Q351" s="1241"/>
      <c r="R351" s="1241"/>
      <c r="S351" s="1241"/>
      <c r="T351" s="1241"/>
      <c r="U351" s="1241"/>
      <c r="V351" s="1241"/>
      <c r="W351" s="1241"/>
      <c r="X351" s="1241"/>
      <c r="Y351" s="1241"/>
      <c r="Z351" s="1241"/>
      <c r="AA351" s="1241"/>
      <c r="AB351" s="1241"/>
      <c r="AC351" s="1241"/>
      <c r="AD351" s="1241"/>
      <c r="AE351" s="1241"/>
      <c r="AF351" s="1241"/>
      <c r="AG351" s="1241"/>
      <c r="AH351" s="1241"/>
      <c r="AI351" s="1241"/>
      <c r="AJ351" s="1241"/>
      <c r="AK351" s="1241"/>
    </row>
    <row r="352" spans="2:37" ht="13">
      <c r="B352" s="2"/>
      <c r="F352" s="1241"/>
      <c r="G352" s="1241"/>
      <c r="H352" s="1241"/>
      <c r="I352" s="1241"/>
      <c r="J352" s="1241"/>
      <c r="K352" s="1241"/>
      <c r="L352" s="1241"/>
      <c r="M352" s="1241"/>
      <c r="N352" s="1241"/>
      <c r="O352" s="1241"/>
      <c r="P352" s="1241"/>
      <c r="Q352" s="1241"/>
      <c r="R352" s="1241"/>
      <c r="S352" s="1241"/>
      <c r="T352" s="1241"/>
      <c r="U352" s="1241"/>
      <c r="V352" s="1241"/>
      <c r="W352" s="1241"/>
      <c r="X352" s="1241"/>
      <c r="Y352" s="1241"/>
      <c r="Z352" s="1241"/>
      <c r="AA352" s="1241"/>
      <c r="AB352" s="1241"/>
      <c r="AC352" s="1241"/>
      <c r="AD352" s="1241"/>
      <c r="AE352" s="1241"/>
      <c r="AF352" s="1241"/>
      <c r="AG352" s="1241"/>
      <c r="AH352" s="1241"/>
      <c r="AI352" s="1241"/>
      <c r="AJ352" s="1241"/>
      <c r="AK352" s="1241"/>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49" t="s">
        <v>277</v>
      </c>
      <c r="F365" s="1249"/>
      <c r="G365" s="1249"/>
      <c r="H365" s="1249"/>
      <c r="I365" s="1249"/>
      <c r="J365" s="1249"/>
      <c r="K365" s="1249"/>
      <c r="L365" s="1249"/>
      <c r="M365" s="1249"/>
      <c r="N365" s="1249"/>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49"/>
      <c r="AK365" s="1249"/>
      <c r="AL365" s="1249"/>
    </row>
    <row r="366" spans="1:38" ht="13">
      <c r="B366" s="2"/>
      <c r="E366" s="1249"/>
      <c r="F366" s="1249"/>
      <c r="G366" s="1249"/>
      <c r="H366" s="1249"/>
      <c r="I366" s="1249"/>
      <c r="J366" s="1249"/>
      <c r="K366" s="1249"/>
      <c r="L366" s="1249"/>
      <c r="M366" s="1249"/>
      <c r="N366" s="1249"/>
      <c r="O366" s="1249"/>
      <c r="P366" s="1249"/>
      <c r="Q366" s="1249"/>
      <c r="R366" s="1249"/>
      <c r="S366" s="1249"/>
      <c r="T366" s="1249"/>
      <c r="U366" s="1249"/>
      <c r="V366" s="1249"/>
      <c r="W366" s="1249"/>
      <c r="X366" s="1249"/>
      <c r="Y366" s="1249"/>
      <c r="Z366" s="1249"/>
      <c r="AA366" s="1249"/>
      <c r="AB366" s="1249"/>
      <c r="AC366" s="1249"/>
      <c r="AD366" s="1249"/>
      <c r="AE366" s="1249"/>
      <c r="AF366" s="1249"/>
      <c r="AG366" s="1249"/>
      <c r="AH366" s="1249"/>
      <c r="AI366" s="1249"/>
      <c r="AJ366" s="1249"/>
      <c r="AK366" s="1249"/>
      <c r="AL366" s="1249"/>
    </row>
    <row r="367" spans="1:38" s="1250" customFormat="1" ht="13">
      <c r="A367"/>
      <c r="B367" s="2"/>
      <c r="C367"/>
      <c r="D367"/>
      <c r="E367" s="1247" t="s">
        <v>278</v>
      </c>
      <c r="F367" s="1247"/>
      <c r="G367" s="1247"/>
      <c r="H367" s="1247"/>
      <c r="I367" s="1247"/>
      <c r="J367" s="1247"/>
      <c r="K367" s="1247"/>
      <c r="L367" s="1247"/>
      <c r="M367" s="1247"/>
      <c r="N367" s="1247"/>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c r="AI367" s="1247"/>
      <c r="AJ367" s="1247"/>
      <c r="AK367" s="1247"/>
      <c r="AL367" s="1247"/>
    </row>
    <row r="368" spans="1:38" s="1250" customFormat="1" ht="13">
      <c r="A368"/>
      <c r="B368" s="2"/>
      <c r="C368" s="2"/>
      <c r="D368"/>
      <c r="E368" s="1247"/>
      <c r="F368" s="1247"/>
      <c r="G368" s="1247"/>
      <c r="H368" s="1247"/>
      <c r="I368" s="1247"/>
      <c r="J368" s="1247"/>
      <c r="K368" s="1247"/>
      <c r="L368" s="1247"/>
      <c r="M368" s="1247"/>
      <c r="N368" s="1247"/>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c r="AI368" s="1247"/>
      <c r="AJ368" s="1247"/>
      <c r="AK368" s="1247"/>
      <c r="AL368" s="1247"/>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41" t="s">
        <v>290</v>
      </c>
      <c r="G386" s="1241"/>
      <c r="H386" s="1241"/>
      <c r="I386" s="1241"/>
      <c r="J386" s="1241"/>
      <c r="K386" s="1241"/>
      <c r="L386" s="1241"/>
      <c r="M386" s="1241"/>
      <c r="N386" s="1241"/>
      <c r="O386" s="1241"/>
      <c r="P386" s="1241"/>
      <c r="Q386" s="1241"/>
      <c r="R386" s="1241"/>
      <c r="S386" s="1241"/>
      <c r="T386" s="1241"/>
      <c r="U386" s="1241"/>
      <c r="V386" s="1241"/>
      <c r="W386" s="1241"/>
      <c r="X386" s="1241"/>
      <c r="Y386" s="1241"/>
      <c r="Z386" s="1241"/>
      <c r="AA386" s="1241"/>
      <c r="AB386" s="1241"/>
      <c r="AC386" s="1241"/>
      <c r="AD386" s="1241"/>
      <c r="AE386" s="1241"/>
      <c r="AF386" s="1241"/>
      <c r="AG386" s="1241"/>
      <c r="AH386" s="1241"/>
      <c r="AI386" s="1241"/>
      <c r="AJ386" s="1241"/>
      <c r="AK386" s="1241"/>
    </row>
    <row r="387" spans="1:38" ht="13">
      <c r="B387" s="2"/>
      <c r="E387" s="3"/>
      <c r="F387" s="1241"/>
      <c r="G387" s="1241"/>
      <c r="H387" s="1241"/>
      <c r="I387" s="1241"/>
      <c r="J387" s="1241"/>
      <c r="K387" s="1241"/>
      <c r="L387" s="1241"/>
      <c r="M387" s="1241"/>
      <c r="N387" s="1241"/>
      <c r="O387" s="1241"/>
      <c r="P387" s="1241"/>
      <c r="Q387" s="1241"/>
      <c r="R387" s="1241"/>
      <c r="S387" s="1241"/>
      <c r="T387" s="1241"/>
      <c r="U387" s="1241"/>
      <c r="V387" s="1241"/>
      <c r="W387" s="1241"/>
      <c r="X387" s="1241"/>
      <c r="Y387" s="1241"/>
      <c r="Z387" s="1241"/>
      <c r="AA387" s="1241"/>
      <c r="AB387" s="1241"/>
      <c r="AC387" s="1241"/>
      <c r="AD387" s="1241"/>
      <c r="AE387" s="1241"/>
      <c r="AF387" s="1241"/>
      <c r="AG387" s="1241"/>
      <c r="AH387" s="1241"/>
      <c r="AI387" s="1241"/>
      <c r="AJ387" s="1241"/>
      <c r="AK387" s="1241"/>
    </row>
    <row r="388" spans="1:38" ht="13">
      <c r="B388" s="2"/>
      <c r="E388" s="3"/>
      <c r="F388" s="1241"/>
      <c r="G388" s="1241"/>
      <c r="H388" s="1241"/>
      <c r="I388" s="1241"/>
      <c r="J388" s="1241"/>
      <c r="K388" s="1241"/>
      <c r="L388" s="1241"/>
      <c r="M388" s="1241"/>
      <c r="N388" s="1241"/>
      <c r="O388" s="1241"/>
      <c r="P388" s="1241"/>
      <c r="Q388" s="1241"/>
      <c r="R388" s="1241"/>
      <c r="S388" s="1241"/>
      <c r="T388" s="1241"/>
      <c r="U388" s="1241"/>
      <c r="V388" s="1241"/>
      <c r="W388" s="1241"/>
      <c r="X388" s="1241"/>
      <c r="Y388" s="1241"/>
      <c r="Z388" s="1241"/>
      <c r="AA388" s="1241"/>
      <c r="AB388" s="1241"/>
      <c r="AC388" s="1241"/>
      <c r="AD388" s="1241"/>
      <c r="AE388" s="1241"/>
      <c r="AF388" s="1241"/>
      <c r="AG388" s="1241"/>
      <c r="AH388" s="1241"/>
      <c r="AI388" s="1241"/>
      <c r="AJ388" s="1241"/>
      <c r="AK388" s="1241"/>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B158" zoomScaleNormal="100" workbookViewId="0">
      <selection activeCell="I93" sqref="I93"/>
    </sheetView>
  </sheetViews>
  <sheetFormatPr defaultColWidth="9.1796875" defaultRowHeight="14"/>
  <cols>
    <col min="1" max="1" width="2.453125" style="929" customWidth="1"/>
    <col min="2" max="9" width="14.453125" style="929" customWidth="1"/>
    <col min="10" max="10" width="2.453125" style="929" customWidth="1"/>
    <col min="11" max="11" width="11.81640625" style="930" customWidth="1"/>
    <col min="12" max="13" width="10.453125" style="929" customWidth="1"/>
    <col min="14" max="14" width="10.81640625" style="929" customWidth="1"/>
    <col min="15" max="18" width="9.1796875" style="929"/>
    <col min="19" max="19" width="9.453125" style="929" bestFit="1" customWidth="1"/>
    <col min="20" max="16384" width="9.1796875" style="929"/>
  </cols>
  <sheetData>
    <row r="1" spans="1:13" ht="30" customHeight="1">
      <c r="A1" s="2592" t="s">
        <v>2603</v>
      </c>
      <c r="B1" s="2592"/>
      <c r="C1" s="2592"/>
      <c r="D1" s="2592"/>
      <c r="E1" s="2592"/>
      <c r="F1" s="2592"/>
      <c r="G1" s="2592"/>
      <c r="H1" s="2592"/>
      <c r="I1" s="2592"/>
      <c r="J1" s="2592"/>
    </row>
    <row r="2" spans="1:13" ht="15" customHeight="1" thickBot="1">
      <c r="A2" s="931"/>
      <c r="B2" s="931"/>
      <c r="I2" s="932"/>
      <c r="K2" s="933"/>
    </row>
    <row r="3" spans="1:13" s="936" customFormat="1" ht="20.25" customHeight="1">
      <c r="A3" s="983"/>
      <c r="B3" s="984"/>
      <c r="C3" s="985"/>
      <c r="D3" s="990"/>
      <c r="E3" s="985"/>
      <c r="F3" s="986" t="s">
        <v>2604</v>
      </c>
      <c r="G3" s="985"/>
      <c r="H3" s="987">
        <f>E18</f>
        <v>39130556</v>
      </c>
      <c r="I3" s="988"/>
    </row>
    <row r="4" spans="1:13" s="936" customFormat="1" ht="20.25" customHeight="1">
      <c r="B4" s="977"/>
      <c r="D4" s="991"/>
      <c r="F4" s="976" t="s">
        <v>2605</v>
      </c>
      <c r="G4" s="975" t="s">
        <v>2606</v>
      </c>
      <c r="H4" s="1090">
        <f>I18</f>
        <v>23480357.142857142</v>
      </c>
      <c r="I4" s="978"/>
      <c r="K4" s="940"/>
    </row>
    <row r="5" spans="1:13" s="936" customFormat="1" ht="20.25" customHeight="1" thickBot="1">
      <c r="B5" s="979"/>
      <c r="C5" s="980"/>
      <c r="D5" s="992"/>
      <c r="E5" s="981"/>
      <c r="F5" s="992" t="s">
        <v>2607</v>
      </c>
      <c r="G5" s="993"/>
      <c r="H5" s="989">
        <f>IFERROR(H3/H4,0)</f>
        <v>1.6665230329302609</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5" t="s">
        <v>2608</v>
      </c>
      <c r="C8" s="2596"/>
      <c r="D8" s="2596"/>
      <c r="E8" s="2597"/>
      <c r="G8" s="2576" t="s">
        <v>2609</v>
      </c>
      <c r="H8" s="2577"/>
      <c r="I8" s="2578"/>
      <c r="K8" s="942"/>
    </row>
    <row r="9" spans="1:13" ht="15" customHeight="1">
      <c r="A9" s="931"/>
      <c r="B9" s="2593" t="s">
        <v>2610</v>
      </c>
      <c r="C9" s="2593"/>
      <c r="D9" s="2593"/>
      <c r="E9" s="944">
        <f>G33</f>
        <v>7225000</v>
      </c>
      <c r="G9" s="2589" t="s">
        <v>2611</v>
      </c>
      <c r="H9" s="2589"/>
      <c r="I9" s="945">
        <f>MAX(SUMIF(Application!M562:M573,"Loan, Tax-Exempt",Application!AM562:AM573),27.5%*SUM('Sources and Uses Budget'!C8,'Sources and Uses Budget'!S105,'Sources and Uses Budget'!T105))</f>
        <v>21500000</v>
      </c>
      <c r="K9" s="946"/>
      <c r="M9" s="947"/>
    </row>
    <row r="10" spans="1:13" ht="15" customHeight="1" thickBot="1">
      <c r="A10" s="931"/>
      <c r="B10" s="2593" t="s">
        <v>2612</v>
      </c>
      <c r="C10" s="2593"/>
      <c r="D10" s="2593"/>
      <c r="E10" s="945">
        <f>G47</f>
        <v>22831056.000000004</v>
      </c>
      <c r="G10" s="2591" t="s">
        <v>2613</v>
      </c>
      <c r="H10" s="2591"/>
      <c r="I10" s="1023">
        <f>IF(OR(Application!Z205="State Farmworker Credit",Application!Z205="$500M (Farmworker Housing)"),0,'Basis &amp; Credits'!AB78)</f>
        <v>5500000</v>
      </c>
      <c r="M10" s="947"/>
    </row>
    <row r="11" spans="1:13" ht="15" customHeight="1">
      <c r="A11" s="931"/>
      <c r="B11" s="2599" t="s">
        <v>2614</v>
      </c>
      <c r="C11" s="2600"/>
      <c r="D11" s="2601"/>
      <c r="E11" s="945">
        <f>SUM(E13,E12)</f>
        <v>260000</v>
      </c>
      <c r="G11" s="2598" t="s">
        <v>2615</v>
      </c>
      <c r="H11" s="2598"/>
      <c r="I11" s="1022">
        <f>I9+I10</f>
        <v>27000000</v>
      </c>
      <c r="M11" s="947"/>
    </row>
    <row r="12" spans="1:13" ht="15" customHeight="1">
      <c r="A12" s="948"/>
      <c r="B12" s="2594" t="s">
        <v>2616</v>
      </c>
      <c r="C12" s="2594"/>
      <c r="D12" s="2594"/>
      <c r="E12" s="1047">
        <f>G56</f>
        <v>260000</v>
      </c>
      <c r="M12" s="947"/>
    </row>
    <row r="13" spans="1:13" ht="15" customHeight="1">
      <c r="A13" s="934"/>
      <c r="B13" s="2594" t="s">
        <v>2617</v>
      </c>
      <c r="C13" s="2594"/>
      <c r="D13" s="2594"/>
      <c r="E13" s="1047">
        <f>IF(G67,MAX(G65,G79),G65)</f>
        <v>0</v>
      </c>
      <c r="G13" s="2576" t="s">
        <v>2618</v>
      </c>
      <c r="H13" s="2577"/>
      <c r="I13" s="2578"/>
    </row>
    <row r="14" spans="1:13" ht="15" customHeight="1">
      <c r="A14" s="934"/>
      <c r="B14" s="2599" t="s">
        <v>2619</v>
      </c>
      <c r="C14" s="2600"/>
      <c r="D14" s="2601"/>
      <c r="E14" s="1049">
        <f>MAX(E15,E16)+E17</f>
        <v>8814500</v>
      </c>
      <c r="G14" s="2589" t="s">
        <v>2620</v>
      </c>
      <c r="H14" s="2589"/>
      <c r="I14" s="949">
        <f>IF(AND(G134="Yes",G136&lt;&gt;""),IF(OR(G141="Yes",G145="Yes"),18%,15%),0)</f>
        <v>0</v>
      </c>
      <c r="M14" s="947"/>
    </row>
    <row r="15" spans="1:13" ht="15" customHeight="1">
      <c r="A15" s="934"/>
      <c r="B15" s="2573" t="s">
        <v>2621</v>
      </c>
      <c r="C15" s="2574"/>
      <c r="D15" s="2575"/>
      <c r="E15" s="1047">
        <f>G94</f>
        <v>0</v>
      </c>
      <c r="G15" s="1020" t="s">
        <v>1922</v>
      </c>
      <c r="H15" s="1020"/>
      <c r="I15" s="949">
        <f>IF(Application!AJ1041&gt;0,10%,IF(Application!AJ1045&gt;0,5%,0))</f>
        <v>0.05</v>
      </c>
      <c r="M15" s="947"/>
    </row>
    <row r="16" spans="1:13" ht="15" customHeight="1">
      <c r="A16" s="934"/>
      <c r="B16" s="2573" t="s">
        <v>2622</v>
      </c>
      <c r="C16" s="2574"/>
      <c r="D16" s="2575"/>
      <c r="E16" s="1047">
        <f>G104</f>
        <v>0</v>
      </c>
      <c r="G16" s="2589" t="s">
        <v>2623</v>
      </c>
      <c r="H16" s="2589"/>
      <c r="I16" s="949">
        <f>G155</f>
        <v>8.0357142857142863E-2</v>
      </c>
    </row>
    <row r="17" spans="1:21" ht="15" customHeight="1" thickBot="1">
      <c r="A17" s="934"/>
      <c r="B17" s="2573" t="s">
        <v>2624</v>
      </c>
      <c r="C17" s="2574"/>
      <c r="D17" s="2575"/>
      <c r="E17" s="1047">
        <f>G129</f>
        <v>8814500</v>
      </c>
      <c r="G17" s="2589" t="s">
        <v>2625</v>
      </c>
      <c r="H17" s="2589"/>
      <c r="I17" s="949">
        <f>IF(AND(G161="Yes",G159),IF(G165&gt;15%,15%,G165),0)</f>
        <v>0</v>
      </c>
    </row>
    <row r="18" spans="1:21" ht="15" customHeight="1">
      <c r="A18" s="931"/>
      <c r="B18" s="2590" t="s">
        <v>2626</v>
      </c>
      <c r="C18" s="2590"/>
      <c r="D18" s="2590"/>
      <c r="E18" s="994">
        <f>SUM(E9:E11,E14)</f>
        <v>39130556</v>
      </c>
      <c r="G18" s="1021" t="s">
        <v>2627</v>
      </c>
      <c r="H18" s="1021"/>
      <c r="I18" s="995">
        <f>I11-((I11*I14)+(I11*I15)+(I11*I16)+(I11*I17))</f>
        <v>23480357.142857142</v>
      </c>
      <c r="M18" s="950">
        <f>SUM(Cdlac[Quantity])</f>
        <v>112</v>
      </c>
      <c r="O18" s="969" t="s">
        <v>948</v>
      </c>
      <c r="P18" s="929">
        <f>MATCH(Application!T189,Application!CB160:CB217,0)</f>
        <v>43</v>
      </c>
      <c r="T18" s="950">
        <f>SUM(Cdlac[Population])</f>
        <v>0</v>
      </c>
    </row>
    <row r="19" spans="1:21" ht="15" customHeight="1">
      <c r="A19" s="931"/>
      <c r="B19" s="931"/>
      <c r="C19" s="931"/>
      <c r="D19" s="931"/>
      <c r="E19" s="931"/>
      <c r="L19" s="929" t="s">
        <v>2628</v>
      </c>
      <c r="M19" s="929" t="s">
        <v>2629</v>
      </c>
      <c r="N19" s="929" t="s">
        <v>2630</v>
      </c>
      <c r="O19" s="929" t="s">
        <v>2631</v>
      </c>
      <c r="P19" s="929" t="s">
        <v>2632</v>
      </c>
      <c r="Q19" s="929" t="s">
        <v>2633</v>
      </c>
      <c r="R19" s="929" t="s">
        <v>2634</v>
      </c>
      <c r="S19" s="929" t="s">
        <v>2635</v>
      </c>
      <c r="T19" s="929" t="s">
        <v>2636</v>
      </c>
      <c r="U19" s="929" t="s">
        <v>1010</v>
      </c>
    </row>
    <row r="20" spans="1:21" ht="15" customHeight="1">
      <c r="B20" s="951" t="str">
        <f>B9</f>
        <v>A. Unit Production Benefit</v>
      </c>
      <c r="C20" s="952"/>
      <c r="D20" s="952"/>
      <c r="E20" s="952"/>
      <c r="F20" s="952"/>
      <c r="G20" s="952"/>
      <c r="H20" s="952"/>
      <c r="I20" s="953"/>
      <c r="L20" s="929">
        <f>IFERROR(MIN(4,MATCH(Application!B726,UnitSizes,0)-1),"")</f>
        <v>1</v>
      </c>
      <c r="M20" s="950">
        <f>Application!G726</f>
        <v>5</v>
      </c>
      <c r="N20" s="956">
        <f>Application!AC726</f>
        <v>0.7</v>
      </c>
      <c r="O20" s="956">
        <f>IF(Cdlac[[#This Row],[Quantity]]&gt;0,IF(Cdlac[[#This Row],[Federal]],30%,IF(AND(OR(NOT($G$38),$G$38=""),$G$43),40%,Cdlac[[#This Row],[iAMI]])),"")</f>
        <v>0.7</v>
      </c>
      <c r="P20" s="950" cm="1">
        <f t="array" ref="P20">IF(Cdlac[[#This Row],[Quantity]]&gt;0,INDEX(TcacRents,$P$18,Cdlac[[#This Row],[Bedrooms]]+1)*Cdlac[[#This Row],[AMI]],"")</f>
        <v>2637.6</v>
      </c>
      <c r="Q20" s="1046"/>
      <c r="R20" s="950" cm="1">
        <f t="array" ref="R20">IF(Cdlac[[#This Row],[Quantity]]&gt;0,INDEX(HudFmrs,$P$18,Cdlac[[#This Row],[Bedrooms]]+1),"")</f>
        <v>2975</v>
      </c>
      <c r="S20" s="950">
        <f>IF(Cdlac[[#This Row],[Quantity]]&gt;0,MAX(0,Cdlac[[#This Row],[Fair Market Rent]]-IF(AND($G$37,$G$38,$G$38&lt;&gt;"",NOT(Cdlac[[#This Row],[Federal]]),Cdlac[[#This Row],[Preservation Rent]]&lt;&gt;""),Cdlac[[#This Row],[Preservation Rent]],Cdlac[[#This Row],[Restricted Rent]])),"")</f>
        <v>337.40000000000009</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1</v>
      </c>
      <c r="M21" s="950">
        <f>Application!G727</f>
        <v>4</v>
      </c>
      <c r="N21" s="956">
        <f>Application!AC727</f>
        <v>0.6</v>
      </c>
      <c r="O21" s="956">
        <f>IF(Cdlac[[#This Row],[Quantity]]&gt;0,IF(Cdlac[[#This Row],[Federal]],30%,IF(AND(OR(NOT($G$38),$G$38=""),$G$43),40%,Cdlac[[#This Row],[iAMI]])),"")</f>
        <v>0.6</v>
      </c>
      <c r="P21" s="950" cm="1">
        <f t="array" ref="P21">IF(Cdlac[[#This Row],[Quantity]]&gt;0,INDEX(TcacRents,$P$18,Cdlac[[#This Row],[Bedrooms]]+1)*Cdlac[[#This Row],[AMI]],"")</f>
        <v>2260.7999999999997</v>
      </c>
      <c r="Q21" s="1046"/>
      <c r="R21" s="950" cm="1">
        <f t="array" ref="R21">IF(Cdlac[[#This Row],[Quantity]]&gt;0,INDEX(HudFmrs,$P$18,Cdlac[[#This Row],[Bedrooms]]+1),"")</f>
        <v>2975</v>
      </c>
      <c r="S21" s="950">
        <f>IF(Cdlac[[#This Row],[Quantity]]&gt;0,MAX(0,Cdlac[[#This Row],[Fair Market Rent]]-IF(AND($G$37,$G$38,$G$38&lt;&gt;"",NOT(Cdlac[[#This Row],[Federal]]),Cdlac[[#This Row],[Preservation Rent]]&lt;&gt;""),Cdlac[[#This Row],[Preservation Rent]],Cdlac[[#This Row],[Restricted Rent]])),"")</f>
        <v>714.20000000000027</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80" t="s">
        <v>2637</v>
      </c>
      <c r="D22" s="2580" t="s">
        <v>2638</v>
      </c>
      <c r="E22" s="2580" t="s">
        <v>2639</v>
      </c>
      <c r="F22" s="2580" t="s">
        <v>2640</v>
      </c>
      <c r="G22" s="2580" t="s">
        <v>2641</v>
      </c>
      <c r="H22" s="955"/>
      <c r="I22" s="954"/>
      <c r="L22" s="929">
        <f>IFERROR(MIN(4,MATCH(Application!B728,UnitSizes,0)-1),"")</f>
        <v>1</v>
      </c>
      <c r="M22" s="950">
        <f>Application!G728</f>
        <v>3</v>
      </c>
      <c r="N22" s="956">
        <f>Application!AC728</f>
        <v>0.5</v>
      </c>
      <c r="O22" s="956">
        <f>IF(Cdlac[[#This Row],[Quantity]]&gt;0,IF(Cdlac[[#This Row],[Federal]],30%,IF(AND(OR(NOT($G$38),$G$38=""),$G$43),40%,Cdlac[[#This Row],[iAMI]])),"")</f>
        <v>0.5</v>
      </c>
      <c r="P22" s="950" cm="1">
        <f t="array" ref="P22">IF(Cdlac[[#This Row],[Quantity]]&gt;0,INDEX(TcacRents,$P$18,Cdlac[[#This Row],[Bedrooms]]+1)*Cdlac[[#This Row],[AMI]],"")</f>
        <v>1884</v>
      </c>
      <c r="Q22" s="1046"/>
      <c r="R22" s="950" cm="1">
        <f t="array" ref="R22">IF(Cdlac[[#This Row],[Quantity]]&gt;0,INDEX(HudFmrs,$P$18,Cdlac[[#This Row],[Bedrooms]]+1),"")</f>
        <v>2975</v>
      </c>
      <c r="S22" s="950">
        <f>IF(Cdlac[[#This Row],[Quantity]]&gt;0,MAX(0,Cdlac[[#This Row],[Fair Market Rent]]-IF(AND($G$37,$G$38,$G$38&lt;&gt;"",NOT(Cdlac[[#This Row],[Federal]]),Cdlac[[#This Row],[Preservation Rent]]&lt;&gt;""),Cdlac[[#This Row],[Preservation Rent]],Cdlac[[#This Row],[Restricted Rent]])),"")</f>
        <v>1091</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81"/>
      <c r="D23" s="2581"/>
      <c r="E23" s="2581"/>
      <c r="F23" s="2581"/>
      <c r="G23" s="2581"/>
      <c r="H23" s="955"/>
      <c r="I23" s="954"/>
      <c r="L23" s="929">
        <f>IFERROR(MIN(4,MATCH(Application!B729,UnitSizes,0)-1),"")</f>
        <v>1</v>
      </c>
      <c r="M23" s="950">
        <f>Application!G729</f>
        <v>3</v>
      </c>
      <c r="N23" s="956">
        <f>Application!AC729</f>
        <v>0.3</v>
      </c>
      <c r="O23" s="956">
        <f>IF(Cdlac[[#This Row],[Quantity]]&gt;0,IF(Cdlac[[#This Row],[Federal]],30%,IF(AND(OR(NOT($G$38),$G$38=""),$G$43),40%,Cdlac[[#This Row],[iAMI]])),"")</f>
        <v>0.3</v>
      </c>
      <c r="P23" s="950" cm="1">
        <f t="array" ref="P23">IF(Cdlac[[#This Row],[Quantity]]&gt;0,INDEX(TcacRents,$P$18,Cdlac[[#This Row],[Bedrooms]]+1)*Cdlac[[#This Row],[AMI]],"")</f>
        <v>1130.3999999999999</v>
      </c>
      <c r="Q23" s="1046"/>
      <c r="R23" s="950" cm="1">
        <f t="array" ref="R23">IF(Cdlac[[#This Row],[Quantity]]&gt;0,INDEX(HudFmrs,$P$18,Cdlac[[#This Row],[Bedrooms]]+1),"")</f>
        <v>2975</v>
      </c>
      <c r="S23" s="950">
        <f>IF(Cdlac[[#This Row],[Quantity]]&gt;0,MAX(0,Cdlac[[#This Row],[Fair Market Rent]]-IF(AND($G$37,$G$38,$G$38&lt;&gt;"",NOT(Cdlac[[#This Row],[Federal]]),Cdlac[[#This Row],[Preservation Rent]]&lt;&gt;""),Cdlac[[#This Row],[Preservation Rent]],Cdlac[[#This Row],[Restricted Rent]])),"")</f>
        <v>1844.6000000000001</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2</v>
      </c>
      <c r="M24" s="950">
        <f>Application!G730</f>
        <v>10</v>
      </c>
      <c r="N24" s="956">
        <f>Application!AC730</f>
        <v>0.7</v>
      </c>
      <c r="O24" s="956">
        <f>IF(Cdlac[[#This Row],[Quantity]]&gt;0,IF(Cdlac[[#This Row],[Federal]],30%,IF(AND(OR(NOT($G$38),$G$38=""),$G$43),40%,Cdlac[[#This Row],[iAMI]])),"")</f>
        <v>0.7</v>
      </c>
      <c r="P24" s="950" cm="1">
        <f t="array" ref="P24">IF(Cdlac[[#This Row],[Quantity]]&gt;0,INDEX(TcacRents,$P$18,Cdlac[[#This Row],[Bedrooms]]+1)*Cdlac[[#This Row],[AMI]],"")</f>
        <v>3165.3999999999996</v>
      </c>
      <c r="Q24" s="1046"/>
      <c r="R24" s="950" cm="1">
        <f t="array" ref="R24">IF(Cdlac[[#This Row],[Quantity]]&gt;0,INDEX(HudFmrs,$P$18,Cdlac[[#This Row],[Bedrooms]]+1),"")</f>
        <v>3446</v>
      </c>
      <c r="S24" s="950">
        <f>IF(Cdlac[[#This Row],[Quantity]]&gt;0,MAX(0,Cdlac[[#This Row],[Fair Market Rent]]-IF(AND($G$37,$G$38,$G$38&lt;&gt;"",NOT(Cdlac[[#This Row],[Federal]]),Cdlac[[#This Row],[Preservation Rent]]&lt;&gt;""),Cdlac[[#This Row],[Preservation Rent]],Cdlac[[#This Row],[Restricted Rent]])),"")</f>
        <v>280.60000000000036</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15</v>
      </c>
      <c r="F25" s="957">
        <f>E25</f>
        <v>15</v>
      </c>
      <c r="G25" s="957">
        <f>D25*F25</f>
        <v>15</v>
      </c>
      <c r="L25" s="929">
        <f>IFERROR(MIN(4,MATCH(Application!B731,UnitSizes,0)-1),"")</f>
        <v>2</v>
      </c>
      <c r="M25" s="950">
        <f>Application!G731</f>
        <v>26</v>
      </c>
      <c r="N25" s="956">
        <f>Application!AC731</f>
        <v>0.6</v>
      </c>
      <c r="O25" s="956">
        <f>IF(Cdlac[[#This Row],[Quantity]]&gt;0,IF(Cdlac[[#This Row],[Federal]],30%,IF(AND(OR(NOT($G$38),$G$38=""),$G$43),40%,Cdlac[[#This Row],[iAMI]])),"")</f>
        <v>0.6</v>
      </c>
      <c r="P25" s="950" cm="1">
        <f t="array" ref="P25">IF(Cdlac[[#This Row],[Quantity]]&gt;0,INDEX(TcacRents,$P$18,Cdlac[[#This Row],[Bedrooms]]+1)*Cdlac[[#This Row],[AMI]],"")</f>
        <v>2713.2</v>
      </c>
      <c r="Q25" s="1046"/>
      <c r="R25" s="950" cm="1">
        <f t="array" ref="R25">IF(Cdlac[[#This Row],[Quantity]]&gt;0,INDEX(HudFmrs,$P$18,Cdlac[[#This Row],[Bedrooms]]+1),"")</f>
        <v>3446</v>
      </c>
      <c r="S25" s="950">
        <f>IF(Cdlac[[#This Row],[Quantity]]&gt;0,MAX(0,Cdlac[[#This Row],[Fair Market Rent]]-IF(AND($G$37,$G$38,$G$38&lt;&gt;"",NOT(Cdlac[[#This Row],[Federal]]),Cdlac[[#This Row],[Preservation Rent]]&lt;&gt;""),Cdlac[[#This Row],[Preservation Rent]],Cdlac[[#This Row],[Restricted Rent]])),"")</f>
        <v>732.80000000000018</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44</v>
      </c>
      <c r="F26" s="960">
        <f>SUM(E26:E28)-SUM(F27:F28)</f>
        <v>64</v>
      </c>
      <c r="G26" s="957">
        <f>D26*F26</f>
        <v>80</v>
      </c>
      <c r="H26" s="959"/>
      <c r="I26" s="959"/>
      <c r="L26" s="929">
        <f>IFERROR(MIN(4,MATCH(Application!B732,UnitSizes,0)-1),"")</f>
        <v>2</v>
      </c>
      <c r="M26" s="950">
        <f>Application!G732</f>
        <v>4</v>
      </c>
      <c r="N26" s="956">
        <f>Application!AC732</f>
        <v>0.5</v>
      </c>
      <c r="O26" s="956">
        <f>IF(Cdlac[[#This Row],[Quantity]]&gt;0,IF(Cdlac[[#This Row],[Federal]],30%,IF(AND(OR(NOT($G$38),$G$38=""),$G$43),40%,Cdlac[[#This Row],[iAMI]])),"")</f>
        <v>0.5</v>
      </c>
      <c r="P26" s="950" cm="1">
        <f t="array" ref="P26">IF(Cdlac[[#This Row],[Quantity]]&gt;0,INDEX(TcacRents,$P$18,Cdlac[[#This Row],[Bedrooms]]+1)*Cdlac[[#This Row],[AMI]],"")</f>
        <v>2261</v>
      </c>
      <c r="Q26" s="1046"/>
      <c r="R26" s="950" cm="1">
        <f t="array" ref="R26">IF(Cdlac[[#This Row],[Quantity]]&gt;0,INDEX(HudFmrs,$P$18,Cdlac[[#This Row],[Bedrooms]]+1),"")</f>
        <v>3446</v>
      </c>
      <c r="S26" s="950">
        <f>IF(Cdlac[[#This Row],[Quantity]]&gt;0,MAX(0,Cdlac[[#This Row],[Fair Market Rent]]-IF(AND($G$37,$G$38,$G$38&lt;&gt;"",NOT(Cdlac[[#This Row],[Federal]]),Cdlac[[#This Row],[Preservation Rent]]&lt;&gt;""),Cdlac[[#This Row],[Preservation Rent]],Cdlac[[#This Row],[Restricted Rent]])),"")</f>
        <v>1185</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53</v>
      </c>
      <c r="F27" s="960">
        <f>MIN(E27,ROUNDDOWN(E29*30%,0))</f>
        <v>33</v>
      </c>
      <c r="G27" s="957">
        <f>D27*F27</f>
        <v>49.5</v>
      </c>
      <c r="H27" s="959"/>
      <c r="I27" s="959"/>
      <c r="L27" s="929">
        <f>IFERROR(MIN(4,MATCH(Application!B733,UnitSizes,0)-1),"")</f>
        <v>2</v>
      </c>
      <c r="M27" s="950">
        <f>Application!G733</f>
        <v>4</v>
      </c>
      <c r="N27" s="956">
        <f>Application!AC733</f>
        <v>0.3</v>
      </c>
      <c r="O27" s="956">
        <f>IF(Cdlac[[#This Row],[Quantity]]&gt;0,IF(Cdlac[[#This Row],[Federal]],30%,IF(AND(OR(NOT($G$38),$G$38=""),$G$43),40%,Cdlac[[#This Row],[iAMI]])),"")</f>
        <v>0.3</v>
      </c>
      <c r="P27" s="950" cm="1">
        <f t="array" ref="P27">IF(Cdlac[[#This Row],[Quantity]]&gt;0,INDEX(TcacRents,$P$18,Cdlac[[#This Row],[Bedrooms]]+1)*Cdlac[[#This Row],[AMI]],"")</f>
        <v>1356.6</v>
      </c>
      <c r="Q27" s="1046"/>
      <c r="R27" s="950" cm="1">
        <f t="array" ref="R27">IF(Cdlac[[#This Row],[Quantity]]&gt;0,INDEX(HudFmrs,$P$18,Cdlac[[#This Row],[Bedrooms]]+1),"")</f>
        <v>3446</v>
      </c>
      <c r="S27" s="950">
        <f>IF(Cdlac[[#This Row],[Quantity]]&gt;0,MAX(0,Cdlac[[#This Row],[Fair Market Rent]]-IF(AND($G$37,$G$38,$G$38&lt;&gt;"",NOT(Cdlac[[#This Row],[Federal]]),Cdlac[[#This Row],[Preservation Rent]]&lt;&gt;""),Cdlac[[#This Row],[Preservation Rent]],Cdlac[[#This Row],[Restricted Rent]])),"")</f>
        <v>2089.4</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3</v>
      </c>
      <c r="M28" s="950">
        <f>Application!G734</f>
        <v>10</v>
      </c>
      <c r="N28" s="956">
        <f>Application!AC734</f>
        <v>0.7</v>
      </c>
      <c r="O28" s="956">
        <f>IF(Cdlac[[#This Row],[Quantity]]&gt;0,IF(Cdlac[[#This Row],[Federal]],30%,IF(AND(OR(NOT($G$38),$G$38=""),$G$43),40%,Cdlac[[#This Row],[iAMI]])),"")</f>
        <v>0.7</v>
      </c>
      <c r="P28" s="950" cm="1">
        <f t="array" ref="P28">IF(Cdlac[[#This Row],[Quantity]]&gt;0,INDEX(TcacRents,$P$18,Cdlac[[#This Row],[Bedrooms]]+1)*Cdlac[[#This Row],[AMI]],"")</f>
        <v>3655.3999999999996</v>
      </c>
      <c r="Q28" s="1046"/>
      <c r="R28" s="950" cm="1">
        <f t="array" ref="R28">IF(Cdlac[[#This Row],[Quantity]]&gt;0,INDEX(HudFmrs,$P$18,Cdlac[[#This Row],[Bedrooms]]+1),"")</f>
        <v>4477</v>
      </c>
      <c r="S28" s="950">
        <f>IF(Cdlac[[#This Row],[Quantity]]&gt;0,MAX(0,Cdlac[[#This Row],[Fair Market Rent]]-IF(AND($G$37,$G$38,$G$38&lt;&gt;"",NOT(Cdlac[[#This Row],[Federal]]),Cdlac[[#This Row],[Preservation Rent]]&lt;&gt;""),Cdlac[[#This Row],[Preservation Rent]],Cdlac[[#This Row],[Restricted Rent]])),"")</f>
        <v>821.60000000000036</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582" t="s">
        <v>1939</v>
      </c>
      <c r="D29" s="2583"/>
      <c r="E29" s="973">
        <f>SUM(E24:E28)</f>
        <v>112</v>
      </c>
      <c r="F29" s="973">
        <f>SUM(F24:F28)</f>
        <v>112</v>
      </c>
      <c r="G29" s="974">
        <f>SUMPRODUCT(D24:D28,F24:F28)</f>
        <v>144.5</v>
      </c>
      <c r="H29" s="959"/>
      <c r="I29" s="959"/>
      <c r="L29" s="929">
        <f>IFERROR(MIN(4,MATCH(Application!B735,UnitSizes,0)-1),"")</f>
        <v>3</v>
      </c>
      <c r="M29" s="950">
        <f>Application!G735</f>
        <v>31</v>
      </c>
      <c r="N29" s="956">
        <f>Application!AC735</f>
        <v>0.6</v>
      </c>
      <c r="O29" s="956">
        <f>IF(Cdlac[[#This Row],[Quantity]]&gt;0,IF(Cdlac[[#This Row],[Federal]],30%,IF(AND(OR(NOT($G$38),$G$38=""),$G$43),40%,Cdlac[[#This Row],[iAMI]])),"")</f>
        <v>0.6</v>
      </c>
      <c r="P29" s="950" cm="1">
        <f t="array" ref="P29">IF(Cdlac[[#This Row],[Quantity]]&gt;0,INDEX(TcacRents,$P$18,Cdlac[[#This Row],[Bedrooms]]+1)*Cdlac[[#This Row],[AMI]],"")</f>
        <v>3133.2</v>
      </c>
      <c r="Q29" s="1046"/>
      <c r="R29" s="950" cm="1">
        <f t="array" ref="R29">IF(Cdlac[[#This Row],[Quantity]]&gt;0,INDEX(HudFmrs,$P$18,Cdlac[[#This Row],[Bedrooms]]+1),"")</f>
        <v>4477</v>
      </c>
      <c r="S29" s="950">
        <f>IF(Cdlac[[#This Row],[Quantity]]&gt;0,MAX(0,Cdlac[[#This Row],[Fair Market Rent]]-IF(AND($G$37,$G$38,$G$38&lt;&gt;"",NOT(Cdlac[[#This Row],[Federal]]),Cdlac[[#This Row],[Preservation Rent]]&lt;&gt;""),Cdlac[[#This Row],[Preservation Rent]],Cdlac[[#This Row],[Restricted Rent]])),"")</f>
        <v>1343.8000000000002</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f>IFERROR(MIN(4,MATCH(Application!B736,UnitSizes,0)-1),"")</f>
        <v>3</v>
      </c>
      <c r="M30" s="950">
        <f>Application!G736</f>
        <v>6</v>
      </c>
      <c r="N30" s="956">
        <f>Application!AC736</f>
        <v>0.5</v>
      </c>
      <c r="O30" s="956">
        <f>IF(Cdlac[[#This Row],[Quantity]]&gt;0,IF(Cdlac[[#This Row],[Federal]],30%,IF(AND(OR(NOT($G$38),$G$38=""),$G$43),40%,Cdlac[[#This Row],[iAMI]])),"")</f>
        <v>0.5</v>
      </c>
      <c r="P30" s="950" cm="1">
        <f t="array" ref="P30">IF(Cdlac[[#This Row],[Quantity]]&gt;0,INDEX(TcacRents,$P$18,Cdlac[[#This Row],[Bedrooms]]+1)*Cdlac[[#This Row],[AMI]],"")</f>
        <v>2611</v>
      </c>
      <c r="Q30" s="1046"/>
      <c r="R30" s="950" cm="1">
        <f t="array" ref="R30">IF(Cdlac[[#This Row],[Quantity]]&gt;0,INDEX(HudFmrs,$P$18,Cdlac[[#This Row],[Bedrooms]]+1),"")</f>
        <v>4477</v>
      </c>
      <c r="S30" s="950">
        <f>IF(Cdlac[[#This Row],[Quantity]]&gt;0,MAX(0,Cdlac[[#This Row],[Fair Market Rent]]-IF(AND($G$37,$G$38,$G$38&lt;&gt;"",NOT(Cdlac[[#This Row],[Federal]]),Cdlac[[#This Row],[Preservation Rent]]&lt;&gt;""),Cdlac[[#This Row],[Preservation Rent]],Cdlac[[#This Row],[Restricted Rent]])),"")</f>
        <v>1866</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0</v>
      </c>
    </row>
    <row r="31" spans="1:21" ht="15" customHeight="1">
      <c r="A31" s="959"/>
      <c r="E31" s="1000" t="s">
        <v>2641</v>
      </c>
      <c r="G31" s="997">
        <f>G29</f>
        <v>144.5</v>
      </c>
      <c r="H31" s="959"/>
      <c r="I31" s="959"/>
      <c r="L31" s="929">
        <f>IFERROR(MIN(4,MATCH(Application!B737,UnitSizes,0)-1),"")</f>
        <v>3</v>
      </c>
      <c r="M31" s="950">
        <f>Application!G737</f>
        <v>6</v>
      </c>
      <c r="N31" s="956">
        <f>Application!AC737</f>
        <v>0.3</v>
      </c>
      <c r="O31" s="956">
        <f>IF(Cdlac[[#This Row],[Quantity]]&gt;0,IF(Cdlac[[#This Row],[Federal]],30%,IF(AND(OR(NOT($G$38),$G$38=""),$G$43),40%,Cdlac[[#This Row],[iAMI]])),"")</f>
        <v>0.3</v>
      </c>
      <c r="P31" s="950" cm="1">
        <f t="array" ref="P31">IF(Cdlac[[#This Row],[Quantity]]&gt;0,INDEX(TcacRents,$P$18,Cdlac[[#This Row],[Bedrooms]]+1)*Cdlac[[#This Row],[AMI]],"")</f>
        <v>1566.6</v>
      </c>
      <c r="Q31" s="1046"/>
      <c r="R31" s="950" cm="1">
        <f t="array" ref="R31">IF(Cdlac[[#This Row],[Quantity]]&gt;0,INDEX(HudFmrs,$P$18,Cdlac[[#This Row],[Bedrooms]]+1),"")</f>
        <v>4477</v>
      </c>
      <c r="S31" s="950">
        <f>IF(Cdlac[[#This Row],[Quantity]]&gt;0,MAX(0,Cdlac[[#This Row],[Fair Market Rent]]-IF(AND($G$37,$G$38,$G$38&lt;&gt;"",NOT(Cdlac[[#This Row],[Federal]]),Cdlac[[#This Row],[Preservation Rent]]&lt;&gt;""),Cdlac[[#This Row],[Preservation Rent]],Cdlac[[#This Row],[Restricted Rent]])),"")</f>
        <v>2910.4</v>
      </c>
      <c r="T31" s="929">
        <f>IF(Cdlac[[#This Row],[Quantity]]&gt;0,AND(Application!AK737&lt;&gt;"N/A",Application!AK737&lt;&gt;"")*Cdlac[[#This Row],[Quantity]],"")</f>
        <v>0</v>
      </c>
      <c r="U31" s="929" t="b">
        <f>AND('Subsidy Contract Calculation'!F15&gt;0,OR('Subsidy Contract Calculation'!C15="Federal",'Subsidy Contract Calculation'!C15="Local - Approved by ED"),Cdlac[[#This Row],[Quantity]]&gt;0)</f>
        <v>0</v>
      </c>
    </row>
    <row r="32" spans="1:21" ht="15" customHeight="1">
      <c r="A32" s="959"/>
      <c r="E32" s="1000" t="s">
        <v>2642</v>
      </c>
      <c r="F32" s="996" t="s">
        <v>2643</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2644</v>
      </c>
      <c r="F33" s="931"/>
      <c r="G33" s="1002">
        <f>G32*G31</f>
        <v>7225000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2645</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2646</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85" t="str">
        <f>IF(AND(G37,G38,G38&lt;&gt;""),"Enter the average rent charged for each unit type over the last three years, as documented with rent rolls or property audits, in cells Q20:Q44","")</f>
        <v/>
      </c>
      <c r="D39" s="2585"/>
      <c r="E39" s="2585"/>
      <c r="F39" s="2585"/>
      <c r="G39" s="2585"/>
      <c r="H39" s="2585"/>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85"/>
      <c r="D40" s="2585"/>
      <c r="E40" s="2585"/>
      <c r="F40" s="2585"/>
      <c r="G40" s="2585"/>
      <c r="H40" s="2585"/>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85"/>
      <c r="D41" s="2585"/>
      <c r="E41" s="2585"/>
      <c r="F41" s="2585"/>
      <c r="G41" s="2585"/>
      <c r="H41" s="2585"/>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2647</v>
      </c>
      <c r="G42" s="1003" cm="1">
        <f t="array" ref="G42">SUMPRODUCT(Cdlac[Quantity],Cdlac[iAMI],IF(Cdlac[Federal],0,1))/SUMIFS(Cdlac[Quantity],Cdlac[Federal],FALSE)</f>
        <v>0.5758928571428571</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2648</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2649</v>
      </c>
      <c r="G45" s="963">
        <f>IFERROR(SUMPRODUCT(Cdlac[Quantity],Cdlac[Delta]),0)</f>
        <v>126839.20000000001</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2650</v>
      </c>
      <c r="F46" s="996" t="s">
        <v>2643</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2651</v>
      </c>
      <c r="F47" s="931"/>
      <c r="G47" s="1006">
        <f>G45*G46</f>
        <v>22831056.000000004</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2652</v>
      </c>
      <c r="G51" s="964">
        <f>SUMIFS(Cdlac[Quantity],Cdlac[iAMI],"&lt;=30%")</f>
        <v>13</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2653</v>
      </c>
      <c r="G52" s="964">
        <f>ROUNDDOWN(E29*50%,0)</f>
        <v>56</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2654</v>
      </c>
      <c r="G54" s="997">
        <f>MIN(G51:G52)</f>
        <v>13</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2642</v>
      </c>
      <c r="F55" s="996" t="s">
        <v>2643</v>
      </c>
      <c r="G55" s="1007">
        <v>20000</v>
      </c>
      <c r="M55" s="950"/>
      <c r="N55" s="956"/>
      <c r="O55" s="956"/>
      <c r="P55" s="950"/>
      <c r="Q55" s="1046"/>
      <c r="R55" s="950"/>
      <c r="S55" s="950"/>
    </row>
    <row r="56" spans="2:21" ht="15" customHeight="1">
      <c r="E56" s="1001" t="s">
        <v>2655</v>
      </c>
      <c r="F56" s="931"/>
      <c r="G56" s="1006">
        <f>G54*G55</f>
        <v>260000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2656</v>
      </c>
      <c r="G60" s="1091">
        <f>T18</f>
        <v>0</v>
      </c>
    </row>
    <row r="61" spans="2:21" ht="15" customHeight="1">
      <c r="E61" s="1000" t="s">
        <v>2653</v>
      </c>
      <c r="G61" s="997">
        <f>ROUNDDOWN(E29*50%,0)</f>
        <v>56</v>
      </c>
    </row>
    <row r="62" spans="2:21" ht="15" customHeight="1">
      <c r="E62" s="1000"/>
      <c r="G62" s="1008"/>
    </row>
    <row r="63" spans="2:21" ht="15" customHeight="1">
      <c r="E63" s="1000" t="s">
        <v>2654</v>
      </c>
      <c r="G63" s="997">
        <f>MIN(G60:G61)</f>
        <v>0</v>
      </c>
    </row>
    <row r="64" spans="2:21" ht="15" customHeight="1">
      <c r="E64" s="1000" t="s">
        <v>2642</v>
      </c>
      <c r="F64" s="996" t="s">
        <v>2643</v>
      </c>
      <c r="G64" s="1007">
        <v>10000</v>
      </c>
    </row>
    <row r="65" spans="5:7" ht="15" customHeight="1">
      <c r="E65" s="1001" t="s">
        <v>2657</v>
      </c>
      <c r="F65" s="931"/>
      <c r="G65" s="1006">
        <f>G63*G64</f>
        <v>0</v>
      </c>
    </row>
    <row r="66" spans="5:7" ht="15" customHeight="1">
      <c r="E66" s="1001"/>
      <c r="F66" s="931"/>
      <c r="G66" s="1006"/>
    </row>
    <row r="67" spans="5:7" ht="15" customHeight="1">
      <c r="E67" s="969" t="s">
        <v>2658</v>
      </c>
      <c r="G67" s="929" t="b">
        <f>Application!V227="Yes"</f>
        <v>0</v>
      </c>
    </row>
    <row r="68" spans="5:7" ht="15" customHeight="1">
      <c r="E68" s="969" t="s">
        <v>2659</v>
      </c>
      <c r="G68" s="1091">
        <f>SUMIF(Application!AK726:AK760,"Homeless",Application!G726:G760)</f>
        <v>0</v>
      </c>
    </row>
    <row r="69" spans="5:7" ht="15" customHeight="1">
      <c r="E69" s="969"/>
    </row>
    <row r="70" spans="5:7" ht="15" customHeight="1">
      <c r="E70" s="969" t="s">
        <v>2660</v>
      </c>
      <c r="G70" s="1092"/>
    </row>
    <row r="71" spans="5:7" ht="15" customHeight="1">
      <c r="E71" s="969" t="s">
        <v>2661</v>
      </c>
      <c r="G71" s="1092"/>
    </row>
    <row r="72" spans="5:7" ht="15" customHeight="1">
      <c r="E72" s="969" t="s">
        <v>2662</v>
      </c>
      <c r="G72" s="1091">
        <f>IF(G71=0,0,(G70/G71)*100000)</f>
        <v>0</v>
      </c>
    </row>
    <row r="73" spans="5:7" ht="15" customHeight="1">
      <c r="E73" s="969" t="s">
        <v>2663</v>
      </c>
      <c r="G73" s="1092"/>
    </row>
    <row r="74" spans="5:7" ht="15" customHeight="1">
      <c r="E74" s="969" t="s">
        <v>2664</v>
      </c>
      <c r="G74" s="1092"/>
    </row>
    <row r="75" spans="5:7" ht="15" customHeight="1">
      <c r="E75" s="969" t="s">
        <v>2665</v>
      </c>
      <c r="G75" s="1091">
        <f>IF(G74=0,0,(G73/G74)*100000)</f>
        <v>0</v>
      </c>
    </row>
    <row r="76" spans="5:7" ht="15" customHeight="1">
      <c r="E76" s="1001"/>
      <c r="F76" s="931"/>
      <c r="G76" s="1006"/>
    </row>
    <row r="77" spans="5:7" ht="15" customHeight="1">
      <c r="E77" s="1000" t="s">
        <v>2654</v>
      </c>
      <c r="G77" s="997">
        <f>IF(OR(G75&gt;G72,G71&lt;100000),G75*G68,G72*G68)</f>
        <v>0</v>
      </c>
    </row>
    <row r="78" spans="5:7" ht="15" customHeight="1">
      <c r="E78" s="1000" t="s">
        <v>2642</v>
      </c>
      <c r="F78" s="996" t="s">
        <v>2643</v>
      </c>
      <c r="G78" s="1007">
        <v>100</v>
      </c>
    </row>
    <row r="79" spans="5:7" ht="15" customHeight="1">
      <c r="E79" s="1001" t="s">
        <v>2657</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2666</v>
      </c>
      <c r="G83" s="928" t="s">
        <v>862</v>
      </c>
      <c r="L83" s="2606" t="s">
        <v>896</v>
      </c>
      <c r="M83" s="2607"/>
      <c r="N83" s="1014">
        <v>30000</v>
      </c>
    </row>
    <row r="84" spans="2:14" ht="15" customHeight="1">
      <c r="C84" s="962" t="s">
        <v>2667</v>
      </c>
      <c r="G84" s="966" t="str">
        <f>IF(Application!D211="Large Family","Yes","No")</f>
        <v>Yes</v>
      </c>
      <c r="L84" s="2610" t="s">
        <v>900</v>
      </c>
      <c r="M84" s="2611"/>
      <c r="N84" s="1015">
        <v>20000</v>
      </c>
    </row>
    <row r="85" spans="2:14" ht="15" customHeight="1" thickBot="1">
      <c r="C85" s="962" t="s">
        <v>2668</v>
      </c>
      <c r="G85" s="928" t="s">
        <v>700</v>
      </c>
      <c r="L85" s="2612" t="s">
        <v>907</v>
      </c>
      <c r="M85" s="2613"/>
      <c r="N85" s="1016">
        <v>10000</v>
      </c>
    </row>
    <row r="86" spans="2:14" ht="15" customHeight="1" thickBot="1">
      <c r="C86" s="962" t="s">
        <v>2669</v>
      </c>
      <c r="G86" s="929" t="str">
        <f>Application!T193</f>
        <v>Low Resource</v>
      </c>
    </row>
    <row r="87" spans="2:14" ht="15" customHeight="1">
      <c r="C87" s="2588" t="s">
        <v>2670</v>
      </c>
      <c r="D87" s="2588"/>
      <c r="E87" s="2588"/>
      <c r="F87" s="2588"/>
      <c r="G87" s="928" t="s">
        <v>700</v>
      </c>
      <c r="L87" s="1010" t="str">
        <f>'Points System'!H651</f>
        <v>(i)</v>
      </c>
      <c r="M87" s="2608" t="s">
        <v>2517</v>
      </c>
      <c r="N87" s="2609"/>
    </row>
    <row r="88" spans="2:14" ht="15" customHeight="1">
      <c r="C88" s="2588"/>
      <c r="D88" s="2588"/>
      <c r="E88" s="2588"/>
      <c r="F88" s="2588"/>
      <c r="L88" s="1011" t="str">
        <f>'Points System'!H663</f>
        <v>N/A</v>
      </c>
      <c r="M88" s="2602" t="s">
        <v>2671</v>
      </c>
      <c r="N88" s="2603"/>
    </row>
    <row r="89" spans="2:14" ht="15" customHeight="1">
      <c r="C89" s="962"/>
      <c r="L89" s="1011" t="str">
        <f>'Points System'!H698</f>
        <v>(ii)</v>
      </c>
      <c r="M89" s="2602" t="s">
        <v>2672</v>
      </c>
      <c r="N89" s="2603"/>
    </row>
    <row r="90" spans="2:14" ht="15" customHeight="1">
      <c r="E90" s="969" t="s">
        <v>2673</v>
      </c>
      <c r="G90" s="964" t="b">
        <f>OR(AND(COUNTIFS(G84:G85,"Yes")&gt;=1,G83="Yes"),G87="Yes")</f>
        <v>1</v>
      </c>
      <c r="L90" s="1011" t="str">
        <f>IF(OR('Points System'!H722="(ii)",'Points System'!H722="(i)"),"(i)","N/A")</f>
        <v>(i)</v>
      </c>
      <c r="M90" s="2602" t="s">
        <v>2674</v>
      </c>
      <c r="N90" s="2603"/>
    </row>
    <row r="91" spans="2:14" ht="15" customHeight="1">
      <c r="E91" s="969"/>
      <c r="G91" s="964"/>
      <c r="L91" s="1012" t="str">
        <f>'Points System'!H736</f>
        <v>N/A</v>
      </c>
      <c r="M91" s="2602" t="s">
        <v>2558</v>
      </c>
      <c r="N91" s="2603"/>
    </row>
    <row r="92" spans="2:14" ht="15" customHeight="1">
      <c r="E92" s="969" t="s">
        <v>2642</v>
      </c>
      <c r="G92" s="963">
        <f>IFERROR(IF($G$87="Yes",30000,INDEX(N83:N85,MATCH(LEFT(G86,17),L83:L85,0))),0)</f>
        <v>0</v>
      </c>
      <c r="L92" s="1011" t="str">
        <f>'Points System'!H748</f>
        <v>N/A</v>
      </c>
      <c r="M92" s="2602" t="s">
        <v>2675</v>
      </c>
      <c r="N92" s="2603"/>
    </row>
    <row r="93" spans="2:14" ht="15" customHeight="1">
      <c r="E93" s="969" t="str">
        <f>E110</f>
        <v>Bedroom-Adjusted Low-Income Units</v>
      </c>
      <c r="F93" s="996" t="s">
        <v>2643</v>
      </c>
      <c r="G93" s="997">
        <f>G29</f>
        <v>144.5</v>
      </c>
      <c r="L93" s="1011" t="str">
        <f>'Points System'!H764</f>
        <v>(ii)</v>
      </c>
      <c r="M93" s="2602" t="s">
        <v>2676</v>
      </c>
      <c r="N93" s="2603"/>
    </row>
    <row r="94" spans="2:14" ht="15" customHeight="1" thickBot="1">
      <c r="D94" s="931"/>
      <c r="E94" s="1001" t="s">
        <v>2677</v>
      </c>
      <c r="F94" s="931"/>
      <c r="G94" s="1006">
        <f>G93*G92*G90</f>
        <v>0</v>
      </c>
      <c r="L94" s="1013" t="str">
        <f>'Points System'!H776</f>
        <v>(ii)</v>
      </c>
      <c r="M94" s="2604" t="s">
        <v>2562</v>
      </c>
      <c r="N94" s="2605"/>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2678</v>
      </c>
      <c r="G98" s="928" t="s">
        <v>700</v>
      </c>
    </row>
    <row r="99" spans="2:9" ht="15" customHeight="1">
      <c r="F99" s="999"/>
    </row>
    <row r="100" spans="2:9" ht="15" customHeight="1">
      <c r="E100" s="969" t="s">
        <v>2673</v>
      </c>
      <c r="G100" s="964" t="b">
        <f>G98="Yes"</f>
        <v>0</v>
      </c>
    </row>
    <row r="101" spans="2:9" ht="15" customHeight="1"/>
    <row r="102" spans="2:9" ht="15" customHeight="1">
      <c r="E102" s="969" t="str">
        <f>E110</f>
        <v>Bedroom-Adjusted Low-Income Units</v>
      </c>
      <c r="G102" s="997">
        <f>G29</f>
        <v>144.5</v>
      </c>
    </row>
    <row r="103" spans="2:9" ht="15" customHeight="1">
      <c r="E103" s="969" t="s">
        <v>2642</v>
      </c>
      <c r="F103" s="996" t="s">
        <v>2643</v>
      </c>
      <c r="G103" s="935">
        <v>20000</v>
      </c>
    </row>
    <row r="104" spans="2:9" ht="15" customHeight="1">
      <c r="E104" s="1001" t="s">
        <v>2679</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2680</v>
      </c>
      <c r="G108" s="997">
        <f>VLOOKUP('Points System'!$H$619,'Points System'!$AO$599:$AP$604,2,FALSE)</f>
        <v>7</v>
      </c>
    </row>
    <row r="109" spans="2:9" ht="15" customHeight="1">
      <c r="E109" s="969" t="s">
        <v>2642</v>
      </c>
      <c r="F109" s="996" t="s">
        <v>2643</v>
      </c>
      <c r="G109" s="961">
        <v>4000</v>
      </c>
    </row>
    <row r="110" spans="2:9" ht="15" customHeight="1">
      <c r="E110" s="969" t="s">
        <v>2681</v>
      </c>
      <c r="F110" s="996" t="s">
        <v>2643</v>
      </c>
      <c r="G110" s="1009">
        <f>G29</f>
        <v>144.5</v>
      </c>
    </row>
    <row r="111" spans="2:9" ht="15" customHeight="1">
      <c r="E111" s="1001" t="s">
        <v>2682</v>
      </c>
      <c r="F111" s="931"/>
      <c r="G111" s="1006">
        <f>G108*G109*G110</f>
        <v>4046000</v>
      </c>
    </row>
    <row r="112" spans="2:9" ht="15" customHeight="1">
      <c r="C112" s="962"/>
      <c r="G112" s="997"/>
    </row>
    <row r="113" spans="2:7" ht="15" customHeight="1">
      <c r="E113" s="969" t="s">
        <v>2683</v>
      </c>
      <c r="G113" s="997">
        <f>COUNTIFS(L87:L94,"(i)")</f>
        <v>2</v>
      </c>
    </row>
    <row r="114" spans="2:7" ht="15" customHeight="1">
      <c r="E114" s="969" t="s">
        <v>2642</v>
      </c>
      <c r="F114" s="996" t="s">
        <v>2643</v>
      </c>
      <c r="G114" s="1007">
        <v>4000</v>
      </c>
    </row>
    <row r="115" spans="2:7" ht="15" customHeight="1">
      <c r="E115" s="1001" t="s">
        <v>2684</v>
      </c>
      <c r="F115" s="931"/>
      <c r="G115" s="1006">
        <f>G110*G113*G114</f>
        <v>1156000</v>
      </c>
    </row>
    <row r="116" spans="2:7" ht="15" customHeight="1"/>
    <row r="117" spans="2:7" ht="15" customHeight="1">
      <c r="C117" s="965" t="s">
        <v>2685</v>
      </c>
    </row>
    <row r="118" spans="2:7" ht="15" customHeight="1">
      <c r="C118" s="962" t="s">
        <v>2686</v>
      </c>
      <c r="G118" s="928"/>
    </row>
    <row r="119" spans="2:7" ht="15" customHeight="1">
      <c r="C119" s="962" t="s">
        <v>2687</v>
      </c>
      <c r="G119" s="928"/>
    </row>
    <row r="120" spans="2:7" ht="15" customHeight="1">
      <c r="C120" s="962" t="s">
        <v>2688</v>
      </c>
      <c r="G120" s="928" t="s">
        <v>862</v>
      </c>
    </row>
    <row r="121" spans="2:7">
      <c r="C121" s="962" t="s">
        <v>2689</v>
      </c>
      <c r="G121" s="928"/>
    </row>
    <row r="123" spans="2:7">
      <c r="B123" s="963"/>
      <c r="C123" s="962"/>
      <c r="E123" s="969" t="s">
        <v>2673</v>
      </c>
      <c r="G123" s="964" t="b">
        <f>COUNTIFS(G118:G121,"Yes")&gt;=1</f>
        <v>1</v>
      </c>
    </row>
    <row r="124" spans="2:7">
      <c r="E124" s="962"/>
    </row>
    <row r="125" spans="2:7" ht="14.5">
      <c r="E125" s="969" t="s">
        <v>2681</v>
      </c>
      <c r="F125" s="996" t="s">
        <v>2643</v>
      </c>
      <c r="G125" s="997">
        <f>G29</f>
        <v>144.5</v>
      </c>
    </row>
    <row r="126" spans="2:7" ht="14.5">
      <c r="E126" s="969" t="s">
        <v>2642</v>
      </c>
      <c r="F126" s="996" t="s">
        <v>2643</v>
      </c>
      <c r="G126" s="1007">
        <v>25000</v>
      </c>
    </row>
    <row r="127" spans="2:7">
      <c r="E127" s="1001" t="s">
        <v>2690</v>
      </c>
      <c r="F127" s="931"/>
      <c r="G127" s="1006">
        <f>G123*G126*G110</f>
        <v>3612500</v>
      </c>
    </row>
    <row r="128" spans="2:7">
      <c r="C128" s="962"/>
      <c r="E128" s="962"/>
    </row>
    <row r="129" spans="2:9">
      <c r="E129" s="1001" t="s">
        <v>2691</v>
      </c>
      <c r="G129" s="1006">
        <f>G127+G115+G111</f>
        <v>8814500</v>
      </c>
    </row>
    <row r="131" spans="2:9">
      <c r="B131" s="951" t="s">
        <v>1796</v>
      </c>
      <c r="C131" s="952"/>
      <c r="D131" s="952"/>
      <c r="E131" s="952"/>
      <c r="F131" s="952"/>
      <c r="G131" s="952"/>
      <c r="H131" s="952"/>
      <c r="I131" s="953"/>
    </row>
    <row r="133" spans="2:9">
      <c r="C133" s="2584" t="s">
        <v>2692</v>
      </c>
      <c r="D133" s="2584"/>
      <c r="E133" s="2584"/>
      <c r="F133" s="2584"/>
    </row>
    <row r="134" spans="2:9">
      <c r="C134" s="2584"/>
      <c r="D134" s="2584"/>
      <c r="E134" s="2584"/>
      <c r="F134" s="2584"/>
      <c r="G134" s="928"/>
    </row>
    <row r="135" spans="2:9" ht="14.25" customHeight="1"/>
    <row r="136" spans="2:9">
      <c r="C136" s="929" t="s">
        <v>2693</v>
      </c>
      <c r="G136" s="2586"/>
      <c r="H136" s="2586"/>
    </row>
    <row r="137" spans="2:9">
      <c r="G137" s="2586"/>
      <c r="H137" s="2586"/>
    </row>
    <row r="138" spans="2:9">
      <c r="G138" s="2587"/>
      <c r="H138" s="2587"/>
    </row>
    <row r="140" spans="2:9">
      <c r="C140" s="2584" t="s">
        <v>2694</v>
      </c>
      <c r="D140" s="2584"/>
      <c r="E140" s="2584"/>
      <c r="F140" s="2584"/>
    </row>
    <row r="141" spans="2:9">
      <c r="C141" s="2584"/>
      <c r="D141" s="2584"/>
      <c r="E141" s="2584"/>
      <c r="F141" s="2584"/>
      <c r="G141" s="928"/>
    </row>
    <row r="142" spans="2:9">
      <c r="C142" s="2584"/>
      <c r="D142" s="2584"/>
      <c r="E142" s="2584"/>
      <c r="F142" s="2584"/>
    </row>
    <row r="144" spans="2:9">
      <c r="C144" s="2584" t="s">
        <v>2695</v>
      </c>
      <c r="D144" s="2584"/>
      <c r="E144" s="2584"/>
      <c r="F144" s="2584"/>
    </row>
    <row r="145" spans="2:9">
      <c r="C145" s="2584"/>
      <c r="D145" s="2584"/>
      <c r="E145" s="2584"/>
      <c r="F145" s="2584"/>
      <c r="G145" s="928"/>
    </row>
    <row r="146" spans="2:9">
      <c r="C146" s="2584"/>
      <c r="D146" s="2584"/>
      <c r="E146" s="2584"/>
      <c r="F146" s="2584"/>
    </row>
    <row r="147" spans="2:9">
      <c r="C147" s="2584"/>
      <c r="D147" s="2584"/>
      <c r="E147" s="2584"/>
      <c r="F147" s="2584"/>
    </row>
    <row r="149" spans="2:9">
      <c r="B149" s="951" t="s">
        <v>2696</v>
      </c>
      <c r="C149" s="952"/>
      <c r="D149" s="952"/>
      <c r="E149" s="952"/>
      <c r="F149" s="952"/>
      <c r="G149" s="952"/>
      <c r="H149" s="952"/>
      <c r="I149" s="953"/>
    </row>
    <row r="151" spans="2:9">
      <c r="E151" s="969" t="s">
        <v>948</v>
      </c>
      <c r="G151" s="929" t="str">
        <f>IF(Application!T189="","",Application!T189)</f>
        <v>Santa Clara</v>
      </c>
    </row>
    <row r="152" spans="2:9">
      <c r="E152" s="969"/>
      <c r="G152" s="963"/>
    </row>
    <row r="153" spans="2:9">
      <c r="E153" s="969" t="str">
        <f>"2-Bedroom "&amp;G151&amp;" County Basis Limit"</f>
        <v>2-Bedroom Santa Clara County Basis Limit</v>
      </c>
      <c r="G153" s="963">
        <f>Application!R997</f>
        <v>740000</v>
      </c>
    </row>
    <row r="154" spans="2:9">
      <c r="E154" s="969" t="s">
        <v>2697</v>
      </c>
      <c r="G154" s="963">
        <f>MEDIAN((Application!CU160:CU217))</f>
        <v>560000</v>
      </c>
    </row>
    <row r="155" spans="2:9">
      <c r="D155" s="931"/>
      <c r="E155" s="1001" t="s">
        <v>2698</v>
      </c>
      <c r="F155" s="1017"/>
      <c r="G155" s="1018">
        <f>((G153-G154)/G154)*0.25</f>
        <v>8.0357142857142863E-2</v>
      </c>
      <c r="H155" s="927"/>
      <c r="I155" s="927"/>
    </row>
    <row r="156" spans="2:9">
      <c r="D156" s="930"/>
      <c r="E156" s="930"/>
    </row>
    <row r="157" spans="2:9">
      <c r="B157" s="951" t="s">
        <v>2699</v>
      </c>
      <c r="C157" s="952"/>
      <c r="D157" s="952"/>
      <c r="E157" s="952"/>
      <c r="F157" s="952"/>
      <c r="G157" s="952"/>
      <c r="H157" s="952"/>
      <c r="I157" s="953"/>
    </row>
    <row r="159" spans="2:9">
      <c r="E159" s="969" t="s">
        <v>2645</v>
      </c>
      <c r="G159" s="929" t="b">
        <f>G37</f>
        <v>0</v>
      </c>
    </row>
    <row r="160" spans="2:9">
      <c r="C160" s="2579" t="s">
        <v>2700</v>
      </c>
      <c r="D160" s="2579"/>
      <c r="E160" s="2579"/>
      <c r="F160" s="2579"/>
    </row>
    <row r="161" spans="2:7">
      <c r="B161" s="930"/>
      <c r="C161" s="2579"/>
      <c r="D161" s="2579"/>
      <c r="E161" s="2579"/>
      <c r="F161" s="2579"/>
      <c r="G161" s="928"/>
    </row>
    <row r="162" spans="2:7">
      <c r="B162" s="930"/>
      <c r="C162" s="930"/>
      <c r="D162" s="930"/>
      <c r="E162" s="930"/>
      <c r="F162" s="930"/>
    </row>
    <row r="163" spans="2:7">
      <c r="E163" s="969" t="s">
        <v>2701</v>
      </c>
      <c r="G163" s="1051"/>
    </row>
    <row r="165" spans="2:7">
      <c r="E165" s="969" t="s">
        <v>2702</v>
      </c>
      <c r="G165" s="1050">
        <f>IF(I9=0,0,G163/I9)</f>
        <v>0</v>
      </c>
    </row>
    <row r="166" spans="2:7">
      <c r="E166" s="969" t="s">
        <v>2703</v>
      </c>
      <c r="G166" s="1048">
        <f>I9*0.15</f>
        <v>3225000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9"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F15" sqref="F15"/>
    </sheetView>
  </sheetViews>
  <sheetFormatPr defaultColWidth="9.1796875" defaultRowHeight="14" zeroHeight="1"/>
  <cols>
    <col min="1" max="2" width="15.453125" style="211" customWidth="1"/>
    <col min="3" max="3" width="11" style="211" customWidth="1"/>
    <col min="4" max="4" width="15.453125" style="211" customWidth="1"/>
    <col min="5" max="5" width="3.453125" style="211" customWidth="1"/>
    <col min="6" max="7" width="15.453125" style="211" customWidth="1"/>
    <col min="8" max="8" width="3.453125" style="211" customWidth="1"/>
    <col min="9" max="10" width="15.453125" style="211" customWidth="1"/>
    <col min="11" max="11" width="3.453125" style="211" customWidth="1"/>
    <col min="12" max="17" width="15.453125" style="211" customWidth="1"/>
    <col min="18" max="16384" width="9.1796875" style="211"/>
  </cols>
  <sheetData>
    <row r="1" spans="1:12">
      <c r="A1" s="2614" t="s">
        <v>2704</v>
      </c>
      <c r="B1" s="2614"/>
      <c r="C1" s="2614"/>
      <c r="D1" s="2614"/>
      <c r="E1" s="2614"/>
      <c r="F1" s="2614"/>
      <c r="G1" s="2614"/>
      <c r="H1" s="2614"/>
      <c r="I1" s="2614"/>
      <c r="J1" s="2614"/>
      <c r="K1" s="136"/>
      <c r="L1" s="136"/>
    </row>
    <row r="2" spans="1:12">
      <c r="A2" s="140"/>
      <c r="B2" s="140"/>
      <c r="C2" s="140"/>
      <c r="D2" s="140"/>
      <c r="E2" s="140"/>
      <c r="F2" s="140"/>
      <c r="G2" s="140"/>
      <c r="H2" s="140"/>
      <c r="I2" s="140"/>
      <c r="J2" s="140"/>
    </row>
    <row r="3" spans="1:12" ht="84.5">
      <c r="A3" s="329" t="s">
        <v>2705</v>
      </c>
      <c r="B3" s="329" t="s">
        <v>2706</v>
      </c>
      <c r="C3" s="329" t="s">
        <v>2707</v>
      </c>
      <c r="D3" s="1029" t="s">
        <v>2708</v>
      </c>
      <c r="E3" s="136"/>
      <c r="F3" s="1029" t="s">
        <v>2709</v>
      </c>
      <c r="G3" s="329" t="s">
        <v>2710</v>
      </c>
      <c r="H3" s="330"/>
      <c r="I3" s="329" t="s">
        <v>2711</v>
      </c>
      <c r="J3" s="329" t="s">
        <v>2712</v>
      </c>
      <c r="K3" s="136"/>
      <c r="L3" s="212"/>
    </row>
    <row r="4" spans="1:12">
      <c r="A4" s="331" t="str">
        <f>Application!B726</f>
        <v>1 Bedroom</v>
      </c>
      <c r="B4" s="967">
        <f>Application!G726</f>
        <v>5</v>
      </c>
      <c r="C4" s="1044"/>
      <c r="D4" s="331">
        <f>Application!O726</f>
        <v>2456</v>
      </c>
      <c r="E4" s="332"/>
      <c r="F4" s="968"/>
      <c r="G4" s="331">
        <f>F4*B4</f>
        <v>0</v>
      </c>
      <c r="H4" s="332"/>
      <c r="I4" s="331" t="str">
        <f t="shared" ref="I4:I27" si="0">IF(F4=0,"",(F4-D4))</f>
        <v/>
      </c>
      <c r="J4" s="331" t="str">
        <f t="shared" ref="J4:J27" si="1">IF(F4=0,"",(I4*B4))</f>
        <v/>
      </c>
      <c r="K4" s="136"/>
      <c r="L4" s="212"/>
    </row>
    <row r="5" spans="1:12">
      <c r="A5" s="331" t="str">
        <f>Application!B727</f>
        <v>1 Bedroom</v>
      </c>
      <c r="B5" s="967">
        <f>Application!G727</f>
        <v>4</v>
      </c>
      <c r="C5" s="1044"/>
      <c r="D5" s="331">
        <f>Application!O727</f>
        <v>2198</v>
      </c>
      <c r="E5" s="332"/>
      <c r="F5" s="968"/>
      <c r="G5" s="331">
        <f t="shared" ref="G5:G38" si="2">F5*B5</f>
        <v>0</v>
      </c>
      <c r="H5" s="332"/>
      <c r="I5" s="331" t="str">
        <f t="shared" si="0"/>
        <v/>
      </c>
      <c r="J5" s="331" t="str">
        <f t="shared" si="1"/>
        <v/>
      </c>
      <c r="K5" s="136"/>
      <c r="L5" s="212"/>
    </row>
    <row r="6" spans="1:12">
      <c r="A6" s="331" t="str">
        <f>Application!B728</f>
        <v>1 Bedroom</v>
      </c>
      <c r="B6" s="967">
        <f>Application!G728</f>
        <v>3</v>
      </c>
      <c r="C6" s="1044"/>
      <c r="D6" s="331">
        <f>Application!O728</f>
        <v>1822</v>
      </c>
      <c r="E6" s="332"/>
      <c r="F6" s="968"/>
      <c r="G6" s="331">
        <f t="shared" si="2"/>
        <v>0</v>
      </c>
      <c r="H6" s="332"/>
      <c r="I6" s="331" t="str">
        <f t="shared" si="0"/>
        <v/>
      </c>
      <c r="J6" s="331" t="str">
        <f t="shared" si="1"/>
        <v/>
      </c>
      <c r="K6" s="136"/>
      <c r="L6" s="212"/>
    </row>
    <row r="7" spans="1:12">
      <c r="A7" s="331" t="str">
        <f>Application!B729</f>
        <v>1 Bedroom</v>
      </c>
      <c r="B7" s="967">
        <f>Application!G729</f>
        <v>3</v>
      </c>
      <c r="C7" s="1044"/>
      <c r="D7" s="331">
        <f>Application!O729</f>
        <v>1068</v>
      </c>
      <c r="E7" s="332"/>
      <c r="F7" s="968"/>
      <c r="G7" s="331">
        <f t="shared" si="2"/>
        <v>0</v>
      </c>
      <c r="H7" s="332"/>
      <c r="I7" s="331" t="str">
        <f t="shared" si="0"/>
        <v/>
      </c>
      <c r="J7" s="331" t="str">
        <f t="shared" si="1"/>
        <v/>
      </c>
      <c r="K7" s="136"/>
      <c r="L7" s="212"/>
    </row>
    <row r="8" spans="1:12">
      <c r="A8" s="331" t="str">
        <f>Application!B730</f>
        <v>2 Bedrooms</v>
      </c>
      <c r="B8" s="967">
        <f>Application!G730</f>
        <v>10</v>
      </c>
      <c r="C8" s="1044"/>
      <c r="D8" s="331">
        <f>Application!O730</f>
        <v>2671</v>
      </c>
      <c r="E8" s="332"/>
      <c r="F8" s="968"/>
      <c r="G8" s="331">
        <f t="shared" si="2"/>
        <v>0</v>
      </c>
      <c r="H8" s="332"/>
      <c r="I8" s="331" t="str">
        <f t="shared" si="0"/>
        <v/>
      </c>
      <c r="J8" s="331" t="str">
        <f t="shared" si="1"/>
        <v/>
      </c>
      <c r="K8" s="136"/>
      <c r="L8" s="212"/>
    </row>
    <row r="9" spans="1:12">
      <c r="A9" s="331" t="str">
        <f>Application!B731</f>
        <v>2 Bedrooms</v>
      </c>
      <c r="B9" s="967">
        <f>Application!G731</f>
        <v>26</v>
      </c>
      <c r="C9" s="1044"/>
      <c r="D9" s="331">
        <f>Application!O731</f>
        <v>2629</v>
      </c>
      <c r="E9" s="332"/>
      <c r="F9" s="968"/>
      <c r="G9" s="331">
        <f t="shared" si="2"/>
        <v>0</v>
      </c>
      <c r="H9" s="332"/>
      <c r="I9" s="331" t="str">
        <f t="shared" si="0"/>
        <v/>
      </c>
      <c r="J9" s="331" t="str">
        <f t="shared" si="1"/>
        <v/>
      </c>
      <c r="K9" s="136"/>
      <c r="L9" s="212"/>
    </row>
    <row r="10" spans="1:12">
      <c r="A10" s="331" t="str">
        <f>Application!B732</f>
        <v>2 Bedrooms</v>
      </c>
      <c r="B10" s="967">
        <f>Application!G732</f>
        <v>4</v>
      </c>
      <c r="C10" s="1044"/>
      <c r="D10" s="331">
        <f>Application!O732</f>
        <v>2177</v>
      </c>
      <c r="E10" s="332"/>
      <c r="F10" s="968"/>
      <c r="G10" s="331">
        <f t="shared" si="2"/>
        <v>0</v>
      </c>
      <c r="H10" s="332"/>
      <c r="I10" s="331" t="str">
        <f t="shared" si="0"/>
        <v/>
      </c>
      <c r="J10" s="331" t="str">
        <f t="shared" si="1"/>
        <v/>
      </c>
      <c r="K10" s="136"/>
      <c r="L10" s="212"/>
    </row>
    <row r="11" spans="1:12">
      <c r="A11" s="331" t="str">
        <f>Application!B733</f>
        <v>2 Bedrooms</v>
      </c>
      <c r="B11" s="967">
        <f>Application!G733</f>
        <v>4</v>
      </c>
      <c r="C11" s="1044"/>
      <c r="D11" s="331">
        <f>Application!O733</f>
        <v>1272</v>
      </c>
      <c r="E11" s="332"/>
      <c r="F11" s="968"/>
      <c r="G11" s="331">
        <f t="shared" si="2"/>
        <v>0</v>
      </c>
      <c r="H11" s="332"/>
      <c r="I11" s="331" t="str">
        <f t="shared" si="0"/>
        <v/>
      </c>
      <c r="J11" s="331" t="str">
        <f t="shared" si="1"/>
        <v/>
      </c>
      <c r="K11" s="136"/>
      <c r="L11" s="212"/>
    </row>
    <row r="12" spans="1:12">
      <c r="A12" s="331" t="str">
        <f>Application!B734</f>
        <v>3 Bedrooms</v>
      </c>
      <c r="B12" s="967">
        <f>Application!G734</f>
        <v>10</v>
      </c>
      <c r="C12" s="1044"/>
      <c r="D12" s="331">
        <f>Application!O734</f>
        <v>3159</v>
      </c>
      <c r="E12" s="332"/>
      <c r="F12" s="968"/>
      <c r="G12" s="331">
        <f t="shared" si="2"/>
        <v>0</v>
      </c>
      <c r="H12" s="332"/>
      <c r="I12" s="331" t="str">
        <f t="shared" si="0"/>
        <v/>
      </c>
      <c r="J12" s="331" t="str">
        <f t="shared" si="1"/>
        <v/>
      </c>
      <c r="K12" s="136"/>
      <c r="L12" s="212"/>
    </row>
    <row r="13" spans="1:12">
      <c r="A13" s="331" t="str">
        <f>Application!B735</f>
        <v>3 Bedrooms</v>
      </c>
      <c r="B13" s="967">
        <f>Application!G735</f>
        <v>31</v>
      </c>
      <c r="C13" s="1044"/>
      <c r="D13" s="331">
        <f>Application!O735</f>
        <v>3026</v>
      </c>
      <c r="E13" s="332"/>
      <c r="F13" s="968"/>
      <c r="G13" s="331">
        <f t="shared" si="2"/>
        <v>0</v>
      </c>
      <c r="H13" s="332"/>
      <c r="I13" s="331" t="str">
        <f t="shared" si="0"/>
        <v/>
      </c>
      <c r="J13" s="331" t="str">
        <f t="shared" si="1"/>
        <v/>
      </c>
      <c r="K13" s="136"/>
      <c r="L13" s="212"/>
    </row>
    <row r="14" spans="1:12">
      <c r="A14" s="331" t="str">
        <f>Application!B736</f>
        <v>3 Bedrooms</v>
      </c>
      <c r="B14" s="967">
        <f>Application!G736</f>
        <v>6</v>
      </c>
      <c r="C14" s="1044"/>
      <c r="D14" s="331">
        <f>Application!O736</f>
        <v>2504</v>
      </c>
      <c r="E14" s="332"/>
      <c r="F14" s="968"/>
      <c r="G14" s="331">
        <f t="shared" si="2"/>
        <v>0</v>
      </c>
      <c r="H14" s="332"/>
      <c r="I14" s="331" t="str">
        <f t="shared" si="0"/>
        <v/>
      </c>
      <c r="J14" s="331" t="str">
        <f t="shared" si="1"/>
        <v/>
      </c>
      <c r="K14" s="136"/>
      <c r="L14" s="212"/>
    </row>
    <row r="15" spans="1:12">
      <c r="A15" s="331" t="str">
        <f>Application!B737</f>
        <v>3 Bedrooms</v>
      </c>
      <c r="B15" s="967">
        <f>Application!G737</f>
        <v>6</v>
      </c>
      <c r="C15" s="1044"/>
      <c r="D15" s="331">
        <f>Application!O737</f>
        <v>1459</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2713</v>
      </c>
      <c r="B40" s="334"/>
      <c r="C40" s="334"/>
      <c r="D40" s="335">
        <f>Application!O761</f>
        <v>287776</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2714</v>
      </c>
    </row>
    <row r="43" spans="1:12">
      <c r="A43" s="2615" t="s">
        <v>2715</v>
      </c>
      <c r="B43" s="2615"/>
      <c r="C43" s="2615"/>
      <c r="D43" s="2615"/>
      <c r="E43" s="2615"/>
      <c r="F43" s="2615"/>
      <c r="G43" s="2615"/>
      <c r="H43" s="2615"/>
      <c r="I43" s="2615"/>
      <c r="J43" s="2615"/>
    </row>
    <row r="44" spans="1:12">
      <c r="A44" s="2615"/>
      <c r="B44" s="2615"/>
      <c r="C44" s="2615"/>
      <c r="D44" s="2615"/>
      <c r="E44" s="2615"/>
      <c r="F44" s="2615"/>
      <c r="G44" s="2615"/>
      <c r="H44" s="2615"/>
      <c r="I44" s="2615"/>
      <c r="J44" s="2615"/>
    </row>
    <row r="45" spans="1:12">
      <c r="A45" s="2615" t="s">
        <v>2716</v>
      </c>
      <c r="B45" s="2615"/>
      <c r="C45" s="2615"/>
      <c r="D45" s="2615"/>
      <c r="E45" s="2615"/>
      <c r="F45" s="2615"/>
      <c r="G45" s="2615"/>
      <c r="H45" s="2615"/>
      <c r="I45" s="2615"/>
      <c r="J45" s="2615"/>
    </row>
    <row r="46" spans="1:12">
      <c r="A46" s="2615"/>
      <c r="B46" s="2615"/>
      <c r="C46" s="2615"/>
      <c r="D46" s="2615"/>
      <c r="E46" s="2615"/>
      <c r="F46" s="2615"/>
      <c r="G46" s="2615"/>
      <c r="H46" s="2615"/>
      <c r="I46" s="2615"/>
      <c r="J46" s="261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D77"/>
  <sheetViews>
    <sheetView zoomScale="130" zoomScaleNormal="130" workbookViewId="0">
      <selection activeCell="C20" sqref="C20"/>
    </sheetView>
  </sheetViews>
  <sheetFormatPr defaultColWidth="0" defaultRowHeight="12.5" zeroHeight="1"/>
  <cols>
    <col min="1" max="1" width="3.453125" customWidth="1"/>
    <col min="2" max="2" width="30.453125" customWidth="1"/>
    <col min="3" max="3" width="9.1796875" style="143"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 min="35" max="35" width="0" hidden="1" customWidth="1"/>
    <col min="36" max="16384" width="8.81640625" hidden="1"/>
  </cols>
  <sheetData>
    <row r="1" spans="1:34" ht="18">
      <c r="A1" s="141" t="s">
        <v>2717</v>
      </c>
      <c r="B1" s="141"/>
    </row>
    <row r="2" spans="1:34"/>
    <row r="3" spans="1:34" ht="15.5">
      <c r="A3" s="142" t="s">
        <v>2718</v>
      </c>
      <c r="B3" s="142"/>
      <c r="C3" s="163" t="s">
        <v>2719</v>
      </c>
      <c r="D3" s="12"/>
      <c r="E3" s="164" t="s">
        <v>2720</v>
      </c>
      <c r="F3" s="135"/>
      <c r="G3" s="164" t="s">
        <v>2721</v>
      </c>
      <c r="H3" s="135"/>
      <c r="I3" s="164" t="s">
        <v>2722</v>
      </c>
      <c r="J3" s="135"/>
      <c r="K3" s="164" t="s">
        <v>2723</v>
      </c>
      <c r="L3" s="135"/>
      <c r="M3" s="164" t="s">
        <v>2724</v>
      </c>
      <c r="N3" s="135"/>
      <c r="O3" s="164" t="s">
        <v>2725</v>
      </c>
      <c r="P3" s="135"/>
      <c r="Q3" s="164" t="s">
        <v>2726</v>
      </c>
      <c r="R3" s="135"/>
      <c r="S3" s="164" t="s">
        <v>2727</v>
      </c>
      <c r="T3" s="135"/>
      <c r="U3" s="164" t="s">
        <v>2728</v>
      </c>
      <c r="V3" s="135"/>
      <c r="W3" s="164" t="s">
        <v>2729</v>
      </c>
      <c r="X3" s="135"/>
      <c r="Y3" s="164" t="s">
        <v>2730</v>
      </c>
      <c r="Z3" s="135"/>
      <c r="AA3" s="164" t="s">
        <v>2731</v>
      </c>
      <c r="AB3" s="135"/>
      <c r="AC3" s="164" t="s">
        <v>2732</v>
      </c>
      <c r="AD3" s="135"/>
      <c r="AE3" s="164" t="s">
        <v>2733</v>
      </c>
      <c r="AF3" s="135"/>
      <c r="AG3" s="164" t="s">
        <v>2734</v>
      </c>
      <c r="AH3" s="12"/>
    </row>
    <row r="4" spans="1:34" s="148" customFormat="1" ht="14">
      <c r="A4" s="148" t="s">
        <v>2735</v>
      </c>
      <c r="C4" s="1224">
        <v>1.0249999999999999</v>
      </c>
      <c r="E4" s="148">
        <f>Application!Y809</f>
        <v>3453312</v>
      </c>
      <c r="G4" s="148">
        <f>E4*$C$4</f>
        <v>3539644.8</v>
      </c>
      <c r="I4" s="148">
        <f>G4*$C$4</f>
        <v>3628135.9199999995</v>
      </c>
      <c r="K4" s="148">
        <f>I4*$C$4</f>
        <v>3718839.317999999</v>
      </c>
      <c r="M4" s="148">
        <f>K4*$C$4</f>
        <v>3811810.3009499987</v>
      </c>
      <c r="O4" s="148">
        <f>M4*$C$4</f>
        <v>3907105.5584737482</v>
      </c>
      <c r="Q4" s="148">
        <f>O4*$C$4</f>
        <v>4004783.1974355914</v>
      </c>
      <c r="S4" s="148">
        <f>Q4*$C$4</f>
        <v>4104902.7773714806</v>
      </c>
      <c r="U4" s="148">
        <f>S4*$C$4</f>
        <v>4207525.3468057672</v>
      </c>
      <c r="W4" s="148">
        <f>U4*$C$4</f>
        <v>4312713.4804759109</v>
      </c>
      <c r="Y4" s="148">
        <f>W4*$C$4</f>
        <v>4420531.3174878079</v>
      </c>
      <c r="AA4" s="148">
        <f>Y4*$C$4</f>
        <v>4531044.6004250031</v>
      </c>
      <c r="AC4" s="148">
        <f>AA4*$C$4</f>
        <v>4644320.7154356278</v>
      </c>
      <c r="AE4" s="148">
        <f>AC4*$C$4</f>
        <v>4760428.7333215177</v>
      </c>
      <c r="AG4" s="148">
        <f>AE4*$C$4</f>
        <v>4879439.4516545553</v>
      </c>
    </row>
    <row r="5" spans="1:34" s="140" customFormat="1" ht="14">
      <c r="B5" s="140" t="s">
        <v>2290</v>
      </c>
      <c r="C5" s="1225">
        <f>IF(Application!$D$211="Special Needs",(((0.1*Application!$T$212)+(0.05*(1-Application!$T$212)))),0.05)</f>
        <v>0.05</v>
      </c>
      <c r="E5" s="150">
        <f>-E4*$C$5</f>
        <v>-172665.60000000001</v>
      </c>
      <c r="F5" s="150"/>
      <c r="G5" s="150">
        <f>-G4*$C$5</f>
        <v>-176982.24</v>
      </c>
      <c r="H5" s="150"/>
      <c r="I5" s="150">
        <f>-I4*$C$5</f>
        <v>-181406.79599999997</v>
      </c>
      <c r="J5" s="150"/>
      <c r="K5" s="150">
        <f>-K4*$C$5</f>
        <v>-185941.96589999995</v>
      </c>
      <c r="L5" s="150"/>
      <c r="M5" s="150">
        <f>-M4*$C$5</f>
        <v>-190590.51504749994</v>
      </c>
      <c r="N5" s="150"/>
      <c r="O5" s="150">
        <f>-O4*$C$5</f>
        <v>-195355.27792368742</v>
      </c>
      <c r="P5" s="150"/>
      <c r="Q5" s="150">
        <f>-Q4*$C$5</f>
        <v>-200239.15987177959</v>
      </c>
      <c r="R5" s="150"/>
      <c r="S5" s="150">
        <f>-S4*$C$5</f>
        <v>-205245.13886857405</v>
      </c>
      <c r="T5" s="150"/>
      <c r="U5" s="150">
        <f>-U4*$C$5</f>
        <v>-210376.26734028838</v>
      </c>
      <c r="V5" s="150"/>
      <c r="W5" s="150">
        <f>-W4*$C$5</f>
        <v>-215635.67402379555</v>
      </c>
      <c r="X5" s="150"/>
      <c r="Y5" s="150">
        <f>-Y4*$C$5</f>
        <v>-221026.56587439042</v>
      </c>
      <c r="Z5" s="150"/>
      <c r="AA5" s="150">
        <f>-AA4*$C$5</f>
        <v>-226552.23002125017</v>
      </c>
      <c r="AB5" s="150"/>
      <c r="AC5" s="150">
        <f>-AC4*$C$5</f>
        <v>-232216.0357717814</v>
      </c>
      <c r="AD5" s="150"/>
      <c r="AE5" s="150">
        <f>-AE4*$C$5</f>
        <v>-238021.4366660759</v>
      </c>
      <c r="AF5" s="150"/>
      <c r="AG5" s="150">
        <f>-AG4*$C$5</f>
        <v>-243971.97258272779</v>
      </c>
    </row>
    <row r="6" spans="1:34" s="140" customFormat="1" ht="14">
      <c r="A6" s="140" t="s">
        <v>2736</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2290</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24">
        <v>1.03</v>
      </c>
      <c r="E8" s="151">
        <f>Application!Z825</f>
        <v>21696</v>
      </c>
      <c r="F8" s="151"/>
      <c r="G8" s="151">
        <f>E8*$C$8</f>
        <v>22346.880000000001</v>
      </c>
      <c r="H8" s="151"/>
      <c r="I8" s="151">
        <f>G8*$C$8</f>
        <v>23017.286400000001</v>
      </c>
      <c r="J8" s="151"/>
      <c r="K8" s="151">
        <f>I8*$C$8</f>
        <v>23707.804992000001</v>
      </c>
      <c r="L8" s="151"/>
      <c r="M8" s="151">
        <f>K8*$C$8</f>
        <v>24419.03914176</v>
      </c>
      <c r="N8" s="151"/>
      <c r="O8" s="151">
        <f>M8*$C$8</f>
        <v>25151.6103160128</v>
      </c>
      <c r="P8" s="151"/>
      <c r="Q8" s="151">
        <f>O8*$C$8</f>
        <v>25906.158625493186</v>
      </c>
      <c r="R8" s="151"/>
      <c r="S8" s="151">
        <f>Q8*$C$8</f>
        <v>26683.343384257983</v>
      </c>
      <c r="T8" s="151"/>
      <c r="U8" s="151">
        <f>S8*$C$8</f>
        <v>27483.843685785723</v>
      </c>
      <c r="V8" s="151"/>
      <c r="W8" s="151">
        <f>U8*$C$8</f>
        <v>28308.358996359297</v>
      </c>
      <c r="X8" s="151"/>
      <c r="Y8" s="151">
        <f>W8*$C$8</f>
        <v>29157.609766250076</v>
      </c>
      <c r="Z8" s="151"/>
      <c r="AA8" s="151">
        <f>Y8*$C$8</f>
        <v>30032.33805923758</v>
      </c>
      <c r="AB8" s="151"/>
      <c r="AC8" s="151">
        <f>AA8*$C$8</f>
        <v>30933.308201014708</v>
      </c>
      <c r="AD8" s="151"/>
      <c r="AE8" s="151">
        <f>AC8*$C$8</f>
        <v>31861.30744704515</v>
      </c>
      <c r="AF8" s="151"/>
      <c r="AG8" s="151">
        <f>AE8*$C$8</f>
        <v>32817.146670456503</v>
      </c>
    </row>
    <row r="9" spans="1:34" s="140" customFormat="1" ht="14">
      <c r="B9" s="140" t="s">
        <v>2290</v>
      </c>
      <c r="C9" s="1225">
        <f>IF(Application!$D$211="Special Needs",(((0.1*Application!$T$212)+(0.05*(1-Application!$T$212)))),0.05)</f>
        <v>0.05</v>
      </c>
      <c r="E9" s="150">
        <f>-E8*$C$9</f>
        <v>-1084.8</v>
      </c>
      <c r="F9" s="150"/>
      <c r="G9" s="150">
        <f>-G8*$C$9</f>
        <v>-1117.3440000000001</v>
      </c>
      <c r="H9" s="150"/>
      <c r="I9" s="150">
        <f>-I8*$C$9</f>
        <v>-1150.8643200000001</v>
      </c>
      <c r="J9" s="150"/>
      <c r="K9" s="150">
        <f>-K8*$C$9</f>
        <v>-1185.3902496000001</v>
      </c>
      <c r="L9" s="150"/>
      <c r="M9" s="150">
        <f>-M8*$C$9</f>
        <v>-1220.951957088</v>
      </c>
      <c r="N9" s="150"/>
      <c r="O9" s="150">
        <f>-O8*$C$9</f>
        <v>-1257.5805158006401</v>
      </c>
      <c r="P9" s="150"/>
      <c r="Q9" s="150">
        <f>-Q8*$C$9</f>
        <v>-1295.3079312746595</v>
      </c>
      <c r="R9" s="150"/>
      <c r="S9" s="150">
        <f>-S8*$C$9</f>
        <v>-1334.1671692128994</v>
      </c>
      <c r="T9" s="150"/>
      <c r="U9" s="150">
        <f>-U8*$C$9</f>
        <v>-1374.1921842892862</v>
      </c>
      <c r="V9" s="150"/>
      <c r="W9" s="150">
        <f>-W8*$C$9</f>
        <v>-1415.4179498179649</v>
      </c>
      <c r="X9" s="150"/>
      <c r="Y9" s="150">
        <f>-Y8*$C$9</f>
        <v>-1457.880488312504</v>
      </c>
      <c r="Z9" s="150"/>
      <c r="AA9" s="150">
        <f>-AA8*$C$9</f>
        <v>-1501.6169029618791</v>
      </c>
      <c r="AB9" s="150"/>
      <c r="AC9" s="150">
        <f>-AC8*$C$9</f>
        <v>-1546.6654100507355</v>
      </c>
      <c r="AD9" s="150"/>
      <c r="AE9" s="150">
        <f>-AE8*$C$9</f>
        <v>-1593.0653723522576</v>
      </c>
      <c r="AF9" s="150"/>
      <c r="AG9" s="150">
        <f>-AG8*$C$9</f>
        <v>-1640.8573335228252</v>
      </c>
    </row>
    <row r="10" spans="1:34" s="140" customFormat="1" ht="14">
      <c r="A10" s="1026" t="s">
        <v>2737</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4">
      <c r="A11" s="152" t="s">
        <v>2738</v>
      </c>
      <c r="C11" s="145"/>
      <c r="E11" s="152">
        <f>SUM(E4:E10)</f>
        <v>3301257.6</v>
      </c>
      <c r="G11" s="152">
        <f>SUM(G4:G10)</f>
        <v>3383892.0959999994</v>
      </c>
      <c r="I11" s="152">
        <f>SUM(I4:I10)</f>
        <v>3468595.5460799993</v>
      </c>
      <c r="K11" s="152">
        <f>SUM(K4:K10)</f>
        <v>3555419.7668423988</v>
      </c>
      <c r="M11" s="152">
        <f>SUM(M4:M10)</f>
        <v>3644417.873087171</v>
      </c>
      <c r="O11" s="152">
        <f>SUM(O4:O10)</f>
        <v>3735644.3103502733</v>
      </c>
      <c r="Q11" s="152">
        <f>SUM(Q4:Q10)</f>
        <v>3829154.8882580306</v>
      </c>
      <c r="S11" s="152">
        <f>SUM(S4:S10)</f>
        <v>3925006.8147179517</v>
      </c>
      <c r="U11" s="152">
        <f>SUM(U4:U10)</f>
        <v>4023258.730966975</v>
      </c>
      <c r="W11" s="152">
        <f>SUM(W4:W10)</f>
        <v>4123970.7474986566</v>
      </c>
      <c r="Y11" s="152">
        <f>SUM(Y4:Y10)</f>
        <v>4227204.4808913553</v>
      </c>
      <c r="AA11" s="152">
        <f>SUM(AA4:AA10)</f>
        <v>4333023.0915600276</v>
      </c>
      <c r="AC11" s="152">
        <f>SUM(AC4:AC10)</f>
        <v>4441491.3224548101</v>
      </c>
      <c r="AE11" s="152">
        <f>SUM(AE4:AE10)</f>
        <v>4552675.5387301343</v>
      </c>
      <c r="AG11" s="152">
        <f>SUM(AG4:AG10)</f>
        <v>4666643.7684087604</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2739</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2740</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2741</v>
      </c>
      <c r="C15" s="859"/>
      <c r="E15" s="148">
        <f>Application!W855</f>
        <v>70000</v>
      </c>
      <c r="G15" s="148">
        <f>E15*$C$14</f>
        <v>72450</v>
      </c>
      <c r="I15" s="148">
        <f>G15*$C$14</f>
        <v>74985.75</v>
      </c>
      <c r="K15" s="148">
        <f>I15*$C$14</f>
        <v>77610.251250000001</v>
      </c>
      <c r="M15" s="148">
        <f>K15*$C$14</f>
        <v>80326.610043749999</v>
      </c>
      <c r="O15" s="148">
        <f>M15*$C$14</f>
        <v>83138.041395281238</v>
      </c>
      <c r="Q15" s="148">
        <f>O15*$C$14</f>
        <v>86047.872844116078</v>
      </c>
      <c r="S15" s="148">
        <f>Q15*$C$14</f>
        <v>89059.548393660138</v>
      </c>
      <c r="U15" s="148">
        <f>S15*$C$14</f>
        <v>92176.632587438231</v>
      </c>
      <c r="W15" s="148">
        <f>U15*$C$14</f>
        <v>95402.814727998557</v>
      </c>
      <c r="Y15" s="148">
        <f>W15*$C$14</f>
        <v>98741.913243478499</v>
      </c>
      <c r="AA15" s="148">
        <f>Y15*$C$14</f>
        <v>102197.88020700024</v>
      </c>
      <c r="AC15" s="148">
        <f>AA15*$C$14</f>
        <v>105774.80601424525</v>
      </c>
      <c r="AE15" s="148">
        <f>AC15*$C$14</f>
        <v>109476.92422474382</v>
      </c>
      <c r="AG15" s="148">
        <f>AE15*$C$14</f>
        <v>113308.61657260986</v>
      </c>
    </row>
    <row r="16" spans="1:34" s="140" customFormat="1" ht="14">
      <c r="A16" s="140" t="s">
        <v>1568</v>
      </c>
      <c r="C16" s="851"/>
      <c r="E16" s="151">
        <f>Application!W857</f>
        <v>94920</v>
      </c>
      <c r="F16" s="151"/>
      <c r="G16" s="151">
        <f t="shared" ref="G16:AG21" si="0">E16*$C$14</f>
        <v>98242.2</v>
      </c>
      <c r="H16" s="151"/>
      <c r="I16" s="151">
        <f t="shared" si="0"/>
        <v>101680.677</v>
      </c>
      <c r="J16" s="151"/>
      <c r="K16" s="151">
        <f t="shared" si="0"/>
        <v>105239.50069499998</v>
      </c>
      <c r="L16" s="151"/>
      <c r="M16" s="151">
        <f t="shared" si="0"/>
        <v>108922.88321932497</v>
      </c>
      <c r="N16" s="151"/>
      <c r="O16" s="151">
        <f t="shared" si="0"/>
        <v>112735.18413200133</v>
      </c>
      <c r="P16" s="151"/>
      <c r="Q16" s="151">
        <f t="shared" si="0"/>
        <v>116680.91557662137</v>
      </c>
      <c r="R16" s="151"/>
      <c r="S16" s="151">
        <f t="shared" si="0"/>
        <v>120764.74762180311</v>
      </c>
      <c r="T16" s="151"/>
      <c r="U16" s="151">
        <f t="shared" si="0"/>
        <v>124991.51378856621</v>
      </c>
      <c r="V16" s="151"/>
      <c r="W16" s="151">
        <f t="shared" si="0"/>
        <v>129366.21677116601</v>
      </c>
      <c r="X16" s="151"/>
      <c r="Y16" s="151">
        <f t="shared" si="0"/>
        <v>133894.03435815682</v>
      </c>
      <c r="Z16" s="151"/>
      <c r="AA16" s="151">
        <f t="shared" si="0"/>
        <v>138580.32556069229</v>
      </c>
      <c r="AB16" s="151"/>
      <c r="AC16" s="151">
        <f t="shared" si="0"/>
        <v>143430.6369553165</v>
      </c>
      <c r="AD16" s="151"/>
      <c r="AE16" s="151">
        <f t="shared" si="0"/>
        <v>148450.70924875257</v>
      </c>
      <c r="AF16" s="151"/>
      <c r="AG16" s="151">
        <f t="shared" si="0"/>
        <v>153646.4840724589</v>
      </c>
    </row>
    <row r="17" spans="1:33" s="140" customFormat="1" ht="14">
      <c r="A17" s="140" t="s">
        <v>230</v>
      </c>
      <c r="C17" s="851"/>
      <c r="E17" s="151">
        <f>Application!W863</f>
        <v>156300</v>
      </c>
      <c r="F17" s="151"/>
      <c r="G17" s="151">
        <f t="shared" si="0"/>
        <v>161770.5</v>
      </c>
      <c r="H17" s="151"/>
      <c r="I17" s="151">
        <f t="shared" si="0"/>
        <v>167432.4675</v>
      </c>
      <c r="J17" s="151"/>
      <c r="K17" s="151">
        <f t="shared" si="0"/>
        <v>173292.60386249999</v>
      </c>
      <c r="L17" s="151"/>
      <c r="M17" s="151">
        <f t="shared" si="0"/>
        <v>179357.84499768747</v>
      </c>
      <c r="N17" s="151"/>
      <c r="O17" s="151">
        <f t="shared" si="0"/>
        <v>185635.36957260652</v>
      </c>
      <c r="P17" s="151"/>
      <c r="Q17" s="151">
        <f t="shared" si="0"/>
        <v>192132.60750764774</v>
      </c>
      <c r="R17" s="151"/>
      <c r="S17" s="151">
        <f t="shared" si="0"/>
        <v>198857.2487704154</v>
      </c>
      <c r="T17" s="151"/>
      <c r="U17" s="151">
        <f t="shared" si="0"/>
        <v>205817.25247737992</v>
      </c>
      <c r="V17" s="151"/>
      <c r="W17" s="151">
        <f t="shared" si="0"/>
        <v>213020.85631408822</v>
      </c>
      <c r="X17" s="151"/>
      <c r="Y17" s="151">
        <f t="shared" si="0"/>
        <v>220476.58628508128</v>
      </c>
      <c r="Z17" s="151"/>
      <c r="AA17" s="151">
        <f t="shared" si="0"/>
        <v>228193.2668050591</v>
      </c>
      <c r="AB17" s="151"/>
      <c r="AC17" s="151">
        <f t="shared" si="0"/>
        <v>236180.03114323615</v>
      </c>
      <c r="AD17" s="151"/>
      <c r="AE17" s="151">
        <f t="shared" si="0"/>
        <v>244446.33223324938</v>
      </c>
      <c r="AF17" s="151"/>
      <c r="AG17" s="151">
        <f t="shared" si="0"/>
        <v>253001.95386141309</v>
      </c>
    </row>
    <row r="18" spans="1:33" s="140" customFormat="1" ht="14">
      <c r="A18" s="140" t="s">
        <v>2742</v>
      </c>
      <c r="C18" s="851"/>
      <c r="E18" s="151">
        <f>Application!W870</f>
        <v>225950</v>
      </c>
      <c r="F18" s="151"/>
      <c r="G18" s="151">
        <f t="shared" si="0"/>
        <v>233858.24999999997</v>
      </c>
      <c r="H18" s="151"/>
      <c r="I18" s="151">
        <f t="shared" si="0"/>
        <v>242043.28874999995</v>
      </c>
      <c r="J18" s="151"/>
      <c r="K18" s="151">
        <f t="shared" si="0"/>
        <v>250514.80385624993</v>
      </c>
      <c r="L18" s="151"/>
      <c r="M18" s="151">
        <f t="shared" si="0"/>
        <v>259282.82199121866</v>
      </c>
      <c r="N18" s="151"/>
      <c r="O18" s="151">
        <f t="shared" si="0"/>
        <v>268357.7207609113</v>
      </c>
      <c r="P18" s="151"/>
      <c r="Q18" s="151">
        <f t="shared" si="0"/>
        <v>277750.24098754319</v>
      </c>
      <c r="R18" s="151"/>
      <c r="S18" s="151">
        <f t="shared" si="0"/>
        <v>287471.49942210718</v>
      </c>
      <c r="T18" s="151"/>
      <c r="U18" s="151">
        <f t="shared" si="0"/>
        <v>297533.0019018809</v>
      </c>
      <c r="V18" s="151"/>
      <c r="W18" s="151">
        <f t="shared" si="0"/>
        <v>307946.65696844668</v>
      </c>
      <c r="X18" s="151"/>
      <c r="Y18" s="151">
        <f t="shared" si="0"/>
        <v>318724.7899623423</v>
      </c>
      <c r="Z18" s="151"/>
      <c r="AA18" s="151">
        <f t="shared" si="0"/>
        <v>329880.15761102427</v>
      </c>
      <c r="AB18" s="151"/>
      <c r="AC18" s="151">
        <f t="shared" si="0"/>
        <v>341425.9631274101</v>
      </c>
      <c r="AD18" s="151"/>
      <c r="AE18" s="151">
        <f t="shared" si="0"/>
        <v>353375.8718368694</v>
      </c>
      <c r="AF18" s="151"/>
      <c r="AG18" s="151">
        <f t="shared" si="0"/>
        <v>365744.02735115978</v>
      </c>
    </row>
    <row r="19" spans="1:33" s="140" customFormat="1" ht="14">
      <c r="A19" s="140" t="s">
        <v>1581</v>
      </c>
      <c r="C19" s="851"/>
      <c r="E19" s="151">
        <f>Application!W872</f>
        <v>112480</v>
      </c>
      <c r="F19" s="151"/>
      <c r="G19" s="151">
        <f t="shared" si="0"/>
        <v>116416.79999999999</v>
      </c>
      <c r="H19" s="151"/>
      <c r="I19" s="151">
        <f t="shared" si="0"/>
        <v>120491.38799999998</v>
      </c>
      <c r="J19" s="151"/>
      <c r="K19" s="151">
        <f t="shared" si="0"/>
        <v>124708.58657999997</v>
      </c>
      <c r="L19" s="151"/>
      <c r="M19" s="151">
        <f t="shared" si="0"/>
        <v>129073.38711029997</v>
      </c>
      <c r="N19" s="151"/>
      <c r="O19" s="151">
        <f t="shared" si="0"/>
        <v>133590.95565916045</v>
      </c>
      <c r="P19" s="151"/>
      <c r="Q19" s="151">
        <f t="shared" si="0"/>
        <v>138266.63910723105</v>
      </c>
      <c r="R19" s="151"/>
      <c r="S19" s="151">
        <f t="shared" si="0"/>
        <v>143105.97147598412</v>
      </c>
      <c r="T19" s="151"/>
      <c r="U19" s="151">
        <f t="shared" si="0"/>
        <v>148114.68047764356</v>
      </c>
      <c r="V19" s="151"/>
      <c r="W19" s="151">
        <f t="shared" si="0"/>
        <v>153298.69429436108</v>
      </c>
      <c r="X19" s="151"/>
      <c r="Y19" s="151">
        <f t="shared" si="0"/>
        <v>158664.14859466371</v>
      </c>
      <c r="Z19" s="151"/>
      <c r="AA19" s="151">
        <f t="shared" si="0"/>
        <v>164217.39379547694</v>
      </c>
      <c r="AB19" s="151"/>
      <c r="AC19" s="151">
        <f t="shared" si="0"/>
        <v>169965.00257831861</v>
      </c>
      <c r="AD19" s="151"/>
      <c r="AE19" s="151">
        <f t="shared" si="0"/>
        <v>175913.77766855975</v>
      </c>
      <c r="AF19" s="151"/>
      <c r="AG19" s="151">
        <f t="shared" si="0"/>
        <v>182070.75988695933</v>
      </c>
    </row>
    <row r="20" spans="1:33" s="140" customFormat="1" ht="14">
      <c r="A20" s="140" t="s">
        <v>232</v>
      </c>
      <c r="C20" s="851"/>
      <c r="E20" s="151">
        <f>Application!W881</f>
        <v>132000</v>
      </c>
      <c r="F20" s="151"/>
      <c r="G20" s="151">
        <f t="shared" si="0"/>
        <v>136620</v>
      </c>
      <c r="H20" s="151"/>
      <c r="I20" s="151">
        <f t="shared" si="0"/>
        <v>141401.69999999998</v>
      </c>
      <c r="J20" s="151"/>
      <c r="K20" s="151">
        <f t="shared" si="0"/>
        <v>146350.75949999996</v>
      </c>
      <c r="L20" s="151"/>
      <c r="M20" s="151">
        <f t="shared" si="0"/>
        <v>151473.03608249995</v>
      </c>
      <c r="N20" s="151"/>
      <c r="O20" s="151">
        <f t="shared" si="0"/>
        <v>156774.59234538744</v>
      </c>
      <c r="P20" s="151"/>
      <c r="Q20" s="151">
        <f t="shared" si="0"/>
        <v>162261.70307747598</v>
      </c>
      <c r="R20" s="151"/>
      <c r="S20" s="151">
        <f t="shared" si="0"/>
        <v>167940.86268518763</v>
      </c>
      <c r="T20" s="151"/>
      <c r="U20" s="151">
        <f t="shared" si="0"/>
        <v>173818.7928791692</v>
      </c>
      <c r="V20" s="151"/>
      <c r="W20" s="151">
        <f t="shared" si="0"/>
        <v>179902.45062994011</v>
      </c>
      <c r="X20" s="151"/>
      <c r="Y20" s="151">
        <f t="shared" si="0"/>
        <v>186199.03640198801</v>
      </c>
      <c r="Z20" s="151"/>
      <c r="AA20" s="151">
        <f t="shared" si="0"/>
        <v>192716.00267605757</v>
      </c>
      <c r="AB20" s="151"/>
      <c r="AC20" s="151">
        <f t="shared" si="0"/>
        <v>199461.06276971957</v>
      </c>
      <c r="AD20" s="151"/>
      <c r="AE20" s="151">
        <f t="shared" si="0"/>
        <v>206442.19996665974</v>
      </c>
      <c r="AF20" s="151"/>
      <c r="AG20" s="151">
        <f t="shared" si="0"/>
        <v>213667.67696549281</v>
      </c>
    </row>
    <row r="21" spans="1:33" s="140" customFormat="1" ht="14">
      <c r="A21" s="155" t="s">
        <v>2743</v>
      </c>
      <c r="B21" s="155"/>
      <c r="C21" s="851"/>
      <c r="E21" s="161">
        <f>Application!W888</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2744</v>
      </c>
      <c r="C22" s="851"/>
      <c r="E22" s="152">
        <f>SUM(E15:E21)</f>
        <v>791650</v>
      </c>
      <c r="G22" s="152">
        <f>SUM(G15:G21)</f>
        <v>819357.75</v>
      </c>
      <c r="I22" s="152">
        <f>SUM(I15:I21)</f>
        <v>848035.27124999999</v>
      </c>
      <c r="K22" s="152">
        <f>SUM(K15:K21)</f>
        <v>877716.50574374979</v>
      </c>
      <c r="M22" s="152">
        <f>SUM(M15:M21)</f>
        <v>908436.58344478114</v>
      </c>
      <c r="O22" s="152">
        <f>SUM(O15:O21)</f>
        <v>940231.86386534828</v>
      </c>
      <c r="Q22" s="152">
        <f>SUM(Q15:Q21)</f>
        <v>973139.97910063551</v>
      </c>
      <c r="S22" s="152">
        <f>SUM(S15:S21)</f>
        <v>1007199.8783691574</v>
      </c>
      <c r="U22" s="152">
        <f>SUM(U15:U21)</f>
        <v>1042451.8741120781</v>
      </c>
      <c r="W22" s="152">
        <f>SUM(W15:W21)</f>
        <v>1078937.6897060007</v>
      </c>
      <c r="Y22" s="152">
        <f>SUM(Y15:Y21)</f>
        <v>1116700.5088457107</v>
      </c>
      <c r="AA22" s="152">
        <f>SUM(AA15:AA21)</f>
        <v>1155785.0266553105</v>
      </c>
      <c r="AC22" s="152">
        <f>SUM(AC15:AC21)</f>
        <v>1196237.5025882463</v>
      </c>
      <c r="AE22" s="152">
        <f>SUM(AE15:AE21)</f>
        <v>1238105.8151788346</v>
      </c>
      <c r="AG22" s="152">
        <f>SUM(AG15:AG21)</f>
        <v>1281439.5187100938</v>
      </c>
    </row>
    <row r="23" spans="1:33" s="140" customFormat="1" ht="14">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2745</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2746</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2342</v>
      </c>
      <c r="C27" s="1224">
        <v>1.03</v>
      </c>
      <c r="E27" s="151">
        <f>Application!AC897</f>
        <v>27600</v>
      </c>
      <c r="F27" s="151"/>
      <c r="G27" s="151">
        <f>E27*$C$27</f>
        <v>28428</v>
      </c>
      <c r="H27" s="151"/>
      <c r="I27" s="151">
        <f>G27*$C$27</f>
        <v>29280.84</v>
      </c>
      <c r="J27" s="151"/>
      <c r="K27" s="151">
        <f>I27*$C$27</f>
        <v>30159.265200000002</v>
      </c>
      <c r="L27" s="151"/>
      <c r="M27" s="151">
        <f>K27*$C$27</f>
        <v>31064.043156000003</v>
      </c>
      <c r="N27" s="151"/>
      <c r="O27" s="151">
        <f>M27*$C$27</f>
        <v>31995.964450680003</v>
      </c>
      <c r="P27" s="151"/>
      <c r="Q27" s="151">
        <f>O27*$C$27</f>
        <v>32955.843384200401</v>
      </c>
      <c r="R27" s="151"/>
      <c r="S27" s="151">
        <f>Q27*$C$27</f>
        <v>33944.518685726413</v>
      </c>
      <c r="T27" s="151"/>
      <c r="U27" s="151">
        <f>S27*$C$27</f>
        <v>34962.854246298208</v>
      </c>
      <c r="V27" s="151"/>
      <c r="W27" s="151">
        <f>U27*$C$27</f>
        <v>36011.739873687155</v>
      </c>
      <c r="X27" s="151"/>
      <c r="Y27" s="151">
        <f>W27*$C$27</f>
        <v>37092.092069897772</v>
      </c>
      <c r="Z27" s="151"/>
      <c r="AA27" s="151">
        <f>Y27*$C$27</f>
        <v>38204.854831994708</v>
      </c>
      <c r="AB27" s="151"/>
      <c r="AC27" s="151">
        <f>AA27*$C$27</f>
        <v>39351.000476954549</v>
      </c>
      <c r="AD27" s="151"/>
      <c r="AE27" s="151">
        <f>AC27*$C$27</f>
        <v>40531.530491263184</v>
      </c>
      <c r="AF27" s="151"/>
      <c r="AG27" s="151">
        <f>AE27*$C$27</f>
        <v>41747.476406001078</v>
      </c>
    </row>
    <row r="28" spans="1:33" s="140" customFormat="1" ht="14">
      <c r="A28" s="140" t="s">
        <v>2747</v>
      </c>
      <c r="C28" s="1224">
        <v>1.03</v>
      </c>
      <c r="E28" s="151">
        <f>Application!AC898</f>
        <v>28250</v>
      </c>
      <c r="F28" s="151"/>
      <c r="G28" s="151">
        <f>E28*$C$28</f>
        <v>29097.5</v>
      </c>
      <c r="H28" s="151"/>
      <c r="I28" s="151">
        <f t="shared" ref="I28" si="1">G28*$C$28</f>
        <v>29970.424999999999</v>
      </c>
      <c r="J28" s="151"/>
      <c r="K28" s="151">
        <f t="shared" ref="K28" si="2">I28*$C$28</f>
        <v>30869.53775</v>
      </c>
      <c r="L28" s="151"/>
      <c r="M28" s="151">
        <f t="shared" ref="M28" si="3">K28*$C$28</f>
        <v>31795.6238825</v>
      </c>
      <c r="N28" s="151"/>
      <c r="O28" s="151">
        <f t="shared" ref="O28" si="4">M28*$C$28</f>
        <v>32749.492598975001</v>
      </c>
      <c r="P28" s="151"/>
      <c r="Q28" s="151">
        <f t="shared" ref="Q28" si="5">O28*$C$28</f>
        <v>33731.977376944255</v>
      </c>
      <c r="R28" s="151"/>
      <c r="S28" s="151">
        <f t="shared" ref="S28" si="6">Q28*$C$28</f>
        <v>34743.936698252583</v>
      </c>
      <c r="T28" s="151"/>
      <c r="U28" s="151">
        <f t="shared" ref="U28" si="7">S28*$C$28</f>
        <v>35786.254799200164</v>
      </c>
      <c r="V28" s="151"/>
      <c r="W28" s="151">
        <f t="shared" ref="W28" si="8">U28*$C$28</f>
        <v>36859.842443176167</v>
      </c>
      <c r="X28" s="151"/>
      <c r="Y28" s="151">
        <f t="shared" ref="Y28" si="9">W28*$C$28</f>
        <v>37965.63771647145</v>
      </c>
      <c r="Z28" s="151"/>
      <c r="AA28" s="151">
        <f t="shared" ref="AA28" si="10">Y28*$C$28</f>
        <v>39104.606847965595</v>
      </c>
      <c r="AB28" s="151"/>
      <c r="AC28" s="151">
        <f t="shared" ref="AC28" si="11">AA28*$C$28</f>
        <v>40277.745053404564</v>
      </c>
      <c r="AD28" s="151"/>
      <c r="AE28" s="151">
        <f t="shared" ref="AE28" si="12">AC28*$C$28</f>
        <v>41486.077405006705</v>
      </c>
      <c r="AF28" s="151"/>
      <c r="AG28" s="151">
        <f t="shared" ref="AG28" si="13">AE28*$C$28</f>
        <v>42730.659727156904</v>
      </c>
    </row>
    <row r="29" spans="1:33" s="140" customFormat="1" ht="14">
      <c r="A29" s="140" t="s">
        <v>2748</v>
      </c>
      <c r="C29" s="1224"/>
      <c r="E29" s="151">
        <f>Application!AC899</f>
        <v>7500</v>
      </c>
      <c r="F29" s="151"/>
      <c r="G29" s="151">
        <f>$E$29</f>
        <v>7500</v>
      </c>
      <c r="H29" s="151"/>
      <c r="I29" s="151">
        <f>$E$29</f>
        <v>7500</v>
      </c>
      <c r="J29" s="151"/>
      <c r="K29" s="151">
        <f>$E$29</f>
        <v>7500</v>
      </c>
      <c r="L29" s="151"/>
      <c r="M29" s="151">
        <f>$E$29</f>
        <v>7500</v>
      </c>
      <c r="N29" s="151"/>
      <c r="O29" s="151">
        <f>$E$29</f>
        <v>7500</v>
      </c>
      <c r="P29" s="151"/>
      <c r="Q29" s="151">
        <f>$E$29</f>
        <v>7500</v>
      </c>
      <c r="R29" s="151"/>
      <c r="S29" s="151">
        <f>$E$29</f>
        <v>7500</v>
      </c>
      <c r="T29" s="151"/>
      <c r="U29" s="151">
        <f>$E$29</f>
        <v>7500</v>
      </c>
      <c r="V29" s="151"/>
      <c r="W29" s="151">
        <f>$E$29</f>
        <v>7500</v>
      </c>
      <c r="X29" s="151"/>
      <c r="Y29" s="151">
        <f>$E$29</f>
        <v>7500</v>
      </c>
      <c r="Z29" s="151"/>
      <c r="AA29" s="151">
        <f>$E$29</f>
        <v>7500</v>
      </c>
      <c r="AB29" s="151"/>
      <c r="AC29" s="151">
        <f>$E$29</f>
        <v>7500</v>
      </c>
      <c r="AD29" s="151"/>
      <c r="AE29" s="151">
        <f>$E$29</f>
        <v>7500</v>
      </c>
      <c r="AF29" s="151"/>
      <c r="AG29" s="151">
        <f>$E$29</f>
        <v>7500</v>
      </c>
    </row>
    <row r="30" spans="1:33" s="140" customFormat="1" ht="14">
      <c r="A30" s="140" t="s">
        <v>2749</v>
      </c>
      <c r="C30" s="1224">
        <v>1.0349999999999999</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2750</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Application!C903</f>
        <v>Other (Specify):</v>
      </c>
      <c r="C32" s="1226"/>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Application!C904</f>
        <v>Other (Specify):</v>
      </c>
      <c r="C33" s="1226"/>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1594</v>
      </c>
      <c r="C35" s="153"/>
      <c r="E35" s="152">
        <f>SUM(E22:E33)</f>
        <v>855000</v>
      </c>
      <c r="G35" s="152">
        <f>SUM(G22:G33)</f>
        <v>884383.25</v>
      </c>
      <c r="I35" s="152">
        <f>SUM(I22:I33)</f>
        <v>914786.53625</v>
      </c>
      <c r="K35" s="152">
        <f>SUM(K22:K33)</f>
        <v>946245.30869374983</v>
      </c>
      <c r="M35" s="152">
        <f>SUM(M22:M33)</f>
        <v>978796.2504832811</v>
      </c>
      <c r="O35" s="152">
        <f>SUM(O22:O33)</f>
        <v>1012477.3209150032</v>
      </c>
      <c r="Q35" s="152">
        <f>SUM(Q22:Q33)</f>
        <v>1047327.7998617801</v>
      </c>
      <c r="S35" s="152">
        <f>SUM(S22:S33)</f>
        <v>1083388.3337531365</v>
      </c>
      <c r="U35" s="152">
        <f>SUM(U22:U33)</f>
        <v>1120700.9831575765</v>
      </c>
      <c r="W35" s="152">
        <f>SUM(W22:W33)</f>
        <v>1159309.2720228638</v>
      </c>
      <c r="Y35" s="152">
        <f>SUM(Y22:Y33)</f>
        <v>1199258.2386320799</v>
      </c>
      <c r="AA35" s="152">
        <f>SUM(AA22:AA33)</f>
        <v>1240594.4883352709</v>
      </c>
      <c r="AC35" s="152">
        <f>SUM(AC22:AC33)</f>
        <v>1283366.2481186052</v>
      </c>
      <c r="AE35" s="152">
        <f>SUM(AE22:AE33)</f>
        <v>1327623.4230751044</v>
      </c>
      <c r="AG35" s="152">
        <f>SUM(AG22:AG33)</f>
        <v>1373417.6548432517</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2751</v>
      </c>
      <c r="C37" s="153"/>
      <c r="E37" s="152">
        <f>E11-E35</f>
        <v>2446257.6</v>
      </c>
      <c r="G37" s="152">
        <f>G11-G35</f>
        <v>2499508.8459999994</v>
      </c>
      <c r="I37" s="152">
        <f>I11-I35</f>
        <v>2553809.0098299994</v>
      </c>
      <c r="K37" s="152">
        <f>K11-K35</f>
        <v>2609174.458148649</v>
      </c>
      <c r="M37" s="152">
        <f>M11-M35</f>
        <v>2665621.62260389</v>
      </c>
      <c r="O37" s="152">
        <f>O11-O35</f>
        <v>2723166.98943527</v>
      </c>
      <c r="Q37" s="152">
        <f>Q11-Q35</f>
        <v>2781827.0883962503</v>
      </c>
      <c r="S37" s="152">
        <f>S11-S35</f>
        <v>2841618.4809648152</v>
      </c>
      <c r="U37" s="152">
        <f>U11-U35</f>
        <v>2902557.7478093985</v>
      </c>
      <c r="W37" s="152">
        <f>W11-W35</f>
        <v>2964661.4754757928</v>
      </c>
      <c r="Y37" s="152">
        <f>Y11-Y35</f>
        <v>3027946.2422592752</v>
      </c>
      <c r="AA37" s="152">
        <f>AA11-AA35</f>
        <v>3092428.6032247567</v>
      </c>
      <c r="AC37" s="152">
        <f>AC11-AC35</f>
        <v>3158125.0743362047</v>
      </c>
      <c r="AE37" s="152">
        <f>AE11-AE35</f>
        <v>3225052.1156550301</v>
      </c>
      <c r="AG37" s="152">
        <f>AG11-AG35</f>
        <v>3293226.1135655087</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2752</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
        <v>2785</v>
      </c>
      <c r="B40" s="155"/>
      <c r="C40" s="149"/>
      <c r="E40" s="151">
        <f>Application!AF635</f>
        <v>987867</v>
      </c>
      <c r="F40" s="151"/>
      <c r="G40" s="151">
        <f>$E$40</f>
        <v>987867</v>
      </c>
      <c r="H40" s="151"/>
      <c r="I40" s="151">
        <f>$E$40</f>
        <v>987867</v>
      </c>
      <c r="J40" s="151"/>
      <c r="K40" s="151">
        <f>$E$40</f>
        <v>987867</v>
      </c>
      <c r="L40" s="151"/>
      <c r="M40" s="151">
        <f>$E$40</f>
        <v>987867</v>
      </c>
      <c r="N40" s="151"/>
      <c r="O40" s="151">
        <f>$E$40</f>
        <v>987867</v>
      </c>
      <c r="P40" s="151"/>
      <c r="Q40" s="151">
        <f>$E$40</f>
        <v>987867</v>
      </c>
      <c r="R40" s="151"/>
      <c r="S40" s="151">
        <f>$E$40</f>
        <v>987867</v>
      </c>
      <c r="T40" s="151"/>
      <c r="U40" s="151">
        <f>$E$40</f>
        <v>987867</v>
      </c>
      <c r="V40" s="151"/>
      <c r="W40" s="151">
        <f>$E$40</f>
        <v>987867</v>
      </c>
      <c r="X40" s="151"/>
      <c r="Y40" s="151">
        <f>$E$40</f>
        <v>987867</v>
      </c>
      <c r="Z40" s="151"/>
      <c r="AA40" s="151">
        <f>$E$40</f>
        <v>987867</v>
      </c>
      <c r="AB40" s="151"/>
      <c r="AC40" s="151">
        <f>$E$40</f>
        <v>987867</v>
      </c>
      <c r="AD40" s="151"/>
      <c r="AE40" s="151">
        <f>$E$40</f>
        <v>987867</v>
      </c>
      <c r="AF40" s="151"/>
      <c r="AG40" s="151">
        <f>$E$40</f>
        <v>987867</v>
      </c>
    </row>
    <row r="41" spans="1:33" s="140" customFormat="1" ht="14">
      <c r="A41" s="154" t="s">
        <v>2786</v>
      </c>
      <c r="B41" s="155"/>
      <c r="C41" s="149"/>
      <c r="E41" s="151">
        <f>Application!AF636</f>
        <v>1139314</v>
      </c>
      <c r="F41" s="151"/>
      <c r="G41" s="151">
        <f>$E$41</f>
        <v>1139314</v>
      </c>
      <c r="H41" s="151"/>
      <c r="I41" s="151">
        <f>$E$41</f>
        <v>1139314</v>
      </c>
      <c r="J41" s="151"/>
      <c r="K41" s="151">
        <f>$E$41</f>
        <v>1139314</v>
      </c>
      <c r="L41" s="151"/>
      <c r="M41" s="151">
        <f>$E$41</f>
        <v>1139314</v>
      </c>
      <c r="N41" s="151"/>
      <c r="O41" s="151">
        <f>$E$41</f>
        <v>1139314</v>
      </c>
      <c r="P41" s="151"/>
      <c r="Q41" s="151">
        <f>$E$41</f>
        <v>1139314</v>
      </c>
      <c r="R41" s="151"/>
      <c r="S41" s="151">
        <f>$E$41</f>
        <v>1139314</v>
      </c>
      <c r="T41" s="151"/>
      <c r="U41" s="151">
        <f>$E$41</f>
        <v>1139314</v>
      </c>
      <c r="V41" s="151"/>
      <c r="W41" s="151">
        <f>$E$41</f>
        <v>1139314</v>
      </c>
      <c r="X41" s="151"/>
      <c r="Y41" s="151">
        <f>$E$41</f>
        <v>1139314</v>
      </c>
      <c r="Z41" s="151"/>
      <c r="AA41" s="151">
        <f>$E$41</f>
        <v>1139314</v>
      </c>
      <c r="AB41" s="151"/>
      <c r="AC41" s="151">
        <f>$E$41</f>
        <v>1139314</v>
      </c>
      <c r="AD41" s="151"/>
      <c r="AE41" s="151">
        <f>$E$41</f>
        <v>1139314</v>
      </c>
      <c r="AF41" s="151"/>
      <c r="AG41" s="151">
        <f>$E$41</f>
        <v>1139314</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2753</v>
      </c>
      <c r="C43" s="153"/>
      <c r="E43" s="152">
        <f>SUM(E40:E42)</f>
        <v>2127181</v>
      </c>
      <c r="G43" s="152">
        <f>SUM(G40:G42)</f>
        <v>2127181</v>
      </c>
      <c r="I43" s="152">
        <f>SUM(I40:I42)</f>
        <v>2127181</v>
      </c>
      <c r="K43" s="152">
        <f>SUM(K40:K42)</f>
        <v>2127181</v>
      </c>
      <c r="M43" s="152">
        <f>SUM(M40:M42)</f>
        <v>2127181</v>
      </c>
      <c r="O43" s="152">
        <f>SUM(O40:O42)</f>
        <v>2127181</v>
      </c>
      <c r="Q43" s="152">
        <f>SUM(Q40:Q42)</f>
        <v>2127181</v>
      </c>
      <c r="S43" s="152">
        <f>SUM(S40:S42)</f>
        <v>2127181</v>
      </c>
      <c r="U43" s="152">
        <f>SUM(U40:U42)</f>
        <v>2127181</v>
      </c>
      <c r="W43" s="152">
        <f>SUM(W40:W42)</f>
        <v>2127181</v>
      </c>
      <c r="Y43" s="152">
        <f>SUM(Y40:Y42)</f>
        <v>2127181</v>
      </c>
      <c r="AA43" s="152">
        <f>SUM(AA40:AA42)</f>
        <v>2127181</v>
      </c>
      <c r="AC43" s="152">
        <f>SUM(AC40:AC42)</f>
        <v>2127181</v>
      </c>
      <c r="AE43" s="152">
        <f>SUM(AE40:AE42)</f>
        <v>2127181</v>
      </c>
      <c r="AG43" s="152">
        <f>SUM(AG40:AG42)</f>
        <v>2127181</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2754</v>
      </c>
      <c r="C45" s="153"/>
      <c r="E45" s="152">
        <f>E37-E43</f>
        <v>319076.60000000009</v>
      </c>
      <c r="G45" s="152">
        <f>G37-G43</f>
        <v>372327.84599999944</v>
      </c>
      <c r="I45" s="152">
        <f>I37-I43</f>
        <v>426628.00982999941</v>
      </c>
      <c r="K45" s="152">
        <f>K37-K43</f>
        <v>481993.45814864896</v>
      </c>
      <c r="M45" s="152">
        <f>M37-M43</f>
        <v>538440.62260389002</v>
      </c>
      <c r="O45" s="152">
        <f>O37-O43</f>
        <v>595985.98943526996</v>
      </c>
      <c r="Q45" s="152">
        <f>Q37-Q43</f>
        <v>654646.08839625027</v>
      </c>
      <c r="S45" s="152">
        <f>S37-S43</f>
        <v>714437.48096481524</v>
      </c>
      <c r="U45" s="152">
        <f>U37-U43</f>
        <v>775376.74780939845</v>
      </c>
      <c r="W45" s="152">
        <f>W37-W43</f>
        <v>837480.47547579277</v>
      </c>
      <c r="Y45" s="152">
        <f>Y37-Y43</f>
        <v>900765.24225927517</v>
      </c>
      <c r="AA45" s="152">
        <f>AA37-AA43</f>
        <v>965247.60322475666</v>
      </c>
      <c r="AC45" s="152">
        <f>AC37-AC43</f>
        <v>1030944.0743362047</v>
      </c>
      <c r="AE45" s="152">
        <f>AE37-AE43</f>
        <v>1097871.1156550301</v>
      </c>
      <c r="AG45" s="152">
        <f>AG37-AG43</f>
        <v>1166045.1135655087</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2755</v>
      </c>
      <c r="C47" s="149"/>
      <c r="E47" s="156">
        <f>E45/(E4+E6+E8)</f>
        <v>9.1820392931469541E-2</v>
      </c>
      <c r="G47" s="156">
        <f>G45/(G4+G6+G8)</f>
        <v>0.1045279942933498</v>
      </c>
      <c r="I47" s="156">
        <f>I45/(I4+I6+I8)</f>
        <v>0.116847468652418</v>
      </c>
      <c r="K47" s="156">
        <f>K45/(K4+K6+K8)</f>
        <v>0.12878754556958436</v>
      </c>
      <c r="M47" s="156">
        <f>M45/(M4+M6+M8)</f>
        <v>0.14035673440499025</v>
      </c>
      <c r="O47" s="156">
        <f>O45/(O4+O6+O8)</f>
        <v>0.15156332962289387</v>
      </c>
      <c r="Q47" s="156">
        <f>Q45/(Q4+Q6+Q8)</f>
        <v>0.16241541596646158</v>
      </c>
      <c r="S47" s="156">
        <f>S45/(S4+S6+S8)</f>
        <v>0.17292087350562893</v>
      </c>
      <c r="U47" s="156">
        <f>U45/(U4+U6+U8)</f>
        <v>0.18308738256112295</v>
      </c>
      <c r="W47" s="156">
        <f>W45/(W4+W6+W8)</f>
        <v>0.19292242850766297</v>
      </c>
      <c r="Y47" s="156">
        <f>Y45/(Y4+Y6+Y8)</f>
        <v>0.20243330645927765</v>
      </c>
      <c r="AA47" s="156">
        <f>AA45/(AA4+AA6+AA8)</f>
        <v>0.21162712583961202</v>
      </c>
      <c r="AC47" s="156">
        <f>AC45/(AC4+AC6+AC8)</f>
        <v>0.22051081484002139</v>
      </c>
      <c r="AE47" s="156">
        <f>AE45/(AE4+AE6+AE8)</f>
        <v>0.22909112476818269</v>
      </c>
      <c r="AG47" s="156">
        <f>AG45/(AG4+AG6+AG8)</f>
        <v>0.23737463428989206</v>
      </c>
    </row>
    <row r="48" spans="1:33" s="156" customFormat="1" ht="14">
      <c r="A48" s="156" t="s">
        <v>2756</v>
      </c>
      <c r="C48" s="149"/>
      <c r="E48" s="156">
        <f>E45/E43</f>
        <v>0.14999974144184255</v>
      </c>
      <c r="G48" s="156">
        <f>G45/G43</f>
        <v>0.17503345789568422</v>
      </c>
      <c r="I48" s="156">
        <f>I45/I43</f>
        <v>0.20056027664312506</v>
      </c>
      <c r="K48" s="156">
        <f>K45/K43</f>
        <v>0.22658789174435506</v>
      </c>
      <c r="M48" s="156">
        <f>M45/M43</f>
        <v>0.25312402781140392</v>
      </c>
      <c r="O48" s="156">
        <f>O45/O43</f>
        <v>0.28017643512012846</v>
      </c>
      <c r="Q48" s="156">
        <f>Q45/Q43</f>
        <v>0.30775288440252629</v>
      </c>
      <c r="S48" s="156">
        <f>S45/S43</f>
        <v>0.33586116130447535</v>
      </c>
      <c r="U48" s="156">
        <f>U45/U43</f>
        <v>0.36450906049339404</v>
      </c>
      <c r="W48" s="156">
        <f>W45/W43</f>
        <v>0.39370437939968095</v>
      </c>
      <c r="Y48" s="156">
        <f>Y45/Y43</f>
        <v>0.42345491157511994</v>
      </c>
      <c r="AA48" s="156">
        <f>AA45/AA43</f>
        <v>0.4537684396507663</v>
      </c>
      <c r="AC48" s="156">
        <f>AC45/AC43</f>
        <v>0.48465272787609737</v>
      </c>
      <c r="AE48" s="156">
        <f>AE45/AE43</f>
        <v>0.51611551422047774</v>
      </c>
      <c r="AG48" s="156">
        <f>AG45/AG43</f>
        <v>0.54816450201722788</v>
      </c>
    </row>
    <row r="49" spans="1:16384" s="157" customFormat="1" ht="14">
      <c r="A49" s="157" t="s">
        <v>2296</v>
      </c>
      <c r="C49" s="158"/>
      <c r="E49" s="157">
        <f>E37/E43</f>
        <v>1.1499997414418426</v>
      </c>
      <c r="G49" s="157">
        <f>G37/G43</f>
        <v>1.1750334578956843</v>
      </c>
      <c r="I49" s="157">
        <f>I37/I43</f>
        <v>1.2005602766431251</v>
      </c>
      <c r="K49" s="157">
        <f>K37/K43</f>
        <v>1.2265878917443551</v>
      </c>
      <c r="M49" s="157">
        <f>M37/M43</f>
        <v>1.253124027811404</v>
      </c>
      <c r="O49" s="157">
        <f>O37/O43</f>
        <v>1.2801764351201284</v>
      </c>
      <c r="Q49" s="157">
        <f>Q37/Q43</f>
        <v>1.3077528844025263</v>
      </c>
      <c r="S49" s="157">
        <f>S37/S43</f>
        <v>1.3358611613044753</v>
      </c>
      <c r="U49" s="157">
        <f>U37/U43</f>
        <v>1.364509060493394</v>
      </c>
      <c r="W49" s="157">
        <f>W37/W43</f>
        <v>1.3937043793996811</v>
      </c>
      <c r="Y49" s="157">
        <f>Y37/Y43</f>
        <v>1.4234549115751198</v>
      </c>
      <c r="AA49" s="157">
        <f>AA37/AA43</f>
        <v>1.4537684396507662</v>
      </c>
      <c r="AC49" s="157">
        <f>AC37/AC43</f>
        <v>1.4846527278760975</v>
      </c>
      <c r="AE49" s="157">
        <f>AE37/AE43</f>
        <v>1.5161155142204779</v>
      </c>
      <c r="AG49" s="157">
        <f>AG37/AG43</f>
        <v>1.5481645020172279</v>
      </c>
    </row>
    <row r="50" spans="1:1638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16384" s="3" customFormat="1">
      <c r="A51" s="3" t="s">
        <v>2757</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16384" s="3" customFormat="1">
      <c r="A52" s="2617" t="s">
        <v>1043</v>
      </c>
      <c r="B52" s="2617"/>
      <c r="C52" s="2617"/>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16384" s="852" customFormat="1">
      <c r="A53" s="852" t="s">
        <v>2065</v>
      </c>
      <c r="C53" s="853">
        <v>1.0349999999999999</v>
      </c>
      <c r="E53" s="854">
        <v>11300</v>
      </c>
      <c r="G53" s="850">
        <f>E53*$C$53</f>
        <v>11695.5</v>
      </c>
      <c r="I53" s="850">
        <f>G53*$C$53</f>
        <v>12104.842499999999</v>
      </c>
      <c r="K53" s="850">
        <f>I53*$C$53</f>
        <v>12528.511987499998</v>
      </c>
      <c r="M53" s="850">
        <f>K53*$C$53</f>
        <v>12967.009907062496</v>
      </c>
      <c r="O53" s="850">
        <f>M53*$C$53</f>
        <v>13420.855253809683</v>
      </c>
      <c r="Q53" s="850">
        <f>O53*$C$53</f>
        <v>13890.585187693021</v>
      </c>
      <c r="S53" s="850">
        <f>Q53*$C$53</f>
        <v>14376.755669262275</v>
      </c>
      <c r="U53" s="850">
        <f>S53*$C$53</f>
        <v>14879.942117686453</v>
      </c>
      <c r="W53" s="850">
        <f>U53*$C$53</f>
        <v>15400.740091805477</v>
      </c>
      <c r="Y53" s="850">
        <f>W53*$C$53</f>
        <v>15939.765995018668</v>
      </c>
      <c r="AA53" s="850">
        <f>Y53*$C$53</f>
        <v>16497.657804844319</v>
      </c>
      <c r="AC53" s="850">
        <f>AA53*$C$53</f>
        <v>17075.075828013869</v>
      </c>
      <c r="AE53" s="850">
        <f>AC53*$C$53</f>
        <v>17672.703481994355</v>
      </c>
      <c r="AG53" s="850">
        <f>AE53*$C$53</f>
        <v>18291.248103864156</v>
      </c>
    </row>
    <row r="54" spans="1:16384" s="3" customFormat="1">
      <c r="A54" s="3" t="s">
        <v>2758</v>
      </c>
      <c r="C54" s="848"/>
      <c r="E54" s="855">
        <v>5000</v>
      </c>
      <c r="F54" s="850"/>
      <c r="G54" s="850">
        <f t="shared" ref="G54:AG57" si="14">E54*$C$53</f>
        <v>5175</v>
      </c>
      <c r="H54" s="850"/>
      <c r="I54" s="850">
        <f t="shared" si="14"/>
        <v>5356.125</v>
      </c>
      <c r="J54" s="850"/>
      <c r="K54" s="850">
        <f t="shared" si="14"/>
        <v>5543.5893749999996</v>
      </c>
      <c r="L54" s="850"/>
      <c r="M54" s="850">
        <f t="shared" si="14"/>
        <v>5737.615003124999</v>
      </c>
      <c r="N54" s="850"/>
      <c r="O54" s="850">
        <f t="shared" si="14"/>
        <v>5938.4315282343732</v>
      </c>
      <c r="P54" s="850"/>
      <c r="Q54" s="850">
        <f t="shared" si="14"/>
        <v>6146.276631722576</v>
      </c>
      <c r="R54" s="850"/>
      <c r="S54" s="850">
        <f t="shared" si="14"/>
        <v>6361.3963138328654</v>
      </c>
      <c r="T54" s="850"/>
      <c r="U54" s="850">
        <f t="shared" si="14"/>
        <v>6584.0451848170151</v>
      </c>
      <c r="V54" s="850"/>
      <c r="W54" s="850">
        <f t="shared" si="14"/>
        <v>6814.4867662856104</v>
      </c>
      <c r="X54" s="850"/>
      <c r="Y54" s="850">
        <f t="shared" si="14"/>
        <v>7052.9938031056063</v>
      </c>
      <c r="Z54" s="850"/>
      <c r="AA54" s="850">
        <f t="shared" si="14"/>
        <v>7299.8485862143016</v>
      </c>
      <c r="AB54" s="850"/>
      <c r="AC54" s="850">
        <f t="shared" si="14"/>
        <v>7555.3432867318015</v>
      </c>
      <c r="AD54" s="850"/>
      <c r="AE54" s="850">
        <f t="shared" si="14"/>
        <v>7819.7803017674141</v>
      </c>
      <c r="AF54" s="850"/>
      <c r="AG54" s="850">
        <f t="shared" si="14"/>
        <v>8093.472612329273</v>
      </c>
      <c r="AH54" s="850"/>
    </row>
    <row r="55" spans="1:16384" s="3" customFormat="1">
      <c r="A55" s="3" t="s">
        <v>2759</v>
      </c>
      <c r="C55" s="848"/>
      <c r="E55" s="855"/>
      <c r="F55" s="850"/>
      <c r="G55" s="850">
        <f t="shared" si="14"/>
        <v>0</v>
      </c>
      <c r="H55" s="850"/>
      <c r="I55" s="850">
        <f t="shared" si="14"/>
        <v>0</v>
      </c>
      <c r="J55" s="850"/>
      <c r="K55" s="850">
        <f t="shared" si="14"/>
        <v>0</v>
      </c>
      <c r="L55" s="850"/>
      <c r="M55" s="850">
        <f t="shared" si="14"/>
        <v>0</v>
      </c>
      <c r="N55" s="850"/>
      <c r="O55" s="850">
        <f t="shared" si="14"/>
        <v>0</v>
      </c>
      <c r="P55" s="850"/>
      <c r="Q55" s="850">
        <f t="shared" si="14"/>
        <v>0</v>
      </c>
      <c r="R55" s="850"/>
      <c r="S55" s="850">
        <f t="shared" si="14"/>
        <v>0</v>
      </c>
      <c r="T55" s="850"/>
      <c r="U55" s="850">
        <f t="shared" si="14"/>
        <v>0</v>
      </c>
      <c r="V55" s="850"/>
      <c r="W55" s="850">
        <f t="shared" si="14"/>
        <v>0</v>
      </c>
      <c r="X55" s="850"/>
      <c r="Y55" s="850">
        <f t="shared" si="14"/>
        <v>0</v>
      </c>
      <c r="Z55" s="850"/>
      <c r="AA55" s="850">
        <f t="shared" si="14"/>
        <v>0</v>
      </c>
      <c r="AB55" s="850"/>
      <c r="AC55" s="850">
        <f t="shared" si="14"/>
        <v>0</v>
      </c>
      <c r="AD55" s="850"/>
      <c r="AE55" s="850">
        <f t="shared" si="14"/>
        <v>0</v>
      </c>
      <c r="AF55" s="850"/>
      <c r="AG55" s="850">
        <f t="shared" si="14"/>
        <v>0</v>
      </c>
      <c r="AH55" s="850"/>
    </row>
    <row r="56" spans="1:16384" s="850" customFormat="1">
      <c r="A56" s="856" t="s">
        <v>2787</v>
      </c>
      <c r="B56" s="856"/>
      <c r="C56" s="848">
        <v>1.03</v>
      </c>
      <c r="D56" s="3"/>
      <c r="E56" s="855">
        <v>10000</v>
      </c>
      <c r="G56" s="850">
        <f>E56*$C$56</f>
        <v>10300</v>
      </c>
      <c r="I56" s="850">
        <f>G56*$C$56</f>
        <v>10609</v>
      </c>
      <c r="K56" s="850">
        <f t="shared" ref="K56:BU56" si="15">I56*$C$56</f>
        <v>10927.27</v>
      </c>
      <c r="M56" s="850">
        <f t="shared" si="15"/>
        <v>11255.088100000001</v>
      </c>
      <c r="O56" s="850">
        <f t="shared" si="15"/>
        <v>11592.740743</v>
      </c>
      <c r="Q56" s="850">
        <f t="shared" si="15"/>
        <v>11940.52296529</v>
      </c>
      <c r="S56" s="850">
        <f t="shared" si="15"/>
        <v>12298.7386542487</v>
      </c>
      <c r="U56" s="850">
        <f t="shared" si="15"/>
        <v>12667.700813876161</v>
      </c>
      <c r="W56" s="850">
        <f t="shared" si="15"/>
        <v>13047.731838292446</v>
      </c>
      <c r="Y56" s="850">
        <f t="shared" si="15"/>
        <v>13439.163793441219</v>
      </c>
      <c r="AA56" s="850">
        <f t="shared" si="15"/>
        <v>13842.338707244457</v>
      </c>
      <c r="AC56" s="850">
        <f t="shared" si="15"/>
        <v>14257.60886846179</v>
      </c>
      <c r="AE56" s="850">
        <f t="shared" si="15"/>
        <v>14685.337134515645</v>
      </c>
      <c r="AG56" s="850">
        <f t="shared" si="15"/>
        <v>15125.897248551115</v>
      </c>
      <c r="AI56" s="850">
        <f t="shared" si="15"/>
        <v>15579.67416600765</v>
      </c>
      <c r="AJ56" s="850">
        <f t="shared" si="15"/>
        <v>0</v>
      </c>
      <c r="AK56" s="850">
        <f t="shared" si="15"/>
        <v>16047.06439098788</v>
      </c>
      <c r="AL56" s="850">
        <f t="shared" si="15"/>
        <v>0</v>
      </c>
      <c r="AM56" s="850">
        <f t="shared" si="15"/>
        <v>16528.476322717517</v>
      </c>
      <c r="AN56" s="850">
        <f t="shared" si="15"/>
        <v>0</v>
      </c>
      <c r="AO56" s="850">
        <f t="shared" si="15"/>
        <v>17024.330612399044</v>
      </c>
      <c r="AP56" s="850">
        <f t="shared" si="15"/>
        <v>0</v>
      </c>
      <c r="AQ56" s="850">
        <f t="shared" si="15"/>
        <v>17535.060530771018</v>
      </c>
      <c r="AR56" s="850">
        <f t="shared" si="15"/>
        <v>0</v>
      </c>
      <c r="AS56" s="850">
        <f t="shared" si="15"/>
        <v>18061.11234669415</v>
      </c>
      <c r="AT56" s="850">
        <f t="shared" si="15"/>
        <v>0</v>
      </c>
      <c r="AU56" s="850">
        <f t="shared" si="15"/>
        <v>18602.945717094975</v>
      </c>
      <c r="AV56" s="850">
        <f t="shared" si="15"/>
        <v>0</v>
      </c>
      <c r="AW56" s="850">
        <f t="shared" si="15"/>
        <v>19161.034088607827</v>
      </c>
      <c r="AX56" s="850">
        <f t="shared" si="15"/>
        <v>0</v>
      </c>
      <c r="AY56" s="850">
        <f t="shared" si="15"/>
        <v>19735.865111266063</v>
      </c>
      <c r="AZ56" s="850">
        <f t="shared" si="15"/>
        <v>0</v>
      </c>
      <c r="BA56" s="850">
        <f t="shared" si="15"/>
        <v>20327.941064604045</v>
      </c>
      <c r="BB56" s="850">
        <f t="shared" si="15"/>
        <v>0</v>
      </c>
      <c r="BC56" s="850">
        <f t="shared" si="15"/>
        <v>20937.779296542169</v>
      </c>
      <c r="BD56" s="850">
        <f t="shared" si="15"/>
        <v>0</v>
      </c>
      <c r="BE56" s="850">
        <f t="shared" si="15"/>
        <v>21565.912675438434</v>
      </c>
      <c r="BF56" s="850">
        <f t="shared" si="15"/>
        <v>0</v>
      </c>
      <c r="BG56" s="850">
        <f t="shared" si="15"/>
        <v>22212.890055701588</v>
      </c>
      <c r="BH56" s="850">
        <f t="shared" si="15"/>
        <v>0</v>
      </c>
      <c r="BI56" s="850">
        <f t="shared" si="15"/>
        <v>22879.276757372634</v>
      </c>
      <c r="BJ56" s="850">
        <f t="shared" si="15"/>
        <v>0</v>
      </c>
      <c r="BK56" s="850">
        <f t="shared" si="15"/>
        <v>23565.655060093814</v>
      </c>
      <c r="BL56" s="850">
        <f t="shared" si="15"/>
        <v>0</v>
      </c>
      <c r="BM56" s="850">
        <f t="shared" si="15"/>
        <v>24272.624711896628</v>
      </c>
      <c r="BN56" s="850">
        <f t="shared" si="15"/>
        <v>0</v>
      </c>
      <c r="BO56" s="850">
        <f t="shared" si="15"/>
        <v>25000.803453253528</v>
      </c>
      <c r="BP56" s="850">
        <f t="shared" si="15"/>
        <v>0</v>
      </c>
      <c r="BQ56" s="850">
        <f t="shared" si="15"/>
        <v>25750.827556851134</v>
      </c>
      <c r="BR56" s="850">
        <f t="shared" si="15"/>
        <v>0</v>
      </c>
      <c r="BS56" s="850">
        <f t="shared" si="15"/>
        <v>26523.35238355667</v>
      </c>
      <c r="BT56" s="850">
        <f t="shared" si="15"/>
        <v>0</v>
      </c>
      <c r="BU56" s="850">
        <f t="shared" si="15"/>
        <v>27319.052955063373</v>
      </c>
      <c r="BV56" s="850">
        <f t="shared" ref="BV56:EG56" si="16">BT56*$C$56</f>
        <v>0</v>
      </c>
      <c r="BW56" s="850">
        <f t="shared" si="16"/>
        <v>28138.624543715276</v>
      </c>
      <c r="BX56" s="850">
        <f t="shared" si="16"/>
        <v>0</v>
      </c>
      <c r="BY56" s="850">
        <f t="shared" si="16"/>
        <v>28982.783280026735</v>
      </c>
      <c r="BZ56" s="850">
        <f t="shared" si="16"/>
        <v>0</v>
      </c>
      <c r="CA56" s="850">
        <f t="shared" si="16"/>
        <v>29852.266778427536</v>
      </c>
      <c r="CB56" s="850">
        <f t="shared" si="16"/>
        <v>0</v>
      </c>
      <c r="CC56" s="850">
        <f t="shared" si="16"/>
        <v>30747.834781780362</v>
      </c>
      <c r="CD56" s="850">
        <f t="shared" si="16"/>
        <v>0</v>
      </c>
      <c r="CE56" s="850">
        <f t="shared" si="16"/>
        <v>31670.269825233772</v>
      </c>
      <c r="CF56" s="850">
        <f t="shared" si="16"/>
        <v>0</v>
      </c>
      <c r="CG56" s="850">
        <f t="shared" si="16"/>
        <v>32620.377919990788</v>
      </c>
      <c r="CH56" s="850">
        <f t="shared" si="16"/>
        <v>0</v>
      </c>
      <c r="CI56" s="850">
        <f t="shared" si="16"/>
        <v>33598.989257590511</v>
      </c>
      <c r="CJ56" s="850">
        <f t="shared" si="16"/>
        <v>0</v>
      </c>
      <c r="CK56" s="850">
        <f t="shared" si="16"/>
        <v>34606.958935318224</v>
      </c>
      <c r="CL56" s="850">
        <f t="shared" si="16"/>
        <v>0</v>
      </c>
      <c r="CM56" s="850">
        <f t="shared" si="16"/>
        <v>35645.167703377774</v>
      </c>
      <c r="CN56" s="850">
        <f t="shared" si="16"/>
        <v>0</v>
      </c>
      <c r="CO56" s="850">
        <f t="shared" si="16"/>
        <v>36714.522734479106</v>
      </c>
      <c r="CP56" s="850">
        <f t="shared" si="16"/>
        <v>0</v>
      </c>
      <c r="CQ56" s="850">
        <f t="shared" si="16"/>
        <v>37815.95841651348</v>
      </c>
      <c r="CR56" s="850">
        <f t="shared" si="16"/>
        <v>0</v>
      </c>
      <c r="CS56" s="850">
        <f t="shared" si="16"/>
        <v>38950.437169008888</v>
      </c>
      <c r="CT56" s="850">
        <f t="shared" si="16"/>
        <v>0</v>
      </c>
      <c r="CU56" s="850">
        <f t="shared" si="16"/>
        <v>40118.950284079154</v>
      </c>
      <c r="CV56" s="850">
        <f t="shared" si="16"/>
        <v>0</v>
      </c>
      <c r="CW56" s="850">
        <f t="shared" si="16"/>
        <v>41322.518792601528</v>
      </c>
      <c r="CX56" s="850">
        <f t="shared" si="16"/>
        <v>0</v>
      </c>
      <c r="CY56" s="850">
        <f t="shared" si="16"/>
        <v>42562.194356379572</v>
      </c>
      <c r="CZ56" s="850">
        <f t="shared" si="16"/>
        <v>0</v>
      </c>
      <c r="DA56" s="850">
        <f t="shared" si="16"/>
        <v>43839.060187070958</v>
      </c>
      <c r="DB56" s="850">
        <f t="shared" si="16"/>
        <v>0</v>
      </c>
      <c r="DC56" s="850">
        <f t="shared" si="16"/>
        <v>45154.23199268309</v>
      </c>
      <c r="DD56" s="850">
        <f t="shared" si="16"/>
        <v>0</v>
      </c>
      <c r="DE56" s="850">
        <f t="shared" si="16"/>
        <v>46508.858952463583</v>
      </c>
      <c r="DF56" s="850">
        <f t="shared" si="16"/>
        <v>0</v>
      </c>
      <c r="DG56" s="850">
        <f t="shared" si="16"/>
        <v>47904.124721037493</v>
      </c>
      <c r="DH56" s="850">
        <f t="shared" si="16"/>
        <v>0</v>
      </c>
      <c r="DI56" s="850">
        <f t="shared" si="16"/>
        <v>49341.24846266862</v>
      </c>
      <c r="DJ56" s="850">
        <f t="shared" si="16"/>
        <v>0</v>
      </c>
      <c r="DK56" s="850">
        <f t="shared" si="16"/>
        <v>50821.485916548678</v>
      </c>
      <c r="DL56" s="850">
        <f t="shared" si="16"/>
        <v>0</v>
      </c>
      <c r="DM56" s="850">
        <f t="shared" si="16"/>
        <v>52346.130494045137</v>
      </c>
      <c r="DN56" s="850">
        <f t="shared" si="16"/>
        <v>0</v>
      </c>
      <c r="DO56" s="850">
        <f t="shared" si="16"/>
        <v>53916.514408866489</v>
      </c>
      <c r="DP56" s="850">
        <f t="shared" si="16"/>
        <v>0</v>
      </c>
      <c r="DQ56" s="850">
        <f t="shared" si="16"/>
        <v>55534.009841132487</v>
      </c>
      <c r="DR56" s="850">
        <f t="shared" si="16"/>
        <v>0</v>
      </c>
      <c r="DS56" s="850">
        <f t="shared" si="16"/>
        <v>57200.030136366462</v>
      </c>
      <c r="DT56" s="850">
        <f t="shared" si="16"/>
        <v>0</v>
      </c>
      <c r="DU56" s="850">
        <f t="shared" si="16"/>
        <v>58916.031040457456</v>
      </c>
      <c r="DV56" s="850">
        <f t="shared" si="16"/>
        <v>0</v>
      </c>
      <c r="DW56" s="850">
        <f t="shared" si="16"/>
        <v>60683.511971671178</v>
      </c>
      <c r="DX56" s="850">
        <f t="shared" si="16"/>
        <v>0</v>
      </c>
      <c r="DY56" s="850">
        <f t="shared" si="16"/>
        <v>62504.017330821312</v>
      </c>
      <c r="DZ56" s="850">
        <f t="shared" si="16"/>
        <v>0</v>
      </c>
      <c r="EA56" s="850">
        <f t="shared" si="16"/>
        <v>64379.137850745952</v>
      </c>
      <c r="EB56" s="850">
        <f t="shared" si="16"/>
        <v>0</v>
      </c>
      <c r="EC56" s="850">
        <f t="shared" si="16"/>
        <v>66310.511986268335</v>
      </c>
      <c r="ED56" s="850">
        <f t="shared" si="16"/>
        <v>0</v>
      </c>
      <c r="EE56" s="850">
        <f t="shared" si="16"/>
        <v>68299.827345856393</v>
      </c>
      <c r="EF56" s="850">
        <f t="shared" si="16"/>
        <v>0</v>
      </c>
      <c r="EG56" s="850">
        <f t="shared" si="16"/>
        <v>70348.822166232087</v>
      </c>
      <c r="EH56" s="850">
        <f t="shared" ref="EH56:GS56" si="17">EF56*$C$56</f>
        <v>0</v>
      </c>
      <c r="EI56" s="850">
        <f t="shared" si="17"/>
        <v>72459.286831219055</v>
      </c>
      <c r="EJ56" s="850">
        <f t="shared" si="17"/>
        <v>0</v>
      </c>
      <c r="EK56" s="850">
        <f t="shared" si="17"/>
        <v>74633.065436155623</v>
      </c>
      <c r="EL56" s="850">
        <f t="shared" si="17"/>
        <v>0</v>
      </c>
      <c r="EM56" s="850">
        <f t="shared" si="17"/>
        <v>76872.057399240293</v>
      </c>
      <c r="EN56" s="850">
        <f t="shared" si="17"/>
        <v>0</v>
      </c>
      <c r="EO56" s="850">
        <f t="shared" si="17"/>
        <v>79178.219121217509</v>
      </c>
      <c r="EP56" s="850">
        <f t="shared" si="17"/>
        <v>0</v>
      </c>
      <c r="EQ56" s="850">
        <f t="shared" si="17"/>
        <v>81553.565694854042</v>
      </c>
      <c r="ER56" s="850">
        <f t="shared" si="17"/>
        <v>0</v>
      </c>
      <c r="ES56" s="850">
        <f t="shared" si="17"/>
        <v>84000.172665699662</v>
      </c>
      <c r="ET56" s="850">
        <f t="shared" si="17"/>
        <v>0</v>
      </c>
      <c r="EU56" s="850">
        <f t="shared" si="17"/>
        <v>86520.177845670652</v>
      </c>
      <c r="EV56" s="850">
        <f t="shared" si="17"/>
        <v>0</v>
      </c>
      <c r="EW56" s="850">
        <f t="shared" si="17"/>
        <v>89115.783181040781</v>
      </c>
      <c r="EX56" s="850">
        <f t="shared" si="17"/>
        <v>0</v>
      </c>
      <c r="EY56" s="850">
        <f t="shared" si="17"/>
        <v>91789.25667647201</v>
      </c>
      <c r="EZ56" s="850">
        <f t="shared" si="17"/>
        <v>0</v>
      </c>
      <c r="FA56" s="850">
        <f t="shared" si="17"/>
        <v>94542.934376766178</v>
      </c>
      <c r="FB56" s="850">
        <f t="shared" si="17"/>
        <v>0</v>
      </c>
      <c r="FC56" s="850">
        <f t="shared" si="17"/>
        <v>97379.222408069167</v>
      </c>
      <c r="FD56" s="850">
        <f t="shared" si="17"/>
        <v>0</v>
      </c>
      <c r="FE56" s="850">
        <f t="shared" si="17"/>
        <v>100300.59908031125</v>
      </c>
      <c r="FF56" s="850">
        <f t="shared" si="17"/>
        <v>0</v>
      </c>
      <c r="FG56" s="850">
        <f t="shared" si="17"/>
        <v>103309.6170527206</v>
      </c>
      <c r="FH56" s="850">
        <f t="shared" si="17"/>
        <v>0</v>
      </c>
      <c r="FI56" s="850">
        <f t="shared" si="17"/>
        <v>106408.90556430221</v>
      </c>
      <c r="FJ56" s="850">
        <f t="shared" si="17"/>
        <v>0</v>
      </c>
      <c r="FK56" s="850">
        <f t="shared" si="17"/>
        <v>109601.17273123129</v>
      </c>
      <c r="FL56" s="850">
        <f t="shared" si="17"/>
        <v>0</v>
      </c>
      <c r="FM56" s="850">
        <f t="shared" si="17"/>
        <v>112889.20791316823</v>
      </c>
      <c r="FN56" s="850">
        <f t="shared" si="17"/>
        <v>0</v>
      </c>
      <c r="FO56" s="850">
        <f t="shared" si="17"/>
        <v>116275.88415056327</v>
      </c>
      <c r="FP56" s="850">
        <f t="shared" si="17"/>
        <v>0</v>
      </c>
      <c r="FQ56" s="850">
        <f t="shared" si="17"/>
        <v>119764.16067508017</v>
      </c>
      <c r="FR56" s="850">
        <f t="shared" si="17"/>
        <v>0</v>
      </c>
      <c r="FS56" s="850">
        <f t="shared" si="17"/>
        <v>123357.08549533258</v>
      </c>
      <c r="FT56" s="850">
        <f t="shared" si="17"/>
        <v>0</v>
      </c>
      <c r="FU56" s="850">
        <f t="shared" si="17"/>
        <v>127057.79806019255</v>
      </c>
      <c r="FV56" s="850">
        <f t="shared" si="17"/>
        <v>0</v>
      </c>
      <c r="FW56" s="850">
        <f t="shared" si="17"/>
        <v>130869.53200199833</v>
      </c>
      <c r="FX56" s="850">
        <f t="shared" si="17"/>
        <v>0</v>
      </c>
      <c r="FY56" s="850">
        <f t="shared" si="17"/>
        <v>134795.61796205828</v>
      </c>
      <c r="FZ56" s="850">
        <f t="shared" si="17"/>
        <v>0</v>
      </c>
      <c r="GA56" s="850">
        <f t="shared" si="17"/>
        <v>138839.48650092003</v>
      </c>
      <c r="GB56" s="850">
        <f t="shared" si="17"/>
        <v>0</v>
      </c>
      <c r="GC56" s="850">
        <f t="shared" si="17"/>
        <v>143004.67109594765</v>
      </c>
      <c r="GD56" s="850">
        <f t="shared" si="17"/>
        <v>0</v>
      </c>
      <c r="GE56" s="850">
        <f t="shared" si="17"/>
        <v>147294.81122882609</v>
      </c>
      <c r="GF56" s="850">
        <f t="shared" si="17"/>
        <v>0</v>
      </c>
      <c r="GG56" s="850">
        <f t="shared" si="17"/>
        <v>151713.65556569089</v>
      </c>
      <c r="GH56" s="850">
        <f t="shared" si="17"/>
        <v>0</v>
      </c>
      <c r="GI56" s="850">
        <f t="shared" si="17"/>
        <v>156265.06523266161</v>
      </c>
      <c r="GJ56" s="850">
        <f t="shared" si="17"/>
        <v>0</v>
      </c>
      <c r="GK56" s="850">
        <f t="shared" si="17"/>
        <v>160953.01718964145</v>
      </c>
      <c r="GL56" s="850">
        <f t="shared" si="17"/>
        <v>0</v>
      </c>
      <c r="GM56" s="850">
        <f t="shared" si="17"/>
        <v>165781.60770533071</v>
      </c>
      <c r="GN56" s="850">
        <f t="shared" si="17"/>
        <v>0</v>
      </c>
      <c r="GO56" s="850">
        <f t="shared" si="17"/>
        <v>170755.05593649062</v>
      </c>
      <c r="GP56" s="850">
        <f t="shared" si="17"/>
        <v>0</v>
      </c>
      <c r="GQ56" s="850">
        <f t="shared" si="17"/>
        <v>175877.70761458535</v>
      </c>
      <c r="GR56" s="850">
        <f t="shared" si="17"/>
        <v>0</v>
      </c>
      <c r="GS56" s="850">
        <f t="shared" si="17"/>
        <v>181154.03884302292</v>
      </c>
      <c r="GT56" s="850">
        <f t="shared" ref="GT56:JE56" si="18">GR56*$C$56</f>
        <v>0</v>
      </c>
      <c r="GU56" s="850">
        <f t="shared" si="18"/>
        <v>186588.6600083136</v>
      </c>
      <c r="GV56" s="850">
        <f t="shared" si="18"/>
        <v>0</v>
      </c>
      <c r="GW56" s="850">
        <f t="shared" si="18"/>
        <v>192186.31980856301</v>
      </c>
      <c r="GX56" s="850">
        <f t="shared" si="18"/>
        <v>0</v>
      </c>
      <c r="GY56" s="850">
        <f t="shared" si="18"/>
        <v>197951.9094028199</v>
      </c>
      <c r="GZ56" s="850">
        <f t="shared" si="18"/>
        <v>0</v>
      </c>
      <c r="HA56" s="850">
        <f t="shared" si="18"/>
        <v>203890.4666849045</v>
      </c>
      <c r="HB56" s="850">
        <f t="shared" si="18"/>
        <v>0</v>
      </c>
      <c r="HC56" s="850">
        <f t="shared" si="18"/>
        <v>210007.18068545163</v>
      </c>
      <c r="HD56" s="850">
        <f t="shared" si="18"/>
        <v>0</v>
      </c>
      <c r="HE56" s="850">
        <f t="shared" si="18"/>
        <v>216307.39610601519</v>
      </c>
      <c r="HF56" s="850">
        <f t="shared" si="18"/>
        <v>0</v>
      </c>
      <c r="HG56" s="850">
        <f t="shared" si="18"/>
        <v>222796.61798919566</v>
      </c>
      <c r="HH56" s="850">
        <f t="shared" si="18"/>
        <v>0</v>
      </c>
      <c r="HI56" s="850">
        <f t="shared" si="18"/>
        <v>229480.51652887152</v>
      </c>
      <c r="HJ56" s="850">
        <f t="shared" si="18"/>
        <v>0</v>
      </c>
      <c r="HK56" s="850">
        <f t="shared" si="18"/>
        <v>236364.93202473767</v>
      </c>
      <c r="HL56" s="850">
        <f t="shared" si="18"/>
        <v>0</v>
      </c>
      <c r="HM56" s="850">
        <f t="shared" si="18"/>
        <v>243455.87998547981</v>
      </c>
      <c r="HN56" s="850">
        <f t="shared" si="18"/>
        <v>0</v>
      </c>
      <c r="HO56" s="850">
        <f t="shared" si="18"/>
        <v>250759.55638504421</v>
      </c>
      <c r="HP56" s="850">
        <f t="shared" si="18"/>
        <v>0</v>
      </c>
      <c r="HQ56" s="850">
        <f t="shared" si="18"/>
        <v>258282.34307659554</v>
      </c>
      <c r="HR56" s="850">
        <f t="shared" si="18"/>
        <v>0</v>
      </c>
      <c r="HS56" s="850">
        <f t="shared" si="18"/>
        <v>266030.8133688934</v>
      </c>
      <c r="HT56" s="850">
        <f t="shared" si="18"/>
        <v>0</v>
      </c>
      <c r="HU56" s="850">
        <f t="shared" si="18"/>
        <v>274011.73776996019</v>
      </c>
      <c r="HV56" s="850">
        <f t="shared" si="18"/>
        <v>0</v>
      </c>
      <c r="HW56" s="850">
        <f t="shared" si="18"/>
        <v>282232.08990305901</v>
      </c>
      <c r="HX56" s="850">
        <f t="shared" si="18"/>
        <v>0</v>
      </c>
      <c r="HY56" s="850">
        <f t="shared" si="18"/>
        <v>290699.05260015081</v>
      </c>
      <c r="HZ56" s="850">
        <f t="shared" si="18"/>
        <v>0</v>
      </c>
      <c r="IA56" s="850">
        <f t="shared" si="18"/>
        <v>299420.02417815535</v>
      </c>
      <c r="IB56" s="850">
        <f t="shared" si="18"/>
        <v>0</v>
      </c>
      <c r="IC56" s="850">
        <f t="shared" si="18"/>
        <v>308402.62490350002</v>
      </c>
      <c r="ID56" s="850">
        <f t="shared" si="18"/>
        <v>0</v>
      </c>
      <c r="IE56" s="850">
        <f t="shared" si="18"/>
        <v>317654.70365060505</v>
      </c>
      <c r="IF56" s="850">
        <f t="shared" si="18"/>
        <v>0</v>
      </c>
      <c r="IG56" s="850">
        <f t="shared" si="18"/>
        <v>327184.34476012323</v>
      </c>
      <c r="IH56" s="850">
        <f t="shared" si="18"/>
        <v>0</v>
      </c>
      <c r="II56" s="850">
        <f t="shared" si="18"/>
        <v>336999.87510292692</v>
      </c>
      <c r="IJ56" s="850">
        <f t="shared" si="18"/>
        <v>0</v>
      </c>
      <c r="IK56" s="850">
        <f t="shared" si="18"/>
        <v>347109.87135601474</v>
      </c>
      <c r="IL56" s="850">
        <f t="shared" si="18"/>
        <v>0</v>
      </c>
      <c r="IM56" s="850">
        <f t="shared" si="18"/>
        <v>357523.16749669518</v>
      </c>
      <c r="IN56" s="850">
        <f t="shared" si="18"/>
        <v>0</v>
      </c>
      <c r="IO56" s="850">
        <f t="shared" si="18"/>
        <v>368248.86252159602</v>
      </c>
      <c r="IP56" s="850">
        <f t="shared" si="18"/>
        <v>0</v>
      </c>
      <c r="IQ56" s="850">
        <f t="shared" si="18"/>
        <v>379296.32839724392</v>
      </c>
      <c r="IR56" s="850">
        <f t="shared" si="18"/>
        <v>0</v>
      </c>
      <c r="IS56" s="850">
        <f t="shared" si="18"/>
        <v>390675.21824916126</v>
      </c>
      <c r="IT56" s="850">
        <f t="shared" si="18"/>
        <v>0</v>
      </c>
      <c r="IU56" s="850">
        <f t="shared" si="18"/>
        <v>402395.47479663609</v>
      </c>
      <c r="IV56" s="850">
        <f t="shared" si="18"/>
        <v>0</v>
      </c>
      <c r="IW56" s="850">
        <f t="shared" si="18"/>
        <v>414467.33904053515</v>
      </c>
      <c r="IX56" s="850">
        <f t="shared" si="18"/>
        <v>0</v>
      </c>
      <c r="IY56" s="850">
        <f t="shared" si="18"/>
        <v>426901.3592117512</v>
      </c>
      <c r="IZ56" s="850">
        <f t="shared" si="18"/>
        <v>0</v>
      </c>
      <c r="JA56" s="850">
        <f t="shared" si="18"/>
        <v>439708.39998810377</v>
      </c>
      <c r="JB56" s="850">
        <f t="shared" si="18"/>
        <v>0</v>
      </c>
      <c r="JC56" s="850">
        <f t="shared" si="18"/>
        <v>452899.65198774688</v>
      </c>
      <c r="JD56" s="850">
        <f t="shared" si="18"/>
        <v>0</v>
      </c>
      <c r="JE56" s="850">
        <f t="shared" si="18"/>
        <v>466486.64154737932</v>
      </c>
      <c r="JF56" s="850">
        <f t="shared" ref="JF56:LQ56" si="19">JD56*$C$56</f>
        <v>0</v>
      </c>
      <c r="JG56" s="850">
        <f t="shared" si="19"/>
        <v>480481.24079380068</v>
      </c>
      <c r="JH56" s="850">
        <f t="shared" si="19"/>
        <v>0</v>
      </c>
      <c r="JI56" s="850">
        <f t="shared" si="19"/>
        <v>494895.6780176147</v>
      </c>
      <c r="JJ56" s="850">
        <f t="shared" si="19"/>
        <v>0</v>
      </c>
      <c r="JK56" s="850">
        <f t="shared" si="19"/>
        <v>509742.54835814313</v>
      </c>
      <c r="JL56" s="850">
        <f t="shared" si="19"/>
        <v>0</v>
      </c>
      <c r="JM56" s="850">
        <f t="shared" si="19"/>
        <v>525034.82480888744</v>
      </c>
      <c r="JN56" s="850">
        <f t="shared" si="19"/>
        <v>0</v>
      </c>
      <c r="JO56" s="850">
        <f t="shared" si="19"/>
        <v>540785.8695531541</v>
      </c>
      <c r="JP56" s="850">
        <f t="shared" si="19"/>
        <v>0</v>
      </c>
      <c r="JQ56" s="850">
        <f t="shared" si="19"/>
        <v>557009.44563974871</v>
      </c>
      <c r="JR56" s="850">
        <f t="shared" si="19"/>
        <v>0</v>
      </c>
      <c r="JS56" s="850">
        <f t="shared" si="19"/>
        <v>573719.72900894121</v>
      </c>
      <c r="JT56" s="850">
        <f t="shared" si="19"/>
        <v>0</v>
      </c>
      <c r="JU56" s="850">
        <f t="shared" si="19"/>
        <v>590931.32087920944</v>
      </c>
      <c r="JV56" s="850">
        <f t="shared" si="19"/>
        <v>0</v>
      </c>
      <c r="JW56" s="850">
        <f t="shared" si="19"/>
        <v>608659.2605055857</v>
      </c>
      <c r="JX56" s="850">
        <f t="shared" si="19"/>
        <v>0</v>
      </c>
      <c r="JY56" s="850">
        <f t="shared" si="19"/>
        <v>626919.03832075326</v>
      </c>
      <c r="JZ56" s="850">
        <f t="shared" si="19"/>
        <v>0</v>
      </c>
      <c r="KA56" s="850">
        <f t="shared" si="19"/>
        <v>645726.60947037593</v>
      </c>
      <c r="KB56" s="850">
        <f t="shared" si="19"/>
        <v>0</v>
      </c>
      <c r="KC56" s="850">
        <f t="shared" si="19"/>
        <v>665098.40775448724</v>
      </c>
      <c r="KD56" s="850">
        <f t="shared" si="19"/>
        <v>0</v>
      </c>
      <c r="KE56" s="850">
        <f t="shared" si="19"/>
        <v>685051.35998712189</v>
      </c>
      <c r="KF56" s="850">
        <f t="shared" si="19"/>
        <v>0</v>
      </c>
      <c r="KG56" s="850">
        <f t="shared" si="19"/>
        <v>705602.90078673558</v>
      </c>
      <c r="KH56" s="850">
        <f t="shared" si="19"/>
        <v>0</v>
      </c>
      <c r="KI56" s="850">
        <f t="shared" si="19"/>
        <v>726770.98781033768</v>
      </c>
      <c r="KJ56" s="850">
        <f t="shared" si="19"/>
        <v>0</v>
      </c>
      <c r="KK56" s="850">
        <f t="shared" si="19"/>
        <v>748574.11744464783</v>
      </c>
      <c r="KL56" s="850">
        <f t="shared" si="19"/>
        <v>0</v>
      </c>
      <c r="KM56" s="850">
        <f t="shared" si="19"/>
        <v>771031.34096798731</v>
      </c>
      <c r="KN56" s="850">
        <f t="shared" si="19"/>
        <v>0</v>
      </c>
      <c r="KO56" s="850">
        <f t="shared" si="19"/>
        <v>794162.28119702695</v>
      </c>
      <c r="KP56" s="850">
        <f t="shared" si="19"/>
        <v>0</v>
      </c>
      <c r="KQ56" s="850">
        <f t="shared" si="19"/>
        <v>817987.14963293774</v>
      </c>
      <c r="KR56" s="850">
        <f t="shared" si="19"/>
        <v>0</v>
      </c>
      <c r="KS56" s="850">
        <f t="shared" si="19"/>
        <v>842526.76412192592</v>
      </c>
      <c r="KT56" s="850">
        <f t="shared" si="19"/>
        <v>0</v>
      </c>
      <c r="KU56" s="850">
        <f t="shared" si="19"/>
        <v>867802.56704558374</v>
      </c>
      <c r="KV56" s="850">
        <f t="shared" si="19"/>
        <v>0</v>
      </c>
      <c r="KW56" s="850">
        <f t="shared" si="19"/>
        <v>893836.64405695128</v>
      </c>
      <c r="KX56" s="850">
        <f t="shared" si="19"/>
        <v>0</v>
      </c>
      <c r="KY56" s="850">
        <f t="shared" si="19"/>
        <v>920651.74337865983</v>
      </c>
      <c r="KZ56" s="850">
        <f t="shared" si="19"/>
        <v>0</v>
      </c>
      <c r="LA56" s="850">
        <f t="shared" si="19"/>
        <v>948271.29568001966</v>
      </c>
      <c r="LB56" s="850">
        <f t="shared" si="19"/>
        <v>0</v>
      </c>
      <c r="LC56" s="850">
        <f t="shared" si="19"/>
        <v>976719.43455042026</v>
      </c>
      <c r="LD56" s="850">
        <f t="shared" si="19"/>
        <v>0</v>
      </c>
      <c r="LE56" s="850">
        <f t="shared" si="19"/>
        <v>1006021.0175869329</v>
      </c>
      <c r="LF56" s="850">
        <f t="shared" si="19"/>
        <v>0</v>
      </c>
      <c r="LG56" s="850">
        <f t="shared" si="19"/>
        <v>1036201.6481145408</v>
      </c>
      <c r="LH56" s="850">
        <f t="shared" si="19"/>
        <v>0</v>
      </c>
      <c r="LI56" s="850">
        <f t="shared" si="19"/>
        <v>1067287.6975579772</v>
      </c>
      <c r="LJ56" s="850">
        <f t="shared" si="19"/>
        <v>0</v>
      </c>
      <c r="LK56" s="850">
        <f t="shared" si="19"/>
        <v>1099306.3284847166</v>
      </c>
      <c r="LL56" s="850">
        <f t="shared" si="19"/>
        <v>0</v>
      </c>
      <c r="LM56" s="850">
        <f t="shared" si="19"/>
        <v>1132285.5183392582</v>
      </c>
      <c r="LN56" s="850">
        <f t="shared" si="19"/>
        <v>0</v>
      </c>
      <c r="LO56" s="850">
        <f t="shared" si="19"/>
        <v>1166254.083889436</v>
      </c>
      <c r="LP56" s="850">
        <f t="shared" si="19"/>
        <v>0</v>
      </c>
      <c r="LQ56" s="850">
        <f t="shared" si="19"/>
        <v>1201241.706406119</v>
      </c>
      <c r="LR56" s="850">
        <f t="shared" ref="LR56:OC56" si="20">LP56*$C$56</f>
        <v>0</v>
      </c>
      <c r="LS56" s="850">
        <f t="shared" si="20"/>
        <v>1237278.9575983027</v>
      </c>
      <c r="LT56" s="850">
        <f t="shared" si="20"/>
        <v>0</v>
      </c>
      <c r="LU56" s="850">
        <f t="shared" si="20"/>
        <v>1274397.326326252</v>
      </c>
      <c r="LV56" s="850">
        <f t="shared" si="20"/>
        <v>0</v>
      </c>
      <c r="LW56" s="850">
        <f t="shared" si="20"/>
        <v>1312629.2461160396</v>
      </c>
      <c r="LX56" s="850">
        <f t="shared" si="20"/>
        <v>0</v>
      </c>
      <c r="LY56" s="850">
        <f t="shared" si="20"/>
        <v>1352008.1234995208</v>
      </c>
      <c r="LZ56" s="850">
        <f t="shared" si="20"/>
        <v>0</v>
      </c>
      <c r="MA56" s="850">
        <f t="shared" si="20"/>
        <v>1392568.3672045064</v>
      </c>
      <c r="MB56" s="850">
        <f t="shared" si="20"/>
        <v>0</v>
      </c>
      <c r="MC56" s="850">
        <f t="shared" si="20"/>
        <v>1434345.4182206416</v>
      </c>
      <c r="MD56" s="850">
        <f t="shared" si="20"/>
        <v>0</v>
      </c>
      <c r="ME56" s="850">
        <f t="shared" si="20"/>
        <v>1477375.7807672608</v>
      </c>
      <c r="MF56" s="850">
        <f t="shared" si="20"/>
        <v>0</v>
      </c>
      <c r="MG56" s="850">
        <f t="shared" si="20"/>
        <v>1521697.0541902788</v>
      </c>
      <c r="MH56" s="850">
        <f t="shared" si="20"/>
        <v>0</v>
      </c>
      <c r="MI56" s="850">
        <f t="shared" si="20"/>
        <v>1567347.9658159872</v>
      </c>
      <c r="MJ56" s="850">
        <f t="shared" si="20"/>
        <v>0</v>
      </c>
      <c r="MK56" s="850">
        <f t="shared" si="20"/>
        <v>1614368.4047904669</v>
      </c>
      <c r="ML56" s="850">
        <f t="shared" si="20"/>
        <v>0</v>
      </c>
      <c r="MM56" s="850">
        <f t="shared" si="20"/>
        <v>1662799.456934181</v>
      </c>
      <c r="MN56" s="850">
        <f t="shared" si="20"/>
        <v>0</v>
      </c>
      <c r="MO56" s="850">
        <f t="shared" si="20"/>
        <v>1712683.4406422065</v>
      </c>
      <c r="MP56" s="850">
        <f t="shared" si="20"/>
        <v>0</v>
      </c>
      <c r="MQ56" s="850">
        <f t="shared" si="20"/>
        <v>1764063.9438614727</v>
      </c>
      <c r="MR56" s="850">
        <f t="shared" si="20"/>
        <v>0</v>
      </c>
      <c r="MS56" s="850">
        <f t="shared" si="20"/>
        <v>1816985.8621773168</v>
      </c>
      <c r="MT56" s="850">
        <f t="shared" si="20"/>
        <v>0</v>
      </c>
      <c r="MU56" s="850">
        <f t="shared" si="20"/>
        <v>1871495.4380426363</v>
      </c>
      <c r="MV56" s="850">
        <f t="shared" si="20"/>
        <v>0</v>
      </c>
      <c r="MW56" s="850">
        <f t="shared" si="20"/>
        <v>1927640.3011839155</v>
      </c>
      <c r="MX56" s="850">
        <f t="shared" si="20"/>
        <v>0</v>
      </c>
      <c r="MY56" s="850">
        <f t="shared" si="20"/>
        <v>1985469.5102194329</v>
      </c>
      <c r="MZ56" s="850">
        <f t="shared" si="20"/>
        <v>0</v>
      </c>
      <c r="NA56" s="850">
        <f t="shared" si="20"/>
        <v>2045033.5955260159</v>
      </c>
      <c r="NB56" s="850">
        <f t="shared" si="20"/>
        <v>0</v>
      </c>
      <c r="NC56" s="850">
        <f t="shared" si="20"/>
        <v>2106384.6033917964</v>
      </c>
      <c r="ND56" s="850">
        <f t="shared" si="20"/>
        <v>0</v>
      </c>
      <c r="NE56" s="850">
        <f t="shared" si="20"/>
        <v>2169576.1414935505</v>
      </c>
      <c r="NF56" s="850">
        <f t="shared" si="20"/>
        <v>0</v>
      </c>
      <c r="NG56" s="850">
        <f t="shared" si="20"/>
        <v>2234663.425738357</v>
      </c>
      <c r="NH56" s="850">
        <f t="shared" si="20"/>
        <v>0</v>
      </c>
      <c r="NI56" s="850">
        <f t="shared" si="20"/>
        <v>2301703.3285105079</v>
      </c>
      <c r="NJ56" s="850">
        <f t="shared" si="20"/>
        <v>0</v>
      </c>
      <c r="NK56" s="850">
        <f t="shared" si="20"/>
        <v>2370754.4283658233</v>
      </c>
      <c r="NL56" s="850">
        <f t="shared" si="20"/>
        <v>0</v>
      </c>
      <c r="NM56" s="850">
        <f t="shared" si="20"/>
        <v>2441877.0612167981</v>
      </c>
      <c r="NN56" s="850">
        <f t="shared" si="20"/>
        <v>0</v>
      </c>
      <c r="NO56" s="850">
        <f t="shared" si="20"/>
        <v>2515133.3730533021</v>
      </c>
      <c r="NP56" s="850">
        <f t="shared" si="20"/>
        <v>0</v>
      </c>
      <c r="NQ56" s="850">
        <f t="shared" si="20"/>
        <v>2590587.3742449014</v>
      </c>
      <c r="NR56" s="850">
        <f t="shared" si="20"/>
        <v>0</v>
      </c>
      <c r="NS56" s="850">
        <f t="shared" si="20"/>
        <v>2668304.9954722486</v>
      </c>
      <c r="NT56" s="850">
        <f t="shared" si="20"/>
        <v>0</v>
      </c>
      <c r="NU56" s="850">
        <f t="shared" si="20"/>
        <v>2748354.1453364161</v>
      </c>
      <c r="NV56" s="850">
        <f t="shared" si="20"/>
        <v>0</v>
      </c>
      <c r="NW56" s="850">
        <f t="shared" si="20"/>
        <v>2830804.7696965085</v>
      </c>
      <c r="NX56" s="850">
        <f t="shared" si="20"/>
        <v>0</v>
      </c>
      <c r="NY56" s="850">
        <f t="shared" si="20"/>
        <v>2915728.9127874039</v>
      </c>
      <c r="NZ56" s="850">
        <f t="shared" si="20"/>
        <v>0</v>
      </c>
      <c r="OA56" s="850">
        <f t="shared" si="20"/>
        <v>3003200.780171026</v>
      </c>
      <c r="OB56" s="850">
        <f t="shared" si="20"/>
        <v>0</v>
      </c>
      <c r="OC56" s="850">
        <f t="shared" si="20"/>
        <v>3093296.803576157</v>
      </c>
      <c r="OD56" s="850">
        <f t="shared" ref="OD56:QO56" si="21">OB56*$C$56</f>
        <v>0</v>
      </c>
      <c r="OE56" s="850">
        <f t="shared" si="21"/>
        <v>3186095.7076834417</v>
      </c>
      <c r="OF56" s="850">
        <f t="shared" si="21"/>
        <v>0</v>
      </c>
      <c r="OG56" s="850">
        <f t="shared" si="21"/>
        <v>3281678.5789139452</v>
      </c>
      <c r="OH56" s="850">
        <f t="shared" si="21"/>
        <v>0</v>
      </c>
      <c r="OI56" s="850">
        <f t="shared" si="21"/>
        <v>3380128.9362813635</v>
      </c>
      <c r="OJ56" s="850">
        <f t="shared" si="21"/>
        <v>0</v>
      </c>
      <c r="OK56" s="850">
        <f t="shared" si="21"/>
        <v>3481532.8043698044</v>
      </c>
      <c r="OL56" s="850">
        <f t="shared" si="21"/>
        <v>0</v>
      </c>
      <c r="OM56" s="850">
        <f t="shared" si="21"/>
        <v>3585978.7885008985</v>
      </c>
      <c r="ON56" s="850">
        <f t="shared" si="21"/>
        <v>0</v>
      </c>
      <c r="OO56" s="850">
        <f t="shared" si="21"/>
        <v>3693558.1521559255</v>
      </c>
      <c r="OP56" s="850">
        <f t="shared" si="21"/>
        <v>0</v>
      </c>
      <c r="OQ56" s="850">
        <f t="shared" si="21"/>
        <v>3804364.8967206036</v>
      </c>
      <c r="OR56" s="850">
        <f t="shared" si="21"/>
        <v>0</v>
      </c>
      <c r="OS56" s="850">
        <f t="shared" si="21"/>
        <v>3918495.8436222216</v>
      </c>
      <c r="OT56" s="850">
        <f t="shared" si="21"/>
        <v>0</v>
      </c>
      <c r="OU56" s="850">
        <f t="shared" si="21"/>
        <v>4036050.7189308885</v>
      </c>
      <c r="OV56" s="850">
        <f t="shared" si="21"/>
        <v>0</v>
      </c>
      <c r="OW56" s="850">
        <f t="shared" si="21"/>
        <v>4157132.2404988152</v>
      </c>
      <c r="OX56" s="850">
        <f t="shared" si="21"/>
        <v>0</v>
      </c>
      <c r="OY56" s="850">
        <f t="shared" si="21"/>
        <v>4281846.20771378</v>
      </c>
      <c r="OZ56" s="850">
        <f t="shared" si="21"/>
        <v>0</v>
      </c>
      <c r="PA56" s="850">
        <f t="shared" si="21"/>
        <v>4410301.5939451931</v>
      </c>
      <c r="PB56" s="850">
        <f t="shared" si="21"/>
        <v>0</v>
      </c>
      <c r="PC56" s="850">
        <f t="shared" si="21"/>
        <v>4542610.6417635493</v>
      </c>
      <c r="PD56" s="850">
        <f t="shared" si="21"/>
        <v>0</v>
      </c>
      <c r="PE56" s="850">
        <f t="shared" si="21"/>
        <v>4678888.9610164557</v>
      </c>
      <c r="PF56" s="850">
        <f t="shared" si="21"/>
        <v>0</v>
      </c>
      <c r="PG56" s="850">
        <f t="shared" si="21"/>
        <v>4819255.6298469491</v>
      </c>
      <c r="PH56" s="850">
        <f t="shared" si="21"/>
        <v>0</v>
      </c>
      <c r="PI56" s="850">
        <f t="shared" si="21"/>
        <v>4963833.2987423576</v>
      </c>
      <c r="PJ56" s="850">
        <f t="shared" si="21"/>
        <v>0</v>
      </c>
      <c r="PK56" s="850">
        <f t="shared" si="21"/>
        <v>5112748.2977046287</v>
      </c>
      <c r="PL56" s="850">
        <f t="shared" si="21"/>
        <v>0</v>
      </c>
      <c r="PM56" s="850">
        <f t="shared" si="21"/>
        <v>5266130.7466357676</v>
      </c>
      <c r="PN56" s="850">
        <f t="shared" si="21"/>
        <v>0</v>
      </c>
      <c r="PO56" s="850">
        <f t="shared" si="21"/>
        <v>5424114.6690348405</v>
      </c>
      <c r="PP56" s="850">
        <f t="shared" si="21"/>
        <v>0</v>
      </c>
      <c r="PQ56" s="850">
        <f t="shared" si="21"/>
        <v>5586838.109105886</v>
      </c>
      <c r="PR56" s="850">
        <f t="shared" si="21"/>
        <v>0</v>
      </c>
      <c r="PS56" s="850">
        <f t="shared" si="21"/>
        <v>5754443.2523790626</v>
      </c>
      <c r="PT56" s="850">
        <f t="shared" si="21"/>
        <v>0</v>
      </c>
      <c r="PU56" s="850">
        <f t="shared" si="21"/>
        <v>5927076.5499504348</v>
      </c>
      <c r="PV56" s="850">
        <f t="shared" si="21"/>
        <v>0</v>
      </c>
      <c r="PW56" s="850">
        <f t="shared" si="21"/>
        <v>6104888.8464489477</v>
      </c>
      <c r="PX56" s="850">
        <f t="shared" si="21"/>
        <v>0</v>
      </c>
      <c r="PY56" s="850">
        <f t="shared" si="21"/>
        <v>6288035.5118424166</v>
      </c>
      <c r="PZ56" s="850">
        <f t="shared" si="21"/>
        <v>0</v>
      </c>
      <c r="QA56" s="850">
        <f t="shared" si="21"/>
        <v>6476676.5771976896</v>
      </c>
      <c r="QB56" s="850">
        <f t="shared" si="21"/>
        <v>0</v>
      </c>
      <c r="QC56" s="850">
        <f t="shared" si="21"/>
        <v>6670976.8745136205</v>
      </c>
      <c r="QD56" s="850">
        <f t="shared" si="21"/>
        <v>0</v>
      </c>
      <c r="QE56" s="850">
        <f t="shared" si="21"/>
        <v>6871106.1807490289</v>
      </c>
      <c r="QF56" s="850">
        <f t="shared" si="21"/>
        <v>0</v>
      </c>
      <c r="QG56" s="850">
        <f t="shared" si="21"/>
        <v>7077239.3661714997</v>
      </c>
      <c r="QH56" s="850">
        <f t="shared" si="21"/>
        <v>0</v>
      </c>
      <c r="QI56" s="850">
        <f t="shared" si="21"/>
        <v>7289556.547156645</v>
      </c>
      <c r="QJ56" s="850">
        <f t="shared" si="21"/>
        <v>0</v>
      </c>
      <c r="QK56" s="850">
        <f t="shared" si="21"/>
        <v>7508243.2435713448</v>
      </c>
      <c r="QL56" s="850">
        <f t="shared" si="21"/>
        <v>0</v>
      </c>
      <c r="QM56" s="850">
        <f t="shared" si="21"/>
        <v>7733490.540878485</v>
      </c>
      <c r="QN56" s="850">
        <f t="shared" si="21"/>
        <v>0</v>
      </c>
      <c r="QO56" s="850">
        <f t="shared" si="21"/>
        <v>7965495.2571048401</v>
      </c>
      <c r="QP56" s="850">
        <f t="shared" ref="QP56:TA56" si="22">QN56*$C$56</f>
        <v>0</v>
      </c>
      <c r="QQ56" s="850">
        <f t="shared" si="22"/>
        <v>8204460.1148179853</v>
      </c>
      <c r="QR56" s="850">
        <f t="shared" si="22"/>
        <v>0</v>
      </c>
      <c r="QS56" s="850">
        <f t="shared" si="22"/>
        <v>8450593.9182625245</v>
      </c>
      <c r="QT56" s="850">
        <f t="shared" si="22"/>
        <v>0</v>
      </c>
      <c r="QU56" s="850">
        <f t="shared" si="22"/>
        <v>8704111.7358104009</v>
      </c>
      <c r="QV56" s="850">
        <f t="shared" si="22"/>
        <v>0</v>
      </c>
      <c r="QW56" s="850">
        <f t="shared" si="22"/>
        <v>8965235.087884713</v>
      </c>
      <c r="QX56" s="850">
        <f t="shared" si="22"/>
        <v>0</v>
      </c>
      <c r="QY56" s="850">
        <f t="shared" si="22"/>
        <v>9234192.1405212544</v>
      </c>
      <c r="QZ56" s="850">
        <f t="shared" si="22"/>
        <v>0</v>
      </c>
      <c r="RA56" s="850">
        <f t="shared" si="22"/>
        <v>9511217.9047368914</v>
      </c>
      <c r="RB56" s="850">
        <f t="shared" si="22"/>
        <v>0</v>
      </c>
      <c r="RC56" s="850">
        <f t="shared" si="22"/>
        <v>9796554.4418789987</v>
      </c>
      <c r="RD56" s="850">
        <f t="shared" si="22"/>
        <v>0</v>
      </c>
      <c r="RE56" s="850">
        <f t="shared" si="22"/>
        <v>10090451.075135369</v>
      </c>
      <c r="RF56" s="850">
        <f t="shared" si="22"/>
        <v>0</v>
      </c>
      <c r="RG56" s="850">
        <f t="shared" si="22"/>
        <v>10393164.60738943</v>
      </c>
      <c r="RH56" s="850">
        <f t="shared" si="22"/>
        <v>0</v>
      </c>
      <c r="RI56" s="850">
        <f t="shared" si="22"/>
        <v>10704959.545611113</v>
      </c>
      <c r="RJ56" s="850">
        <f t="shared" si="22"/>
        <v>0</v>
      </c>
      <c r="RK56" s="850">
        <f t="shared" si="22"/>
        <v>11026108.331979446</v>
      </c>
      <c r="RL56" s="850">
        <f t="shared" si="22"/>
        <v>0</v>
      </c>
      <c r="RM56" s="850">
        <f t="shared" si="22"/>
        <v>11356891.581938829</v>
      </c>
      <c r="RN56" s="850">
        <f t="shared" si="22"/>
        <v>0</v>
      </c>
      <c r="RO56" s="850">
        <f t="shared" si="22"/>
        <v>11697598.329396995</v>
      </c>
      <c r="RP56" s="850">
        <f t="shared" si="22"/>
        <v>0</v>
      </c>
      <c r="RQ56" s="850">
        <f t="shared" si="22"/>
        <v>12048526.279278904</v>
      </c>
      <c r="RR56" s="850">
        <f t="shared" si="22"/>
        <v>0</v>
      </c>
      <c r="RS56" s="850">
        <f t="shared" si="22"/>
        <v>12409982.067657271</v>
      </c>
      <c r="RT56" s="850">
        <f t="shared" si="22"/>
        <v>0</v>
      </c>
      <c r="RU56" s="850">
        <f t="shared" si="22"/>
        <v>12782281.529686989</v>
      </c>
      <c r="RV56" s="850">
        <f t="shared" si="22"/>
        <v>0</v>
      </c>
      <c r="RW56" s="850">
        <f t="shared" si="22"/>
        <v>13165749.975577598</v>
      </c>
      <c r="RX56" s="850">
        <f t="shared" si="22"/>
        <v>0</v>
      </c>
      <c r="RY56" s="850">
        <f t="shared" si="22"/>
        <v>13560722.474844927</v>
      </c>
      <c r="RZ56" s="850">
        <f t="shared" si="22"/>
        <v>0</v>
      </c>
      <c r="SA56" s="850">
        <f t="shared" si="22"/>
        <v>13967544.149090275</v>
      </c>
      <c r="SB56" s="850">
        <f t="shared" si="22"/>
        <v>0</v>
      </c>
      <c r="SC56" s="850">
        <f t="shared" si="22"/>
        <v>14386570.473562984</v>
      </c>
      <c r="SD56" s="850">
        <f t="shared" si="22"/>
        <v>0</v>
      </c>
      <c r="SE56" s="850">
        <f t="shared" si="22"/>
        <v>14818167.587769873</v>
      </c>
      <c r="SF56" s="850">
        <f t="shared" si="22"/>
        <v>0</v>
      </c>
      <c r="SG56" s="850">
        <f t="shared" si="22"/>
        <v>15262712.61540297</v>
      </c>
      <c r="SH56" s="850">
        <f t="shared" si="22"/>
        <v>0</v>
      </c>
      <c r="SI56" s="850">
        <f t="shared" si="22"/>
        <v>15720593.99386506</v>
      </c>
      <c r="SJ56" s="850">
        <f t="shared" si="22"/>
        <v>0</v>
      </c>
      <c r="SK56" s="850">
        <f t="shared" si="22"/>
        <v>16192211.813681012</v>
      </c>
      <c r="SL56" s="850">
        <f t="shared" si="22"/>
        <v>0</v>
      </c>
      <c r="SM56" s="850">
        <f t="shared" si="22"/>
        <v>16677978.168091442</v>
      </c>
      <c r="SN56" s="850">
        <f t="shared" si="22"/>
        <v>0</v>
      </c>
      <c r="SO56" s="850">
        <f t="shared" si="22"/>
        <v>17178317.513134185</v>
      </c>
      <c r="SP56" s="850">
        <f t="shared" si="22"/>
        <v>0</v>
      </c>
      <c r="SQ56" s="850">
        <f t="shared" si="22"/>
        <v>17693667.038528211</v>
      </c>
      <c r="SR56" s="850">
        <f t="shared" si="22"/>
        <v>0</v>
      </c>
      <c r="SS56" s="850">
        <f t="shared" si="22"/>
        <v>18224477.049684059</v>
      </c>
      <c r="ST56" s="850">
        <f t="shared" si="22"/>
        <v>0</v>
      </c>
      <c r="SU56" s="850">
        <f t="shared" si="22"/>
        <v>18771211.36117458</v>
      </c>
      <c r="SV56" s="850">
        <f t="shared" si="22"/>
        <v>0</v>
      </c>
      <c r="SW56" s="850">
        <f t="shared" si="22"/>
        <v>19334347.702009819</v>
      </c>
      <c r="SX56" s="850">
        <f t="shared" si="22"/>
        <v>0</v>
      </c>
      <c r="SY56" s="850">
        <f t="shared" si="22"/>
        <v>19914378.133070115</v>
      </c>
      <c r="SZ56" s="850">
        <f t="shared" si="22"/>
        <v>0</v>
      </c>
      <c r="TA56" s="850">
        <f t="shared" si="22"/>
        <v>20511809.477062218</v>
      </c>
      <c r="TB56" s="850">
        <f t="shared" ref="TB56:VM56" si="23">SZ56*$C$56</f>
        <v>0</v>
      </c>
      <c r="TC56" s="850">
        <f t="shared" si="23"/>
        <v>21127163.761374086</v>
      </c>
      <c r="TD56" s="850">
        <f t="shared" si="23"/>
        <v>0</v>
      </c>
      <c r="TE56" s="850">
        <f t="shared" si="23"/>
        <v>21760978.674215309</v>
      </c>
      <c r="TF56" s="850">
        <f t="shared" si="23"/>
        <v>0</v>
      </c>
      <c r="TG56" s="850">
        <f t="shared" si="23"/>
        <v>22413808.034441769</v>
      </c>
      <c r="TH56" s="850">
        <f t="shared" si="23"/>
        <v>0</v>
      </c>
      <c r="TI56" s="850">
        <f t="shared" si="23"/>
        <v>23086222.275475021</v>
      </c>
      <c r="TJ56" s="850">
        <f t="shared" si="23"/>
        <v>0</v>
      </c>
      <c r="TK56" s="850">
        <f t="shared" si="23"/>
        <v>23778808.943739273</v>
      </c>
      <c r="TL56" s="850">
        <f t="shared" si="23"/>
        <v>0</v>
      </c>
      <c r="TM56" s="850">
        <f t="shared" si="23"/>
        <v>24492173.212051451</v>
      </c>
      <c r="TN56" s="850">
        <f t="shared" si="23"/>
        <v>0</v>
      </c>
      <c r="TO56" s="850">
        <f t="shared" si="23"/>
        <v>25226938.408412997</v>
      </c>
      <c r="TP56" s="850">
        <f t="shared" si="23"/>
        <v>0</v>
      </c>
      <c r="TQ56" s="850">
        <f t="shared" si="23"/>
        <v>25983746.560665388</v>
      </c>
      <c r="TR56" s="850">
        <f t="shared" si="23"/>
        <v>0</v>
      </c>
      <c r="TS56" s="850">
        <f t="shared" si="23"/>
        <v>26763258.957485352</v>
      </c>
      <c r="TT56" s="850">
        <f t="shared" si="23"/>
        <v>0</v>
      </c>
      <c r="TU56" s="850">
        <f t="shared" si="23"/>
        <v>27566156.726209912</v>
      </c>
      <c r="TV56" s="850">
        <f t="shared" si="23"/>
        <v>0</v>
      </c>
      <c r="TW56" s="850">
        <f t="shared" si="23"/>
        <v>28393141.427996211</v>
      </c>
      <c r="TX56" s="850">
        <f t="shared" si="23"/>
        <v>0</v>
      </c>
      <c r="TY56" s="850">
        <f t="shared" si="23"/>
        <v>29244935.670836098</v>
      </c>
      <c r="TZ56" s="850">
        <f t="shared" si="23"/>
        <v>0</v>
      </c>
      <c r="UA56" s="850">
        <f t="shared" si="23"/>
        <v>30122283.740961183</v>
      </c>
      <c r="UB56" s="850">
        <f t="shared" si="23"/>
        <v>0</v>
      </c>
      <c r="UC56" s="850">
        <f t="shared" si="23"/>
        <v>31025952.253190018</v>
      </c>
      <c r="UD56" s="850">
        <f t="shared" si="23"/>
        <v>0</v>
      </c>
      <c r="UE56" s="850">
        <f t="shared" si="23"/>
        <v>31956730.82078572</v>
      </c>
      <c r="UF56" s="850">
        <f t="shared" si="23"/>
        <v>0</v>
      </c>
      <c r="UG56" s="850">
        <f t="shared" si="23"/>
        <v>32915432.745409291</v>
      </c>
      <c r="UH56" s="850">
        <f t="shared" si="23"/>
        <v>0</v>
      </c>
      <c r="UI56" s="850">
        <f t="shared" si="23"/>
        <v>33902895.727771573</v>
      </c>
      <c r="UJ56" s="850">
        <f t="shared" si="23"/>
        <v>0</v>
      </c>
      <c r="UK56" s="850">
        <f t="shared" si="23"/>
        <v>34919982.599604718</v>
      </c>
      <c r="UL56" s="850">
        <f t="shared" si="23"/>
        <v>0</v>
      </c>
      <c r="UM56" s="850">
        <f t="shared" si="23"/>
        <v>35967582.077592857</v>
      </c>
      <c r="UN56" s="850">
        <f t="shared" si="23"/>
        <v>0</v>
      </c>
      <c r="UO56" s="850">
        <f t="shared" si="23"/>
        <v>37046609.539920643</v>
      </c>
      <c r="UP56" s="850">
        <f t="shared" si="23"/>
        <v>0</v>
      </c>
      <c r="UQ56" s="850">
        <f t="shared" si="23"/>
        <v>38158007.826118261</v>
      </c>
      <c r="UR56" s="850">
        <f t="shared" si="23"/>
        <v>0</v>
      </c>
      <c r="US56" s="850">
        <f t="shared" si="23"/>
        <v>39302748.060901806</v>
      </c>
      <c r="UT56" s="850">
        <f t="shared" si="23"/>
        <v>0</v>
      </c>
      <c r="UU56" s="850">
        <f t="shared" si="23"/>
        <v>40481830.502728865</v>
      </c>
      <c r="UV56" s="850">
        <f t="shared" si="23"/>
        <v>0</v>
      </c>
      <c r="UW56" s="850">
        <f t="shared" si="23"/>
        <v>41696285.417810731</v>
      </c>
      <c r="UX56" s="850">
        <f t="shared" si="23"/>
        <v>0</v>
      </c>
      <c r="UY56" s="850">
        <f t="shared" si="23"/>
        <v>42947173.980345055</v>
      </c>
      <c r="UZ56" s="850">
        <f t="shared" si="23"/>
        <v>0</v>
      </c>
      <c r="VA56" s="850">
        <f t="shared" si="23"/>
        <v>44235589.199755408</v>
      </c>
      <c r="VB56" s="850">
        <f t="shared" si="23"/>
        <v>0</v>
      </c>
      <c r="VC56" s="850">
        <f t="shared" si="23"/>
        <v>45562656.875748068</v>
      </c>
      <c r="VD56" s="850">
        <f t="shared" si="23"/>
        <v>0</v>
      </c>
      <c r="VE56" s="850">
        <f t="shared" si="23"/>
        <v>46929536.582020514</v>
      </c>
      <c r="VF56" s="850">
        <f t="shared" si="23"/>
        <v>0</v>
      </c>
      <c r="VG56" s="850">
        <f t="shared" si="23"/>
        <v>48337422.679481134</v>
      </c>
      <c r="VH56" s="850">
        <f t="shared" si="23"/>
        <v>0</v>
      </c>
      <c r="VI56" s="850">
        <f t="shared" si="23"/>
        <v>49787545.359865569</v>
      </c>
      <c r="VJ56" s="850">
        <f t="shared" si="23"/>
        <v>0</v>
      </c>
      <c r="VK56" s="850">
        <f t="shared" si="23"/>
        <v>51281171.720661536</v>
      </c>
      <c r="VL56" s="850">
        <f t="shared" si="23"/>
        <v>0</v>
      </c>
      <c r="VM56" s="850">
        <f t="shared" si="23"/>
        <v>52819606.87228138</v>
      </c>
      <c r="VN56" s="850">
        <f t="shared" ref="VN56:XY56" si="24">VL56*$C$56</f>
        <v>0</v>
      </c>
      <c r="VO56" s="850">
        <f t="shared" si="24"/>
        <v>54404195.078449823</v>
      </c>
      <c r="VP56" s="850">
        <f t="shared" si="24"/>
        <v>0</v>
      </c>
      <c r="VQ56" s="850">
        <f t="shared" si="24"/>
        <v>56036320.930803321</v>
      </c>
      <c r="VR56" s="850">
        <f t="shared" si="24"/>
        <v>0</v>
      </c>
      <c r="VS56" s="850">
        <f t="shared" si="24"/>
        <v>57717410.558727421</v>
      </c>
      <c r="VT56" s="850">
        <f t="shared" si="24"/>
        <v>0</v>
      </c>
      <c r="VU56" s="850">
        <f t="shared" si="24"/>
        <v>59448932.875489242</v>
      </c>
      <c r="VV56" s="850">
        <f t="shared" si="24"/>
        <v>0</v>
      </c>
      <c r="VW56" s="850">
        <f t="shared" si="24"/>
        <v>61232400.861753918</v>
      </c>
      <c r="VX56" s="850">
        <f t="shared" si="24"/>
        <v>0</v>
      </c>
      <c r="VY56" s="850">
        <f t="shared" si="24"/>
        <v>63069372.887606539</v>
      </c>
      <c r="VZ56" s="850">
        <f t="shared" si="24"/>
        <v>0</v>
      </c>
      <c r="WA56" s="850">
        <f t="shared" si="24"/>
        <v>64961454.074234739</v>
      </c>
      <c r="WB56" s="850">
        <f t="shared" si="24"/>
        <v>0</v>
      </c>
      <c r="WC56" s="850">
        <f t="shared" si="24"/>
        <v>66910297.696461782</v>
      </c>
      <c r="WD56" s="850">
        <f t="shared" si="24"/>
        <v>0</v>
      </c>
      <c r="WE56" s="850">
        <f t="shared" si="24"/>
        <v>68917606.627355635</v>
      </c>
      <c r="WF56" s="850">
        <f t="shared" si="24"/>
        <v>0</v>
      </c>
      <c r="WG56" s="850">
        <f t="shared" si="24"/>
        <v>70985134.826176301</v>
      </c>
      <c r="WH56" s="850">
        <f t="shared" si="24"/>
        <v>0</v>
      </c>
      <c r="WI56" s="850">
        <f t="shared" si="24"/>
        <v>73114688.870961592</v>
      </c>
      <c r="WJ56" s="850">
        <f t="shared" si="24"/>
        <v>0</v>
      </c>
      <c r="WK56" s="850">
        <f t="shared" si="24"/>
        <v>75308129.537090436</v>
      </c>
      <c r="WL56" s="850">
        <f t="shared" si="24"/>
        <v>0</v>
      </c>
      <c r="WM56" s="850">
        <f t="shared" si="24"/>
        <v>77567373.423203155</v>
      </c>
      <c r="WN56" s="850">
        <f t="shared" si="24"/>
        <v>0</v>
      </c>
      <c r="WO56" s="850">
        <f t="shared" si="24"/>
        <v>79894394.625899255</v>
      </c>
      <c r="WP56" s="850">
        <f t="shared" si="24"/>
        <v>0</v>
      </c>
      <c r="WQ56" s="850">
        <f t="shared" si="24"/>
        <v>82291226.464676231</v>
      </c>
      <c r="WR56" s="850">
        <f t="shared" si="24"/>
        <v>0</v>
      </c>
      <c r="WS56" s="850">
        <f t="shared" si="24"/>
        <v>84759963.258616522</v>
      </c>
      <c r="WT56" s="850">
        <f t="shared" si="24"/>
        <v>0</v>
      </c>
      <c r="WU56" s="850">
        <f t="shared" si="24"/>
        <v>87302762.156375021</v>
      </c>
      <c r="WV56" s="850">
        <f t="shared" si="24"/>
        <v>0</v>
      </c>
      <c r="WW56" s="850">
        <f t="shared" si="24"/>
        <v>89921845.021066278</v>
      </c>
      <c r="WX56" s="850">
        <f t="shared" si="24"/>
        <v>0</v>
      </c>
      <c r="WY56" s="850">
        <f t="shared" si="24"/>
        <v>92619500.371698275</v>
      </c>
      <c r="WZ56" s="850">
        <f t="shared" si="24"/>
        <v>0</v>
      </c>
      <c r="XA56" s="850">
        <f t="shared" si="24"/>
        <v>95398085.382849231</v>
      </c>
      <c r="XB56" s="850">
        <f t="shared" si="24"/>
        <v>0</v>
      </c>
      <c r="XC56" s="850">
        <f t="shared" si="24"/>
        <v>98260027.944334716</v>
      </c>
      <c r="XD56" s="850">
        <f t="shared" si="24"/>
        <v>0</v>
      </c>
      <c r="XE56" s="850">
        <f t="shared" si="24"/>
        <v>101207828.78266476</v>
      </c>
      <c r="XF56" s="850">
        <f t="shared" si="24"/>
        <v>0</v>
      </c>
      <c r="XG56" s="850">
        <f t="shared" si="24"/>
        <v>104244063.6461447</v>
      </c>
      <c r="XH56" s="850">
        <f t="shared" si="24"/>
        <v>0</v>
      </c>
      <c r="XI56" s="850">
        <f t="shared" si="24"/>
        <v>107371385.55552904</v>
      </c>
      <c r="XJ56" s="850">
        <f t="shared" si="24"/>
        <v>0</v>
      </c>
      <c r="XK56" s="850">
        <f t="shared" si="24"/>
        <v>110592527.12219492</v>
      </c>
      <c r="XL56" s="850">
        <f t="shared" si="24"/>
        <v>0</v>
      </c>
      <c r="XM56" s="850">
        <f t="shared" si="24"/>
        <v>113910302.93586077</v>
      </c>
      <c r="XN56" s="850">
        <f t="shared" si="24"/>
        <v>0</v>
      </c>
      <c r="XO56" s="850">
        <f t="shared" si="24"/>
        <v>117327612.0239366</v>
      </c>
      <c r="XP56" s="850">
        <f t="shared" si="24"/>
        <v>0</v>
      </c>
      <c r="XQ56" s="850">
        <f t="shared" si="24"/>
        <v>120847440.3846547</v>
      </c>
      <c r="XR56" s="850">
        <f t="shared" si="24"/>
        <v>0</v>
      </c>
      <c r="XS56" s="850">
        <f t="shared" si="24"/>
        <v>124472863.59619434</v>
      </c>
      <c r="XT56" s="850">
        <f t="shared" si="24"/>
        <v>0</v>
      </c>
      <c r="XU56" s="850">
        <f t="shared" si="24"/>
        <v>128207049.50408018</v>
      </c>
      <c r="XV56" s="850">
        <f t="shared" si="24"/>
        <v>0</v>
      </c>
      <c r="XW56" s="850">
        <f t="shared" si="24"/>
        <v>132053260.98920259</v>
      </c>
      <c r="XX56" s="850">
        <f t="shared" si="24"/>
        <v>0</v>
      </c>
      <c r="XY56" s="850">
        <f t="shared" si="24"/>
        <v>136014858.81887868</v>
      </c>
      <c r="XZ56" s="850">
        <f t="shared" ref="XZ56:AAK56" si="25">XX56*$C$56</f>
        <v>0</v>
      </c>
      <c r="YA56" s="850">
        <f t="shared" si="25"/>
        <v>140095304.58344504</v>
      </c>
      <c r="YB56" s="850">
        <f t="shared" si="25"/>
        <v>0</v>
      </c>
      <c r="YC56" s="850">
        <f t="shared" si="25"/>
        <v>144298163.7209484</v>
      </c>
      <c r="YD56" s="850">
        <f t="shared" si="25"/>
        <v>0</v>
      </c>
      <c r="YE56" s="850">
        <f t="shared" si="25"/>
        <v>148627108.63257685</v>
      </c>
      <c r="YF56" s="850">
        <f t="shared" si="25"/>
        <v>0</v>
      </c>
      <c r="YG56" s="850">
        <f t="shared" si="25"/>
        <v>153085921.89155418</v>
      </c>
      <c r="YH56" s="850">
        <f t="shared" si="25"/>
        <v>0</v>
      </c>
      <c r="YI56" s="850">
        <f t="shared" si="25"/>
        <v>157678499.5483008</v>
      </c>
      <c r="YJ56" s="850">
        <f t="shared" si="25"/>
        <v>0</v>
      </c>
      <c r="YK56" s="850">
        <f t="shared" si="25"/>
        <v>162408854.53474984</v>
      </c>
      <c r="YL56" s="850">
        <f t="shared" si="25"/>
        <v>0</v>
      </c>
      <c r="YM56" s="850">
        <f t="shared" si="25"/>
        <v>167281120.17079234</v>
      </c>
      <c r="YN56" s="850">
        <f t="shared" si="25"/>
        <v>0</v>
      </c>
      <c r="YO56" s="850">
        <f t="shared" si="25"/>
        <v>172299553.77591613</v>
      </c>
      <c r="YP56" s="850">
        <f t="shared" si="25"/>
        <v>0</v>
      </c>
      <c r="YQ56" s="850">
        <f t="shared" si="25"/>
        <v>177468540.38919362</v>
      </c>
      <c r="YR56" s="850">
        <f t="shared" si="25"/>
        <v>0</v>
      </c>
      <c r="YS56" s="850">
        <f t="shared" si="25"/>
        <v>182792596.60086945</v>
      </c>
      <c r="YT56" s="850">
        <f t="shared" si="25"/>
        <v>0</v>
      </c>
      <c r="YU56" s="850">
        <f t="shared" si="25"/>
        <v>188276374.49889553</v>
      </c>
      <c r="YV56" s="850">
        <f t="shared" si="25"/>
        <v>0</v>
      </c>
      <c r="YW56" s="850">
        <f t="shared" si="25"/>
        <v>193924665.7338624</v>
      </c>
      <c r="YX56" s="850">
        <f t="shared" si="25"/>
        <v>0</v>
      </c>
      <c r="YY56" s="850">
        <f t="shared" si="25"/>
        <v>199742405.70587829</v>
      </c>
      <c r="YZ56" s="850">
        <f t="shared" si="25"/>
        <v>0</v>
      </c>
      <c r="ZA56" s="850">
        <f t="shared" si="25"/>
        <v>205734677.87705463</v>
      </c>
      <c r="ZB56" s="850">
        <f t="shared" si="25"/>
        <v>0</v>
      </c>
      <c r="ZC56" s="850">
        <f t="shared" si="25"/>
        <v>211906718.21336627</v>
      </c>
      <c r="ZD56" s="850">
        <f t="shared" si="25"/>
        <v>0</v>
      </c>
      <c r="ZE56" s="850">
        <f t="shared" si="25"/>
        <v>218263919.75976726</v>
      </c>
      <c r="ZF56" s="850">
        <f t="shared" si="25"/>
        <v>0</v>
      </c>
      <c r="ZG56" s="850">
        <f t="shared" si="25"/>
        <v>224811837.35256028</v>
      </c>
      <c r="ZH56" s="850">
        <f t="shared" si="25"/>
        <v>0</v>
      </c>
      <c r="ZI56" s="850">
        <f t="shared" si="25"/>
        <v>231556192.47313711</v>
      </c>
      <c r="ZJ56" s="850">
        <f t="shared" si="25"/>
        <v>0</v>
      </c>
      <c r="ZK56" s="850">
        <f t="shared" si="25"/>
        <v>238502878.24733123</v>
      </c>
      <c r="ZL56" s="850">
        <f t="shared" si="25"/>
        <v>0</v>
      </c>
      <c r="ZM56" s="850">
        <f t="shared" si="25"/>
        <v>245657964.59475118</v>
      </c>
      <c r="ZN56" s="850">
        <f t="shared" si="25"/>
        <v>0</v>
      </c>
      <c r="ZO56" s="850">
        <f t="shared" si="25"/>
        <v>253027703.53259373</v>
      </c>
      <c r="ZP56" s="850">
        <f t="shared" si="25"/>
        <v>0</v>
      </c>
      <c r="ZQ56" s="850">
        <f t="shared" si="25"/>
        <v>260618534.63857156</v>
      </c>
      <c r="ZR56" s="850">
        <f t="shared" si="25"/>
        <v>0</v>
      </c>
      <c r="ZS56" s="850">
        <f t="shared" si="25"/>
        <v>268437090.67772871</v>
      </c>
      <c r="ZT56" s="850">
        <f t="shared" si="25"/>
        <v>0</v>
      </c>
      <c r="ZU56" s="850">
        <f t="shared" si="25"/>
        <v>276490203.39806056</v>
      </c>
      <c r="ZV56" s="850">
        <f t="shared" si="25"/>
        <v>0</v>
      </c>
      <c r="ZW56" s="850">
        <f t="shared" si="25"/>
        <v>284784909.50000238</v>
      </c>
      <c r="ZX56" s="850">
        <f t="shared" si="25"/>
        <v>0</v>
      </c>
      <c r="ZY56" s="850">
        <f t="shared" si="25"/>
        <v>293328456.78500247</v>
      </c>
      <c r="ZZ56" s="850">
        <f t="shared" si="25"/>
        <v>0</v>
      </c>
      <c r="AAA56" s="850">
        <f t="shared" si="25"/>
        <v>302128310.48855257</v>
      </c>
      <c r="AAB56" s="850">
        <f t="shared" si="25"/>
        <v>0</v>
      </c>
      <c r="AAC56" s="850">
        <f t="shared" si="25"/>
        <v>311192159.80320913</v>
      </c>
      <c r="AAD56" s="850">
        <f t="shared" si="25"/>
        <v>0</v>
      </c>
      <c r="AAE56" s="850">
        <f t="shared" si="25"/>
        <v>320527924.59730542</v>
      </c>
      <c r="AAF56" s="850">
        <f t="shared" si="25"/>
        <v>0</v>
      </c>
      <c r="AAG56" s="850">
        <f t="shared" si="25"/>
        <v>330143762.33522457</v>
      </c>
      <c r="AAH56" s="850">
        <f t="shared" si="25"/>
        <v>0</v>
      </c>
      <c r="AAI56" s="850">
        <f t="shared" si="25"/>
        <v>340048075.20528132</v>
      </c>
      <c r="AAJ56" s="850">
        <f t="shared" si="25"/>
        <v>0</v>
      </c>
      <c r="AAK56" s="850">
        <f t="shared" si="25"/>
        <v>350249517.46143979</v>
      </c>
      <c r="AAL56" s="850">
        <f t="shared" ref="AAL56:ACW56" si="26">AAJ56*$C$56</f>
        <v>0</v>
      </c>
      <c r="AAM56" s="850">
        <f t="shared" si="26"/>
        <v>360757002.98528302</v>
      </c>
      <c r="AAN56" s="850">
        <f t="shared" si="26"/>
        <v>0</v>
      </c>
      <c r="AAO56" s="850">
        <f t="shared" si="26"/>
        <v>371579713.0748415</v>
      </c>
      <c r="AAP56" s="850">
        <f t="shared" si="26"/>
        <v>0</v>
      </c>
      <c r="AAQ56" s="850">
        <f t="shared" si="26"/>
        <v>382727104.46708673</v>
      </c>
      <c r="AAR56" s="850">
        <f t="shared" si="26"/>
        <v>0</v>
      </c>
      <c r="AAS56" s="850">
        <f t="shared" si="26"/>
        <v>394208917.60109937</v>
      </c>
      <c r="AAT56" s="850">
        <f t="shared" si="26"/>
        <v>0</v>
      </c>
      <c r="AAU56" s="850">
        <f t="shared" si="26"/>
        <v>406035185.12913239</v>
      </c>
      <c r="AAV56" s="850">
        <f t="shared" si="26"/>
        <v>0</v>
      </c>
      <c r="AAW56" s="850">
        <f t="shared" si="26"/>
        <v>418216240.68300635</v>
      </c>
      <c r="AAX56" s="850">
        <f t="shared" si="26"/>
        <v>0</v>
      </c>
      <c r="AAY56" s="850">
        <f t="shared" si="26"/>
        <v>430762727.90349656</v>
      </c>
      <c r="AAZ56" s="850">
        <f t="shared" si="26"/>
        <v>0</v>
      </c>
      <c r="ABA56" s="850">
        <f t="shared" si="26"/>
        <v>443685609.74060148</v>
      </c>
      <c r="ABB56" s="850">
        <f t="shared" si="26"/>
        <v>0</v>
      </c>
      <c r="ABC56" s="850">
        <f t="shared" si="26"/>
        <v>456996178.03281951</v>
      </c>
      <c r="ABD56" s="850">
        <f t="shared" si="26"/>
        <v>0</v>
      </c>
      <c r="ABE56" s="850">
        <f t="shared" si="26"/>
        <v>470706063.37380409</v>
      </c>
      <c r="ABF56" s="850">
        <f t="shared" si="26"/>
        <v>0</v>
      </c>
      <c r="ABG56" s="850">
        <f t="shared" si="26"/>
        <v>484827245.27501822</v>
      </c>
      <c r="ABH56" s="850">
        <f t="shared" si="26"/>
        <v>0</v>
      </c>
      <c r="ABI56" s="850">
        <f t="shared" si="26"/>
        <v>499372062.63326877</v>
      </c>
      <c r="ABJ56" s="850">
        <f t="shared" si="26"/>
        <v>0</v>
      </c>
      <c r="ABK56" s="850">
        <f t="shared" si="26"/>
        <v>514353224.51226687</v>
      </c>
      <c r="ABL56" s="850">
        <f t="shared" si="26"/>
        <v>0</v>
      </c>
      <c r="ABM56" s="850">
        <f t="shared" si="26"/>
        <v>529783821.24763489</v>
      </c>
      <c r="ABN56" s="850">
        <f t="shared" si="26"/>
        <v>0</v>
      </c>
      <c r="ABO56" s="850">
        <f t="shared" si="26"/>
        <v>545677335.88506401</v>
      </c>
      <c r="ABP56" s="850">
        <f t="shared" si="26"/>
        <v>0</v>
      </c>
      <c r="ABQ56" s="850">
        <f t="shared" si="26"/>
        <v>562047655.96161592</v>
      </c>
      <c r="ABR56" s="850">
        <f t="shared" si="26"/>
        <v>0</v>
      </c>
      <c r="ABS56" s="850">
        <f t="shared" si="26"/>
        <v>578909085.64046443</v>
      </c>
      <c r="ABT56" s="850">
        <f t="shared" si="26"/>
        <v>0</v>
      </c>
      <c r="ABU56" s="850">
        <f t="shared" si="26"/>
        <v>596276358.20967841</v>
      </c>
      <c r="ABV56" s="850">
        <f t="shared" si="26"/>
        <v>0</v>
      </c>
      <c r="ABW56" s="850">
        <f t="shared" si="26"/>
        <v>614164648.95596874</v>
      </c>
      <c r="ABX56" s="850">
        <f t="shared" si="26"/>
        <v>0</v>
      </c>
      <c r="ABY56" s="850">
        <f t="shared" si="26"/>
        <v>632589588.42464781</v>
      </c>
      <c r="ABZ56" s="850">
        <f t="shared" si="26"/>
        <v>0</v>
      </c>
      <c r="ACA56" s="850">
        <f t="shared" si="26"/>
        <v>651567276.07738721</v>
      </c>
      <c r="ACB56" s="850">
        <f t="shared" si="26"/>
        <v>0</v>
      </c>
      <c r="ACC56" s="850">
        <f t="shared" si="26"/>
        <v>671114294.35970891</v>
      </c>
      <c r="ACD56" s="850">
        <f t="shared" si="26"/>
        <v>0</v>
      </c>
      <c r="ACE56" s="850">
        <f t="shared" si="26"/>
        <v>691247723.19050014</v>
      </c>
      <c r="ACF56" s="850">
        <f t="shared" si="26"/>
        <v>0</v>
      </c>
      <c r="ACG56" s="850">
        <f t="shared" si="26"/>
        <v>711985154.88621521</v>
      </c>
      <c r="ACH56" s="850">
        <f t="shared" si="26"/>
        <v>0</v>
      </c>
      <c r="ACI56" s="850">
        <f t="shared" si="26"/>
        <v>733344709.53280163</v>
      </c>
      <c r="ACJ56" s="850">
        <f t="shared" si="26"/>
        <v>0</v>
      </c>
      <c r="ACK56" s="850">
        <f t="shared" si="26"/>
        <v>755345050.81878567</v>
      </c>
      <c r="ACL56" s="850">
        <f t="shared" si="26"/>
        <v>0</v>
      </c>
      <c r="ACM56" s="850">
        <f t="shared" si="26"/>
        <v>778005402.34334922</v>
      </c>
      <c r="ACN56" s="850">
        <f t="shared" si="26"/>
        <v>0</v>
      </c>
      <c r="ACO56" s="850">
        <f t="shared" si="26"/>
        <v>801345564.41364968</v>
      </c>
      <c r="ACP56" s="850">
        <f t="shared" si="26"/>
        <v>0</v>
      </c>
      <c r="ACQ56" s="850">
        <f t="shared" si="26"/>
        <v>825385931.3460592</v>
      </c>
      <c r="ACR56" s="850">
        <f t="shared" si="26"/>
        <v>0</v>
      </c>
      <c r="ACS56" s="850">
        <f t="shared" si="26"/>
        <v>850147509.28644097</v>
      </c>
      <c r="ACT56" s="850">
        <f t="shared" si="26"/>
        <v>0</v>
      </c>
      <c r="ACU56" s="850">
        <f t="shared" si="26"/>
        <v>875651934.56503427</v>
      </c>
      <c r="ACV56" s="850">
        <f t="shared" si="26"/>
        <v>0</v>
      </c>
      <c r="ACW56" s="850">
        <f t="shared" si="26"/>
        <v>901921492.60198534</v>
      </c>
      <c r="ACX56" s="850">
        <f t="shared" ref="ACX56:AFI56" si="27">ACV56*$C$56</f>
        <v>0</v>
      </c>
      <c r="ACY56" s="850">
        <f t="shared" si="27"/>
        <v>928979137.38004494</v>
      </c>
      <c r="ACZ56" s="850">
        <f t="shared" si="27"/>
        <v>0</v>
      </c>
      <c r="ADA56" s="850">
        <f t="shared" si="27"/>
        <v>956848511.50144637</v>
      </c>
      <c r="ADB56" s="850">
        <f t="shared" si="27"/>
        <v>0</v>
      </c>
      <c r="ADC56" s="850">
        <f t="shared" si="27"/>
        <v>985553966.84648979</v>
      </c>
      <c r="ADD56" s="850">
        <f t="shared" si="27"/>
        <v>0</v>
      </c>
      <c r="ADE56" s="850">
        <f t="shared" si="27"/>
        <v>1015120585.8518845</v>
      </c>
      <c r="ADF56" s="850">
        <f t="shared" si="27"/>
        <v>0</v>
      </c>
      <c r="ADG56" s="850">
        <f t="shared" si="27"/>
        <v>1045574203.427441</v>
      </c>
      <c r="ADH56" s="850">
        <f t="shared" si="27"/>
        <v>0</v>
      </c>
      <c r="ADI56" s="850">
        <f t="shared" si="27"/>
        <v>1076941429.5302644</v>
      </c>
      <c r="ADJ56" s="850">
        <f t="shared" si="27"/>
        <v>0</v>
      </c>
      <c r="ADK56" s="850">
        <f t="shared" si="27"/>
        <v>1109249672.4161723</v>
      </c>
      <c r="ADL56" s="850">
        <f t="shared" si="27"/>
        <v>0</v>
      </c>
      <c r="ADM56" s="850">
        <f t="shared" si="27"/>
        <v>1142527162.5886574</v>
      </c>
      <c r="ADN56" s="850">
        <f t="shared" si="27"/>
        <v>0</v>
      </c>
      <c r="ADO56" s="850">
        <f t="shared" si="27"/>
        <v>1176802977.4663172</v>
      </c>
      <c r="ADP56" s="850">
        <f t="shared" si="27"/>
        <v>0</v>
      </c>
      <c r="ADQ56" s="850">
        <f t="shared" si="27"/>
        <v>1212107066.7903068</v>
      </c>
      <c r="ADR56" s="850">
        <f t="shared" si="27"/>
        <v>0</v>
      </c>
      <c r="ADS56" s="850">
        <f t="shared" si="27"/>
        <v>1248470278.7940161</v>
      </c>
      <c r="ADT56" s="850">
        <f t="shared" si="27"/>
        <v>0</v>
      </c>
      <c r="ADU56" s="850">
        <f t="shared" si="27"/>
        <v>1285924387.1578367</v>
      </c>
      <c r="ADV56" s="850">
        <f t="shared" si="27"/>
        <v>0</v>
      </c>
      <c r="ADW56" s="850">
        <f t="shared" si="27"/>
        <v>1324502118.7725718</v>
      </c>
      <c r="ADX56" s="850">
        <f t="shared" si="27"/>
        <v>0</v>
      </c>
      <c r="ADY56" s="850">
        <f t="shared" si="27"/>
        <v>1364237182.3357489</v>
      </c>
      <c r="ADZ56" s="850">
        <f t="shared" si="27"/>
        <v>0</v>
      </c>
      <c r="AEA56" s="850">
        <f t="shared" si="27"/>
        <v>1405164297.8058214</v>
      </c>
      <c r="AEB56" s="850">
        <f t="shared" si="27"/>
        <v>0</v>
      </c>
      <c r="AEC56" s="850">
        <f t="shared" si="27"/>
        <v>1447319226.7399962</v>
      </c>
      <c r="AED56" s="850">
        <f t="shared" si="27"/>
        <v>0</v>
      </c>
      <c r="AEE56" s="850">
        <f t="shared" si="27"/>
        <v>1490738803.542196</v>
      </c>
      <c r="AEF56" s="850">
        <f t="shared" si="27"/>
        <v>0</v>
      </c>
      <c r="AEG56" s="850">
        <f t="shared" si="27"/>
        <v>1535460967.6484621</v>
      </c>
      <c r="AEH56" s="850">
        <f t="shared" si="27"/>
        <v>0</v>
      </c>
      <c r="AEI56" s="850">
        <f t="shared" si="27"/>
        <v>1581524796.677916</v>
      </c>
      <c r="AEJ56" s="850">
        <f t="shared" si="27"/>
        <v>0</v>
      </c>
      <c r="AEK56" s="850">
        <f t="shared" si="27"/>
        <v>1628970540.5782535</v>
      </c>
      <c r="AEL56" s="850">
        <f t="shared" si="27"/>
        <v>0</v>
      </c>
      <c r="AEM56" s="850">
        <f t="shared" si="27"/>
        <v>1677839656.7956011</v>
      </c>
      <c r="AEN56" s="850">
        <f t="shared" si="27"/>
        <v>0</v>
      </c>
      <c r="AEO56" s="850">
        <f t="shared" si="27"/>
        <v>1728174846.4994693</v>
      </c>
      <c r="AEP56" s="850">
        <f t="shared" si="27"/>
        <v>0</v>
      </c>
      <c r="AEQ56" s="850">
        <f t="shared" si="27"/>
        <v>1780020091.8944533</v>
      </c>
      <c r="AER56" s="850">
        <f t="shared" si="27"/>
        <v>0</v>
      </c>
      <c r="AES56" s="850">
        <f t="shared" si="27"/>
        <v>1833420694.6512868</v>
      </c>
      <c r="AET56" s="850">
        <f t="shared" si="27"/>
        <v>0</v>
      </c>
      <c r="AEU56" s="850">
        <f t="shared" si="27"/>
        <v>1888423315.4908254</v>
      </c>
      <c r="AEV56" s="850">
        <f t="shared" si="27"/>
        <v>0</v>
      </c>
      <c r="AEW56" s="850">
        <f t="shared" si="27"/>
        <v>1945076014.9555502</v>
      </c>
      <c r="AEX56" s="850">
        <f t="shared" si="27"/>
        <v>0</v>
      </c>
      <c r="AEY56" s="850">
        <f t="shared" si="27"/>
        <v>2003428295.4042168</v>
      </c>
      <c r="AEZ56" s="850">
        <f t="shared" si="27"/>
        <v>0</v>
      </c>
      <c r="AFA56" s="850">
        <f t="shared" si="27"/>
        <v>2063531144.2663434</v>
      </c>
      <c r="AFB56" s="850">
        <f t="shared" si="27"/>
        <v>0</v>
      </c>
      <c r="AFC56" s="850">
        <f t="shared" si="27"/>
        <v>2125437078.5943336</v>
      </c>
      <c r="AFD56" s="850">
        <f t="shared" si="27"/>
        <v>0</v>
      </c>
      <c r="AFE56" s="850">
        <f t="shared" si="27"/>
        <v>2189200190.9521637</v>
      </c>
      <c r="AFF56" s="850">
        <f t="shared" si="27"/>
        <v>0</v>
      </c>
      <c r="AFG56" s="850">
        <f t="shared" si="27"/>
        <v>2254876196.6807284</v>
      </c>
      <c r="AFH56" s="850">
        <f t="shared" si="27"/>
        <v>0</v>
      </c>
      <c r="AFI56" s="850">
        <f t="shared" si="27"/>
        <v>2322522482.5811505</v>
      </c>
      <c r="AFJ56" s="850">
        <f t="shared" ref="AFJ56:AHU56" si="28">AFH56*$C$56</f>
        <v>0</v>
      </c>
      <c r="AFK56" s="850">
        <f t="shared" si="28"/>
        <v>2392198157.0585852</v>
      </c>
      <c r="AFL56" s="850">
        <f t="shared" si="28"/>
        <v>0</v>
      </c>
      <c r="AFM56" s="850">
        <f t="shared" si="28"/>
        <v>2463964101.7703428</v>
      </c>
      <c r="AFN56" s="850">
        <f t="shared" si="28"/>
        <v>0</v>
      </c>
      <c r="AFO56" s="850">
        <f t="shared" si="28"/>
        <v>2537883024.8234529</v>
      </c>
      <c r="AFP56" s="850">
        <f t="shared" si="28"/>
        <v>0</v>
      </c>
      <c r="AFQ56" s="850">
        <f t="shared" si="28"/>
        <v>2614019515.5681567</v>
      </c>
      <c r="AFR56" s="850">
        <f t="shared" si="28"/>
        <v>0</v>
      </c>
      <c r="AFS56" s="850">
        <f t="shared" si="28"/>
        <v>2692440101.0352015</v>
      </c>
      <c r="AFT56" s="850">
        <f t="shared" si="28"/>
        <v>0</v>
      </c>
      <c r="AFU56" s="850">
        <f t="shared" si="28"/>
        <v>2773213304.0662575</v>
      </c>
      <c r="AFV56" s="850">
        <f t="shared" si="28"/>
        <v>0</v>
      </c>
      <c r="AFW56" s="850">
        <f t="shared" si="28"/>
        <v>2856409703.1882453</v>
      </c>
      <c r="AFX56" s="850">
        <f t="shared" si="28"/>
        <v>0</v>
      </c>
      <c r="AFY56" s="850">
        <f t="shared" si="28"/>
        <v>2942101994.2838926</v>
      </c>
      <c r="AFZ56" s="850">
        <f t="shared" si="28"/>
        <v>0</v>
      </c>
      <c r="AGA56" s="850">
        <f t="shared" si="28"/>
        <v>3030365054.1124096</v>
      </c>
      <c r="AGB56" s="850">
        <f t="shared" si="28"/>
        <v>0</v>
      </c>
      <c r="AGC56" s="850">
        <f t="shared" si="28"/>
        <v>3121276005.7357821</v>
      </c>
      <c r="AGD56" s="850">
        <f t="shared" si="28"/>
        <v>0</v>
      </c>
      <c r="AGE56" s="850">
        <f t="shared" si="28"/>
        <v>3214914285.9078555</v>
      </c>
      <c r="AGF56" s="850">
        <f t="shared" si="28"/>
        <v>0</v>
      </c>
      <c r="AGG56" s="850">
        <f t="shared" si="28"/>
        <v>3311361714.4850912</v>
      </c>
      <c r="AGH56" s="850">
        <f t="shared" si="28"/>
        <v>0</v>
      </c>
      <c r="AGI56" s="850">
        <f t="shared" si="28"/>
        <v>3410702565.9196439</v>
      </c>
      <c r="AGJ56" s="850">
        <f t="shared" si="28"/>
        <v>0</v>
      </c>
      <c r="AGK56" s="850">
        <f t="shared" si="28"/>
        <v>3513023642.8972335</v>
      </c>
      <c r="AGL56" s="850">
        <f t="shared" si="28"/>
        <v>0</v>
      </c>
      <c r="AGM56" s="850">
        <f t="shared" si="28"/>
        <v>3618414352.1841507</v>
      </c>
      <c r="AGN56" s="850">
        <f t="shared" si="28"/>
        <v>0</v>
      </c>
      <c r="AGO56" s="850">
        <f t="shared" si="28"/>
        <v>3726966782.7496753</v>
      </c>
      <c r="AGP56" s="850">
        <f t="shared" si="28"/>
        <v>0</v>
      </c>
      <c r="AGQ56" s="850">
        <f t="shared" si="28"/>
        <v>3838775786.2321658</v>
      </c>
      <c r="AGR56" s="850">
        <f t="shared" si="28"/>
        <v>0</v>
      </c>
      <c r="AGS56" s="850">
        <f t="shared" si="28"/>
        <v>3953939059.8191309</v>
      </c>
      <c r="AGT56" s="850">
        <f t="shared" si="28"/>
        <v>0</v>
      </c>
      <c r="AGU56" s="850">
        <f t="shared" si="28"/>
        <v>4072557231.6137052</v>
      </c>
      <c r="AGV56" s="850">
        <f t="shared" si="28"/>
        <v>0</v>
      </c>
      <c r="AGW56" s="850">
        <f t="shared" si="28"/>
        <v>4194733948.5621166</v>
      </c>
      <c r="AGX56" s="850">
        <f t="shared" si="28"/>
        <v>0</v>
      </c>
      <c r="AGY56" s="850">
        <f t="shared" si="28"/>
        <v>4320575967.01898</v>
      </c>
      <c r="AGZ56" s="850">
        <f t="shared" si="28"/>
        <v>0</v>
      </c>
      <c r="AHA56" s="850">
        <f t="shared" si="28"/>
        <v>4450193246.0295496</v>
      </c>
      <c r="AHB56" s="850">
        <f t="shared" si="28"/>
        <v>0</v>
      </c>
      <c r="AHC56" s="850">
        <f t="shared" si="28"/>
        <v>4583699043.4104366</v>
      </c>
      <c r="AHD56" s="850">
        <f t="shared" si="28"/>
        <v>0</v>
      </c>
      <c r="AHE56" s="850">
        <f t="shared" si="28"/>
        <v>4721210014.7127495</v>
      </c>
      <c r="AHF56" s="850">
        <f t="shared" si="28"/>
        <v>0</v>
      </c>
      <c r="AHG56" s="850">
        <f t="shared" si="28"/>
        <v>4862846315.1541319</v>
      </c>
      <c r="AHH56" s="850">
        <f t="shared" si="28"/>
        <v>0</v>
      </c>
      <c r="AHI56" s="850">
        <f t="shared" si="28"/>
        <v>5008731704.6087561</v>
      </c>
      <c r="AHJ56" s="850">
        <f t="shared" si="28"/>
        <v>0</v>
      </c>
      <c r="AHK56" s="850">
        <f t="shared" si="28"/>
        <v>5158993655.7470188</v>
      </c>
      <c r="AHL56" s="850">
        <f t="shared" si="28"/>
        <v>0</v>
      </c>
      <c r="AHM56" s="850">
        <f t="shared" si="28"/>
        <v>5313763465.4194298</v>
      </c>
      <c r="AHN56" s="850">
        <f t="shared" si="28"/>
        <v>0</v>
      </c>
      <c r="AHO56" s="850">
        <f t="shared" si="28"/>
        <v>5473176369.3820124</v>
      </c>
      <c r="AHP56" s="850">
        <f t="shared" si="28"/>
        <v>0</v>
      </c>
      <c r="AHQ56" s="850">
        <f t="shared" si="28"/>
        <v>5637371660.4634733</v>
      </c>
      <c r="AHR56" s="850">
        <f t="shared" si="28"/>
        <v>0</v>
      </c>
      <c r="AHS56" s="850">
        <f t="shared" si="28"/>
        <v>5806492810.2773781</v>
      </c>
      <c r="AHT56" s="850">
        <f t="shared" si="28"/>
        <v>0</v>
      </c>
      <c r="AHU56" s="850">
        <f t="shared" si="28"/>
        <v>5980687594.5857</v>
      </c>
      <c r="AHV56" s="850">
        <f t="shared" ref="AHV56:AKG56" si="29">AHT56*$C$56</f>
        <v>0</v>
      </c>
      <c r="AHW56" s="850">
        <f t="shared" si="29"/>
        <v>6160108222.4232712</v>
      </c>
      <c r="AHX56" s="850">
        <f t="shared" si="29"/>
        <v>0</v>
      </c>
      <c r="AHY56" s="850">
        <f t="shared" si="29"/>
        <v>6344911469.0959692</v>
      </c>
      <c r="AHZ56" s="850">
        <f t="shared" si="29"/>
        <v>0</v>
      </c>
      <c r="AIA56" s="850">
        <f t="shared" si="29"/>
        <v>6535258813.168848</v>
      </c>
      <c r="AIB56" s="850">
        <f t="shared" si="29"/>
        <v>0</v>
      </c>
      <c r="AIC56" s="850">
        <f t="shared" si="29"/>
        <v>6731316577.5639133</v>
      </c>
      <c r="AID56" s="850">
        <f t="shared" si="29"/>
        <v>0</v>
      </c>
      <c r="AIE56" s="850">
        <f t="shared" si="29"/>
        <v>6933256074.890831</v>
      </c>
      <c r="AIF56" s="850">
        <f t="shared" si="29"/>
        <v>0</v>
      </c>
      <c r="AIG56" s="850">
        <f t="shared" si="29"/>
        <v>7141253757.1375561</v>
      </c>
      <c r="AIH56" s="850">
        <f t="shared" si="29"/>
        <v>0</v>
      </c>
      <c r="AII56" s="850">
        <f t="shared" si="29"/>
        <v>7355491369.8516827</v>
      </c>
      <c r="AIJ56" s="850">
        <f t="shared" si="29"/>
        <v>0</v>
      </c>
      <c r="AIK56" s="850">
        <f t="shared" si="29"/>
        <v>7576156110.9472332</v>
      </c>
      <c r="AIL56" s="850">
        <f t="shared" si="29"/>
        <v>0</v>
      </c>
      <c r="AIM56" s="850">
        <f t="shared" si="29"/>
        <v>7803440794.27565</v>
      </c>
      <c r="AIN56" s="850">
        <f t="shared" si="29"/>
        <v>0</v>
      </c>
      <c r="AIO56" s="850">
        <f t="shared" si="29"/>
        <v>8037544018.10392</v>
      </c>
      <c r="AIP56" s="850">
        <f t="shared" si="29"/>
        <v>0</v>
      </c>
      <c r="AIQ56" s="850">
        <f t="shared" si="29"/>
        <v>8278670338.6470375</v>
      </c>
      <c r="AIR56" s="850">
        <f t="shared" si="29"/>
        <v>0</v>
      </c>
      <c r="AIS56" s="850">
        <f t="shared" si="29"/>
        <v>8527030448.8064489</v>
      </c>
      <c r="AIT56" s="850">
        <f t="shared" si="29"/>
        <v>0</v>
      </c>
      <c r="AIU56" s="850">
        <f t="shared" si="29"/>
        <v>8782841362.2706432</v>
      </c>
      <c r="AIV56" s="850">
        <f t="shared" si="29"/>
        <v>0</v>
      </c>
      <c r="AIW56" s="850">
        <f t="shared" si="29"/>
        <v>9046326603.1387634</v>
      </c>
      <c r="AIX56" s="850">
        <f t="shared" si="29"/>
        <v>0</v>
      </c>
      <c r="AIY56" s="850">
        <f t="shared" si="29"/>
        <v>9317716401.2329273</v>
      </c>
      <c r="AIZ56" s="850">
        <f t="shared" si="29"/>
        <v>0</v>
      </c>
      <c r="AJA56" s="850">
        <f t="shared" si="29"/>
        <v>9597247893.2699146</v>
      </c>
      <c r="AJB56" s="850">
        <f t="shared" si="29"/>
        <v>0</v>
      </c>
      <c r="AJC56" s="850">
        <f t="shared" si="29"/>
        <v>9885165330.0680122</v>
      </c>
      <c r="AJD56" s="850">
        <f t="shared" si="29"/>
        <v>0</v>
      </c>
      <c r="AJE56" s="850">
        <f t="shared" si="29"/>
        <v>10181720289.970053</v>
      </c>
      <c r="AJF56" s="850">
        <f t="shared" si="29"/>
        <v>0</v>
      </c>
      <c r="AJG56" s="850">
        <f t="shared" si="29"/>
        <v>10487171898.669155</v>
      </c>
      <c r="AJH56" s="850">
        <f t="shared" si="29"/>
        <v>0</v>
      </c>
      <c r="AJI56" s="850">
        <f t="shared" si="29"/>
        <v>10801787055.62923</v>
      </c>
      <c r="AJJ56" s="850">
        <f t="shared" si="29"/>
        <v>0</v>
      </c>
      <c r="AJK56" s="850">
        <f t="shared" si="29"/>
        <v>11125840667.298107</v>
      </c>
      <c r="AJL56" s="850">
        <f t="shared" si="29"/>
        <v>0</v>
      </c>
      <c r="AJM56" s="850">
        <f t="shared" si="29"/>
        <v>11459615887.317051</v>
      </c>
      <c r="AJN56" s="850">
        <f t="shared" si="29"/>
        <v>0</v>
      </c>
      <c r="AJO56" s="850">
        <f t="shared" si="29"/>
        <v>11803404363.936563</v>
      </c>
      <c r="AJP56" s="850">
        <f t="shared" si="29"/>
        <v>0</v>
      </c>
      <c r="AJQ56" s="850">
        <f t="shared" si="29"/>
        <v>12157506494.85466</v>
      </c>
      <c r="AJR56" s="850">
        <f t="shared" si="29"/>
        <v>0</v>
      </c>
      <c r="AJS56" s="850">
        <f t="shared" si="29"/>
        <v>12522231689.7003</v>
      </c>
      <c r="AJT56" s="850">
        <f t="shared" si="29"/>
        <v>0</v>
      </c>
      <c r="AJU56" s="850">
        <f t="shared" si="29"/>
        <v>12897898640.39131</v>
      </c>
      <c r="AJV56" s="850">
        <f t="shared" si="29"/>
        <v>0</v>
      </c>
      <c r="AJW56" s="850">
        <f t="shared" si="29"/>
        <v>13284835599.60305</v>
      </c>
      <c r="AJX56" s="850">
        <f t="shared" si="29"/>
        <v>0</v>
      </c>
      <c r="AJY56" s="850">
        <f t="shared" si="29"/>
        <v>13683380667.591143</v>
      </c>
      <c r="AJZ56" s="850">
        <f t="shared" si="29"/>
        <v>0</v>
      </c>
      <c r="AKA56" s="850">
        <f t="shared" si="29"/>
        <v>14093882087.618877</v>
      </c>
      <c r="AKB56" s="850">
        <f t="shared" si="29"/>
        <v>0</v>
      </c>
      <c r="AKC56" s="850">
        <f t="shared" si="29"/>
        <v>14516698550.247444</v>
      </c>
      <c r="AKD56" s="850">
        <f t="shared" si="29"/>
        <v>0</v>
      </c>
      <c r="AKE56" s="850">
        <f t="shared" si="29"/>
        <v>14952199506.754868</v>
      </c>
      <c r="AKF56" s="850">
        <f t="shared" si="29"/>
        <v>0</v>
      </c>
      <c r="AKG56" s="850">
        <f t="shared" si="29"/>
        <v>15400765491.957514</v>
      </c>
      <c r="AKH56" s="850">
        <f t="shared" ref="AKH56:AMS56" si="30">AKF56*$C$56</f>
        <v>0</v>
      </c>
      <c r="AKI56" s="850">
        <f t="shared" si="30"/>
        <v>15862788456.71624</v>
      </c>
      <c r="AKJ56" s="850">
        <f t="shared" si="30"/>
        <v>0</v>
      </c>
      <c r="AKK56" s="850">
        <f t="shared" si="30"/>
        <v>16338672110.417728</v>
      </c>
      <c r="AKL56" s="850">
        <f t="shared" si="30"/>
        <v>0</v>
      </c>
      <c r="AKM56" s="850">
        <f t="shared" si="30"/>
        <v>16828832273.730261</v>
      </c>
      <c r="AKN56" s="850">
        <f t="shared" si="30"/>
        <v>0</v>
      </c>
      <c r="AKO56" s="850">
        <f t="shared" si="30"/>
        <v>17333697241.942169</v>
      </c>
      <c r="AKP56" s="850">
        <f t="shared" si="30"/>
        <v>0</v>
      </c>
      <c r="AKQ56" s="850">
        <f t="shared" si="30"/>
        <v>17853708159.200436</v>
      </c>
      <c r="AKR56" s="850">
        <f t="shared" si="30"/>
        <v>0</v>
      </c>
      <c r="AKS56" s="850">
        <f t="shared" si="30"/>
        <v>18389319403.976448</v>
      </c>
      <c r="AKT56" s="850">
        <f t="shared" si="30"/>
        <v>0</v>
      </c>
      <c r="AKU56" s="850">
        <f t="shared" si="30"/>
        <v>18940998986.095741</v>
      </c>
      <c r="AKV56" s="850">
        <f t="shared" si="30"/>
        <v>0</v>
      </c>
      <c r="AKW56" s="850">
        <f t="shared" si="30"/>
        <v>19509228955.678616</v>
      </c>
      <c r="AKX56" s="850">
        <f t="shared" si="30"/>
        <v>0</v>
      </c>
      <c r="AKY56" s="850">
        <f t="shared" si="30"/>
        <v>20094505824.348976</v>
      </c>
      <c r="AKZ56" s="850">
        <f t="shared" si="30"/>
        <v>0</v>
      </c>
      <c r="ALA56" s="850">
        <f t="shared" si="30"/>
        <v>20697340999.079445</v>
      </c>
      <c r="ALB56" s="850">
        <f t="shared" si="30"/>
        <v>0</v>
      </c>
      <c r="ALC56" s="850">
        <f t="shared" si="30"/>
        <v>21318261229.05183</v>
      </c>
      <c r="ALD56" s="850">
        <f t="shared" si="30"/>
        <v>0</v>
      </c>
      <c r="ALE56" s="850">
        <f t="shared" si="30"/>
        <v>21957809065.923386</v>
      </c>
      <c r="ALF56" s="850">
        <f t="shared" si="30"/>
        <v>0</v>
      </c>
      <c r="ALG56" s="850">
        <f t="shared" si="30"/>
        <v>22616543337.901089</v>
      </c>
      <c r="ALH56" s="850">
        <f t="shared" si="30"/>
        <v>0</v>
      </c>
      <c r="ALI56" s="850">
        <f t="shared" si="30"/>
        <v>23295039638.03812</v>
      </c>
      <c r="ALJ56" s="850">
        <f t="shared" si="30"/>
        <v>0</v>
      </c>
      <c r="ALK56" s="850">
        <f t="shared" si="30"/>
        <v>23993890827.179264</v>
      </c>
      <c r="ALL56" s="850">
        <f t="shared" si="30"/>
        <v>0</v>
      </c>
      <c r="ALM56" s="850">
        <f t="shared" si="30"/>
        <v>24713707551.994644</v>
      </c>
      <c r="ALN56" s="850">
        <f t="shared" si="30"/>
        <v>0</v>
      </c>
      <c r="ALO56" s="850">
        <f t="shared" si="30"/>
        <v>25455118778.554485</v>
      </c>
      <c r="ALP56" s="850">
        <f t="shared" si="30"/>
        <v>0</v>
      </c>
      <c r="ALQ56" s="850">
        <f t="shared" si="30"/>
        <v>26218772341.911121</v>
      </c>
      <c r="ALR56" s="850">
        <f t="shared" si="30"/>
        <v>0</v>
      </c>
      <c r="ALS56" s="850">
        <f t="shared" si="30"/>
        <v>27005335512.168457</v>
      </c>
      <c r="ALT56" s="850">
        <f t="shared" si="30"/>
        <v>0</v>
      </c>
      <c r="ALU56" s="850">
        <f t="shared" si="30"/>
        <v>27815495577.533512</v>
      </c>
      <c r="ALV56" s="850">
        <f t="shared" si="30"/>
        <v>0</v>
      </c>
      <c r="ALW56" s="850">
        <f t="shared" si="30"/>
        <v>28649960444.85952</v>
      </c>
      <c r="ALX56" s="850">
        <f t="shared" si="30"/>
        <v>0</v>
      </c>
      <c r="ALY56" s="850">
        <f t="shared" si="30"/>
        <v>29509459258.205307</v>
      </c>
      <c r="ALZ56" s="850">
        <f t="shared" si="30"/>
        <v>0</v>
      </c>
      <c r="AMA56" s="850">
        <f t="shared" si="30"/>
        <v>30394743035.951466</v>
      </c>
      <c r="AMB56" s="850">
        <f t="shared" si="30"/>
        <v>0</v>
      </c>
      <c r="AMC56" s="850">
        <f t="shared" si="30"/>
        <v>31306585327.03001</v>
      </c>
      <c r="AMD56" s="850">
        <f t="shared" si="30"/>
        <v>0</v>
      </c>
      <c r="AME56" s="850">
        <f t="shared" si="30"/>
        <v>32245782886.840912</v>
      </c>
      <c r="AMF56" s="850">
        <f t="shared" si="30"/>
        <v>0</v>
      </c>
      <c r="AMG56" s="850">
        <f t="shared" si="30"/>
        <v>33213156373.44614</v>
      </c>
      <c r="AMH56" s="850">
        <f t="shared" si="30"/>
        <v>0</v>
      </c>
      <c r="AMI56" s="850">
        <f t="shared" si="30"/>
        <v>34209551064.649525</v>
      </c>
      <c r="AMJ56" s="850">
        <f t="shared" si="30"/>
        <v>0</v>
      </c>
      <c r="AMK56" s="850">
        <f t="shared" si="30"/>
        <v>35235837596.589012</v>
      </c>
      <c r="AML56" s="850">
        <f t="shared" si="30"/>
        <v>0</v>
      </c>
      <c r="AMM56" s="850">
        <f t="shared" si="30"/>
        <v>36292912724.486687</v>
      </c>
      <c r="AMN56" s="850">
        <f t="shared" si="30"/>
        <v>0</v>
      </c>
      <c r="AMO56" s="850">
        <f t="shared" si="30"/>
        <v>37381700106.221291</v>
      </c>
      <c r="AMP56" s="850">
        <f t="shared" si="30"/>
        <v>0</v>
      </c>
      <c r="AMQ56" s="850">
        <f t="shared" si="30"/>
        <v>38503151109.407928</v>
      </c>
      <c r="AMR56" s="850">
        <f t="shared" si="30"/>
        <v>0</v>
      </c>
      <c r="AMS56" s="850">
        <f t="shared" si="30"/>
        <v>39658245642.69017</v>
      </c>
      <c r="AMT56" s="850">
        <f t="shared" ref="AMT56:APE56" si="31">AMR56*$C$56</f>
        <v>0</v>
      </c>
      <c r="AMU56" s="850">
        <f t="shared" si="31"/>
        <v>40847993011.970879</v>
      </c>
      <c r="AMV56" s="850">
        <f t="shared" si="31"/>
        <v>0</v>
      </c>
      <c r="AMW56" s="850">
        <f t="shared" si="31"/>
        <v>42073432802.330009</v>
      </c>
      <c r="AMX56" s="850">
        <f t="shared" si="31"/>
        <v>0</v>
      </c>
      <c r="AMY56" s="850">
        <f t="shared" si="31"/>
        <v>43335635786.39991</v>
      </c>
      <c r="AMZ56" s="850">
        <f t="shared" si="31"/>
        <v>0</v>
      </c>
      <c r="ANA56" s="850">
        <f t="shared" si="31"/>
        <v>44635704859.991905</v>
      </c>
      <c r="ANB56" s="850">
        <f t="shared" si="31"/>
        <v>0</v>
      </c>
      <c r="ANC56" s="850">
        <f t="shared" si="31"/>
        <v>45974776005.791664</v>
      </c>
      <c r="AND56" s="850">
        <f t="shared" si="31"/>
        <v>0</v>
      </c>
      <c r="ANE56" s="850">
        <f t="shared" si="31"/>
        <v>47354019285.965416</v>
      </c>
      <c r="ANF56" s="850">
        <f t="shared" si="31"/>
        <v>0</v>
      </c>
      <c r="ANG56" s="850">
        <f t="shared" si="31"/>
        <v>48774639864.54438</v>
      </c>
      <c r="ANH56" s="850">
        <f t="shared" si="31"/>
        <v>0</v>
      </c>
      <c r="ANI56" s="850">
        <f t="shared" si="31"/>
        <v>50237879060.480713</v>
      </c>
      <c r="ANJ56" s="850">
        <f t="shared" si="31"/>
        <v>0</v>
      </c>
      <c r="ANK56" s="850">
        <f t="shared" si="31"/>
        <v>51745015432.295135</v>
      </c>
      <c r="ANL56" s="850">
        <f t="shared" si="31"/>
        <v>0</v>
      </c>
      <c r="ANM56" s="850">
        <f t="shared" si="31"/>
        <v>53297365895.263992</v>
      </c>
      <c r="ANN56" s="850">
        <f t="shared" si="31"/>
        <v>0</v>
      </c>
      <c r="ANO56" s="850">
        <f t="shared" si="31"/>
        <v>54896286872.12191</v>
      </c>
      <c r="ANP56" s="850">
        <f t="shared" si="31"/>
        <v>0</v>
      </c>
      <c r="ANQ56" s="850">
        <f t="shared" si="31"/>
        <v>56543175478.285568</v>
      </c>
      <c r="ANR56" s="850">
        <f t="shared" si="31"/>
        <v>0</v>
      </c>
      <c r="ANS56" s="850">
        <f t="shared" si="31"/>
        <v>58239470742.63414</v>
      </c>
      <c r="ANT56" s="850">
        <f t="shared" si="31"/>
        <v>0</v>
      </c>
      <c r="ANU56" s="850">
        <f t="shared" si="31"/>
        <v>59986654864.913162</v>
      </c>
      <c r="ANV56" s="850">
        <f t="shared" si="31"/>
        <v>0</v>
      </c>
      <c r="ANW56" s="850">
        <f t="shared" si="31"/>
        <v>61786254510.860558</v>
      </c>
      <c r="ANX56" s="850">
        <f t="shared" si="31"/>
        <v>0</v>
      </c>
      <c r="ANY56" s="850">
        <f t="shared" si="31"/>
        <v>63639842146.186378</v>
      </c>
      <c r="ANZ56" s="850">
        <f t="shared" si="31"/>
        <v>0</v>
      </c>
      <c r="AOA56" s="850">
        <f t="shared" si="31"/>
        <v>65549037410.571968</v>
      </c>
      <c r="AOB56" s="850">
        <f t="shared" si="31"/>
        <v>0</v>
      </c>
      <c r="AOC56" s="850">
        <f t="shared" si="31"/>
        <v>67515508532.88913</v>
      </c>
      <c r="AOD56" s="850">
        <f t="shared" si="31"/>
        <v>0</v>
      </c>
      <c r="AOE56" s="850">
        <f t="shared" si="31"/>
        <v>69540973788.875809</v>
      </c>
      <c r="AOF56" s="850">
        <f t="shared" si="31"/>
        <v>0</v>
      </c>
      <c r="AOG56" s="850">
        <f t="shared" si="31"/>
        <v>71627203002.542084</v>
      </c>
      <c r="AOH56" s="850">
        <f t="shared" si="31"/>
        <v>0</v>
      </c>
      <c r="AOI56" s="850">
        <f t="shared" si="31"/>
        <v>73776019092.618347</v>
      </c>
      <c r="AOJ56" s="850">
        <f t="shared" si="31"/>
        <v>0</v>
      </c>
      <c r="AOK56" s="850">
        <f t="shared" si="31"/>
        <v>75989299665.396896</v>
      </c>
      <c r="AOL56" s="850">
        <f t="shared" si="31"/>
        <v>0</v>
      </c>
      <c r="AOM56" s="850">
        <f t="shared" si="31"/>
        <v>78268978655.35881</v>
      </c>
      <c r="AON56" s="850">
        <f t="shared" si="31"/>
        <v>0</v>
      </c>
      <c r="AOO56" s="850">
        <f t="shared" si="31"/>
        <v>80617048015.019577</v>
      </c>
      <c r="AOP56" s="850">
        <f t="shared" si="31"/>
        <v>0</v>
      </c>
      <c r="AOQ56" s="850">
        <f t="shared" si="31"/>
        <v>83035559455.470169</v>
      </c>
      <c r="AOR56" s="850">
        <f t="shared" si="31"/>
        <v>0</v>
      </c>
      <c r="AOS56" s="850">
        <f t="shared" si="31"/>
        <v>85526626239.134277</v>
      </c>
      <c r="AOT56" s="850">
        <f t="shared" si="31"/>
        <v>0</v>
      </c>
      <c r="AOU56" s="850">
        <f t="shared" si="31"/>
        <v>88092425026.308304</v>
      </c>
      <c r="AOV56" s="850">
        <f t="shared" si="31"/>
        <v>0</v>
      </c>
      <c r="AOW56" s="850">
        <f t="shared" si="31"/>
        <v>90735197777.097549</v>
      </c>
      <c r="AOX56" s="850">
        <f t="shared" si="31"/>
        <v>0</v>
      </c>
      <c r="AOY56" s="850">
        <f t="shared" si="31"/>
        <v>93457253710.410477</v>
      </c>
      <c r="AOZ56" s="850">
        <f t="shared" si="31"/>
        <v>0</v>
      </c>
      <c r="APA56" s="850">
        <f t="shared" si="31"/>
        <v>96260971321.722794</v>
      </c>
      <c r="APB56" s="850">
        <f t="shared" si="31"/>
        <v>0</v>
      </c>
      <c r="APC56" s="850">
        <f t="shared" si="31"/>
        <v>99148800461.374481</v>
      </c>
      <c r="APD56" s="850">
        <f t="shared" si="31"/>
        <v>0</v>
      </c>
      <c r="APE56" s="850">
        <f t="shared" si="31"/>
        <v>102123264475.21571</v>
      </c>
      <c r="APF56" s="850">
        <f t="shared" ref="APF56:ARQ56" si="32">APD56*$C$56</f>
        <v>0</v>
      </c>
      <c r="APG56" s="850">
        <f t="shared" si="32"/>
        <v>105186962409.47218</v>
      </c>
      <c r="APH56" s="850">
        <f t="shared" si="32"/>
        <v>0</v>
      </c>
      <c r="API56" s="850">
        <f t="shared" si="32"/>
        <v>108342571281.75635</v>
      </c>
      <c r="APJ56" s="850">
        <f t="shared" si="32"/>
        <v>0</v>
      </c>
      <c r="APK56" s="850">
        <f t="shared" si="32"/>
        <v>111592848420.20905</v>
      </c>
      <c r="APL56" s="850">
        <f t="shared" si="32"/>
        <v>0</v>
      </c>
      <c r="APM56" s="850">
        <f t="shared" si="32"/>
        <v>114940633872.81532</v>
      </c>
      <c r="APN56" s="850">
        <f t="shared" si="32"/>
        <v>0</v>
      </c>
      <c r="APO56" s="850">
        <f t="shared" si="32"/>
        <v>118388852888.99979</v>
      </c>
      <c r="APP56" s="850">
        <f t="shared" si="32"/>
        <v>0</v>
      </c>
      <c r="APQ56" s="850">
        <f t="shared" si="32"/>
        <v>121940518475.66978</v>
      </c>
      <c r="APR56" s="850">
        <f t="shared" si="32"/>
        <v>0</v>
      </c>
      <c r="APS56" s="850">
        <f t="shared" si="32"/>
        <v>125598734029.93988</v>
      </c>
      <c r="APT56" s="850">
        <f t="shared" si="32"/>
        <v>0</v>
      </c>
      <c r="APU56" s="850">
        <f t="shared" si="32"/>
        <v>129366696050.83807</v>
      </c>
      <c r="APV56" s="850">
        <f t="shared" si="32"/>
        <v>0</v>
      </c>
      <c r="APW56" s="850">
        <f t="shared" si="32"/>
        <v>133247696932.36322</v>
      </c>
      <c r="APX56" s="850">
        <f t="shared" si="32"/>
        <v>0</v>
      </c>
      <c r="APY56" s="850">
        <f t="shared" si="32"/>
        <v>137245127840.33412</v>
      </c>
      <c r="APZ56" s="850">
        <f t="shared" si="32"/>
        <v>0</v>
      </c>
      <c r="AQA56" s="850">
        <f t="shared" si="32"/>
        <v>141362481675.54416</v>
      </c>
      <c r="AQB56" s="850">
        <f t="shared" si="32"/>
        <v>0</v>
      </c>
      <c r="AQC56" s="850">
        <f t="shared" si="32"/>
        <v>145603356125.81049</v>
      </c>
      <c r="AQD56" s="850">
        <f t="shared" si="32"/>
        <v>0</v>
      </c>
      <c r="AQE56" s="850">
        <f t="shared" si="32"/>
        <v>149971456809.58481</v>
      </c>
      <c r="AQF56" s="850">
        <f t="shared" si="32"/>
        <v>0</v>
      </c>
      <c r="AQG56" s="850">
        <f t="shared" si="32"/>
        <v>154470600513.87234</v>
      </c>
      <c r="AQH56" s="850">
        <f t="shared" si="32"/>
        <v>0</v>
      </c>
      <c r="AQI56" s="850">
        <f t="shared" si="32"/>
        <v>159104718529.28851</v>
      </c>
      <c r="AQJ56" s="850">
        <f t="shared" si="32"/>
        <v>0</v>
      </c>
      <c r="AQK56" s="850">
        <f t="shared" si="32"/>
        <v>163877860085.16718</v>
      </c>
      <c r="AQL56" s="850">
        <f t="shared" si="32"/>
        <v>0</v>
      </c>
      <c r="AQM56" s="850">
        <f t="shared" si="32"/>
        <v>168794195887.7222</v>
      </c>
      <c r="AQN56" s="850">
        <f t="shared" si="32"/>
        <v>0</v>
      </c>
      <c r="AQO56" s="850">
        <f t="shared" si="32"/>
        <v>173858021764.35388</v>
      </c>
      <c r="AQP56" s="850">
        <f t="shared" si="32"/>
        <v>0</v>
      </c>
      <c r="AQQ56" s="850">
        <f t="shared" si="32"/>
        <v>179073762417.28452</v>
      </c>
      <c r="AQR56" s="850">
        <f t="shared" si="32"/>
        <v>0</v>
      </c>
      <c r="AQS56" s="850">
        <f t="shared" si="32"/>
        <v>184445975289.80307</v>
      </c>
      <c r="AQT56" s="850">
        <f t="shared" si="32"/>
        <v>0</v>
      </c>
      <c r="AQU56" s="850">
        <f t="shared" si="32"/>
        <v>189979354548.49716</v>
      </c>
      <c r="AQV56" s="850">
        <f t="shared" si="32"/>
        <v>0</v>
      </c>
      <c r="AQW56" s="850">
        <f t="shared" si="32"/>
        <v>195678735184.95209</v>
      </c>
      <c r="AQX56" s="850">
        <f t="shared" si="32"/>
        <v>0</v>
      </c>
      <c r="AQY56" s="850">
        <f t="shared" si="32"/>
        <v>201549097240.50064</v>
      </c>
      <c r="AQZ56" s="850">
        <f t="shared" si="32"/>
        <v>0</v>
      </c>
      <c r="ARA56" s="850">
        <f t="shared" si="32"/>
        <v>207595570157.71567</v>
      </c>
      <c r="ARB56" s="850">
        <f t="shared" si="32"/>
        <v>0</v>
      </c>
      <c r="ARC56" s="850">
        <f t="shared" si="32"/>
        <v>213823437262.44714</v>
      </c>
      <c r="ARD56" s="850">
        <f t="shared" si="32"/>
        <v>0</v>
      </c>
      <c r="ARE56" s="850">
        <f t="shared" si="32"/>
        <v>220238140380.32056</v>
      </c>
      <c r="ARF56" s="850">
        <f t="shared" si="32"/>
        <v>0</v>
      </c>
      <c r="ARG56" s="850">
        <f t="shared" si="32"/>
        <v>226845284591.73019</v>
      </c>
      <c r="ARH56" s="850">
        <f t="shared" si="32"/>
        <v>0</v>
      </c>
      <c r="ARI56" s="850">
        <f t="shared" si="32"/>
        <v>233650643129.48212</v>
      </c>
      <c r="ARJ56" s="850">
        <f t="shared" si="32"/>
        <v>0</v>
      </c>
      <c r="ARK56" s="850">
        <f t="shared" si="32"/>
        <v>240660162423.36658</v>
      </c>
      <c r="ARL56" s="850">
        <f t="shared" si="32"/>
        <v>0</v>
      </c>
      <c r="ARM56" s="850">
        <f t="shared" si="32"/>
        <v>247879967296.06757</v>
      </c>
      <c r="ARN56" s="850">
        <f t="shared" si="32"/>
        <v>0</v>
      </c>
      <c r="ARO56" s="850">
        <f t="shared" si="32"/>
        <v>255316366314.94958</v>
      </c>
      <c r="ARP56" s="850">
        <f t="shared" si="32"/>
        <v>0</v>
      </c>
      <c r="ARQ56" s="850">
        <f t="shared" si="32"/>
        <v>262975857304.39807</v>
      </c>
      <c r="ARR56" s="850">
        <f t="shared" ref="ARR56:AUC56" si="33">ARP56*$C$56</f>
        <v>0</v>
      </c>
      <c r="ARS56" s="850">
        <f t="shared" si="33"/>
        <v>270865133023.53003</v>
      </c>
      <c r="ART56" s="850">
        <f t="shared" si="33"/>
        <v>0</v>
      </c>
      <c r="ARU56" s="850">
        <f t="shared" si="33"/>
        <v>278991087014.23596</v>
      </c>
      <c r="ARV56" s="850">
        <f t="shared" si="33"/>
        <v>0</v>
      </c>
      <c r="ARW56" s="850">
        <f t="shared" si="33"/>
        <v>287360819624.66302</v>
      </c>
      <c r="ARX56" s="850">
        <f t="shared" si="33"/>
        <v>0</v>
      </c>
      <c r="ARY56" s="850">
        <f t="shared" si="33"/>
        <v>295981644213.40289</v>
      </c>
      <c r="ARZ56" s="850">
        <f t="shared" si="33"/>
        <v>0</v>
      </c>
      <c r="ASA56" s="850">
        <f t="shared" si="33"/>
        <v>304861093539.80499</v>
      </c>
      <c r="ASB56" s="850">
        <f t="shared" si="33"/>
        <v>0</v>
      </c>
      <c r="ASC56" s="850">
        <f t="shared" si="33"/>
        <v>314006926345.99915</v>
      </c>
      <c r="ASD56" s="850">
        <f t="shared" si="33"/>
        <v>0</v>
      </c>
      <c r="ASE56" s="850">
        <f t="shared" si="33"/>
        <v>323427134136.37915</v>
      </c>
      <c r="ASF56" s="850">
        <f t="shared" si="33"/>
        <v>0</v>
      </c>
      <c r="ASG56" s="850">
        <f t="shared" si="33"/>
        <v>333129948160.47052</v>
      </c>
      <c r="ASH56" s="850">
        <f t="shared" si="33"/>
        <v>0</v>
      </c>
      <c r="ASI56" s="850">
        <f t="shared" si="33"/>
        <v>343123846605.28467</v>
      </c>
      <c r="ASJ56" s="850">
        <f t="shared" si="33"/>
        <v>0</v>
      </c>
      <c r="ASK56" s="850">
        <f t="shared" si="33"/>
        <v>353417562003.44324</v>
      </c>
      <c r="ASL56" s="850">
        <f t="shared" si="33"/>
        <v>0</v>
      </c>
      <c r="ASM56" s="850">
        <f t="shared" si="33"/>
        <v>364020088863.54657</v>
      </c>
      <c r="ASN56" s="850">
        <f t="shared" si="33"/>
        <v>0</v>
      </c>
      <c r="ASO56" s="850">
        <f t="shared" si="33"/>
        <v>374940691529.453</v>
      </c>
      <c r="ASP56" s="850">
        <f t="shared" si="33"/>
        <v>0</v>
      </c>
      <c r="ASQ56" s="850">
        <f t="shared" si="33"/>
        <v>386188912275.33661</v>
      </c>
      <c r="ASR56" s="850">
        <f t="shared" si="33"/>
        <v>0</v>
      </c>
      <c r="ASS56" s="850">
        <f t="shared" si="33"/>
        <v>397774579643.59674</v>
      </c>
      <c r="AST56" s="850">
        <f t="shared" si="33"/>
        <v>0</v>
      </c>
      <c r="ASU56" s="850">
        <f t="shared" si="33"/>
        <v>409707817032.90466</v>
      </c>
      <c r="ASV56" s="850">
        <f t="shared" si="33"/>
        <v>0</v>
      </c>
      <c r="ASW56" s="850">
        <f t="shared" si="33"/>
        <v>421999051543.89178</v>
      </c>
      <c r="ASX56" s="850">
        <f t="shared" si="33"/>
        <v>0</v>
      </c>
      <c r="ASY56" s="850">
        <f t="shared" si="33"/>
        <v>434659023090.20856</v>
      </c>
      <c r="ASZ56" s="850">
        <f t="shared" si="33"/>
        <v>0</v>
      </c>
      <c r="ATA56" s="850">
        <f t="shared" si="33"/>
        <v>447698793782.91479</v>
      </c>
      <c r="ATB56" s="850">
        <f t="shared" si="33"/>
        <v>0</v>
      </c>
      <c r="ATC56" s="850">
        <f t="shared" si="33"/>
        <v>461129757596.40222</v>
      </c>
      <c r="ATD56" s="850">
        <f t="shared" si="33"/>
        <v>0</v>
      </c>
      <c r="ATE56" s="850">
        <f t="shared" si="33"/>
        <v>474963650324.29431</v>
      </c>
      <c r="ATF56" s="850">
        <f t="shared" si="33"/>
        <v>0</v>
      </c>
      <c r="ATG56" s="850">
        <f t="shared" si="33"/>
        <v>489212559834.02313</v>
      </c>
      <c r="ATH56" s="850">
        <f t="shared" si="33"/>
        <v>0</v>
      </c>
      <c r="ATI56" s="850">
        <f t="shared" si="33"/>
        <v>503888936629.04382</v>
      </c>
      <c r="ATJ56" s="850">
        <f t="shared" si="33"/>
        <v>0</v>
      </c>
      <c r="ATK56" s="850">
        <f t="shared" si="33"/>
        <v>519005604727.91516</v>
      </c>
      <c r="ATL56" s="850">
        <f t="shared" si="33"/>
        <v>0</v>
      </c>
      <c r="ATM56" s="850">
        <f t="shared" si="33"/>
        <v>534575772869.75262</v>
      </c>
      <c r="ATN56" s="850">
        <f t="shared" si="33"/>
        <v>0</v>
      </c>
      <c r="ATO56" s="850">
        <f t="shared" si="33"/>
        <v>550613046055.84521</v>
      </c>
      <c r="ATP56" s="850">
        <f t="shared" si="33"/>
        <v>0</v>
      </c>
      <c r="ATQ56" s="850">
        <f t="shared" si="33"/>
        <v>567131437437.52063</v>
      </c>
      <c r="ATR56" s="850">
        <f t="shared" si="33"/>
        <v>0</v>
      </c>
      <c r="ATS56" s="850">
        <f t="shared" si="33"/>
        <v>584145380560.64624</v>
      </c>
      <c r="ATT56" s="850">
        <f t="shared" si="33"/>
        <v>0</v>
      </c>
      <c r="ATU56" s="850">
        <f t="shared" si="33"/>
        <v>601669741977.4657</v>
      </c>
      <c r="ATV56" s="850">
        <f t="shared" si="33"/>
        <v>0</v>
      </c>
      <c r="ATW56" s="850">
        <f t="shared" si="33"/>
        <v>619719834236.78967</v>
      </c>
      <c r="ATX56" s="850">
        <f t="shared" si="33"/>
        <v>0</v>
      </c>
      <c r="ATY56" s="850">
        <f t="shared" si="33"/>
        <v>638311429263.89343</v>
      </c>
      <c r="ATZ56" s="850">
        <f t="shared" si="33"/>
        <v>0</v>
      </c>
      <c r="AUA56" s="850">
        <f t="shared" si="33"/>
        <v>657460772141.8103</v>
      </c>
      <c r="AUB56" s="850">
        <f t="shared" si="33"/>
        <v>0</v>
      </c>
      <c r="AUC56" s="850">
        <f t="shared" si="33"/>
        <v>677184595306.06458</v>
      </c>
      <c r="AUD56" s="850">
        <f t="shared" ref="AUD56:AWO56" si="34">AUB56*$C$56</f>
        <v>0</v>
      </c>
      <c r="AUE56" s="850">
        <f t="shared" si="34"/>
        <v>697500133165.24658</v>
      </c>
      <c r="AUF56" s="850">
        <f t="shared" si="34"/>
        <v>0</v>
      </c>
      <c r="AUG56" s="850">
        <f t="shared" si="34"/>
        <v>718425137160.20398</v>
      </c>
      <c r="AUH56" s="850">
        <f t="shared" si="34"/>
        <v>0</v>
      </c>
      <c r="AUI56" s="850">
        <f t="shared" si="34"/>
        <v>739977891275.01013</v>
      </c>
      <c r="AUJ56" s="850">
        <f t="shared" si="34"/>
        <v>0</v>
      </c>
      <c r="AUK56" s="850">
        <f t="shared" si="34"/>
        <v>762177228013.2605</v>
      </c>
      <c r="AUL56" s="850">
        <f t="shared" si="34"/>
        <v>0</v>
      </c>
      <c r="AUM56" s="850">
        <f t="shared" si="34"/>
        <v>785042544853.65833</v>
      </c>
      <c r="AUN56" s="850">
        <f t="shared" si="34"/>
        <v>0</v>
      </c>
      <c r="AUO56" s="850">
        <f t="shared" si="34"/>
        <v>808593821199.26807</v>
      </c>
      <c r="AUP56" s="850">
        <f t="shared" si="34"/>
        <v>0</v>
      </c>
      <c r="AUQ56" s="850">
        <f t="shared" si="34"/>
        <v>832851635835.24609</v>
      </c>
      <c r="AUR56" s="850">
        <f t="shared" si="34"/>
        <v>0</v>
      </c>
      <c r="AUS56" s="850">
        <f t="shared" si="34"/>
        <v>857837184910.30347</v>
      </c>
      <c r="AUT56" s="850">
        <f t="shared" si="34"/>
        <v>0</v>
      </c>
      <c r="AUU56" s="850">
        <f t="shared" si="34"/>
        <v>883572300457.61255</v>
      </c>
      <c r="AUV56" s="850">
        <f t="shared" si="34"/>
        <v>0</v>
      </c>
      <c r="AUW56" s="850">
        <f t="shared" si="34"/>
        <v>910079469471.34094</v>
      </c>
      <c r="AUX56" s="850">
        <f t="shared" si="34"/>
        <v>0</v>
      </c>
      <c r="AUY56" s="850">
        <f t="shared" si="34"/>
        <v>937381853555.4812</v>
      </c>
      <c r="AUZ56" s="850">
        <f t="shared" si="34"/>
        <v>0</v>
      </c>
      <c r="AVA56" s="850">
        <f t="shared" si="34"/>
        <v>965503309162.14563</v>
      </c>
      <c r="AVB56" s="850">
        <f t="shared" si="34"/>
        <v>0</v>
      </c>
      <c r="AVC56" s="850">
        <f t="shared" si="34"/>
        <v>994468408437.01001</v>
      </c>
      <c r="AVD56" s="850">
        <f t="shared" si="34"/>
        <v>0</v>
      </c>
      <c r="AVE56" s="850">
        <f t="shared" si="34"/>
        <v>1024302460690.1204</v>
      </c>
      <c r="AVF56" s="850">
        <f t="shared" si="34"/>
        <v>0</v>
      </c>
      <c r="AVG56" s="850">
        <f t="shared" si="34"/>
        <v>1055031534510.824</v>
      </c>
      <c r="AVH56" s="850">
        <f t="shared" si="34"/>
        <v>0</v>
      </c>
      <c r="AVI56" s="850">
        <f t="shared" si="34"/>
        <v>1086682480546.1487</v>
      </c>
      <c r="AVJ56" s="850">
        <f t="shared" si="34"/>
        <v>0</v>
      </c>
      <c r="AVK56" s="850">
        <f t="shared" si="34"/>
        <v>1119282954962.5332</v>
      </c>
      <c r="AVL56" s="850">
        <f t="shared" si="34"/>
        <v>0</v>
      </c>
      <c r="AVM56" s="850">
        <f t="shared" si="34"/>
        <v>1152861443611.4092</v>
      </c>
      <c r="AVN56" s="850">
        <f t="shared" si="34"/>
        <v>0</v>
      </c>
      <c r="AVO56" s="850">
        <f t="shared" si="34"/>
        <v>1187447286919.7515</v>
      </c>
      <c r="AVP56" s="850">
        <f t="shared" si="34"/>
        <v>0</v>
      </c>
      <c r="AVQ56" s="850">
        <f t="shared" si="34"/>
        <v>1223070705527.344</v>
      </c>
      <c r="AVR56" s="850">
        <f t="shared" si="34"/>
        <v>0</v>
      </c>
      <c r="AVS56" s="850">
        <f t="shared" si="34"/>
        <v>1259762826693.1643</v>
      </c>
      <c r="AVT56" s="850">
        <f t="shared" si="34"/>
        <v>0</v>
      </c>
      <c r="AVU56" s="850">
        <f t="shared" si="34"/>
        <v>1297555711493.9592</v>
      </c>
      <c r="AVV56" s="850">
        <f t="shared" si="34"/>
        <v>0</v>
      </c>
      <c r="AVW56" s="850">
        <f t="shared" si="34"/>
        <v>1336482382838.7781</v>
      </c>
      <c r="AVX56" s="850">
        <f t="shared" si="34"/>
        <v>0</v>
      </c>
      <c r="AVY56" s="850">
        <f t="shared" si="34"/>
        <v>1376576854323.9414</v>
      </c>
      <c r="AVZ56" s="850">
        <f t="shared" si="34"/>
        <v>0</v>
      </c>
      <c r="AWA56" s="850">
        <f t="shared" si="34"/>
        <v>1417874159953.6597</v>
      </c>
      <c r="AWB56" s="850">
        <f t="shared" si="34"/>
        <v>0</v>
      </c>
      <c r="AWC56" s="850">
        <f t="shared" si="34"/>
        <v>1460410384752.2695</v>
      </c>
      <c r="AWD56" s="850">
        <f t="shared" si="34"/>
        <v>0</v>
      </c>
      <c r="AWE56" s="850">
        <f t="shared" si="34"/>
        <v>1504222696294.8376</v>
      </c>
      <c r="AWF56" s="850">
        <f t="shared" si="34"/>
        <v>0</v>
      </c>
      <c r="AWG56" s="850">
        <f t="shared" si="34"/>
        <v>1549349377183.6829</v>
      </c>
      <c r="AWH56" s="850">
        <f t="shared" si="34"/>
        <v>0</v>
      </c>
      <c r="AWI56" s="850">
        <f t="shared" si="34"/>
        <v>1595829858499.1934</v>
      </c>
      <c r="AWJ56" s="850">
        <f t="shared" si="34"/>
        <v>0</v>
      </c>
      <c r="AWK56" s="850">
        <f t="shared" si="34"/>
        <v>1643704754254.1692</v>
      </c>
      <c r="AWL56" s="850">
        <f t="shared" si="34"/>
        <v>0</v>
      </c>
      <c r="AWM56" s="850">
        <f t="shared" si="34"/>
        <v>1693015896881.7942</v>
      </c>
      <c r="AWN56" s="850">
        <f t="shared" si="34"/>
        <v>0</v>
      </c>
      <c r="AWO56" s="850">
        <f t="shared" si="34"/>
        <v>1743806373788.248</v>
      </c>
      <c r="AWP56" s="850">
        <f t="shared" ref="AWP56:AZA56" si="35">AWN56*$C$56</f>
        <v>0</v>
      </c>
      <c r="AWQ56" s="850">
        <f t="shared" si="35"/>
        <v>1796120565001.8955</v>
      </c>
      <c r="AWR56" s="850">
        <f t="shared" si="35"/>
        <v>0</v>
      </c>
      <c r="AWS56" s="850">
        <f t="shared" si="35"/>
        <v>1850004181951.9524</v>
      </c>
      <c r="AWT56" s="850">
        <f t="shared" si="35"/>
        <v>0</v>
      </c>
      <c r="AWU56" s="850">
        <f t="shared" si="35"/>
        <v>1905504307410.511</v>
      </c>
      <c r="AWV56" s="850">
        <f t="shared" si="35"/>
        <v>0</v>
      </c>
      <c r="AWW56" s="850">
        <f t="shared" si="35"/>
        <v>1962669436632.8264</v>
      </c>
      <c r="AWX56" s="850">
        <f t="shared" si="35"/>
        <v>0</v>
      </c>
      <c r="AWY56" s="850">
        <f t="shared" si="35"/>
        <v>2021549519731.8113</v>
      </c>
      <c r="AWZ56" s="850">
        <f t="shared" si="35"/>
        <v>0</v>
      </c>
      <c r="AXA56" s="850">
        <f t="shared" si="35"/>
        <v>2082196005323.7656</v>
      </c>
      <c r="AXB56" s="850">
        <f t="shared" si="35"/>
        <v>0</v>
      </c>
      <c r="AXC56" s="850">
        <f t="shared" si="35"/>
        <v>2144661885483.4788</v>
      </c>
      <c r="AXD56" s="850">
        <f t="shared" si="35"/>
        <v>0</v>
      </c>
      <c r="AXE56" s="850">
        <f t="shared" si="35"/>
        <v>2209001742047.9834</v>
      </c>
      <c r="AXF56" s="850">
        <f t="shared" si="35"/>
        <v>0</v>
      </c>
      <c r="AXG56" s="850">
        <f t="shared" si="35"/>
        <v>2275271794309.4229</v>
      </c>
      <c r="AXH56" s="850">
        <f t="shared" si="35"/>
        <v>0</v>
      </c>
      <c r="AXI56" s="850">
        <f t="shared" si="35"/>
        <v>2343529948138.7056</v>
      </c>
      <c r="AXJ56" s="850">
        <f t="shared" si="35"/>
        <v>0</v>
      </c>
      <c r="AXK56" s="850">
        <f t="shared" si="35"/>
        <v>2413835846582.8667</v>
      </c>
      <c r="AXL56" s="850">
        <f t="shared" si="35"/>
        <v>0</v>
      </c>
      <c r="AXM56" s="850">
        <f t="shared" si="35"/>
        <v>2486250921980.3525</v>
      </c>
      <c r="AXN56" s="850">
        <f t="shared" si="35"/>
        <v>0</v>
      </c>
      <c r="AXO56" s="850">
        <f t="shared" si="35"/>
        <v>2560838449639.7632</v>
      </c>
      <c r="AXP56" s="850">
        <f t="shared" si="35"/>
        <v>0</v>
      </c>
      <c r="AXQ56" s="850">
        <f t="shared" si="35"/>
        <v>2637663603128.9561</v>
      </c>
      <c r="AXR56" s="850">
        <f t="shared" si="35"/>
        <v>0</v>
      </c>
      <c r="AXS56" s="850">
        <f t="shared" si="35"/>
        <v>2716793511222.8247</v>
      </c>
      <c r="AXT56" s="850">
        <f t="shared" si="35"/>
        <v>0</v>
      </c>
      <c r="AXU56" s="850">
        <f t="shared" si="35"/>
        <v>2798297316559.5093</v>
      </c>
      <c r="AXV56" s="850">
        <f t="shared" si="35"/>
        <v>0</v>
      </c>
      <c r="AXW56" s="850">
        <f t="shared" si="35"/>
        <v>2882246236056.2944</v>
      </c>
      <c r="AXX56" s="850">
        <f t="shared" si="35"/>
        <v>0</v>
      </c>
      <c r="AXY56" s="850">
        <f t="shared" si="35"/>
        <v>2968713623137.9834</v>
      </c>
      <c r="AXZ56" s="850">
        <f t="shared" si="35"/>
        <v>0</v>
      </c>
      <c r="AYA56" s="850">
        <f t="shared" si="35"/>
        <v>3057775031832.123</v>
      </c>
      <c r="AYB56" s="850">
        <f t="shared" si="35"/>
        <v>0</v>
      </c>
      <c r="AYC56" s="850">
        <f t="shared" si="35"/>
        <v>3149508282787.0869</v>
      </c>
      <c r="AYD56" s="850">
        <f t="shared" si="35"/>
        <v>0</v>
      </c>
      <c r="AYE56" s="850">
        <f t="shared" si="35"/>
        <v>3243993531270.6997</v>
      </c>
      <c r="AYF56" s="850">
        <f t="shared" si="35"/>
        <v>0</v>
      </c>
      <c r="AYG56" s="850">
        <f t="shared" si="35"/>
        <v>3341313337208.8208</v>
      </c>
      <c r="AYH56" s="850">
        <f t="shared" si="35"/>
        <v>0</v>
      </c>
      <c r="AYI56" s="850">
        <f t="shared" si="35"/>
        <v>3441552737325.0854</v>
      </c>
      <c r="AYJ56" s="850">
        <f t="shared" si="35"/>
        <v>0</v>
      </c>
      <c r="AYK56" s="850">
        <f t="shared" si="35"/>
        <v>3544799319444.8379</v>
      </c>
      <c r="AYL56" s="850">
        <f t="shared" si="35"/>
        <v>0</v>
      </c>
      <c r="AYM56" s="850">
        <f t="shared" si="35"/>
        <v>3651143299028.1831</v>
      </c>
      <c r="AYN56" s="850">
        <f t="shared" si="35"/>
        <v>0</v>
      </c>
      <c r="AYO56" s="850">
        <f t="shared" si="35"/>
        <v>3760677597999.0288</v>
      </c>
      <c r="AYP56" s="850">
        <f t="shared" si="35"/>
        <v>0</v>
      </c>
      <c r="AYQ56" s="850">
        <f t="shared" si="35"/>
        <v>3873497925939</v>
      </c>
      <c r="AYR56" s="850">
        <f t="shared" si="35"/>
        <v>0</v>
      </c>
      <c r="AYS56" s="850">
        <f t="shared" si="35"/>
        <v>3989702863717.1699</v>
      </c>
      <c r="AYT56" s="850">
        <f t="shared" si="35"/>
        <v>0</v>
      </c>
      <c r="AYU56" s="850">
        <f t="shared" si="35"/>
        <v>4109393949628.6851</v>
      </c>
      <c r="AYV56" s="850">
        <f t="shared" si="35"/>
        <v>0</v>
      </c>
      <c r="AYW56" s="850">
        <f t="shared" si="35"/>
        <v>4232675768117.5459</v>
      </c>
      <c r="AYX56" s="850">
        <f t="shared" si="35"/>
        <v>0</v>
      </c>
      <c r="AYY56" s="850">
        <f t="shared" si="35"/>
        <v>4359656041161.0723</v>
      </c>
      <c r="AYZ56" s="850">
        <f t="shared" si="35"/>
        <v>0</v>
      </c>
      <c r="AZA56" s="850">
        <f t="shared" si="35"/>
        <v>4490445722395.9043</v>
      </c>
      <c r="AZB56" s="850">
        <f t="shared" ref="AZB56:BBM56" si="36">AYZ56*$C$56</f>
        <v>0</v>
      </c>
      <c r="AZC56" s="850">
        <f t="shared" si="36"/>
        <v>4625159094067.7813</v>
      </c>
      <c r="AZD56" s="850">
        <f t="shared" si="36"/>
        <v>0</v>
      </c>
      <c r="AZE56" s="850">
        <f t="shared" si="36"/>
        <v>4763913866889.8145</v>
      </c>
      <c r="AZF56" s="850">
        <f t="shared" si="36"/>
        <v>0</v>
      </c>
      <c r="AZG56" s="850">
        <f t="shared" si="36"/>
        <v>4906831282896.5088</v>
      </c>
      <c r="AZH56" s="850">
        <f t="shared" si="36"/>
        <v>0</v>
      </c>
      <c r="AZI56" s="850">
        <f t="shared" si="36"/>
        <v>5054036221383.4043</v>
      </c>
      <c r="AZJ56" s="850">
        <f t="shared" si="36"/>
        <v>0</v>
      </c>
      <c r="AZK56" s="850">
        <f t="shared" si="36"/>
        <v>5205657308024.9063</v>
      </c>
      <c r="AZL56" s="850">
        <f t="shared" si="36"/>
        <v>0</v>
      </c>
      <c r="AZM56" s="850">
        <f t="shared" si="36"/>
        <v>5361827027265.6533</v>
      </c>
      <c r="AZN56" s="850">
        <f t="shared" si="36"/>
        <v>0</v>
      </c>
      <c r="AZO56" s="850">
        <f t="shared" si="36"/>
        <v>5522681838083.623</v>
      </c>
      <c r="AZP56" s="850">
        <f t="shared" si="36"/>
        <v>0</v>
      </c>
      <c r="AZQ56" s="850">
        <f t="shared" si="36"/>
        <v>5688362293226.1318</v>
      </c>
      <c r="AZR56" s="850">
        <f t="shared" si="36"/>
        <v>0</v>
      </c>
      <c r="AZS56" s="850">
        <f t="shared" si="36"/>
        <v>5859013162022.916</v>
      </c>
      <c r="AZT56" s="850">
        <f t="shared" si="36"/>
        <v>0</v>
      </c>
      <c r="AZU56" s="850">
        <f t="shared" si="36"/>
        <v>6034783556883.6035</v>
      </c>
      <c r="AZV56" s="850">
        <f t="shared" si="36"/>
        <v>0</v>
      </c>
      <c r="AZW56" s="850">
        <f t="shared" si="36"/>
        <v>6215827063590.1113</v>
      </c>
      <c r="AZX56" s="850">
        <f t="shared" si="36"/>
        <v>0</v>
      </c>
      <c r="AZY56" s="850">
        <f t="shared" si="36"/>
        <v>6402301875497.8145</v>
      </c>
      <c r="AZZ56" s="850">
        <f t="shared" si="36"/>
        <v>0</v>
      </c>
      <c r="BAA56" s="850">
        <f t="shared" si="36"/>
        <v>6594370931762.749</v>
      </c>
      <c r="BAB56" s="850">
        <f t="shared" si="36"/>
        <v>0</v>
      </c>
      <c r="BAC56" s="850">
        <f t="shared" si="36"/>
        <v>6792202059715.6318</v>
      </c>
      <c r="BAD56" s="850">
        <f t="shared" si="36"/>
        <v>0</v>
      </c>
      <c r="BAE56" s="850">
        <f t="shared" si="36"/>
        <v>6995968121507.1006</v>
      </c>
      <c r="BAF56" s="850">
        <f t="shared" si="36"/>
        <v>0</v>
      </c>
      <c r="BAG56" s="850">
        <f t="shared" si="36"/>
        <v>7205847165152.3135</v>
      </c>
      <c r="BAH56" s="850">
        <f t="shared" si="36"/>
        <v>0</v>
      </c>
      <c r="BAI56" s="850">
        <f t="shared" si="36"/>
        <v>7422022580106.8828</v>
      </c>
      <c r="BAJ56" s="850">
        <f t="shared" si="36"/>
        <v>0</v>
      </c>
      <c r="BAK56" s="850">
        <f t="shared" si="36"/>
        <v>7644683257510.0898</v>
      </c>
      <c r="BAL56" s="850">
        <f t="shared" si="36"/>
        <v>0</v>
      </c>
      <c r="BAM56" s="850">
        <f t="shared" si="36"/>
        <v>7874023755235.3926</v>
      </c>
      <c r="BAN56" s="850">
        <f t="shared" si="36"/>
        <v>0</v>
      </c>
      <c r="BAO56" s="850">
        <f t="shared" si="36"/>
        <v>8110244467892.4541</v>
      </c>
      <c r="BAP56" s="850">
        <f t="shared" si="36"/>
        <v>0</v>
      </c>
      <c r="BAQ56" s="850">
        <f t="shared" si="36"/>
        <v>8353551801929.2275</v>
      </c>
      <c r="BAR56" s="850">
        <f t="shared" si="36"/>
        <v>0</v>
      </c>
      <c r="BAS56" s="850">
        <f t="shared" si="36"/>
        <v>8604158355987.1045</v>
      </c>
      <c r="BAT56" s="850">
        <f t="shared" si="36"/>
        <v>0</v>
      </c>
      <c r="BAU56" s="850">
        <f t="shared" si="36"/>
        <v>8862283106666.7188</v>
      </c>
      <c r="BAV56" s="850">
        <f t="shared" si="36"/>
        <v>0</v>
      </c>
      <c r="BAW56" s="850">
        <f t="shared" si="36"/>
        <v>9128151599866.7207</v>
      </c>
      <c r="BAX56" s="850">
        <f t="shared" si="36"/>
        <v>0</v>
      </c>
      <c r="BAY56" s="850">
        <f t="shared" si="36"/>
        <v>9401996147862.7227</v>
      </c>
      <c r="BAZ56" s="850">
        <f t="shared" si="36"/>
        <v>0</v>
      </c>
      <c r="BBA56" s="850">
        <f t="shared" si="36"/>
        <v>9684056032298.6055</v>
      </c>
      <c r="BBB56" s="850">
        <f t="shared" si="36"/>
        <v>0</v>
      </c>
      <c r="BBC56" s="850">
        <f t="shared" si="36"/>
        <v>9974577713267.5645</v>
      </c>
      <c r="BBD56" s="850">
        <f t="shared" si="36"/>
        <v>0</v>
      </c>
      <c r="BBE56" s="850">
        <f t="shared" si="36"/>
        <v>10273815044665.592</v>
      </c>
      <c r="BBF56" s="850">
        <f t="shared" si="36"/>
        <v>0</v>
      </c>
      <c r="BBG56" s="850">
        <f t="shared" si="36"/>
        <v>10582029496005.561</v>
      </c>
      <c r="BBH56" s="850">
        <f t="shared" si="36"/>
        <v>0</v>
      </c>
      <c r="BBI56" s="850">
        <f t="shared" si="36"/>
        <v>10899490380885.729</v>
      </c>
      <c r="BBJ56" s="850">
        <f t="shared" si="36"/>
        <v>0</v>
      </c>
      <c r="BBK56" s="850">
        <f t="shared" si="36"/>
        <v>11226475092312.301</v>
      </c>
      <c r="BBL56" s="850">
        <f t="shared" si="36"/>
        <v>0</v>
      </c>
      <c r="BBM56" s="850">
        <f t="shared" si="36"/>
        <v>11563269345081.67</v>
      </c>
      <c r="BBN56" s="850">
        <f t="shared" ref="BBN56:BDY56" si="37">BBL56*$C$56</f>
        <v>0</v>
      </c>
      <c r="BBO56" s="850">
        <f t="shared" si="37"/>
        <v>11910167425434.121</v>
      </c>
      <c r="BBP56" s="850">
        <f t="shared" si="37"/>
        <v>0</v>
      </c>
      <c r="BBQ56" s="850">
        <f t="shared" si="37"/>
        <v>12267472448197.145</v>
      </c>
      <c r="BBR56" s="850">
        <f t="shared" si="37"/>
        <v>0</v>
      </c>
      <c r="BBS56" s="850">
        <f t="shared" si="37"/>
        <v>12635496621643.059</v>
      </c>
      <c r="BBT56" s="850">
        <f t="shared" si="37"/>
        <v>0</v>
      </c>
      <c r="BBU56" s="850">
        <f t="shared" si="37"/>
        <v>13014561520292.352</v>
      </c>
      <c r="BBV56" s="850">
        <f t="shared" si="37"/>
        <v>0</v>
      </c>
      <c r="BBW56" s="850">
        <f t="shared" si="37"/>
        <v>13404998365901.123</v>
      </c>
      <c r="BBX56" s="850">
        <f t="shared" si="37"/>
        <v>0</v>
      </c>
      <c r="BBY56" s="850">
        <f t="shared" si="37"/>
        <v>13807148316878.156</v>
      </c>
      <c r="BBZ56" s="850">
        <f t="shared" si="37"/>
        <v>0</v>
      </c>
      <c r="BCA56" s="850">
        <f t="shared" si="37"/>
        <v>14221362766384.502</v>
      </c>
      <c r="BCB56" s="850">
        <f t="shared" si="37"/>
        <v>0</v>
      </c>
      <c r="BCC56" s="850">
        <f t="shared" si="37"/>
        <v>14648003649376.037</v>
      </c>
      <c r="BCD56" s="850">
        <f t="shared" si="37"/>
        <v>0</v>
      </c>
      <c r="BCE56" s="850">
        <f t="shared" si="37"/>
        <v>15087443758857.318</v>
      </c>
      <c r="BCF56" s="850">
        <f t="shared" si="37"/>
        <v>0</v>
      </c>
      <c r="BCG56" s="850">
        <f t="shared" si="37"/>
        <v>15540067071623.039</v>
      </c>
      <c r="BCH56" s="850">
        <f t="shared" si="37"/>
        <v>0</v>
      </c>
      <c r="BCI56" s="850">
        <f t="shared" si="37"/>
        <v>16006269083771.73</v>
      </c>
      <c r="BCJ56" s="850">
        <f t="shared" si="37"/>
        <v>0</v>
      </c>
      <c r="BCK56" s="850">
        <f t="shared" si="37"/>
        <v>16486457156284.883</v>
      </c>
      <c r="BCL56" s="850">
        <f t="shared" si="37"/>
        <v>0</v>
      </c>
      <c r="BCM56" s="850">
        <f t="shared" si="37"/>
        <v>16981050870973.43</v>
      </c>
      <c r="BCN56" s="850">
        <f t="shared" si="37"/>
        <v>0</v>
      </c>
      <c r="BCO56" s="850">
        <f t="shared" si="37"/>
        <v>17490482397102.633</v>
      </c>
      <c r="BCP56" s="850">
        <f t="shared" si="37"/>
        <v>0</v>
      </c>
      <c r="BCQ56" s="850">
        <f t="shared" si="37"/>
        <v>18015196869015.711</v>
      </c>
      <c r="BCR56" s="850">
        <f t="shared" si="37"/>
        <v>0</v>
      </c>
      <c r="BCS56" s="850">
        <f t="shared" si="37"/>
        <v>18555652775086.184</v>
      </c>
      <c r="BCT56" s="850">
        <f t="shared" si="37"/>
        <v>0</v>
      </c>
      <c r="BCU56" s="850">
        <f t="shared" si="37"/>
        <v>19112322358338.77</v>
      </c>
      <c r="BCV56" s="850">
        <f t="shared" si="37"/>
        <v>0</v>
      </c>
      <c r="BCW56" s="850">
        <f t="shared" si="37"/>
        <v>19685692029088.934</v>
      </c>
      <c r="BCX56" s="850">
        <f t="shared" si="37"/>
        <v>0</v>
      </c>
      <c r="BCY56" s="850">
        <f t="shared" si="37"/>
        <v>20276262789961.602</v>
      </c>
      <c r="BCZ56" s="850">
        <f t="shared" si="37"/>
        <v>0</v>
      </c>
      <c r="BDA56" s="850">
        <f t="shared" si="37"/>
        <v>20884550673660.449</v>
      </c>
      <c r="BDB56" s="850">
        <f t="shared" si="37"/>
        <v>0</v>
      </c>
      <c r="BDC56" s="850">
        <f t="shared" si="37"/>
        <v>21511087193870.262</v>
      </c>
      <c r="BDD56" s="850">
        <f t="shared" si="37"/>
        <v>0</v>
      </c>
      <c r="BDE56" s="850">
        <f t="shared" si="37"/>
        <v>22156419809686.371</v>
      </c>
      <c r="BDF56" s="850">
        <f t="shared" si="37"/>
        <v>0</v>
      </c>
      <c r="BDG56" s="850">
        <f t="shared" si="37"/>
        <v>22821112403976.961</v>
      </c>
      <c r="BDH56" s="850">
        <f t="shared" si="37"/>
        <v>0</v>
      </c>
      <c r="BDI56" s="850">
        <f t="shared" si="37"/>
        <v>23505745776096.27</v>
      </c>
      <c r="BDJ56" s="850">
        <f t="shared" si="37"/>
        <v>0</v>
      </c>
      <c r="BDK56" s="850">
        <f t="shared" si="37"/>
        <v>24210918149379.16</v>
      </c>
      <c r="BDL56" s="850">
        <f t="shared" si="37"/>
        <v>0</v>
      </c>
      <c r="BDM56" s="850">
        <f t="shared" si="37"/>
        <v>24937245693860.535</v>
      </c>
      <c r="BDN56" s="850">
        <f t="shared" si="37"/>
        <v>0</v>
      </c>
      <c r="BDO56" s="850">
        <f t="shared" si="37"/>
        <v>25685363064676.352</v>
      </c>
      <c r="BDP56" s="850">
        <f t="shared" si="37"/>
        <v>0</v>
      </c>
      <c r="BDQ56" s="850">
        <f t="shared" si="37"/>
        <v>26455923956616.645</v>
      </c>
      <c r="BDR56" s="850">
        <f t="shared" si="37"/>
        <v>0</v>
      </c>
      <c r="BDS56" s="850">
        <f t="shared" si="37"/>
        <v>27249601675315.145</v>
      </c>
      <c r="BDT56" s="850">
        <f t="shared" si="37"/>
        <v>0</v>
      </c>
      <c r="BDU56" s="850">
        <f t="shared" si="37"/>
        <v>28067089725574.598</v>
      </c>
      <c r="BDV56" s="850">
        <f t="shared" si="37"/>
        <v>0</v>
      </c>
      <c r="BDW56" s="850">
        <f t="shared" si="37"/>
        <v>28909102417341.836</v>
      </c>
      <c r="BDX56" s="850">
        <f t="shared" si="37"/>
        <v>0</v>
      </c>
      <c r="BDY56" s="850">
        <f t="shared" si="37"/>
        <v>29776375489862.09</v>
      </c>
      <c r="BDZ56" s="850">
        <f t="shared" ref="BDZ56:BGK56" si="38">BDX56*$C$56</f>
        <v>0</v>
      </c>
      <c r="BEA56" s="850">
        <f t="shared" si="38"/>
        <v>30669666754557.953</v>
      </c>
      <c r="BEB56" s="850">
        <f t="shared" si="38"/>
        <v>0</v>
      </c>
      <c r="BEC56" s="850">
        <f t="shared" si="38"/>
        <v>31589756757194.691</v>
      </c>
      <c r="BED56" s="850">
        <f t="shared" si="38"/>
        <v>0</v>
      </c>
      <c r="BEE56" s="850">
        <f t="shared" si="38"/>
        <v>32537449459910.531</v>
      </c>
      <c r="BEF56" s="850">
        <f t="shared" si="38"/>
        <v>0</v>
      </c>
      <c r="BEG56" s="850">
        <f t="shared" si="38"/>
        <v>33513572943707.848</v>
      </c>
      <c r="BEH56" s="850">
        <f t="shared" si="38"/>
        <v>0</v>
      </c>
      <c r="BEI56" s="850">
        <f t="shared" si="38"/>
        <v>34518980132019.082</v>
      </c>
      <c r="BEJ56" s="850">
        <f t="shared" si="38"/>
        <v>0</v>
      </c>
      <c r="BEK56" s="850">
        <f t="shared" si="38"/>
        <v>35554549535979.656</v>
      </c>
      <c r="BEL56" s="850">
        <f t="shared" si="38"/>
        <v>0</v>
      </c>
      <c r="BEM56" s="850">
        <f t="shared" si="38"/>
        <v>36621186022059.047</v>
      </c>
      <c r="BEN56" s="850">
        <f t="shared" si="38"/>
        <v>0</v>
      </c>
      <c r="BEO56" s="850">
        <f t="shared" si="38"/>
        <v>37719821602720.82</v>
      </c>
      <c r="BEP56" s="850">
        <f t="shared" si="38"/>
        <v>0</v>
      </c>
      <c r="BEQ56" s="850">
        <f t="shared" si="38"/>
        <v>38851416250802.445</v>
      </c>
      <c r="BER56" s="850">
        <f t="shared" si="38"/>
        <v>0</v>
      </c>
      <c r="BES56" s="850">
        <f t="shared" si="38"/>
        <v>40016958738326.523</v>
      </c>
      <c r="BET56" s="850">
        <f t="shared" si="38"/>
        <v>0</v>
      </c>
      <c r="BEU56" s="850">
        <f t="shared" si="38"/>
        <v>41217467500476.32</v>
      </c>
      <c r="BEV56" s="850">
        <f t="shared" si="38"/>
        <v>0</v>
      </c>
      <c r="BEW56" s="850">
        <f t="shared" si="38"/>
        <v>42453991525490.609</v>
      </c>
      <c r="BEX56" s="850">
        <f t="shared" si="38"/>
        <v>0</v>
      </c>
      <c r="BEY56" s="850">
        <f t="shared" si="38"/>
        <v>43727611271255.328</v>
      </c>
      <c r="BEZ56" s="850">
        <f t="shared" si="38"/>
        <v>0</v>
      </c>
      <c r="BFA56" s="850">
        <f t="shared" si="38"/>
        <v>45039439609392.992</v>
      </c>
      <c r="BFB56" s="850">
        <f t="shared" si="38"/>
        <v>0</v>
      </c>
      <c r="BFC56" s="850">
        <f t="shared" si="38"/>
        <v>46390622797674.781</v>
      </c>
      <c r="BFD56" s="850">
        <f t="shared" si="38"/>
        <v>0</v>
      </c>
      <c r="BFE56" s="850">
        <f t="shared" si="38"/>
        <v>47782341481605.023</v>
      </c>
      <c r="BFF56" s="850">
        <f t="shared" si="38"/>
        <v>0</v>
      </c>
      <c r="BFG56" s="850">
        <f t="shared" si="38"/>
        <v>49215811726053.172</v>
      </c>
      <c r="BFH56" s="850">
        <f t="shared" si="38"/>
        <v>0</v>
      </c>
      <c r="BFI56" s="850">
        <f t="shared" si="38"/>
        <v>50692286077834.766</v>
      </c>
      <c r="BFJ56" s="850">
        <f t="shared" si="38"/>
        <v>0</v>
      </c>
      <c r="BFK56" s="850">
        <f t="shared" si="38"/>
        <v>52213054660169.813</v>
      </c>
      <c r="BFL56" s="850">
        <f t="shared" si="38"/>
        <v>0</v>
      </c>
      <c r="BFM56" s="850">
        <f t="shared" si="38"/>
        <v>53779446299974.906</v>
      </c>
      <c r="BFN56" s="850">
        <f t="shared" si="38"/>
        <v>0</v>
      </c>
      <c r="BFO56" s="850">
        <f t="shared" si="38"/>
        <v>55392829688974.156</v>
      </c>
      <c r="BFP56" s="850">
        <f t="shared" si="38"/>
        <v>0</v>
      </c>
      <c r="BFQ56" s="850">
        <f t="shared" si="38"/>
        <v>57054614579643.383</v>
      </c>
      <c r="BFR56" s="850">
        <f t="shared" si="38"/>
        <v>0</v>
      </c>
      <c r="BFS56" s="850">
        <f t="shared" si="38"/>
        <v>58766253017032.688</v>
      </c>
      <c r="BFT56" s="850">
        <f t="shared" si="38"/>
        <v>0</v>
      </c>
      <c r="BFU56" s="850">
        <f t="shared" si="38"/>
        <v>60529240607543.672</v>
      </c>
      <c r="BFV56" s="850">
        <f t="shared" si="38"/>
        <v>0</v>
      </c>
      <c r="BFW56" s="850">
        <f t="shared" si="38"/>
        <v>62345117825769.984</v>
      </c>
      <c r="BFX56" s="850">
        <f t="shared" si="38"/>
        <v>0</v>
      </c>
      <c r="BFY56" s="850">
        <f t="shared" si="38"/>
        <v>64215471360543.086</v>
      </c>
      <c r="BFZ56" s="850">
        <f t="shared" si="38"/>
        <v>0</v>
      </c>
      <c r="BGA56" s="850">
        <f t="shared" si="38"/>
        <v>66141935501359.383</v>
      </c>
      <c r="BGB56" s="850">
        <f t="shared" si="38"/>
        <v>0</v>
      </c>
      <c r="BGC56" s="850">
        <f t="shared" si="38"/>
        <v>68126193566400.164</v>
      </c>
      <c r="BGD56" s="850">
        <f t="shared" si="38"/>
        <v>0</v>
      </c>
      <c r="BGE56" s="850">
        <f t="shared" si="38"/>
        <v>70169979373392.172</v>
      </c>
      <c r="BGF56" s="850">
        <f t="shared" si="38"/>
        <v>0</v>
      </c>
      <c r="BGG56" s="850">
        <f t="shared" si="38"/>
        <v>72275078754593.938</v>
      </c>
      <c r="BGH56" s="850">
        <f t="shared" si="38"/>
        <v>0</v>
      </c>
      <c r="BGI56" s="850">
        <f t="shared" si="38"/>
        <v>74443331117231.75</v>
      </c>
      <c r="BGJ56" s="850">
        <f t="shared" si="38"/>
        <v>0</v>
      </c>
      <c r="BGK56" s="850">
        <f t="shared" si="38"/>
        <v>76676631050748.703</v>
      </c>
      <c r="BGL56" s="850">
        <f t="shared" ref="BGL56:BIW56" si="39">BGJ56*$C$56</f>
        <v>0</v>
      </c>
      <c r="BGM56" s="850">
        <f t="shared" si="39"/>
        <v>78976929982271.172</v>
      </c>
      <c r="BGN56" s="850">
        <f t="shared" si="39"/>
        <v>0</v>
      </c>
      <c r="BGO56" s="850">
        <f t="shared" si="39"/>
        <v>81346237881739.313</v>
      </c>
      <c r="BGP56" s="850">
        <f t="shared" si="39"/>
        <v>0</v>
      </c>
      <c r="BGQ56" s="850">
        <f t="shared" si="39"/>
        <v>83786625018191.5</v>
      </c>
      <c r="BGR56" s="850">
        <f t="shared" si="39"/>
        <v>0</v>
      </c>
      <c r="BGS56" s="850">
        <f t="shared" si="39"/>
        <v>86300223768737.25</v>
      </c>
      <c r="BGT56" s="850">
        <f t="shared" si="39"/>
        <v>0</v>
      </c>
      <c r="BGU56" s="850">
        <f t="shared" si="39"/>
        <v>88889230481799.375</v>
      </c>
      <c r="BGV56" s="850">
        <f t="shared" si="39"/>
        <v>0</v>
      </c>
      <c r="BGW56" s="850">
        <f t="shared" si="39"/>
        <v>91555907396253.359</v>
      </c>
      <c r="BGX56" s="850">
        <f t="shared" si="39"/>
        <v>0</v>
      </c>
      <c r="BGY56" s="850">
        <f t="shared" si="39"/>
        <v>94302584618140.969</v>
      </c>
      <c r="BGZ56" s="850">
        <f t="shared" si="39"/>
        <v>0</v>
      </c>
      <c r="BHA56" s="850">
        <f t="shared" si="39"/>
        <v>97131662156685.203</v>
      </c>
      <c r="BHB56" s="850">
        <f t="shared" si="39"/>
        <v>0</v>
      </c>
      <c r="BHC56" s="850">
        <f t="shared" si="39"/>
        <v>100045612021385.77</v>
      </c>
      <c r="BHD56" s="850">
        <f t="shared" si="39"/>
        <v>0</v>
      </c>
      <c r="BHE56" s="850">
        <f t="shared" si="39"/>
        <v>103046980382027.34</v>
      </c>
      <c r="BHF56" s="850">
        <f t="shared" si="39"/>
        <v>0</v>
      </c>
      <c r="BHG56" s="850">
        <f t="shared" si="39"/>
        <v>106138389793488.17</v>
      </c>
      <c r="BHH56" s="850">
        <f t="shared" si="39"/>
        <v>0</v>
      </c>
      <c r="BHI56" s="850">
        <f t="shared" si="39"/>
        <v>109322541487292.81</v>
      </c>
      <c r="BHJ56" s="850">
        <f t="shared" si="39"/>
        <v>0</v>
      </c>
      <c r="BHK56" s="850">
        <f t="shared" si="39"/>
        <v>112602217731911.59</v>
      </c>
      <c r="BHL56" s="850">
        <f t="shared" si="39"/>
        <v>0</v>
      </c>
      <c r="BHM56" s="850">
        <f t="shared" si="39"/>
        <v>115980284263868.94</v>
      </c>
      <c r="BHN56" s="850">
        <f t="shared" si="39"/>
        <v>0</v>
      </c>
      <c r="BHO56" s="850">
        <f t="shared" si="39"/>
        <v>119459692791785.02</v>
      </c>
      <c r="BHP56" s="850">
        <f t="shared" si="39"/>
        <v>0</v>
      </c>
      <c r="BHQ56" s="850">
        <f t="shared" si="39"/>
        <v>123043483575538.56</v>
      </c>
      <c r="BHR56" s="850">
        <f t="shared" si="39"/>
        <v>0</v>
      </c>
      <c r="BHS56" s="850">
        <f t="shared" si="39"/>
        <v>126734788082804.72</v>
      </c>
      <c r="BHT56" s="850">
        <f t="shared" si="39"/>
        <v>0</v>
      </c>
      <c r="BHU56" s="850">
        <f t="shared" si="39"/>
        <v>130536831725288.86</v>
      </c>
      <c r="BHV56" s="850">
        <f t="shared" si="39"/>
        <v>0</v>
      </c>
      <c r="BHW56" s="850">
        <f t="shared" si="39"/>
        <v>134452936677047.53</v>
      </c>
      <c r="BHX56" s="850">
        <f t="shared" si="39"/>
        <v>0</v>
      </c>
      <c r="BHY56" s="850">
        <f t="shared" si="39"/>
        <v>138486524777358.95</v>
      </c>
      <c r="BHZ56" s="850">
        <f t="shared" si="39"/>
        <v>0</v>
      </c>
      <c r="BIA56" s="850">
        <f t="shared" si="39"/>
        <v>142641120520679.72</v>
      </c>
      <c r="BIB56" s="850">
        <f t="shared" si="39"/>
        <v>0</v>
      </c>
      <c r="BIC56" s="850">
        <f t="shared" si="39"/>
        <v>146920354136300.13</v>
      </c>
      <c r="BID56" s="850">
        <f t="shared" si="39"/>
        <v>0</v>
      </c>
      <c r="BIE56" s="850">
        <f t="shared" si="39"/>
        <v>151327964760389.13</v>
      </c>
      <c r="BIF56" s="850">
        <f t="shared" si="39"/>
        <v>0</v>
      </c>
      <c r="BIG56" s="850">
        <f t="shared" si="39"/>
        <v>155867803703200.81</v>
      </c>
      <c r="BIH56" s="850">
        <f t="shared" si="39"/>
        <v>0</v>
      </c>
      <c r="BII56" s="850">
        <f t="shared" si="39"/>
        <v>160543837814296.84</v>
      </c>
      <c r="BIJ56" s="850">
        <f t="shared" si="39"/>
        <v>0</v>
      </c>
      <c r="BIK56" s="850">
        <f t="shared" si="39"/>
        <v>165360152948725.75</v>
      </c>
      <c r="BIL56" s="850">
        <f t="shared" si="39"/>
        <v>0</v>
      </c>
      <c r="BIM56" s="850">
        <f t="shared" si="39"/>
        <v>170320957537187.53</v>
      </c>
      <c r="BIN56" s="850">
        <f t="shared" si="39"/>
        <v>0</v>
      </c>
      <c r="BIO56" s="850">
        <f t="shared" si="39"/>
        <v>175430586263303.16</v>
      </c>
      <c r="BIP56" s="850">
        <f t="shared" si="39"/>
        <v>0</v>
      </c>
      <c r="BIQ56" s="850">
        <f t="shared" si="39"/>
        <v>180693503851202.25</v>
      </c>
      <c r="BIR56" s="850">
        <f t="shared" si="39"/>
        <v>0</v>
      </c>
      <c r="BIS56" s="850">
        <f t="shared" si="39"/>
        <v>186114308966738.31</v>
      </c>
      <c r="BIT56" s="850">
        <f t="shared" si="39"/>
        <v>0</v>
      </c>
      <c r="BIU56" s="850">
        <f t="shared" si="39"/>
        <v>191697738235740.47</v>
      </c>
      <c r="BIV56" s="850">
        <f t="shared" si="39"/>
        <v>0</v>
      </c>
      <c r="BIW56" s="850">
        <f t="shared" si="39"/>
        <v>197448670382812.69</v>
      </c>
      <c r="BIX56" s="850">
        <f t="shared" ref="BIX56:BLI56" si="40">BIV56*$C$56</f>
        <v>0</v>
      </c>
      <c r="BIY56" s="850">
        <f t="shared" si="40"/>
        <v>203372130494297.06</v>
      </c>
      <c r="BIZ56" s="850">
        <f t="shared" si="40"/>
        <v>0</v>
      </c>
      <c r="BJA56" s="850">
        <f t="shared" si="40"/>
        <v>209473294409125.97</v>
      </c>
      <c r="BJB56" s="850">
        <f t="shared" si="40"/>
        <v>0</v>
      </c>
      <c r="BJC56" s="850">
        <f t="shared" si="40"/>
        <v>215757493241399.75</v>
      </c>
      <c r="BJD56" s="850">
        <f t="shared" si="40"/>
        <v>0</v>
      </c>
      <c r="BJE56" s="850">
        <f t="shared" si="40"/>
        <v>222230218038641.75</v>
      </c>
      <c r="BJF56" s="850">
        <f t="shared" si="40"/>
        <v>0</v>
      </c>
      <c r="BJG56" s="850">
        <f t="shared" si="40"/>
        <v>228897124579801</v>
      </c>
      <c r="BJH56" s="850">
        <f t="shared" si="40"/>
        <v>0</v>
      </c>
      <c r="BJI56" s="850">
        <f t="shared" si="40"/>
        <v>235764038317195.03</v>
      </c>
      <c r="BJJ56" s="850">
        <f t="shared" si="40"/>
        <v>0</v>
      </c>
      <c r="BJK56" s="850">
        <f t="shared" si="40"/>
        <v>242836959466710.88</v>
      </c>
      <c r="BJL56" s="850">
        <f t="shared" si="40"/>
        <v>0</v>
      </c>
      <c r="BJM56" s="850">
        <f t="shared" si="40"/>
        <v>250122068250712.22</v>
      </c>
      <c r="BJN56" s="850">
        <f t="shared" si="40"/>
        <v>0</v>
      </c>
      <c r="BJO56" s="850">
        <f t="shared" si="40"/>
        <v>257625730298233.59</v>
      </c>
      <c r="BJP56" s="850">
        <f t="shared" si="40"/>
        <v>0</v>
      </c>
      <c r="BJQ56" s="850">
        <f t="shared" si="40"/>
        <v>265354502207180.59</v>
      </c>
      <c r="BJR56" s="850">
        <f t="shared" si="40"/>
        <v>0</v>
      </c>
      <c r="BJS56" s="850">
        <f t="shared" si="40"/>
        <v>273315137273396.03</v>
      </c>
      <c r="BJT56" s="850">
        <f t="shared" si="40"/>
        <v>0</v>
      </c>
      <c r="BJU56" s="850">
        <f t="shared" si="40"/>
        <v>281514591391597.94</v>
      </c>
      <c r="BJV56" s="850">
        <f t="shared" si="40"/>
        <v>0</v>
      </c>
      <c r="BJW56" s="850">
        <f t="shared" si="40"/>
        <v>289960029133345.88</v>
      </c>
      <c r="BJX56" s="850">
        <f t="shared" si="40"/>
        <v>0</v>
      </c>
      <c r="BJY56" s="850">
        <f t="shared" si="40"/>
        <v>298658830007346.25</v>
      </c>
      <c r="BJZ56" s="850">
        <f t="shared" si="40"/>
        <v>0</v>
      </c>
      <c r="BKA56" s="850">
        <f t="shared" si="40"/>
        <v>307618594907566.63</v>
      </c>
      <c r="BKB56" s="850">
        <f t="shared" si="40"/>
        <v>0</v>
      </c>
      <c r="BKC56" s="850">
        <f t="shared" si="40"/>
        <v>316847152754793.63</v>
      </c>
      <c r="BKD56" s="850">
        <f t="shared" si="40"/>
        <v>0</v>
      </c>
      <c r="BKE56" s="850">
        <f t="shared" si="40"/>
        <v>326352567337437.44</v>
      </c>
      <c r="BKF56" s="850">
        <f t="shared" si="40"/>
        <v>0</v>
      </c>
      <c r="BKG56" s="850">
        <f t="shared" si="40"/>
        <v>336143144357560.56</v>
      </c>
      <c r="BKH56" s="850">
        <f t="shared" si="40"/>
        <v>0</v>
      </c>
      <c r="BKI56" s="850">
        <f t="shared" si="40"/>
        <v>346227438688287.38</v>
      </c>
      <c r="BKJ56" s="850">
        <f t="shared" si="40"/>
        <v>0</v>
      </c>
      <c r="BKK56" s="850">
        <f t="shared" si="40"/>
        <v>356614261848936</v>
      </c>
      <c r="BKL56" s="850">
        <f t="shared" si="40"/>
        <v>0</v>
      </c>
      <c r="BKM56" s="850">
        <f t="shared" si="40"/>
        <v>367312689704404.06</v>
      </c>
      <c r="BKN56" s="850">
        <f t="shared" si="40"/>
        <v>0</v>
      </c>
      <c r="BKO56" s="850">
        <f t="shared" si="40"/>
        <v>378332070395536.19</v>
      </c>
      <c r="BKP56" s="850">
        <f t="shared" si="40"/>
        <v>0</v>
      </c>
      <c r="BKQ56" s="850">
        <f t="shared" si="40"/>
        <v>389682032507402.31</v>
      </c>
      <c r="BKR56" s="850">
        <f t="shared" si="40"/>
        <v>0</v>
      </c>
      <c r="BKS56" s="850">
        <f t="shared" si="40"/>
        <v>401372493482624.38</v>
      </c>
      <c r="BKT56" s="850">
        <f t="shared" si="40"/>
        <v>0</v>
      </c>
      <c r="BKU56" s="850">
        <f t="shared" si="40"/>
        <v>413413668287103.13</v>
      </c>
      <c r="BKV56" s="850">
        <f t="shared" si="40"/>
        <v>0</v>
      </c>
      <c r="BKW56" s="850">
        <f t="shared" si="40"/>
        <v>425816078335716.25</v>
      </c>
      <c r="BKX56" s="850">
        <f t="shared" si="40"/>
        <v>0</v>
      </c>
      <c r="BKY56" s="850">
        <f t="shared" si="40"/>
        <v>438590560685787.75</v>
      </c>
      <c r="BKZ56" s="850">
        <f t="shared" si="40"/>
        <v>0</v>
      </c>
      <c r="BLA56" s="850">
        <f t="shared" si="40"/>
        <v>451748277506361.38</v>
      </c>
      <c r="BLB56" s="850">
        <f t="shared" si="40"/>
        <v>0</v>
      </c>
      <c r="BLC56" s="850">
        <f t="shared" si="40"/>
        <v>465300725831552.25</v>
      </c>
      <c r="BLD56" s="850">
        <f t="shared" si="40"/>
        <v>0</v>
      </c>
      <c r="BLE56" s="850">
        <f t="shared" si="40"/>
        <v>479259747606498.81</v>
      </c>
      <c r="BLF56" s="850">
        <f t="shared" si="40"/>
        <v>0</v>
      </c>
      <c r="BLG56" s="850">
        <f t="shared" si="40"/>
        <v>493637540034693.81</v>
      </c>
      <c r="BLH56" s="850">
        <f t="shared" si="40"/>
        <v>0</v>
      </c>
      <c r="BLI56" s="850">
        <f t="shared" si="40"/>
        <v>508446666235734.63</v>
      </c>
      <c r="BLJ56" s="850">
        <f t="shared" ref="BLJ56:BNU56" si="41">BLH56*$C$56</f>
        <v>0</v>
      </c>
      <c r="BLK56" s="850">
        <f t="shared" si="41"/>
        <v>523700066222806.69</v>
      </c>
      <c r="BLL56" s="850">
        <f t="shared" si="41"/>
        <v>0</v>
      </c>
      <c r="BLM56" s="850">
        <f t="shared" si="41"/>
        <v>539411068209490.88</v>
      </c>
      <c r="BLN56" s="850">
        <f t="shared" si="41"/>
        <v>0</v>
      </c>
      <c r="BLO56" s="850">
        <f t="shared" si="41"/>
        <v>555593400255775.63</v>
      </c>
      <c r="BLP56" s="850">
        <f t="shared" si="41"/>
        <v>0</v>
      </c>
      <c r="BLQ56" s="850">
        <f t="shared" si="41"/>
        <v>572261202263448.88</v>
      </c>
      <c r="BLR56" s="850">
        <f t="shared" si="41"/>
        <v>0</v>
      </c>
      <c r="BLS56" s="850">
        <f t="shared" si="41"/>
        <v>589429038331352.38</v>
      </c>
      <c r="BLT56" s="850">
        <f t="shared" si="41"/>
        <v>0</v>
      </c>
      <c r="BLU56" s="850">
        <f t="shared" si="41"/>
        <v>607111909481293</v>
      </c>
      <c r="BLV56" s="850">
        <f t="shared" si="41"/>
        <v>0</v>
      </c>
      <c r="BLW56" s="850">
        <f t="shared" si="41"/>
        <v>625325266765731.75</v>
      </c>
      <c r="BLX56" s="850">
        <f t="shared" si="41"/>
        <v>0</v>
      </c>
      <c r="BLY56" s="850">
        <f t="shared" si="41"/>
        <v>644085024768703.75</v>
      </c>
      <c r="BLZ56" s="850">
        <f t="shared" si="41"/>
        <v>0</v>
      </c>
      <c r="BMA56" s="850">
        <f t="shared" si="41"/>
        <v>663407575511764.88</v>
      </c>
      <c r="BMB56" s="850">
        <f t="shared" si="41"/>
        <v>0</v>
      </c>
      <c r="BMC56" s="850">
        <f t="shared" si="41"/>
        <v>683309802777117.88</v>
      </c>
      <c r="BMD56" s="850">
        <f t="shared" si="41"/>
        <v>0</v>
      </c>
      <c r="BME56" s="850">
        <f t="shared" si="41"/>
        <v>703809096860431.38</v>
      </c>
      <c r="BMF56" s="850">
        <f t="shared" si="41"/>
        <v>0</v>
      </c>
      <c r="BMG56" s="850">
        <f t="shared" si="41"/>
        <v>724923369766244.38</v>
      </c>
      <c r="BMH56" s="850">
        <f t="shared" si="41"/>
        <v>0</v>
      </c>
      <c r="BMI56" s="850">
        <f t="shared" si="41"/>
        <v>746671070859231.75</v>
      </c>
      <c r="BMJ56" s="850">
        <f t="shared" si="41"/>
        <v>0</v>
      </c>
      <c r="BMK56" s="850">
        <f t="shared" si="41"/>
        <v>769071202985008.75</v>
      </c>
      <c r="BML56" s="850">
        <f t="shared" si="41"/>
        <v>0</v>
      </c>
      <c r="BMM56" s="850">
        <f t="shared" si="41"/>
        <v>792143339074559</v>
      </c>
      <c r="BMN56" s="850">
        <f t="shared" si="41"/>
        <v>0</v>
      </c>
      <c r="BMO56" s="850">
        <f t="shared" si="41"/>
        <v>815907639246795.75</v>
      </c>
      <c r="BMP56" s="850">
        <f t="shared" si="41"/>
        <v>0</v>
      </c>
      <c r="BMQ56" s="850">
        <f t="shared" si="41"/>
        <v>840384868424199.63</v>
      </c>
      <c r="BMR56" s="850">
        <f t="shared" si="41"/>
        <v>0</v>
      </c>
      <c r="BMS56" s="850">
        <f t="shared" si="41"/>
        <v>865596414476925.63</v>
      </c>
      <c r="BMT56" s="850">
        <f t="shared" si="41"/>
        <v>0</v>
      </c>
      <c r="BMU56" s="850">
        <f t="shared" si="41"/>
        <v>891564306911233.38</v>
      </c>
      <c r="BMV56" s="850">
        <f t="shared" si="41"/>
        <v>0</v>
      </c>
      <c r="BMW56" s="850">
        <f t="shared" si="41"/>
        <v>918311236118570.38</v>
      </c>
      <c r="BMX56" s="850">
        <f t="shared" si="41"/>
        <v>0</v>
      </c>
      <c r="BMY56" s="850">
        <f t="shared" si="41"/>
        <v>945860573202127.5</v>
      </c>
      <c r="BMZ56" s="850">
        <f t="shared" si="41"/>
        <v>0</v>
      </c>
      <c r="BNA56" s="850">
        <f t="shared" si="41"/>
        <v>974236390398191.38</v>
      </c>
      <c r="BNB56" s="850">
        <f t="shared" si="41"/>
        <v>0</v>
      </c>
      <c r="BNC56" s="850">
        <f t="shared" si="41"/>
        <v>1003463482110137.1</v>
      </c>
      <c r="BND56" s="850">
        <f t="shared" si="41"/>
        <v>0</v>
      </c>
      <c r="BNE56" s="850">
        <f t="shared" si="41"/>
        <v>1033567386573441.3</v>
      </c>
      <c r="BNF56" s="850">
        <f t="shared" si="41"/>
        <v>0</v>
      </c>
      <c r="BNG56" s="850">
        <f t="shared" si="41"/>
        <v>1064574408170644.5</v>
      </c>
      <c r="BNH56" s="850">
        <f t="shared" si="41"/>
        <v>0</v>
      </c>
      <c r="BNI56" s="850">
        <f t="shared" si="41"/>
        <v>1096511640415763.9</v>
      </c>
      <c r="BNJ56" s="850">
        <f t="shared" si="41"/>
        <v>0</v>
      </c>
      <c r="BNK56" s="850">
        <f t="shared" si="41"/>
        <v>1129406989628236.8</v>
      </c>
      <c r="BNL56" s="850">
        <f t="shared" si="41"/>
        <v>0</v>
      </c>
      <c r="BNM56" s="850">
        <f t="shared" si="41"/>
        <v>1163289199317084</v>
      </c>
      <c r="BNN56" s="850">
        <f t="shared" si="41"/>
        <v>0</v>
      </c>
      <c r="BNO56" s="850">
        <f t="shared" si="41"/>
        <v>1198187875296596.5</v>
      </c>
      <c r="BNP56" s="850">
        <f t="shared" si="41"/>
        <v>0</v>
      </c>
      <c r="BNQ56" s="850">
        <f t="shared" si="41"/>
        <v>1234133511555494.5</v>
      </c>
      <c r="BNR56" s="850">
        <f t="shared" si="41"/>
        <v>0</v>
      </c>
      <c r="BNS56" s="850">
        <f t="shared" si="41"/>
        <v>1271157516902159.3</v>
      </c>
      <c r="BNT56" s="850">
        <f t="shared" si="41"/>
        <v>0</v>
      </c>
      <c r="BNU56" s="850">
        <f t="shared" si="41"/>
        <v>1309292242409224</v>
      </c>
      <c r="BNV56" s="850">
        <f t="shared" ref="BNV56:BQG56" si="42">BNT56*$C$56</f>
        <v>0</v>
      </c>
      <c r="BNW56" s="850">
        <f t="shared" si="42"/>
        <v>1348571009681500.8</v>
      </c>
      <c r="BNX56" s="850">
        <f t="shared" si="42"/>
        <v>0</v>
      </c>
      <c r="BNY56" s="850">
        <f t="shared" si="42"/>
        <v>1389028139971945.8</v>
      </c>
      <c r="BNZ56" s="850">
        <f t="shared" si="42"/>
        <v>0</v>
      </c>
      <c r="BOA56" s="850">
        <f t="shared" si="42"/>
        <v>1430698984171104.3</v>
      </c>
      <c r="BOB56" s="850">
        <f t="shared" si="42"/>
        <v>0</v>
      </c>
      <c r="BOC56" s="850">
        <f t="shared" si="42"/>
        <v>1473619953696237.5</v>
      </c>
      <c r="BOD56" s="850">
        <f t="shared" si="42"/>
        <v>0</v>
      </c>
      <c r="BOE56" s="850">
        <f t="shared" si="42"/>
        <v>1517828552307124.8</v>
      </c>
      <c r="BOF56" s="850">
        <f t="shared" si="42"/>
        <v>0</v>
      </c>
      <c r="BOG56" s="850">
        <f t="shared" si="42"/>
        <v>1563363408876338.5</v>
      </c>
      <c r="BOH56" s="850">
        <f t="shared" si="42"/>
        <v>0</v>
      </c>
      <c r="BOI56" s="850">
        <f t="shared" si="42"/>
        <v>1610264311142628.8</v>
      </c>
      <c r="BOJ56" s="850">
        <f t="shared" si="42"/>
        <v>0</v>
      </c>
      <c r="BOK56" s="850">
        <f t="shared" si="42"/>
        <v>1658572240476907.8</v>
      </c>
      <c r="BOL56" s="850">
        <f t="shared" si="42"/>
        <v>0</v>
      </c>
      <c r="BOM56" s="850">
        <f t="shared" si="42"/>
        <v>1708329407691215</v>
      </c>
      <c r="BON56" s="850">
        <f t="shared" si="42"/>
        <v>0</v>
      </c>
      <c r="BOO56" s="850">
        <f t="shared" si="42"/>
        <v>1759579289921951.5</v>
      </c>
      <c r="BOP56" s="850">
        <f t="shared" si="42"/>
        <v>0</v>
      </c>
      <c r="BOQ56" s="850">
        <f t="shared" si="42"/>
        <v>1812366668619610</v>
      </c>
      <c r="BOR56" s="850">
        <f t="shared" si="42"/>
        <v>0</v>
      </c>
      <c r="BOS56" s="850">
        <f t="shared" si="42"/>
        <v>1866737668678198.3</v>
      </c>
      <c r="BOT56" s="850">
        <f t="shared" si="42"/>
        <v>0</v>
      </c>
      <c r="BOU56" s="850">
        <f t="shared" si="42"/>
        <v>1922739798738544.3</v>
      </c>
      <c r="BOV56" s="850">
        <f t="shared" si="42"/>
        <v>0</v>
      </c>
      <c r="BOW56" s="850">
        <f t="shared" si="42"/>
        <v>1980421992700700.8</v>
      </c>
      <c r="BOX56" s="850">
        <f t="shared" si="42"/>
        <v>0</v>
      </c>
      <c r="BOY56" s="850">
        <f t="shared" si="42"/>
        <v>2039834652481721.8</v>
      </c>
      <c r="BOZ56" s="850">
        <f t="shared" si="42"/>
        <v>0</v>
      </c>
      <c r="BPA56" s="850">
        <f t="shared" si="42"/>
        <v>2101029692056173.5</v>
      </c>
      <c r="BPB56" s="850">
        <f t="shared" si="42"/>
        <v>0</v>
      </c>
      <c r="BPC56" s="850">
        <f t="shared" si="42"/>
        <v>2164060582817858.8</v>
      </c>
      <c r="BPD56" s="850">
        <f t="shared" si="42"/>
        <v>0</v>
      </c>
      <c r="BPE56" s="850">
        <f t="shared" si="42"/>
        <v>2228982400302394.5</v>
      </c>
      <c r="BPF56" s="850">
        <f t="shared" si="42"/>
        <v>0</v>
      </c>
      <c r="BPG56" s="850">
        <f t="shared" si="42"/>
        <v>2295851872311466.5</v>
      </c>
      <c r="BPH56" s="850">
        <f t="shared" si="42"/>
        <v>0</v>
      </c>
      <c r="BPI56" s="850">
        <f t="shared" si="42"/>
        <v>2364727428480810.5</v>
      </c>
      <c r="BPJ56" s="850">
        <f t="shared" si="42"/>
        <v>0</v>
      </c>
      <c r="BPK56" s="850">
        <f t="shared" si="42"/>
        <v>2435669251335235</v>
      </c>
      <c r="BPL56" s="850">
        <f t="shared" si="42"/>
        <v>0</v>
      </c>
      <c r="BPM56" s="850">
        <f t="shared" si="42"/>
        <v>2508739328875292</v>
      </c>
      <c r="BPN56" s="850">
        <f t="shared" si="42"/>
        <v>0</v>
      </c>
      <c r="BPO56" s="850">
        <f t="shared" si="42"/>
        <v>2584001508741551</v>
      </c>
      <c r="BPP56" s="850">
        <f t="shared" si="42"/>
        <v>0</v>
      </c>
      <c r="BPQ56" s="850">
        <f t="shared" si="42"/>
        <v>2661521554003797.5</v>
      </c>
      <c r="BPR56" s="850">
        <f t="shared" si="42"/>
        <v>0</v>
      </c>
      <c r="BPS56" s="850">
        <f t="shared" si="42"/>
        <v>2741367200623911.5</v>
      </c>
      <c r="BPT56" s="850">
        <f t="shared" si="42"/>
        <v>0</v>
      </c>
      <c r="BPU56" s="850">
        <f t="shared" si="42"/>
        <v>2823608216642629</v>
      </c>
      <c r="BPV56" s="850">
        <f t="shared" si="42"/>
        <v>0</v>
      </c>
      <c r="BPW56" s="850">
        <f t="shared" si="42"/>
        <v>2908316463141908</v>
      </c>
      <c r="BPX56" s="850">
        <f t="shared" si="42"/>
        <v>0</v>
      </c>
      <c r="BPY56" s="850">
        <f t="shared" si="42"/>
        <v>2995565957036165.5</v>
      </c>
      <c r="BPZ56" s="850">
        <f t="shared" si="42"/>
        <v>0</v>
      </c>
      <c r="BQA56" s="850">
        <f t="shared" si="42"/>
        <v>3085432935747250.5</v>
      </c>
      <c r="BQB56" s="850">
        <f t="shared" si="42"/>
        <v>0</v>
      </c>
      <c r="BQC56" s="850">
        <f t="shared" si="42"/>
        <v>3177995923819668</v>
      </c>
      <c r="BQD56" s="850">
        <f t="shared" si="42"/>
        <v>0</v>
      </c>
      <c r="BQE56" s="850">
        <f t="shared" si="42"/>
        <v>3273335801534258</v>
      </c>
      <c r="BQF56" s="850">
        <f t="shared" si="42"/>
        <v>0</v>
      </c>
      <c r="BQG56" s="850">
        <f t="shared" si="42"/>
        <v>3371535875580286</v>
      </c>
      <c r="BQH56" s="850">
        <f t="shared" ref="BQH56:BSS56" si="43">BQF56*$C$56</f>
        <v>0</v>
      </c>
      <c r="BQI56" s="850">
        <f t="shared" si="43"/>
        <v>3472681951847694.5</v>
      </c>
      <c r="BQJ56" s="850">
        <f t="shared" si="43"/>
        <v>0</v>
      </c>
      <c r="BQK56" s="850">
        <f t="shared" si="43"/>
        <v>3576862410403125.5</v>
      </c>
      <c r="BQL56" s="850">
        <f t="shared" si="43"/>
        <v>0</v>
      </c>
      <c r="BQM56" s="850">
        <f t="shared" si="43"/>
        <v>3684168282715219.5</v>
      </c>
      <c r="BQN56" s="850">
        <f t="shared" si="43"/>
        <v>0</v>
      </c>
      <c r="BQO56" s="850">
        <f t="shared" si="43"/>
        <v>3794693331196676</v>
      </c>
      <c r="BQP56" s="850">
        <f t="shared" si="43"/>
        <v>0</v>
      </c>
      <c r="BQQ56" s="850">
        <f t="shared" si="43"/>
        <v>3908534131132576.5</v>
      </c>
      <c r="BQR56" s="850">
        <f t="shared" si="43"/>
        <v>0</v>
      </c>
      <c r="BQS56" s="850">
        <f t="shared" si="43"/>
        <v>4025790155066554</v>
      </c>
      <c r="BQT56" s="850">
        <f t="shared" si="43"/>
        <v>0</v>
      </c>
      <c r="BQU56" s="850">
        <f t="shared" si="43"/>
        <v>4146563859718550.5</v>
      </c>
      <c r="BQV56" s="850">
        <f t="shared" si="43"/>
        <v>0</v>
      </c>
      <c r="BQW56" s="850">
        <f t="shared" si="43"/>
        <v>4270960775510107</v>
      </c>
      <c r="BQX56" s="850">
        <f t="shared" si="43"/>
        <v>0</v>
      </c>
      <c r="BQY56" s="850">
        <f t="shared" si="43"/>
        <v>4399089598775410.5</v>
      </c>
      <c r="BQZ56" s="850">
        <f t="shared" si="43"/>
        <v>0</v>
      </c>
      <c r="BRA56" s="850">
        <f t="shared" si="43"/>
        <v>4531062286738673</v>
      </c>
      <c r="BRB56" s="850">
        <f t="shared" si="43"/>
        <v>0</v>
      </c>
      <c r="BRC56" s="850">
        <f t="shared" si="43"/>
        <v>4666994155340833</v>
      </c>
      <c r="BRD56" s="850">
        <f t="shared" si="43"/>
        <v>0</v>
      </c>
      <c r="BRE56" s="850">
        <f t="shared" si="43"/>
        <v>4807003980001058</v>
      </c>
      <c r="BRF56" s="850">
        <f t="shared" si="43"/>
        <v>0</v>
      </c>
      <c r="BRG56" s="850">
        <f t="shared" si="43"/>
        <v>4951214099401090</v>
      </c>
      <c r="BRH56" s="850">
        <f t="shared" si="43"/>
        <v>0</v>
      </c>
      <c r="BRI56" s="850">
        <f t="shared" si="43"/>
        <v>5099750522383123</v>
      </c>
      <c r="BRJ56" s="850">
        <f t="shared" si="43"/>
        <v>0</v>
      </c>
      <c r="BRK56" s="850">
        <f t="shared" si="43"/>
        <v>5252743038054617</v>
      </c>
      <c r="BRL56" s="850">
        <f t="shared" si="43"/>
        <v>0</v>
      </c>
      <c r="BRM56" s="850">
        <f t="shared" si="43"/>
        <v>5410325329196256</v>
      </c>
      <c r="BRN56" s="850">
        <f t="shared" si="43"/>
        <v>0</v>
      </c>
      <c r="BRO56" s="850">
        <f t="shared" si="43"/>
        <v>5572635089072144</v>
      </c>
      <c r="BRP56" s="850">
        <f t="shared" si="43"/>
        <v>0</v>
      </c>
      <c r="BRQ56" s="850">
        <f t="shared" si="43"/>
        <v>5739814141744308</v>
      </c>
      <c r="BRR56" s="850">
        <f t="shared" si="43"/>
        <v>0</v>
      </c>
      <c r="BRS56" s="850">
        <f t="shared" si="43"/>
        <v>5912008565996637</v>
      </c>
      <c r="BRT56" s="850">
        <f t="shared" si="43"/>
        <v>0</v>
      </c>
      <c r="BRU56" s="850">
        <f t="shared" si="43"/>
        <v>6089368822976536</v>
      </c>
      <c r="BRV56" s="850">
        <f t="shared" si="43"/>
        <v>0</v>
      </c>
      <c r="BRW56" s="850">
        <f t="shared" si="43"/>
        <v>6272049887665832</v>
      </c>
      <c r="BRX56" s="850">
        <f t="shared" si="43"/>
        <v>0</v>
      </c>
      <c r="BRY56" s="850">
        <f t="shared" si="43"/>
        <v>6460211384295807</v>
      </c>
      <c r="BRZ56" s="850">
        <f t="shared" si="43"/>
        <v>0</v>
      </c>
      <c r="BSA56" s="850">
        <f t="shared" si="43"/>
        <v>6654017725824681</v>
      </c>
      <c r="BSB56" s="850">
        <f t="shared" si="43"/>
        <v>0</v>
      </c>
      <c r="BSC56" s="850">
        <f t="shared" si="43"/>
        <v>6853638257599422</v>
      </c>
      <c r="BSD56" s="850">
        <f t="shared" si="43"/>
        <v>0</v>
      </c>
      <c r="BSE56" s="850">
        <f t="shared" si="43"/>
        <v>7059247405327405</v>
      </c>
      <c r="BSF56" s="850">
        <f t="shared" si="43"/>
        <v>0</v>
      </c>
      <c r="BSG56" s="850">
        <f t="shared" si="43"/>
        <v>7271024827487227</v>
      </c>
      <c r="BSH56" s="850">
        <f t="shared" si="43"/>
        <v>0</v>
      </c>
      <c r="BSI56" s="850">
        <f t="shared" si="43"/>
        <v>7489155572311844</v>
      </c>
      <c r="BSJ56" s="850">
        <f t="shared" si="43"/>
        <v>0</v>
      </c>
      <c r="BSK56" s="850">
        <f t="shared" si="43"/>
        <v>7713830239481200</v>
      </c>
      <c r="BSL56" s="850">
        <f t="shared" si="43"/>
        <v>0</v>
      </c>
      <c r="BSM56" s="850">
        <f t="shared" si="43"/>
        <v>7945245146665636</v>
      </c>
      <c r="BSN56" s="850">
        <f t="shared" si="43"/>
        <v>0</v>
      </c>
      <c r="BSO56" s="850">
        <f t="shared" si="43"/>
        <v>8183602501065605</v>
      </c>
      <c r="BSP56" s="850">
        <f t="shared" si="43"/>
        <v>0</v>
      </c>
      <c r="BSQ56" s="850">
        <f t="shared" si="43"/>
        <v>8429110576097573</v>
      </c>
      <c r="BSR56" s="850">
        <f t="shared" si="43"/>
        <v>0</v>
      </c>
      <c r="BSS56" s="850">
        <f t="shared" si="43"/>
        <v>8681983893380500</v>
      </c>
      <c r="BST56" s="850">
        <f t="shared" ref="BST56:BVE56" si="44">BSR56*$C$56</f>
        <v>0</v>
      </c>
      <c r="BSU56" s="850">
        <f t="shared" si="44"/>
        <v>8942443410181915</v>
      </c>
      <c r="BSV56" s="850">
        <f t="shared" si="44"/>
        <v>0</v>
      </c>
      <c r="BSW56" s="850">
        <f t="shared" si="44"/>
        <v>9210716712487372</v>
      </c>
      <c r="BSX56" s="850">
        <f t="shared" si="44"/>
        <v>0</v>
      </c>
      <c r="BSY56" s="850">
        <f t="shared" si="44"/>
        <v>9487038213861994</v>
      </c>
      <c r="BSZ56" s="850">
        <f t="shared" si="44"/>
        <v>0</v>
      </c>
      <c r="BTA56" s="850">
        <f t="shared" si="44"/>
        <v>9771649360277854</v>
      </c>
      <c r="BTB56" s="850">
        <f t="shared" si="44"/>
        <v>0</v>
      </c>
      <c r="BTC56" s="850">
        <f t="shared" si="44"/>
        <v>1.006479884108619E+16</v>
      </c>
      <c r="BTD56" s="850">
        <f t="shared" si="44"/>
        <v>0</v>
      </c>
      <c r="BTE56" s="850">
        <f t="shared" si="44"/>
        <v>1.0366742806318776E+16</v>
      </c>
      <c r="BTF56" s="850">
        <f t="shared" si="44"/>
        <v>0</v>
      </c>
      <c r="BTG56" s="850">
        <f t="shared" si="44"/>
        <v>1.067774509050834E+16</v>
      </c>
      <c r="BTH56" s="850">
        <f t="shared" si="44"/>
        <v>0</v>
      </c>
      <c r="BTI56" s="850">
        <f t="shared" si="44"/>
        <v>1.099807744322359E+16</v>
      </c>
      <c r="BTJ56" s="850">
        <f t="shared" si="44"/>
        <v>0</v>
      </c>
      <c r="BTK56" s="850">
        <f t="shared" si="44"/>
        <v>1.1328019766520298E+16</v>
      </c>
      <c r="BTL56" s="850">
        <f t="shared" si="44"/>
        <v>0</v>
      </c>
      <c r="BTM56" s="850">
        <f t="shared" si="44"/>
        <v>1.1667860359515908E+16</v>
      </c>
      <c r="BTN56" s="850">
        <f t="shared" si="44"/>
        <v>0</v>
      </c>
      <c r="BTO56" s="850">
        <f t="shared" si="44"/>
        <v>1.2017896170301386E+16</v>
      </c>
      <c r="BTP56" s="850">
        <f t="shared" si="44"/>
        <v>0</v>
      </c>
      <c r="BTQ56" s="850">
        <f t="shared" si="44"/>
        <v>1.2378433055410428E+16</v>
      </c>
      <c r="BTR56" s="850">
        <f t="shared" si="44"/>
        <v>0</v>
      </c>
      <c r="BTS56" s="850">
        <f t="shared" si="44"/>
        <v>1.2749786047072742E+16</v>
      </c>
      <c r="BTT56" s="850">
        <f t="shared" si="44"/>
        <v>0</v>
      </c>
      <c r="BTU56" s="850">
        <f t="shared" si="44"/>
        <v>1.3132279628484924E+16</v>
      </c>
      <c r="BTV56" s="850">
        <f t="shared" si="44"/>
        <v>0</v>
      </c>
      <c r="BTW56" s="850">
        <f t="shared" si="44"/>
        <v>1.3526248017339472E+16</v>
      </c>
      <c r="BTX56" s="850">
        <f t="shared" si="44"/>
        <v>0</v>
      </c>
      <c r="BTY56" s="850">
        <f t="shared" si="44"/>
        <v>1.3932035457859656E+16</v>
      </c>
      <c r="BTZ56" s="850">
        <f t="shared" si="44"/>
        <v>0</v>
      </c>
      <c r="BUA56" s="850">
        <f t="shared" si="44"/>
        <v>1.4349996521595446E+16</v>
      </c>
      <c r="BUB56" s="850">
        <f t="shared" si="44"/>
        <v>0</v>
      </c>
      <c r="BUC56" s="850">
        <f t="shared" si="44"/>
        <v>1.478049641724331E+16</v>
      </c>
      <c r="BUD56" s="850">
        <f t="shared" si="44"/>
        <v>0</v>
      </c>
      <c r="BUE56" s="850">
        <f t="shared" si="44"/>
        <v>1.522391130976061E+16</v>
      </c>
      <c r="BUF56" s="850">
        <f t="shared" si="44"/>
        <v>0</v>
      </c>
      <c r="BUG56" s="850">
        <f t="shared" si="44"/>
        <v>1.5680628649053428E+16</v>
      </c>
      <c r="BUH56" s="850">
        <f t="shared" si="44"/>
        <v>0</v>
      </c>
      <c r="BUI56" s="850">
        <f t="shared" si="44"/>
        <v>1.6151047508525032E+16</v>
      </c>
      <c r="BUJ56" s="850">
        <f t="shared" si="44"/>
        <v>0</v>
      </c>
      <c r="BUK56" s="850">
        <f t="shared" si="44"/>
        <v>1.6635578933780784E+16</v>
      </c>
      <c r="BUL56" s="850">
        <f t="shared" si="44"/>
        <v>0</v>
      </c>
      <c r="BUM56" s="850">
        <f t="shared" si="44"/>
        <v>1.7134646301794208E+16</v>
      </c>
      <c r="BUN56" s="850">
        <f t="shared" si="44"/>
        <v>0</v>
      </c>
      <c r="BUO56" s="850">
        <f t="shared" si="44"/>
        <v>1.7648685690848034E+16</v>
      </c>
      <c r="BUP56" s="850">
        <f t="shared" si="44"/>
        <v>0</v>
      </c>
      <c r="BUQ56" s="850">
        <f t="shared" si="44"/>
        <v>1.8178146261573476E+16</v>
      </c>
      <c r="BUR56" s="850">
        <f t="shared" si="44"/>
        <v>0</v>
      </c>
      <c r="BUS56" s="850">
        <f t="shared" si="44"/>
        <v>1.872349064942068E+16</v>
      </c>
      <c r="BUT56" s="850">
        <f t="shared" si="44"/>
        <v>0</v>
      </c>
      <c r="BUU56" s="850">
        <f t="shared" si="44"/>
        <v>1.92851953689033E+16</v>
      </c>
      <c r="BUV56" s="850">
        <f t="shared" si="44"/>
        <v>0</v>
      </c>
      <c r="BUW56" s="850">
        <f t="shared" si="44"/>
        <v>1.98637512299704E+16</v>
      </c>
      <c r="BUX56" s="850">
        <f t="shared" si="44"/>
        <v>0</v>
      </c>
      <c r="BUY56" s="850">
        <f t="shared" si="44"/>
        <v>2.0459663766869512E+16</v>
      </c>
      <c r="BUZ56" s="850">
        <f t="shared" si="44"/>
        <v>0</v>
      </c>
      <c r="BVA56" s="850">
        <f t="shared" si="44"/>
        <v>2.1073453679875596E+16</v>
      </c>
      <c r="BVB56" s="850">
        <f t="shared" si="44"/>
        <v>0</v>
      </c>
      <c r="BVC56" s="850">
        <f t="shared" si="44"/>
        <v>2.1705657290271864E+16</v>
      </c>
      <c r="BVD56" s="850">
        <f t="shared" si="44"/>
        <v>0</v>
      </c>
      <c r="BVE56" s="850">
        <f t="shared" si="44"/>
        <v>2.235682700898002E+16</v>
      </c>
      <c r="BVF56" s="850">
        <f t="shared" ref="BVF56:BXQ56" si="45">BVD56*$C$56</f>
        <v>0</v>
      </c>
      <c r="BVG56" s="850">
        <f t="shared" si="45"/>
        <v>2.302753181924942E+16</v>
      </c>
      <c r="BVH56" s="850">
        <f t="shared" si="45"/>
        <v>0</v>
      </c>
      <c r="BVI56" s="850">
        <f t="shared" si="45"/>
        <v>2.3718357773826904E+16</v>
      </c>
      <c r="BVJ56" s="850">
        <f t="shared" si="45"/>
        <v>0</v>
      </c>
      <c r="BVK56" s="850">
        <f t="shared" si="45"/>
        <v>2.4429908507041712E+16</v>
      </c>
      <c r="BVL56" s="850">
        <f t="shared" si="45"/>
        <v>0</v>
      </c>
      <c r="BVM56" s="850">
        <f t="shared" si="45"/>
        <v>2.5162805762252964E+16</v>
      </c>
      <c r="BVN56" s="850">
        <f t="shared" si="45"/>
        <v>0</v>
      </c>
      <c r="BVO56" s="850">
        <f t="shared" si="45"/>
        <v>2.5917689935120552E+16</v>
      </c>
      <c r="BVP56" s="850">
        <f t="shared" si="45"/>
        <v>0</v>
      </c>
      <c r="BVQ56" s="850">
        <f t="shared" si="45"/>
        <v>2.6695220633174168E+16</v>
      </c>
      <c r="BVR56" s="850">
        <f t="shared" si="45"/>
        <v>0</v>
      </c>
      <c r="BVS56" s="850">
        <f t="shared" si="45"/>
        <v>2.7496077252169392E+16</v>
      </c>
      <c r="BVT56" s="850">
        <f t="shared" si="45"/>
        <v>0</v>
      </c>
      <c r="BVU56" s="850">
        <f t="shared" si="45"/>
        <v>2.8320959569734476E+16</v>
      </c>
      <c r="BVV56" s="850">
        <f t="shared" si="45"/>
        <v>0</v>
      </c>
      <c r="BVW56" s="850">
        <f t="shared" si="45"/>
        <v>2.9170588356826512E+16</v>
      </c>
      <c r="BVX56" s="850">
        <f t="shared" si="45"/>
        <v>0</v>
      </c>
      <c r="BVY56" s="850">
        <f t="shared" si="45"/>
        <v>3.0045706007531308E+16</v>
      </c>
      <c r="BVZ56" s="850">
        <f t="shared" si="45"/>
        <v>0</v>
      </c>
      <c r="BWA56" s="850">
        <f t="shared" si="45"/>
        <v>3.0947077187757248E+16</v>
      </c>
      <c r="BWB56" s="850">
        <f t="shared" si="45"/>
        <v>0</v>
      </c>
      <c r="BWC56" s="850">
        <f t="shared" si="45"/>
        <v>3.1875489503389968E+16</v>
      </c>
      <c r="BWD56" s="850">
        <f t="shared" si="45"/>
        <v>0</v>
      </c>
      <c r="BWE56" s="850">
        <f t="shared" si="45"/>
        <v>3.2831754188491668E+16</v>
      </c>
      <c r="BWF56" s="850">
        <f t="shared" si="45"/>
        <v>0</v>
      </c>
      <c r="BWG56" s="850">
        <f t="shared" si="45"/>
        <v>3.381670681414642E+16</v>
      </c>
      <c r="BWH56" s="850">
        <f t="shared" si="45"/>
        <v>0</v>
      </c>
      <c r="BWI56" s="850">
        <f t="shared" si="45"/>
        <v>3.4831208018570812E+16</v>
      </c>
      <c r="BWJ56" s="850">
        <f t="shared" si="45"/>
        <v>0</v>
      </c>
      <c r="BWK56" s="850">
        <f t="shared" si="45"/>
        <v>3.5876144259127936E+16</v>
      </c>
      <c r="BWL56" s="850">
        <f t="shared" si="45"/>
        <v>0</v>
      </c>
      <c r="BWM56" s="850">
        <f t="shared" si="45"/>
        <v>3.6952428586901776E+16</v>
      </c>
      <c r="BWN56" s="850">
        <f t="shared" si="45"/>
        <v>0</v>
      </c>
      <c r="BWO56" s="850">
        <f t="shared" si="45"/>
        <v>3.8061001444508832E+16</v>
      </c>
      <c r="BWP56" s="850">
        <f t="shared" si="45"/>
        <v>0</v>
      </c>
      <c r="BWQ56" s="850">
        <f t="shared" si="45"/>
        <v>3.9202831487844096E+16</v>
      </c>
      <c r="BWR56" s="850">
        <f t="shared" si="45"/>
        <v>0</v>
      </c>
      <c r="BWS56" s="850">
        <f t="shared" si="45"/>
        <v>4.0378916432479416E+16</v>
      </c>
      <c r="BWT56" s="850">
        <f t="shared" si="45"/>
        <v>0</v>
      </c>
      <c r="BWU56" s="850">
        <f t="shared" si="45"/>
        <v>4.15902839254538E+16</v>
      </c>
      <c r="BWV56" s="850">
        <f t="shared" si="45"/>
        <v>0</v>
      </c>
      <c r="BWW56" s="850">
        <f t="shared" si="45"/>
        <v>4.2837992443217416E+16</v>
      </c>
      <c r="BWX56" s="850">
        <f t="shared" si="45"/>
        <v>0</v>
      </c>
      <c r="BWY56" s="850">
        <f t="shared" si="45"/>
        <v>4.4123132216513936E+16</v>
      </c>
      <c r="BWZ56" s="850">
        <f t="shared" si="45"/>
        <v>0</v>
      </c>
      <c r="BXA56" s="850">
        <f t="shared" si="45"/>
        <v>4.5446826183009352E+16</v>
      </c>
      <c r="BXB56" s="850">
        <f t="shared" si="45"/>
        <v>0</v>
      </c>
      <c r="BXC56" s="850">
        <f t="shared" si="45"/>
        <v>4.6810230968499632E+16</v>
      </c>
      <c r="BXD56" s="850">
        <f t="shared" si="45"/>
        <v>0</v>
      </c>
      <c r="BXE56" s="850">
        <f t="shared" si="45"/>
        <v>4.8214537897554624E+16</v>
      </c>
      <c r="BXF56" s="850">
        <f t="shared" si="45"/>
        <v>0</v>
      </c>
      <c r="BXG56" s="850">
        <f t="shared" si="45"/>
        <v>4.9660974034481264E+16</v>
      </c>
      <c r="BXH56" s="850">
        <f t="shared" si="45"/>
        <v>0</v>
      </c>
      <c r="BXI56" s="850">
        <f t="shared" si="45"/>
        <v>5.1150803255515704E+16</v>
      </c>
      <c r="BXJ56" s="850">
        <f t="shared" si="45"/>
        <v>0</v>
      </c>
      <c r="BXK56" s="850">
        <f t="shared" si="45"/>
        <v>5.2685327353181176E+16</v>
      </c>
      <c r="BXL56" s="850">
        <f t="shared" si="45"/>
        <v>0</v>
      </c>
      <c r="BXM56" s="850">
        <f t="shared" si="45"/>
        <v>5.4265887173776616E+16</v>
      </c>
      <c r="BXN56" s="850">
        <f t="shared" si="45"/>
        <v>0</v>
      </c>
      <c r="BXO56" s="850">
        <f t="shared" si="45"/>
        <v>5.5893863788989912E+16</v>
      </c>
      <c r="BXP56" s="850">
        <f t="shared" si="45"/>
        <v>0</v>
      </c>
      <c r="BXQ56" s="850">
        <f t="shared" si="45"/>
        <v>5.7570679702659608E+16</v>
      </c>
      <c r="BXR56" s="850">
        <f t="shared" ref="BXR56:CAC56" si="46">BXP56*$C$56</f>
        <v>0</v>
      </c>
      <c r="BXS56" s="850">
        <f t="shared" si="46"/>
        <v>5.92978000937394E+16</v>
      </c>
      <c r="BXT56" s="850">
        <f t="shared" si="46"/>
        <v>0</v>
      </c>
      <c r="BXU56" s="850">
        <f t="shared" si="46"/>
        <v>6.1076734096551584E+16</v>
      </c>
      <c r="BXV56" s="850">
        <f t="shared" si="46"/>
        <v>0</v>
      </c>
      <c r="BXW56" s="850">
        <f t="shared" si="46"/>
        <v>6.2909036119448136E+16</v>
      </c>
      <c r="BXX56" s="850">
        <f t="shared" si="46"/>
        <v>0</v>
      </c>
      <c r="BXY56" s="850">
        <f t="shared" si="46"/>
        <v>6.4796307203031584E+16</v>
      </c>
      <c r="BXZ56" s="850">
        <f t="shared" si="46"/>
        <v>0</v>
      </c>
      <c r="BYA56" s="850">
        <f t="shared" si="46"/>
        <v>6.6740196419122536E+16</v>
      </c>
      <c r="BYB56" s="850">
        <f t="shared" si="46"/>
        <v>0</v>
      </c>
      <c r="BYC56" s="850">
        <f t="shared" si="46"/>
        <v>6.8742402311696216E+16</v>
      </c>
      <c r="BYD56" s="850">
        <f t="shared" si="46"/>
        <v>0</v>
      </c>
      <c r="BYE56" s="850">
        <f t="shared" si="46"/>
        <v>7.0804674381047104E+16</v>
      </c>
      <c r="BYF56" s="850">
        <f t="shared" si="46"/>
        <v>0</v>
      </c>
      <c r="BYG56" s="850">
        <f t="shared" si="46"/>
        <v>7.2928814612478512E+16</v>
      </c>
      <c r="BYH56" s="850">
        <f t="shared" si="46"/>
        <v>0</v>
      </c>
      <c r="BYI56" s="850">
        <f t="shared" si="46"/>
        <v>7.5116679050852864E+16</v>
      </c>
      <c r="BYJ56" s="850">
        <f t="shared" si="46"/>
        <v>0</v>
      </c>
      <c r="BYK56" s="850">
        <f t="shared" si="46"/>
        <v>7.7370179422378448E+16</v>
      </c>
      <c r="BYL56" s="850">
        <f t="shared" si="46"/>
        <v>0</v>
      </c>
      <c r="BYM56" s="850">
        <f t="shared" si="46"/>
        <v>7.9691284805049808E+16</v>
      </c>
      <c r="BYN56" s="850">
        <f t="shared" si="46"/>
        <v>0</v>
      </c>
      <c r="BYO56" s="850">
        <f t="shared" si="46"/>
        <v>8.2082023349201312E+16</v>
      </c>
      <c r="BYP56" s="850">
        <f t="shared" si="46"/>
        <v>0</v>
      </c>
      <c r="BYQ56" s="850">
        <f t="shared" si="46"/>
        <v>8.454448404967736E+16</v>
      </c>
      <c r="BYR56" s="850">
        <f t="shared" si="46"/>
        <v>0</v>
      </c>
      <c r="BYS56" s="850">
        <f t="shared" si="46"/>
        <v>8.708081857116768E+16</v>
      </c>
      <c r="BYT56" s="850">
        <f t="shared" si="46"/>
        <v>0</v>
      </c>
      <c r="BYU56" s="850">
        <f t="shared" si="46"/>
        <v>8.969324312830272E+16</v>
      </c>
      <c r="BYV56" s="850">
        <f t="shared" si="46"/>
        <v>0</v>
      </c>
      <c r="BYW56" s="850">
        <f t="shared" si="46"/>
        <v>9.2384040422151808E+16</v>
      </c>
      <c r="BYX56" s="850">
        <f t="shared" si="46"/>
        <v>0</v>
      </c>
      <c r="BYY56" s="850">
        <f t="shared" si="46"/>
        <v>9.5155561634816368E+16</v>
      </c>
      <c r="BYZ56" s="850">
        <f t="shared" si="46"/>
        <v>0</v>
      </c>
      <c r="BZA56" s="850">
        <f t="shared" si="46"/>
        <v>9.8010228483860864E+16</v>
      </c>
      <c r="BZB56" s="850">
        <f t="shared" si="46"/>
        <v>0</v>
      </c>
      <c r="BZC56" s="850">
        <f t="shared" si="46"/>
        <v>1.0095053533837669E+17</v>
      </c>
      <c r="BZD56" s="850">
        <f t="shared" si="46"/>
        <v>0</v>
      </c>
      <c r="BZE56" s="850">
        <f t="shared" si="46"/>
        <v>1.0397905139852798E+17</v>
      </c>
      <c r="BZF56" s="850">
        <f t="shared" si="46"/>
        <v>0</v>
      </c>
      <c r="BZG56" s="850">
        <f t="shared" si="46"/>
        <v>1.0709842294048382E+17</v>
      </c>
      <c r="BZH56" s="850">
        <f t="shared" si="46"/>
        <v>0</v>
      </c>
      <c r="BZI56" s="850">
        <f t="shared" si="46"/>
        <v>1.1031137562869834E+17</v>
      </c>
      <c r="BZJ56" s="850">
        <f t="shared" si="46"/>
        <v>0</v>
      </c>
      <c r="BZK56" s="850">
        <f t="shared" si="46"/>
        <v>1.136207168975593E+17</v>
      </c>
      <c r="BZL56" s="850">
        <f t="shared" si="46"/>
        <v>0</v>
      </c>
      <c r="BZM56" s="850">
        <f t="shared" si="46"/>
        <v>1.1702933840448608E+17</v>
      </c>
      <c r="BZN56" s="850">
        <f t="shared" si="46"/>
        <v>0</v>
      </c>
      <c r="BZO56" s="850">
        <f t="shared" si="46"/>
        <v>1.2054021855662067E+17</v>
      </c>
      <c r="BZP56" s="850">
        <f t="shared" si="46"/>
        <v>0</v>
      </c>
      <c r="BZQ56" s="850">
        <f t="shared" si="46"/>
        <v>1.241564251133193E+17</v>
      </c>
      <c r="BZR56" s="850">
        <f t="shared" si="46"/>
        <v>0</v>
      </c>
      <c r="BZS56" s="850">
        <f t="shared" si="46"/>
        <v>1.2788111786671888E+17</v>
      </c>
      <c r="BZT56" s="850">
        <f t="shared" si="46"/>
        <v>0</v>
      </c>
      <c r="BZU56" s="850">
        <f t="shared" si="46"/>
        <v>1.3171755140272045E+17</v>
      </c>
      <c r="BZV56" s="850">
        <f t="shared" si="46"/>
        <v>0</v>
      </c>
      <c r="BZW56" s="850">
        <f t="shared" si="46"/>
        <v>1.3566907794480206E+17</v>
      </c>
      <c r="BZX56" s="850">
        <f t="shared" si="46"/>
        <v>0</v>
      </c>
      <c r="BZY56" s="850">
        <f t="shared" si="46"/>
        <v>1.3973915028314613E+17</v>
      </c>
      <c r="BZZ56" s="850">
        <f t="shared" si="46"/>
        <v>0</v>
      </c>
      <c r="CAA56" s="850">
        <f t="shared" si="46"/>
        <v>1.4393132479164051E+17</v>
      </c>
      <c r="CAB56" s="850">
        <f t="shared" si="46"/>
        <v>0</v>
      </c>
      <c r="CAC56" s="850">
        <f t="shared" si="46"/>
        <v>1.4824926453538973E+17</v>
      </c>
      <c r="CAD56" s="850">
        <f t="shared" ref="CAD56:CCO56" si="47">CAB56*$C$56</f>
        <v>0</v>
      </c>
      <c r="CAE56" s="850">
        <f t="shared" si="47"/>
        <v>1.5269674247145142E+17</v>
      </c>
      <c r="CAF56" s="850">
        <f t="shared" si="47"/>
        <v>0</v>
      </c>
      <c r="CAG56" s="850">
        <f t="shared" si="47"/>
        <v>1.5727764474559498E+17</v>
      </c>
      <c r="CAH56" s="850">
        <f t="shared" si="47"/>
        <v>0</v>
      </c>
      <c r="CAI56" s="850">
        <f t="shared" si="47"/>
        <v>1.6199597408796282E+17</v>
      </c>
      <c r="CAJ56" s="850">
        <f t="shared" si="47"/>
        <v>0</v>
      </c>
      <c r="CAK56" s="850">
        <f t="shared" si="47"/>
        <v>1.668558533106017E+17</v>
      </c>
      <c r="CAL56" s="850">
        <f t="shared" si="47"/>
        <v>0</v>
      </c>
      <c r="CAM56" s="850">
        <f t="shared" si="47"/>
        <v>1.7186152890991974E+17</v>
      </c>
      <c r="CAN56" s="850">
        <f t="shared" si="47"/>
        <v>0</v>
      </c>
      <c r="CAO56" s="850">
        <f t="shared" si="47"/>
        <v>1.7701737477721734E+17</v>
      </c>
      <c r="CAP56" s="850">
        <f t="shared" si="47"/>
        <v>0</v>
      </c>
      <c r="CAQ56" s="850">
        <f t="shared" si="47"/>
        <v>1.8232789602053386E+17</v>
      </c>
      <c r="CAR56" s="850">
        <f t="shared" si="47"/>
        <v>0</v>
      </c>
      <c r="CAS56" s="850">
        <f t="shared" si="47"/>
        <v>1.8779773290114989E+17</v>
      </c>
      <c r="CAT56" s="850">
        <f t="shared" si="47"/>
        <v>0</v>
      </c>
      <c r="CAU56" s="850">
        <f t="shared" si="47"/>
        <v>1.9343166488818438E+17</v>
      </c>
      <c r="CAV56" s="850">
        <f t="shared" si="47"/>
        <v>0</v>
      </c>
      <c r="CAW56" s="850">
        <f t="shared" si="47"/>
        <v>1.9923461483482992E+17</v>
      </c>
      <c r="CAX56" s="850">
        <f t="shared" si="47"/>
        <v>0</v>
      </c>
      <c r="CAY56" s="850">
        <f t="shared" si="47"/>
        <v>2.0521165327987482E+17</v>
      </c>
      <c r="CAZ56" s="850">
        <f t="shared" si="47"/>
        <v>0</v>
      </c>
      <c r="CBA56" s="850">
        <f t="shared" si="47"/>
        <v>2.1136800287827107E+17</v>
      </c>
      <c r="CBB56" s="850">
        <f t="shared" si="47"/>
        <v>0</v>
      </c>
      <c r="CBC56" s="850">
        <f t="shared" si="47"/>
        <v>2.177090429646192E+17</v>
      </c>
      <c r="CBD56" s="850">
        <f t="shared" si="47"/>
        <v>0</v>
      </c>
      <c r="CBE56" s="850">
        <f t="shared" si="47"/>
        <v>2.2424031425355779E+17</v>
      </c>
      <c r="CBF56" s="850">
        <f t="shared" si="47"/>
        <v>0</v>
      </c>
      <c r="CBG56" s="850">
        <f t="shared" si="47"/>
        <v>2.3096752368116454E+17</v>
      </c>
      <c r="CBH56" s="850">
        <f t="shared" si="47"/>
        <v>0</v>
      </c>
      <c r="CBI56" s="850">
        <f t="shared" si="47"/>
        <v>2.3789654939159949E+17</v>
      </c>
      <c r="CBJ56" s="850">
        <f t="shared" si="47"/>
        <v>0</v>
      </c>
      <c r="CBK56" s="850">
        <f t="shared" si="47"/>
        <v>2.4503344587334749E+17</v>
      </c>
      <c r="CBL56" s="850">
        <f t="shared" si="47"/>
        <v>0</v>
      </c>
      <c r="CBM56" s="850">
        <f t="shared" si="47"/>
        <v>2.523844492495479E+17</v>
      </c>
      <c r="CBN56" s="850">
        <f t="shared" si="47"/>
        <v>0</v>
      </c>
      <c r="CBO56" s="850">
        <f t="shared" si="47"/>
        <v>2.5995598272703434E+17</v>
      </c>
      <c r="CBP56" s="850">
        <f t="shared" si="47"/>
        <v>0</v>
      </c>
      <c r="CBQ56" s="850">
        <f t="shared" si="47"/>
        <v>2.6775466220884538E+17</v>
      </c>
      <c r="CBR56" s="850">
        <f t="shared" si="47"/>
        <v>0</v>
      </c>
      <c r="CBS56" s="850">
        <f t="shared" si="47"/>
        <v>2.7578730207511075E+17</v>
      </c>
      <c r="CBT56" s="850">
        <f t="shared" si="47"/>
        <v>0</v>
      </c>
      <c r="CBU56" s="850">
        <f t="shared" si="47"/>
        <v>2.840609211373641E+17</v>
      </c>
      <c r="CBV56" s="850">
        <f t="shared" si="47"/>
        <v>0</v>
      </c>
      <c r="CBW56" s="850">
        <f t="shared" si="47"/>
        <v>2.9258274877148506E+17</v>
      </c>
      <c r="CBX56" s="850">
        <f t="shared" si="47"/>
        <v>0</v>
      </c>
      <c r="CBY56" s="850">
        <f t="shared" si="47"/>
        <v>3.0136023123462963E+17</v>
      </c>
      <c r="CBZ56" s="850">
        <f t="shared" si="47"/>
        <v>0</v>
      </c>
      <c r="CCA56" s="850">
        <f t="shared" si="47"/>
        <v>3.1040103817166854E+17</v>
      </c>
      <c r="CCB56" s="850">
        <f t="shared" si="47"/>
        <v>0</v>
      </c>
      <c r="CCC56" s="850">
        <f t="shared" si="47"/>
        <v>3.1971306931681862E+17</v>
      </c>
      <c r="CCD56" s="850">
        <f t="shared" si="47"/>
        <v>0</v>
      </c>
      <c r="CCE56" s="850">
        <f t="shared" si="47"/>
        <v>3.293044613963232E+17</v>
      </c>
      <c r="CCF56" s="850">
        <f t="shared" si="47"/>
        <v>0</v>
      </c>
      <c r="CCG56" s="850">
        <f t="shared" si="47"/>
        <v>3.3918359523821293E+17</v>
      </c>
      <c r="CCH56" s="850">
        <f t="shared" si="47"/>
        <v>0</v>
      </c>
      <c r="CCI56" s="850">
        <f t="shared" si="47"/>
        <v>3.493591030953593E+17</v>
      </c>
      <c r="CCJ56" s="850">
        <f t="shared" si="47"/>
        <v>0</v>
      </c>
      <c r="CCK56" s="850">
        <f t="shared" si="47"/>
        <v>3.598398761882201E+17</v>
      </c>
      <c r="CCL56" s="850">
        <f t="shared" si="47"/>
        <v>0</v>
      </c>
      <c r="CCM56" s="850">
        <f t="shared" si="47"/>
        <v>3.7063507247386669E+17</v>
      </c>
      <c r="CCN56" s="850">
        <f t="shared" si="47"/>
        <v>0</v>
      </c>
      <c r="CCO56" s="850">
        <f t="shared" si="47"/>
        <v>3.8175412464808269E+17</v>
      </c>
      <c r="CCP56" s="850">
        <f t="shared" ref="CCP56:CFA56" si="48">CCN56*$C$56</f>
        <v>0</v>
      </c>
      <c r="CCQ56" s="850">
        <f t="shared" si="48"/>
        <v>3.9320674838752518E+17</v>
      </c>
      <c r="CCR56" s="850">
        <f t="shared" si="48"/>
        <v>0</v>
      </c>
      <c r="CCS56" s="850">
        <f t="shared" si="48"/>
        <v>4.0500295083915098E+17</v>
      </c>
      <c r="CCT56" s="850">
        <f t="shared" si="48"/>
        <v>0</v>
      </c>
      <c r="CCU56" s="850">
        <f t="shared" si="48"/>
        <v>4.171530393643255E+17</v>
      </c>
      <c r="CCV56" s="850">
        <f t="shared" si="48"/>
        <v>0</v>
      </c>
      <c r="CCW56" s="850">
        <f t="shared" si="48"/>
        <v>4.296676305452553E+17</v>
      </c>
      <c r="CCX56" s="850">
        <f t="shared" si="48"/>
        <v>0</v>
      </c>
      <c r="CCY56" s="850">
        <f t="shared" si="48"/>
        <v>4.4255765946161299E+17</v>
      </c>
      <c r="CCZ56" s="850">
        <f t="shared" si="48"/>
        <v>0</v>
      </c>
      <c r="CDA56" s="850">
        <f t="shared" si="48"/>
        <v>4.5583438924546138E+17</v>
      </c>
      <c r="CDB56" s="850">
        <f t="shared" si="48"/>
        <v>0</v>
      </c>
      <c r="CDC56" s="850">
        <f t="shared" si="48"/>
        <v>4.6950942092282522E+17</v>
      </c>
      <c r="CDD56" s="850">
        <f t="shared" si="48"/>
        <v>0</v>
      </c>
      <c r="CDE56" s="850">
        <f t="shared" si="48"/>
        <v>4.8359470355051002E+17</v>
      </c>
      <c r="CDF56" s="850">
        <f t="shared" si="48"/>
        <v>0</v>
      </c>
      <c r="CDG56" s="850">
        <f t="shared" si="48"/>
        <v>4.9810254465702534E+17</v>
      </c>
      <c r="CDH56" s="850">
        <f t="shared" si="48"/>
        <v>0</v>
      </c>
      <c r="CDI56" s="850">
        <f t="shared" si="48"/>
        <v>5.1304562099673613E+17</v>
      </c>
      <c r="CDJ56" s="850">
        <f t="shared" si="48"/>
        <v>0</v>
      </c>
      <c r="CDK56" s="850">
        <f t="shared" si="48"/>
        <v>5.2843698962663821E+17</v>
      </c>
      <c r="CDL56" s="850">
        <f t="shared" si="48"/>
        <v>0</v>
      </c>
      <c r="CDM56" s="850">
        <f t="shared" si="48"/>
        <v>5.4429009931543738E+17</v>
      </c>
      <c r="CDN56" s="850">
        <f t="shared" si="48"/>
        <v>0</v>
      </c>
      <c r="CDO56" s="850">
        <f t="shared" si="48"/>
        <v>5.6061880229490048E+17</v>
      </c>
      <c r="CDP56" s="850">
        <f t="shared" si="48"/>
        <v>0</v>
      </c>
      <c r="CDQ56" s="850">
        <f t="shared" si="48"/>
        <v>5.7743736636374746E+17</v>
      </c>
      <c r="CDR56" s="850">
        <f t="shared" si="48"/>
        <v>0</v>
      </c>
      <c r="CDS56" s="850">
        <f t="shared" si="48"/>
        <v>5.9476048735465984E+17</v>
      </c>
      <c r="CDT56" s="850">
        <f t="shared" si="48"/>
        <v>0</v>
      </c>
      <c r="CDU56" s="850">
        <f t="shared" si="48"/>
        <v>6.1260330197529971E+17</v>
      </c>
      <c r="CDV56" s="850">
        <f t="shared" si="48"/>
        <v>0</v>
      </c>
      <c r="CDW56" s="850">
        <f t="shared" si="48"/>
        <v>6.3098140103455872E+17</v>
      </c>
      <c r="CDX56" s="850">
        <f t="shared" si="48"/>
        <v>0</v>
      </c>
      <c r="CDY56" s="850">
        <f t="shared" si="48"/>
        <v>6.4991084306559552E+17</v>
      </c>
      <c r="CDZ56" s="850">
        <f t="shared" si="48"/>
        <v>0</v>
      </c>
      <c r="CEA56" s="850">
        <f t="shared" si="48"/>
        <v>6.6940816835756339E+17</v>
      </c>
      <c r="CEB56" s="850">
        <f t="shared" si="48"/>
        <v>0</v>
      </c>
      <c r="CEC56" s="850">
        <f t="shared" si="48"/>
        <v>6.894904134082903E+17</v>
      </c>
      <c r="CED56" s="850">
        <f t="shared" si="48"/>
        <v>0</v>
      </c>
      <c r="CEE56" s="850">
        <f t="shared" si="48"/>
        <v>7.1017512581053901E+17</v>
      </c>
      <c r="CEF56" s="850">
        <f t="shared" si="48"/>
        <v>0</v>
      </c>
      <c r="CEG56" s="850">
        <f t="shared" si="48"/>
        <v>7.3148037958485517E+17</v>
      </c>
      <c r="CEH56" s="850">
        <f t="shared" si="48"/>
        <v>0</v>
      </c>
      <c r="CEI56" s="850">
        <f t="shared" si="48"/>
        <v>7.534247909724009E+17</v>
      </c>
      <c r="CEJ56" s="850">
        <f t="shared" si="48"/>
        <v>0</v>
      </c>
      <c r="CEK56" s="850">
        <f t="shared" si="48"/>
        <v>7.7602753470157299E+17</v>
      </c>
      <c r="CEL56" s="850">
        <f t="shared" si="48"/>
        <v>0</v>
      </c>
      <c r="CEM56" s="850">
        <f t="shared" si="48"/>
        <v>7.9930836074262016E+17</v>
      </c>
      <c r="CEN56" s="850">
        <f t="shared" si="48"/>
        <v>0</v>
      </c>
      <c r="CEO56" s="850">
        <f t="shared" si="48"/>
        <v>8.2328761156489882E+17</v>
      </c>
      <c r="CEP56" s="850">
        <f t="shared" si="48"/>
        <v>0</v>
      </c>
      <c r="CEQ56" s="850">
        <f t="shared" si="48"/>
        <v>8.4798623991184576E+17</v>
      </c>
      <c r="CER56" s="850">
        <f t="shared" si="48"/>
        <v>0</v>
      </c>
      <c r="CES56" s="850">
        <f t="shared" si="48"/>
        <v>8.7342582710920115E+17</v>
      </c>
      <c r="CET56" s="850">
        <f t="shared" si="48"/>
        <v>0</v>
      </c>
      <c r="CEU56" s="850">
        <f t="shared" si="48"/>
        <v>8.9962860192247718E+17</v>
      </c>
      <c r="CEV56" s="850">
        <f t="shared" si="48"/>
        <v>0</v>
      </c>
      <c r="CEW56" s="850">
        <f t="shared" si="48"/>
        <v>9.2661745998015155E+17</v>
      </c>
      <c r="CEX56" s="850">
        <f t="shared" si="48"/>
        <v>0</v>
      </c>
      <c r="CEY56" s="850">
        <f t="shared" si="48"/>
        <v>9.544159837795561E+17</v>
      </c>
      <c r="CEZ56" s="850">
        <f t="shared" si="48"/>
        <v>0</v>
      </c>
      <c r="CFA56" s="850">
        <f t="shared" si="48"/>
        <v>9.8304846329294285E+17</v>
      </c>
      <c r="CFB56" s="850">
        <f t="shared" ref="CFB56:CHM56" si="49">CEZ56*$C$56</f>
        <v>0</v>
      </c>
      <c r="CFC56" s="850">
        <f t="shared" si="49"/>
        <v>1.0125399171917312E+18</v>
      </c>
      <c r="CFD56" s="850">
        <f t="shared" si="49"/>
        <v>0</v>
      </c>
      <c r="CFE56" s="850">
        <f t="shared" si="49"/>
        <v>1.0429161147074831E+18</v>
      </c>
      <c r="CFF56" s="850">
        <f t="shared" si="49"/>
        <v>0</v>
      </c>
      <c r="CFG56" s="850">
        <f t="shared" si="49"/>
        <v>1.0742035981487077E+18</v>
      </c>
      <c r="CFH56" s="850">
        <f t="shared" si="49"/>
        <v>0</v>
      </c>
      <c r="CFI56" s="850">
        <f t="shared" si="49"/>
        <v>1.106429706093169E+18</v>
      </c>
      <c r="CFJ56" s="850">
        <f t="shared" si="49"/>
        <v>0</v>
      </c>
      <c r="CFK56" s="850">
        <f t="shared" si="49"/>
        <v>1.1396225972759642E+18</v>
      </c>
      <c r="CFL56" s="850">
        <f t="shared" si="49"/>
        <v>0</v>
      </c>
      <c r="CFM56" s="850">
        <f t="shared" si="49"/>
        <v>1.1738112751942431E+18</v>
      </c>
      <c r="CFN56" s="850">
        <f t="shared" si="49"/>
        <v>0</v>
      </c>
      <c r="CFO56" s="850">
        <f t="shared" si="49"/>
        <v>1.2090256134500703E+18</v>
      </c>
      <c r="CFP56" s="850">
        <f t="shared" si="49"/>
        <v>0</v>
      </c>
      <c r="CFQ56" s="850">
        <f t="shared" si="49"/>
        <v>1.2452963818535724E+18</v>
      </c>
      <c r="CFR56" s="850">
        <f t="shared" si="49"/>
        <v>0</v>
      </c>
      <c r="CFS56" s="850">
        <f t="shared" si="49"/>
        <v>1.2826552733091796E+18</v>
      </c>
      <c r="CFT56" s="850">
        <f t="shared" si="49"/>
        <v>0</v>
      </c>
      <c r="CFU56" s="850">
        <f t="shared" si="49"/>
        <v>1.3211349315084552E+18</v>
      </c>
      <c r="CFV56" s="850">
        <f t="shared" si="49"/>
        <v>0</v>
      </c>
      <c r="CFW56" s="850">
        <f t="shared" si="49"/>
        <v>1.3607689794537088E+18</v>
      </c>
      <c r="CFX56" s="850">
        <f t="shared" si="49"/>
        <v>0</v>
      </c>
      <c r="CFY56" s="850">
        <f t="shared" si="49"/>
        <v>1.4015920488373202E+18</v>
      </c>
      <c r="CFZ56" s="850">
        <f t="shared" si="49"/>
        <v>0</v>
      </c>
      <c r="CGA56" s="850">
        <f t="shared" si="49"/>
        <v>1.4436398103024399E+18</v>
      </c>
      <c r="CGB56" s="850">
        <f t="shared" si="49"/>
        <v>0</v>
      </c>
      <c r="CGC56" s="850">
        <f t="shared" si="49"/>
        <v>1.4869490046115131E+18</v>
      </c>
      <c r="CGD56" s="850">
        <f t="shared" si="49"/>
        <v>0</v>
      </c>
      <c r="CGE56" s="850">
        <f t="shared" si="49"/>
        <v>1.5315574747498586E+18</v>
      </c>
      <c r="CGF56" s="850">
        <f t="shared" si="49"/>
        <v>0</v>
      </c>
      <c r="CGG56" s="850">
        <f t="shared" si="49"/>
        <v>1.5775041989923543E+18</v>
      </c>
      <c r="CGH56" s="850">
        <f t="shared" si="49"/>
        <v>0</v>
      </c>
      <c r="CGI56" s="850">
        <f t="shared" si="49"/>
        <v>1.6248293249621251E+18</v>
      </c>
      <c r="CGJ56" s="850">
        <f t="shared" si="49"/>
        <v>0</v>
      </c>
      <c r="CGK56" s="850">
        <f t="shared" si="49"/>
        <v>1.6735742047109888E+18</v>
      </c>
      <c r="CGL56" s="850">
        <f t="shared" si="49"/>
        <v>0</v>
      </c>
      <c r="CGM56" s="850">
        <f t="shared" si="49"/>
        <v>1.7237814308523185E+18</v>
      </c>
      <c r="CGN56" s="850">
        <f t="shared" si="49"/>
        <v>0</v>
      </c>
      <c r="CGO56" s="850">
        <f t="shared" si="49"/>
        <v>1.775494873777888E+18</v>
      </c>
      <c r="CGP56" s="850">
        <f t="shared" si="49"/>
        <v>0</v>
      </c>
      <c r="CGQ56" s="850">
        <f t="shared" si="49"/>
        <v>1.8287597199912246E+18</v>
      </c>
      <c r="CGR56" s="850">
        <f t="shared" si="49"/>
        <v>0</v>
      </c>
      <c r="CGS56" s="850">
        <f t="shared" si="49"/>
        <v>1.8836225115909614E+18</v>
      </c>
      <c r="CGT56" s="850">
        <f t="shared" si="49"/>
        <v>0</v>
      </c>
      <c r="CGU56" s="850">
        <f t="shared" si="49"/>
        <v>1.9401311869386903E+18</v>
      </c>
      <c r="CGV56" s="850">
        <f t="shared" si="49"/>
        <v>0</v>
      </c>
      <c r="CGW56" s="850">
        <f t="shared" si="49"/>
        <v>1.9983351225468511E+18</v>
      </c>
      <c r="CGX56" s="850">
        <f t="shared" si="49"/>
        <v>0</v>
      </c>
      <c r="CGY56" s="850">
        <f t="shared" si="49"/>
        <v>2.0582851762232566E+18</v>
      </c>
      <c r="CGZ56" s="850">
        <f t="shared" si="49"/>
        <v>0</v>
      </c>
      <c r="CHA56" s="850">
        <f t="shared" si="49"/>
        <v>2.1200337315099543E+18</v>
      </c>
      <c r="CHB56" s="850">
        <f t="shared" si="49"/>
        <v>0</v>
      </c>
      <c r="CHC56" s="850">
        <f t="shared" si="49"/>
        <v>2.183634743455253E+18</v>
      </c>
      <c r="CHD56" s="850">
        <f t="shared" si="49"/>
        <v>0</v>
      </c>
      <c r="CHE56" s="850">
        <f t="shared" si="49"/>
        <v>2.2491437857589107E+18</v>
      </c>
      <c r="CHF56" s="850">
        <f t="shared" si="49"/>
        <v>0</v>
      </c>
      <c r="CHG56" s="850">
        <f t="shared" si="49"/>
        <v>2.3166180993316782E+18</v>
      </c>
      <c r="CHH56" s="850">
        <f t="shared" si="49"/>
        <v>0</v>
      </c>
      <c r="CHI56" s="850">
        <f t="shared" si="49"/>
        <v>2.3861166423116288E+18</v>
      </c>
      <c r="CHJ56" s="850">
        <f t="shared" si="49"/>
        <v>0</v>
      </c>
      <c r="CHK56" s="850">
        <f t="shared" si="49"/>
        <v>2.4577001415809777E+18</v>
      </c>
      <c r="CHL56" s="850">
        <f t="shared" si="49"/>
        <v>0</v>
      </c>
      <c r="CHM56" s="850">
        <f t="shared" si="49"/>
        <v>2.5314311458284073E+18</v>
      </c>
      <c r="CHN56" s="850">
        <f t="shared" ref="CHN56:CJY56" si="50">CHL56*$C$56</f>
        <v>0</v>
      </c>
      <c r="CHO56" s="850">
        <f t="shared" si="50"/>
        <v>2.6073740802032594E+18</v>
      </c>
      <c r="CHP56" s="850">
        <f t="shared" si="50"/>
        <v>0</v>
      </c>
      <c r="CHQ56" s="850">
        <f t="shared" si="50"/>
        <v>2.6855953026093573E+18</v>
      </c>
      <c r="CHR56" s="850">
        <f t="shared" si="50"/>
        <v>0</v>
      </c>
      <c r="CHS56" s="850">
        <f t="shared" si="50"/>
        <v>2.766163161687638E+18</v>
      </c>
      <c r="CHT56" s="850">
        <f t="shared" si="50"/>
        <v>0</v>
      </c>
      <c r="CHU56" s="850">
        <f t="shared" si="50"/>
        <v>2.8491480565382671E+18</v>
      </c>
      <c r="CHV56" s="850">
        <f t="shared" si="50"/>
        <v>0</v>
      </c>
      <c r="CHW56" s="850">
        <f t="shared" si="50"/>
        <v>2.9346224982344151E+18</v>
      </c>
      <c r="CHX56" s="850">
        <f t="shared" si="50"/>
        <v>0</v>
      </c>
      <c r="CHY56" s="850">
        <f t="shared" si="50"/>
        <v>3.0226611731814477E+18</v>
      </c>
      <c r="CHZ56" s="850">
        <f t="shared" si="50"/>
        <v>0</v>
      </c>
      <c r="CIA56" s="850">
        <f t="shared" si="50"/>
        <v>3.1133410083768914E+18</v>
      </c>
      <c r="CIB56" s="850">
        <f t="shared" si="50"/>
        <v>0</v>
      </c>
      <c r="CIC56" s="850">
        <f t="shared" si="50"/>
        <v>3.2067412386281984E+18</v>
      </c>
      <c r="CID56" s="850">
        <f t="shared" si="50"/>
        <v>0</v>
      </c>
      <c r="CIE56" s="850">
        <f t="shared" si="50"/>
        <v>3.3029434757870444E+18</v>
      </c>
      <c r="CIF56" s="850">
        <f t="shared" si="50"/>
        <v>0</v>
      </c>
      <c r="CIG56" s="850">
        <f t="shared" si="50"/>
        <v>3.4020317800606556E+18</v>
      </c>
      <c r="CIH56" s="850">
        <f t="shared" si="50"/>
        <v>0</v>
      </c>
      <c r="CII56" s="850">
        <f t="shared" si="50"/>
        <v>3.5040927334624753E+18</v>
      </c>
      <c r="CIJ56" s="850">
        <f t="shared" si="50"/>
        <v>0</v>
      </c>
      <c r="CIK56" s="850">
        <f t="shared" si="50"/>
        <v>3.6092155154663496E+18</v>
      </c>
      <c r="CIL56" s="850">
        <f t="shared" si="50"/>
        <v>0</v>
      </c>
      <c r="CIM56" s="850">
        <f t="shared" si="50"/>
        <v>3.7174919809303404E+18</v>
      </c>
      <c r="CIN56" s="850">
        <f t="shared" si="50"/>
        <v>0</v>
      </c>
      <c r="CIO56" s="850">
        <f t="shared" si="50"/>
        <v>3.8290167403582505E+18</v>
      </c>
      <c r="CIP56" s="850">
        <f t="shared" si="50"/>
        <v>0</v>
      </c>
      <c r="CIQ56" s="850">
        <f t="shared" si="50"/>
        <v>3.9438872425689979E+18</v>
      </c>
      <c r="CIR56" s="850">
        <f t="shared" si="50"/>
        <v>0</v>
      </c>
      <c r="CIS56" s="850">
        <f t="shared" si="50"/>
        <v>4.0622038598460677E+18</v>
      </c>
      <c r="CIT56" s="850">
        <f t="shared" si="50"/>
        <v>0</v>
      </c>
      <c r="CIU56" s="850">
        <f t="shared" si="50"/>
        <v>4.18406997564145E+18</v>
      </c>
      <c r="CIV56" s="850">
        <f t="shared" si="50"/>
        <v>0</v>
      </c>
      <c r="CIW56" s="850">
        <f t="shared" si="50"/>
        <v>4.3095920749106934E+18</v>
      </c>
      <c r="CIX56" s="850">
        <f t="shared" si="50"/>
        <v>0</v>
      </c>
      <c r="CIY56" s="850">
        <f t="shared" si="50"/>
        <v>4.4388798371580145E+18</v>
      </c>
      <c r="CIZ56" s="850">
        <f t="shared" si="50"/>
        <v>0</v>
      </c>
      <c r="CJA56" s="850">
        <f t="shared" si="50"/>
        <v>4.5720462322727552E+18</v>
      </c>
      <c r="CJB56" s="850">
        <f t="shared" si="50"/>
        <v>0</v>
      </c>
      <c r="CJC56" s="850">
        <f t="shared" si="50"/>
        <v>4.7092076192409375E+18</v>
      </c>
      <c r="CJD56" s="850">
        <f t="shared" si="50"/>
        <v>0</v>
      </c>
      <c r="CJE56" s="850">
        <f t="shared" si="50"/>
        <v>4.8504838478181652E+18</v>
      </c>
      <c r="CJF56" s="850">
        <f t="shared" si="50"/>
        <v>0</v>
      </c>
      <c r="CJG56" s="850">
        <f t="shared" si="50"/>
        <v>4.9959983632527104E+18</v>
      </c>
      <c r="CJH56" s="850">
        <f t="shared" si="50"/>
        <v>0</v>
      </c>
      <c r="CJI56" s="850">
        <f t="shared" si="50"/>
        <v>5.1458783141502915E+18</v>
      </c>
      <c r="CJJ56" s="850">
        <f t="shared" si="50"/>
        <v>0</v>
      </c>
      <c r="CJK56" s="850">
        <f t="shared" si="50"/>
        <v>5.3002546635748004E+18</v>
      </c>
      <c r="CJL56" s="850">
        <f t="shared" si="50"/>
        <v>0</v>
      </c>
      <c r="CJM56" s="850">
        <f t="shared" si="50"/>
        <v>5.4592623034820444E+18</v>
      </c>
      <c r="CJN56" s="850">
        <f t="shared" si="50"/>
        <v>0</v>
      </c>
      <c r="CJO56" s="850">
        <f t="shared" si="50"/>
        <v>5.6230401725865062E+18</v>
      </c>
      <c r="CJP56" s="850">
        <f t="shared" si="50"/>
        <v>0</v>
      </c>
      <c r="CJQ56" s="850">
        <f t="shared" si="50"/>
        <v>5.7917313777641011E+18</v>
      </c>
      <c r="CJR56" s="850">
        <f t="shared" si="50"/>
        <v>0</v>
      </c>
      <c r="CJS56" s="850">
        <f t="shared" si="50"/>
        <v>5.9654833190970245E+18</v>
      </c>
      <c r="CJT56" s="850">
        <f t="shared" si="50"/>
        <v>0</v>
      </c>
      <c r="CJU56" s="850">
        <f t="shared" si="50"/>
        <v>6.1444478186699356E+18</v>
      </c>
      <c r="CJV56" s="850">
        <f t="shared" si="50"/>
        <v>0</v>
      </c>
      <c r="CJW56" s="850">
        <f t="shared" si="50"/>
        <v>6.3287812532300339E+18</v>
      </c>
      <c r="CJX56" s="850">
        <f t="shared" si="50"/>
        <v>0</v>
      </c>
      <c r="CJY56" s="850">
        <f t="shared" si="50"/>
        <v>6.5186446908269353E+18</v>
      </c>
      <c r="CJZ56" s="850">
        <f t="shared" ref="CJZ56:CMK56" si="51">CJX56*$C$56</f>
        <v>0</v>
      </c>
      <c r="CKA56" s="850">
        <f t="shared" si="51"/>
        <v>6.714204031551744E+18</v>
      </c>
      <c r="CKB56" s="850">
        <f t="shared" si="51"/>
        <v>0</v>
      </c>
      <c r="CKC56" s="850">
        <f t="shared" si="51"/>
        <v>6.9156301524982968E+18</v>
      </c>
      <c r="CKD56" s="850">
        <f t="shared" si="51"/>
        <v>0</v>
      </c>
      <c r="CKE56" s="850">
        <f t="shared" si="51"/>
        <v>7.1230990570732462E+18</v>
      </c>
      <c r="CKF56" s="850">
        <f t="shared" si="51"/>
        <v>0</v>
      </c>
      <c r="CKG56" s="850">
        <f t="shared" si="51"/>
        <v>7.3367920287854438E+18</v>
      </c>
      <c r="CKH56" s="850">
        <f t="shared" si="51"/>
        <v>0</v>
      </c>
      <c r="CKI56" s="850">
        <f t="shared" si="51"/>
        <v>7.5568957896490076E+18</v>
      </c>
      <c r="CKJ56" s="850">
        <f t="shared" si="51"/>
        <v>0</v>
      </c>
      <c r="CKK56" s="850">
        <f t="shared" si="51"/>
        <v>7.7836026633384776E+18</v>
      </c>
      <c r="CKL56" s="850">
        <f t="shared" si="51"/>
        <v>0</v>
      </c>
      <c r="CKM56" s="850">
        <f t="shared" si="51"/>
        <v>8.0171107432386324E+18</v>
      </c>
      <c r="CKN56" s="850">
        <f t="shared" si="51"/>
        <v>0</v>
      </c>
      <c r="CKO56" s="850">
        <f t="shared" si="51"/>
        <v>8.2576240655357921E+18</v>
      </c>
      <c r="CKP56" s="850">
        <f t="shared" si="51"/>
        <v>0</v>
      </c>
      <c r="CKQ56" s="850">
        <f t="shared" si="51"/>
        <v>8.505352787501866E+18</v>
      </c>
      <c r="CKR56" s="850">
        <f t="shared" si="51"/>
        <v>0</v>
      </c>
      <c r="CKS56" s="850">
        <f t="shared" si="51"/>
        <v>8.7605133711269222E+18</v>
      </c>
      <c r="CKT56" s="850">
        <f t="shared" si="51"/>
        <v>0</v>
      </c>
      <c r="CKU56" s="850">
        <f t="shared" si="51"/>
        <v>9.0233287722607299E+18</v>
      </c>
      <c r="CKV56" s="850">
        <f t="shared" si="51"/>
        <v>0</v>
      </c>
      <c r="CKW56" s="850">
        <f t="shared" si="51"/>
        <v>9.2940286354285527E+18</v>
      </c>
      <c r="CKX56" s="850">
        <f t="shared" si="51"/>
        <v>0</v>
      </c>
      <c r="CKY56" s="850">
        <f t="shared" si="51"/>
        <v>9.5728494944914104E+18</v>
      </c>
      <c r="CKZ56" s="850">
        <f t="shared" si="51"/>
        <v>0</v>
      </c>
      <c r="CLA56" s="850">
        <f t="shared" si="51"/>
        <v>9.8600349793261527E+18</v>
      </c>
      <c r="CLB56" s="850">
        <f t="shared" si="51"/>
        <v>0</v>
      </c>
      <c r="CLC56" s="850">
        <f t="shared" si="51"/>
        <v>1.0155836028705937E+19</v>
      </c>
      <c r="CLD56" s="850">
        <f t="shared" si="51"/>
        <v>0</v>
      </c>
      <c r="CLE56" s="850">
        <f t="shared" si="51"/>
        <v>1.0460511109567115E+19</v>
      </c>
      <c r="CLF56" s="850">
        <f t="shared" si="51"/>
        <v>0</v>
      </c>
      <c r="CLG56" s="850">
        <f t="shared" si="51"/>
        <v>1.077432644285413E+19</v>
      </c>
      <c r="CLH56" s="850">
        <f t="shared" si="51"/>
        <v>0</v>
      </c>
      <c r="CLI56" s="850">
        <f t="shared" si="51"/>
        <v>1.1097556236139753E+19</v>
      </c>
      <c r="CLJ56" s="850">
        <f t="shared" si="51"/>
        <v>0</v>
      </c>
      <c r="CLK56" s="850">
        <f t="shared" si="51"/>
        <v>1.1430482923223947E+19</v>
      </c>
      <c r="CLL56" s="850">
        <f t="shared" si="51"/>
        <v>0</v>
      </c>
      <c r="CLM56" s="850">
        <f t="shared" si="51"/>
        <v>1.1773397410920665E+19</v>
      </c>
      <c r="CLN56" s="850">
        <f t="shared" si="51"/>
        <v>0</v>
      </c>
      <c r="CLO56" s="850">
        <f t="shared" si="51"/>
        <v>1.2126599333248285E+19</v>
      </c>
      <c r="CLP56" s="850">
        <f t="shared" si="51"/>
        <v>0</v>
      </c>
      <c r="CLQ56" s="850">
        <f t="shared" si="51"/>
        <v>1.2490397313245733E+19</v>
      </c>
      <c r="CLR56" s="850">
        <f t="shared" si="51"/>
        <v>0</v>
      </c>
      <c r="CLS56" s="850">
        <f t="shared" si="51"/>
        <v>1.2865109232643105E+19</v>
      </c>
      <c r="CLT56" s="850">
        <f t="shared" si="51"/>
        <v>0</v>
      </c>
      <c r="CLU56" s="850">
        <f t="shared" si="51"/>
        <v>1.3251062509622399E+19</v>
      </c>
      <c r="CLV56" s="850">
        <f t="shared" si="51"/>
        <v>0</v>
      </c>
      <c r="CLW56" s="850">
        <f t="shared" si="51"/>
        <v>1.3648594384911071E+19</v>
      </c>
      <c r="CLX56" s="850">
        <f t="shared" si="51"/>
        <v>0</v>
      </c>
      <c r="CLY56" s="850">
        <f t="shared" si="51"/>
        <v>1.4058052216458404E+19</v>
      </c>
      <c r="CLZ56" s="850">
        <f t="shared" si="51"/>
        <v>0</v>
      </c>
      <c r="CMA56" s="850">
        <f t="shared" si="51"/>
        <v>1.4479793782952157E+19</v>
      </c>
      <c r="CMB56" s="850">
        <f t="shared" si="51"/>
        <v>0</v>
      </c>
      <c r="CMC56" s="850">
        <f t="shared" si="51"/>
        <v>1.4914187596440721E+19</v>
      </c>
      <c r="CMD56" s="850">
        <f t="shared" si="51"/>
        <v>0</v>
      </c>
      <c r="CME56" s="850">
        <f t="shared" si="51"/>
        <v>1.5361613224333943E+19</v>
      </c>
      <c r="CMF56" s="850">
        <f t="shared" si="51"/>
        <v>0</v>
      </c>
      <c r="CMG56" s="850">
        <f t="shared" si="51"/>
        <v>1.5822461621063961E+19</v>
      </c>
      <c r="CMH56" s="850">
        <f t="shared" si="51"/>
        <v>0</v>
      </c>
      <c r="CMI56" s="850">
        <f t="shared" si="51"/>
        <v>1.6297135469695879E+19</v>
      </c>
      <c r="CMJ56" s="850">
        <f t="shared" si="51"/>
        <v>0</v>
      </c>
      <c r="CMK56" s="850">
        <f t="shared" si="51"/>
        <v>1.6786049533786755E+19</v>
      </c>
      <c r="CML56" s="850">
        <f t="shared" ref="CML56:COW56" si="52">CMJ56*$C$56</f>
        <v>0</v>
      </c>
      <c r="CMM56" s="850">
        <f t="shared" si="52"/>
        <v>1.7289631019800359E+19</v>
      </c>
      <c r="CMN56" s="850">
        <f t="shared" si="52"/>
        <v>0</v>
      </c>
      <c r="CMO56" s="850">
        <f t="shared" si="52"/>
        <v>1.780831995039437E+19</v>
      </c>
      <c r="CMP56" s="850">
        <f t="shared" si="52"/>
        <v>0</v>
      </c>
      <c r="CMQ56" s="850">
        <f t="shared" si="52"/>
        <v>1.8342569548906201E+19</v>
      </c>
      <c r="CMR56" s="850">
        <f t="shared" si="52"/>
        <v>0</v>
      </c>
      <c r="CMS56" s="850">
        <f t="shared" si="52"/>
        <v>1.8892846635373388E+19</v>
      </c>
      <c r="CMT56" s="850">
        <f t="shared" si="52"/>
        <v>0</v>
      </c>
      <c r="CMU56" s="850">
        <f t="shared" si="52"/>
        <v>1.9459632034434589E+19</v>
      </c>
      <c r="CMV56" s="850">
        <f t="shared" si="52"/>
        <v>0</v>
      </c>
      <c r="CMW56" s="850">
        <f t="shared" si="52"/>
        <v>2.0043420995467629E+19</v>
      </c>
      <c r="CMX56" s="850">
        <f t="shared" si="52"/>
        <v>0</v>
      </c>
      <c r="CMY56" s="850">
        <f t="shared" si="52"/>
        <v>2.0644723625331659E+19</v>
      </c>
      <c r="CMZ56" s="850">
        <f t="shared" si="52"/>
        <v>0</v>
      </c>
      <c r="CNA56" s="850">
        <f t="shared" si="52"/>
        <v>2.1264065334091608E+19</v>
      </c>
      <c r="CNB56" s="850">
        <f t="shared" si="52"/>
        <v>0</v>
      </c>
      <c r="CNC56" s="850">
        <f t="shared" si="52"/>
        <v>2.1901987294114357E+19</v>
      </c>
      <c r="CND56" s="850">
        <f t="shared" si="52"/>
        <v>0</v>
      </c>
      <c r="CNE56" s="850">
        <f t="shared" si="52"/>
        <v>2.2559046912937787E+19</v>
      </c>
      <c r="CNF56" s="850">
        <f t="shared" si="52"/>
        <v>0</v>
      </c>
      <c r="CNG56" s="850">
        <f t="shared" si="52"/>
        <v>2.3235818320325923E+19</v>
      </c>
      <c r="CNH56" s="850">
        <f t="shared" si="52"/>
        <v>0</v>
      </c>
      <c r="CNI56" s="850">
        <f t="shared" si="52"/>
        <v>2.3932892869935702E+19</v>
      </c>
      <c r="CNJ56" s="850">
        <f t="shared" si="52"/>
        <v>0</v>
      </c>
      <c r="CNK56" s="850">
        <f t="shared" si="52"/>
        <v>2.4650879656033776E+19</v>
      </c>
      <c r="CNL56" s="850">
        <f t="shared" si="52"/>
        <v>0</v>
      </c>
      <c r="CNM56" s="850">
        <f t="shared" si="52"/>
        <v>2.5390406045714788E+19</v>
      </c>
      <c r="CNN56" s="850">
        <f t="shared" si="52"/>
        <v>0</v>
      </c>
      <c r="CNO56" s="850">
        <f t="shared" si="52"/>
        <v>2.6152118227086234E+19</v>
      </c>
      <c r="CNP56" s="850">
        <f t="shared" si="52"/>
        <v>0</v>
      </c>
      <c r="CNQ56" s="850">
        <f t="shared" si="52"/>
        <v>2.6936681773898822E+19</v>
      </c>
      <c r="CNR56" s="850">
        <f t="shared" si="52"/>
        <v>0</v>
      </c>
      <c r="CNS56" s="850">
        <f t="shared" si="52"/>
        <v>2.7744782227115786E+19</v>
      </c>
      <c r="CNT56" s="850">
        <f t="shared" si="52"/>
        <v>0</v>
      </c>
      <c r="CNU56" s="850">
        <f t="shared" si="52"/>
        <v>2.8577125693929259E+19</v>
      </c>
      <c r="CNV56" s="850">
        <f t="shared" si="52"/>
        <v>0</v>
      </c>
      <c r="CNW56" s="850">
        <f t="shared" si="52"/>
        <v>2.9434439464747139E+19</v>
      </c>
      <c r="CNX56" s="850">
        <f t="shared" si="52"/>
        <v>0</v>
      </c>
      <c r="CNY56" s="850">
        <f t="shared" si="52"/>
        <v>3.0317472648689553E+19</v>
      </c>
      <c r="CNZ56" s="850">
        <f t="shared" si="52"/>
        <v>0</v>
      </c>
      <c r="COA56" s="850">
        <f t="shared" si="52"/>
        <v>3.1226996828150239E+19</v>
      </c>
      <c r="COB56" s="850">
        <f t="shared" si="52"/>
        <v>0</v>
      </c>
      <c r="COC56" s="850">
        <f t="shared" si="52"/>
        <v>3.2163806732994748E+19</v>
      </c>
      <c r="COD56" s="850">
        <f t="shared" si="52"/>
        <v>0</v>
      </c>
      <c r="COE56" s="850">
        <f t="shared" si="52"/>
        <v>3.3128720934984593E+19</v>
      </c>
      <c r="COF56" s="850">
        <f t="shared" si="52"/>
        <v>0</v>
      </c>
      <c r="COG56" s="850">
        <f t="shared" si="52"/>
        <v>3.4122582563034132E+19</v>
      </c>
      <c r="COH56" s="850">
        <f t="shared" si="52"/>
        <v>0</v>
      </c>
      <c r="COI56" s="850">
        <f t="shared" si="52"/>
        <v>3.5146260039925158E+19</v>
      </c>
      <c r="COJ56" s="850">
        <f t="shared" si="52"/>
        <v>0</v>
      </c>
      <c r="COK56" s="850">
        <f t="shared" si="52"/>
        <v>3.6200647841122914E+19</v>
      </c>
      <c r="COL56" s="850">
        <f t="shared" si="52"/>
        <v>0</v>
      </c>
      <c r="COM56" s="850">
        <f t="shared" si="52"/>
        <v>3.72866672763566E+19</v>
      </c>
      <c r="CON56" s="850">
        <f t="shared" si="52"/>
        <v>0</v>
      </c>
      <c r="COO56" s="850">
        <f t="shared" si="52"/>
        <v>3.8405267294647296E+19</v>
      </c>
      <c r="COP56" s="850">
        <f t="shared" si="52"/>
        <v>0</v>
      </c>
      <c r="COQ56" s="850">
        <f t="shared" si="52"/>
        <v>3.9557425313486717E+19</v>
      </c>
      <c r="COR56" s="850">
        <f t="shared" si="52"/>
        <v>0</v>
      </c>
      <c r="COS56" s="850">
        <f t="shared" si="52"/>
        <v>4.0744148072891318E+19</v>
      </c>
      <c r="COT56" s="850">
        <f t="shared" si="52"/>
        <v>0</v>
      </c>
      <c r="COU56" s="850">
        <f t="shared" si="52"/>
        <v>4.1966472515078062E+19</v>
      </c>
      <c r="COV56" s="850">
        <f t="shared" si="52"/>
        <v>0</v>
      </c>
      <c r="COW56" s="850">
        <f t="shared" si="52"/>
        <v>4.3225466690530402E+19</v>
      </c>
      <c r="COX56" s="850">
        <f t="shared" ref="COX56:CRI56" si="53">COV56*$C$56</f>
        <v>0</v>
      </c>
      <c r="COY56" s="850">
        <f t="shared" si="53"/>
        <v>4.4522230691246318E+19</v>
      </c>
      <c r="COZ56" s="850">
        <f t="shared" si="53"/>
        <v>0</v>
      </c>
      <c r="CPA56" s="850">
        <f t="shared" si="53"/>
        <v>4.5857897611983708E+19</v>
      </c>
      <c r="CPB56" s="850">
        <f t="shared" si="53"/>
        <v>0</v>
      </c>
      <c r="CPC56" s="850">
        <f t="shared" si="53"/>
        <v>4.7233634540343222E+19</v>
      </c>
      <c r="CPD56" s="850">
        <f t="shared" si="53"/>
        <v>0</v>
      </c>
      <c r="CPE56" s="850">
        <f t="shared" si="53"/>
        <v>4.8650643576553521E+19</v>
      </c>
      <c r="CPF56" s="850">
        <f t="shared" si="53"/>
        <v>0</v>
      </c>
      <c r="CPG56" s="850">
        <f t="shared" si="53"/>
        <v>5.0110162883850125E+19</v>
      </c>
      <c r="CPH56" s="850">
        <f t="shared" si="53"/>
        <v>0</v>
      </c>
      <c r="CPI56" s="850">
        <f t="shared" si="53"/>
        <v>5.1613467770365633E+19</v>
      </c>
      <c r="CPJ56" s="850">
        <f t="shared" si="53"/>
        <v>0</v>
      </c>
      <c r="CPK56" s="850">
        <f t="shared" si="53"/>
        <v>5.3161871803476599E+19</v>
      </c>
      <c r="CPL56" s="850">
        <f t="shared" si="53"/>
        <v>0</v>
      </c>
      <c r="CPM56" s="850">
        <f t="shared" si="53"/>
        <v>5.4756727957580898E+19</v>
      </c>
      <c r="CPN56" s="850">
        <f t="shared" si="53"/>
        <v>0</v>
      </c>
      <c r="CPO56" s="850">
        <f t="shared" si="53"/>
        <v>5.6399429796308328E+19</v>
      </c>
      <c r="CPP56" s="850">
        <f t="shared" si="53"/>
        <v>0</v>
      </c>
      <c r="CPQ56" s="850">
        <f t="shared" si="53"/>
        <v>5.8091412690197578E+19</v>
      </c>
      <c r="CPR56" s="850">
        <f t="shared" si="53"/>
        <v>0</v>
      </c>
      <c r="CPS56" s="850">
        <f t="shared" si="53"/>
        <v>5.9834155070903509E+19</v>
      </c>
      <c r="CPT56" s="850">
        <f t="shared" si="53"/>
        <v>0</v>
      </c>
      <c r="CPU56" s="850">
        <f t="shared" si="53"/>
        <v>6.1629179723030618E+19</v>
      </c>
      <c r="CPV56" s="850">
        <f t="shared" si="53"/>
        <v>0</v>
      </c>
      <c r="CPW56" s="850">
        <f t="shared" si="53"/>
        <v>6.3478055114721542E+19</v>
      </c>
      <c r="CPX56" s="850">
        <f t="shared" si="53"/>
        <v>0</v>
      </c>
      <c r="CPY56" s="850">
        <f t="shared" si="53"/>
        <v>6.5382396768163193E+19</v>
      </c>
      <c r="CPZ56" s="850">
        <f t="shared" si="53"/>
        <v>0</v>
      </c>
      <c r="CQA56" s="850">
        <f t="shared" si="53"/>
        <v>6.7343868671208088E+19</v>
      </c>
      <c r="CQB56" s="850">
        <f t="shared" si="53"/>
        <v>0</v>
      </c>
      <c r="CQC56" s="850">
        <f t="shared" si="53"/>
        <v>6.9364184731344331E+19</v>
      </c>
      <c r="CQD56" s="850">
        <f t="shared" si="53"/>
        <v>0</v>
      </c>
      <c r="CQE56" s="850">
        <f t="shared" si="53"/>
        <v>7.1445110273284661E+19</v>
      </c>
      <c r="CQF56" s="850">
        <f t="shared" si="53"/>
        <v>0</v>
      </c>
      <c r="CQG56" s="850">
        <f t="shared" si="53"/>
        <v>7.3588463581483205E+19</v>
      </c>
      <c r="CQH56" s="850">
        <f t="shared" si="53"/>
        <v>0</v>
      </c>
      <c r="CQI56" s="850">
        <f t="shared" si="53"/>
        <v>7.5796117488927703E+19</v>
      </c>
      <c r="CQJ56" s="850">
        <f t="shared" si="53"/>
        <v>0</v>
      </c>
      <c r="CQK56" s="850">
        <f t="shared" si="53"/>
        <v>7.8070001013595537E+19</v>
      </c>
      <c r="CQL56" s="850">
        <f t="shared" si="53"/>
        <v>0</v>
      </c>
      <c r="CQM56" s="850">
        <f t="shared" si="53"/>
        <v>8.0412101044003406E+19</v>
      </c>
      <c r="CQN56" s="850">
        <f t="shared" si="53"/>
        <v>0</v>
      </c>
      <c r="CQO56" s="850">
        <f t="shared" si="53"/>
        <v>8.2824464075323507E+19</v>
      </c>
      <c r="CQP56" s="850">
        <f t="shared" si="53"/>
        <v>0</v>
      </c>
      <c r="CQQ56" s="850">
        <f t="shared" si="53"/>
        <v>8.5309197997583221E+19</v>
      </c>
      <c r="CQR56" s="850">
        <f t="shared" si="53"/>
        <v>0</v>
      </c>
      <c r="CQS56" s="850">
        <f t="shared" si="53"/>
        <v>8.7868473937510728E+19</v>
      </c>
      <c r="CQT56" s="850">
        <f t="shared" si="53"/>
        <v>0</v>
      </c>
      <c r="CQU56" s="850">
        <f t="shared" si="53"/>
        <v>9.0504528155636056E+19</v>
      </c>
      <c r="CQV56" s="850">
        <f t="shared" si="53"/>
        <v>0</v>
      </c>
      <c r="CQW56" s="850">
        <f t="shared" si="53"/>
        <v>9.3219664000305136E+19</v>
      </c>
      <c r="CQX56" s="850">
        <f t="shared" si="53"/>
        <v>0</v>
      </c>
      <c r="CQY56" s="850">
        <f t="shared" si="53"/>
        <v>9.6016253920314294E+19</v>
      </c>
      <c r="CQZ56" s="850">
        <f t="shared" si="53"/>
        <v>0</v>
      </c>
      <c r="CRA56" s="850">
        <f t="shared" si="53"/>
        <v>9.8896741537923727E+19</v>
      </c>
      <c r="CRB56" s="850">
        <f t="shared" si="53"/>
        <v>0</v>
      </c>
      <c r="CRC56" s="850">
        <f t="shared" si="53"/>
        <v>1.0186364378406144E+20</v>
      </c>
      <c r="CRD56" s="850">
        <f t="shared" si="53"/>
        <v>0</v>
      </c>
      <c r="CRE56" s="850">
        <f t="shared" si="53"/>
        <v>1.0491955309758328E+20</v>
      </c>
      <c r="CRF56" s="850">
        <f t="shared" si="53"/>
        <v>0</v>
      </c>
      <c r="CRG56" s="850">
        <f t="shared" si="53"/>
        <v>1.0806713969051078E+20</v>
      </c>
      <c r="CRH56" s="850">
        <f t="shared" si="53"/>
        <v>0</v>
      </c>
      <c r="CRI56" s="850">
        <f t="shared" si="53"/>
        <v>1.113091538812261E+20</v>
      </c>
      <c r="CRJ56" s="850">
        <f t="shared" ref="CRJ56:CTU56" si="54">CRH56*$C$56</f>
        <v>0</v>
      </c>
      <c r="CRK56" s="850">
        <f t="shared" si="54"/>
        <v>1.1464842849766289E+20</v>
      </c>
      <c r="CRL56" s="850">
        <f t="shared" si="54"/>
        <v>0</v>
      </c>
      <c r="CRM56" s="850">
        <f t="shared" si="54"/>
        <v>1.1808788135259277E+20</v>
      </c>
      <c r="CRN56" s="850">
        <f t="shared" si="54"/>
        <v>0</v>
      </c>
      <c r="CRO56" s="850">
        <f t="shared" si="54"/>
        <v>1.2163051779317055E+20</v>
      </c>
      <c r="CRP56" s="850">
        <f t="shared" si="54"/>
        <v>0</v>
      </c>
      <c r="CRQ56" s="850">
        <f t="shared" si="54"/>
        <v>1.2527943332696567E+20</v>
      </c>
      <c r="CRR56" s="850">
        <f t="shared" si="54"/>
        <v>0</v>
      </c>
      <c r="CRS56" s="850">
        <f t="shared" si="54"/>
        <v>1.2903781632677464E+20</v>
      </c>
      <c r="CRT56" s="850">
        <f t="shared" si="54"/>
        <v>0</v>
      </c>
      <c r="CRU56" s="850">
        <f t="shared" si="54"/>
        <v>1.3290895081657788E+20</v>
      </c>
      <c r="CRV56" s="850">
        <f t="shared" si="54"/>
        <v>0</v>
      </c>
      <c r="CRW56" s="850">
        <f t="shared" si="54"/>
        <v>1.3689621934107522E+20</v>
      </c>
      <c r="CRX56" s="850">
        <f t="shared" si="54"/>
        <v>0</v>
      </c>
      <c r="CRY56" s="850">
        <f t="shared" si="54"/>
        <v>1.4100310592130748E+20</v>
      </c>
      <c r="CRZ56" s="850">
        <f t="shared" si="54"/>
        <v>0</v>
      </c>
      <c r="CSA56" s="850">
        <f t="shared" si="54"/>
        <v>1.452331990989467E+20</v>
      </c>
      <c r="CSB56" s="850">
        <f t="shared" si="54"/>
        <v>0</v>
      </c>
      <c r="CSC56" s="850">
        <f t="shared" si="54"/>
        <v>1.495901950719151E+20</v>
      </c>
      <c r="CSD56" s="850">
        <f t="shared" si="54"/>
        <v>0</v>
      </c>
      <c r="CSE56" s="850">
        <f t="shared" si="54"/>
        <v>1.5407790092407256E+20</v>
      </c>
      <c r="CSF56" s="850">
        <f t="shared" si="54"/>
        <v>0</v>
      </c>
      <c r="CSG56" s="850">
        <f t="shared" si="54"/>
        <v>1.5870023795179474E+20</v>
      </c>
      <c r="CSH56" s="850">
        <f t="shared" si="54"/>
        <v>0</v>
      </c>
      <c r="CSI56" s="850">
        <f t="shared" si="54"/>
        <v>1.634612450903486E+20</v>
      </c>
      <c r="CSJ56" s="850">
        <f t="shared" si="54"/>
        <v>0</v>
      </c>
      <c r="CSK56" s="850">
        <f t="shared" si="54"/>
        <v>1.6836508244305907E+20</v>
      </c>
      <c r="CSL56" s="850">
        <f t="shared" si="54"/>
        <v>0</v>
      </c>
      <c r="CSM56" s="850">
        <f t="shared" si="54"/>
        <v>1.7341603491635085E+20</v>
      </c>
      <c r="CSN56" s="850">
        <f t="shared" si="54"/>
        <v>0</v>
      </c>
      <c r="CSO56" s="850">
        <f t="shared" si="54"/>
        <v>1.7861851596384138E+20</v>
      </c>
      <c r="CSP56" s="850">
        <f t="shared" si="54"/>
        <v>0</v>
      </c>
      <c r="CSQ56" s="850">
        <f t="shared" si="54"/>
        <v>1.8397707144275663E+20</v>
      </c>
      <c r="CSR56" s="850">
        <f t="shared" si="54"/>
        <v>0</v>
      </c>
      <c r="CSS56" s="850">
        <f t="shared" si="54"/>
        <v>1.8949638358603933E+20</v>
      </c>
      <c r="CST56" s="850">
        <f t="shared" si="54"/>
        <v>0</v>
      </c>
      <c r="CSU56" s="850">
        <f t="shared" si="54"/>
        <v>1.9518127509362052E+20</v>
      </c>
      <c r="CSV56" s="850">
        <f t="shared" si="54"/>
        <v>0</v>
      </c>
      <c r="CSW56" s="850">
        <f t="shared" si="54"/>
        <v>2.0103671334642916E+20</v>
      </c>
      <c r="CSX56" s="850">
        <f t="shared" si="54"/>
        <v>0</v>
      </c>
      <c r="CSY56" s="850">
        <f t="shared" si="54"/>
        <v>2.0706781474682205E+20</v>
      </c>
      <c r="CSZ56" s="850">
        <f t="shared" si="54"/>
        <v>0</v>
      </c>
      <c r="CTA56" s="850">
        <f t="shared" si="54"/>
        <v>2.1327984918922671E+20</v>
      </c>
      <c r="CTB56" s="850">
        <f t="shared" si="54"/>
        <v>0</v>
      </c>
      <c r="CTC56" s="850">
        <f t="shared" si="54"/>
        <v>2.196782446649035E+20</v>
      </c>
      <c r="CTD56" s="850">
        <f t="shared" si="54"/>
        <v>0</v>
      </c>
      <c r="CTE56" s="850">
        <f t="shared" si="54"/>
        <v>2.2626859200485061E+20</v>
      </c>
      <c r="CTF56" s="850">
        <f t="shared" si="54"/>
        <v>0</v>
      </c>
      <c r="CTG56" s="850">
        <f t="shared" si="54"/>
        <v>2.3305664976499615E+20</v>
      </c>
      <c r="CTH56" s="850">
        <f t="shared" si="54"/>
        <v>0</v>
      </c>
      <c r="CTI56" s="850">
        <f t="shared" si="54"/>
        <v>2.4004834925794604E+20</v>
      </c>
      <c r="CTJ56" s="850">
        <f t="shared" si="54"/>
        <v>0</v>
      </c>
      <c r="CTK56" s="850">
        <f t="shared" si="54"/>
        <v>2.4724979973568443E+20</v>
      </c>
      <c r="CTL56" s="850">
        <f t="shared" si="54"/>
        <v>0</v>
      </c>
      <c r="CTM56" s="850">
        <f t="shared" si="54"/>
        <v>2.5466729372775498E+20</v>
      </c>
      <c r="CTN56" s="850">
        <f t="shared" si="54"/>
        <v>0</v>
      </c>
      <c r="CTO56" s="850">
        <f t="shared" si="54"/>
        <v>2.6230731253958764E+20</v>
      </c>
      <c r="CTP56" s="850">
        <f t="shared" si="54"/>
        <v>0</v>
      </c>
      <c r="CTQ56" s="850">
        <f t="shared" si="54"/>
        <v>2.7017653191577528E+20</v>
      </c>
      <c r="CTR56" s="850">
        <f t="shared" si="54"/>
        <v>0</v>
      </c>
      <c r="CTS56" s="850">
        <f t="shared" si="54"/>
        <v>2.7828182787324854E+20</v>
      </c>
      <c r="CTT56" s="850">
        <f t="shared" si="54"/>
        <v>0</v>
      </c>
      <c r="CTU56" s="850">
        <f t="shared" si="54"/>
        <v>2.86630282709446E+20</v>
      </c>
      <c r="CTV56" s="850">
        <f t="shared" ref="CTV56:CWG56" si="55">CTT56*$C$56</f>
        <v>0</v>
      </c>
      <c r="CTW56" s="850">
        <f t="shared" si="55"/>
        <v>2.9522919119072939E+20</v>
      </c>
      <c r="CTX56" s="850">
        <f t="shared" si="55"/>
        <v>0</v>
      </c>
      <c r="CTY56" s="850">
        <f t="shared" si="55"/>
        <v>3.0408606692645129E+20</v>
      </c>
      <c r="CTZ56" s="850">
        <f t="shared" si="55"/>
        <v>0</v>
      </c>
      <c r="CUA56" s="850">
        <f t="shared" si="55"/>
        <v>3.1320864893424481E+20</v>
      </c>
      <c r="CUB56" s="850">
        <f t="shared" si="55"/>
        <v>0</v>
      </c>
      <c r="CUC56" s="850">
        <f t="shared" si="55"/>
        <v>3.2260490840227217E+20</v>
      </c>
      <c r="CUD56" s="850">
        <f t="shared" si="55"/>
        <v>0</v>
      </c>
      <c r="CUE56" s="850">
        <f t="shared" si="55"/>
        <v>3.3228305565434033E+20</v>
      </c>
      <c r="CUF56" s="850">
        <f t="shared" si="55"/>
        <v>0</v>
      </c>
      <c r="CUG56" s="850">
        <f t="shared" si="55"/>
        <v>3.4225154732397055E+20</v>
      </c>
      <c r="CUH56" s="850">
        <f t="shared" si="55"/>
        <v>0</v>
      </c>
      <c r="CUI56" s="850">
        <f t="shared" si="55"/>
        <v>3.5251909374368966E+20</v>
      </c>
      <c r="CUJ56" s="850">
        <f t="shared" si="55"/>
        <v>0</v>
      </c>
      <c r="CUK56" s="850">
        <f t="shared" si="55"/>
        <v>3.6309466655600037E+20</v>
      </c>
      <c r="CUL56" s="850">
        <f t="shared" si="55"/>
        <v>0</v>
      </c>
      <c r="CUM56" s="850">
        <f t="shared" si="55"/>
        <v>3.7398750655268042E+20</v>
      </c>
      <c r="CUN56" s="850">
        <f t="shared" si="55"/>
        <v>0</v>
      </c>
      <c r="CUO56" s="850">
        <f t="shared" si="55"/>
        <v>3.8520713174926085E+20</v>
      </c>
      <c r="CUP56" s="850">
        <f t="shared" si="55"/>
        <v>0</v>
      </c>
      <c r="CUQ56" s="850">
        <f t="shared" si="55"/>
        <v>3.9676334570173871E+20</v>
      </c>
      <c r="CUR56" s="850">
        <f t="shared" si="55"/>
        <v>0</v>
      </c>
      <c r="CUS56" s="850">
        <f t="shared" si="55"/>
        <v>4.0866624607279088E+20</v>
      </c>
      <c r="CUT56" s="850">
        <f t="shared" si="55"/>
        <v>0</v>
      </c>
      <c r="CUU56" s="850">
        <f t="shared" si="55"/>
        <v>4.209262334549746E+20</v>
      </c>
      <c r="CUV56" s="850">
        <f t="shared" si="55"/>
        <v>0</v>
      </c>
      <c r="CUW56" s="850">
        <f t="shared" si="55"/>
        <v>4.3355402045862386E+20</v>
      </c>
      <c r="CUX56" s="850">
        <f t="shared" si="55"/>
        <v>0</v>
      </c>
      <c r="CUY56" s="850">
        <f t="shared" si="55"/>
        <v>4.4656064107238261E+20</v>
      </c>
      <c r="CUZ56" s="850">
        <f t="shared" si="55"/>
        <v>0</v>
      </c>
      <c r="CVA56" s="850">
        <f t="shared" si="55"/>
        <v>4.599574603045541E+20</v>
      </c>
      <c r="CVB56" s="850">
        <f t="shared" si="55"/>
        <v>0</v>
      </c>
      <c r="CVC56" s="850">
        <f t="shared" si="55"/>
        <v>4.7375618411369071E+20</v>
      </c>
      <c r="CVD56" s="850">
        <f t="shared" si="55"/>
        <v>0</v>
      </c>
      <c r="CVE56" s="850">
        <f t="shared" si="55"/>
        <v>4.8796886963710145E+20</v>
      </c>
      <c r="CVF56" s="850">
        <f t="shared" si="55"/>
        <v>0</v>
      </c>
      <c r="CVG56" s="850">
        <f t="shared" si="55"/>
        <v>5.0260793572621451E+20</v>
      </c>
      <c r="CVH56" s="850">
        <f t="shared" si="55"/>
        <v>0</v>
      </c>
      <c r="CVI56" s="850">
        <f t="shared" si="55"/>
        <v>5.1768617379800095E+20</v>
      </c>
      <c r="CVJ56" s="850">
        <f t="shared" si="55"/>
        <v>0</v>
      </c>
      <c r="CVK56" s="850">
        <f t="shared" si="55"/>
        <v>5.3321675901194102E+20</v>
      </c>
      <c r="CVL56" s="850">
        <f t="shared" si="55"/>
        <v>0</v>
      </c>
      <c r="CVM56" s="850">
        <f t="shared" si="55"/>
        <v>5.4921326178229925E+20</v>
      </c>
      <c r="CVN56" s="850">
        <f t="shared" si="55"/>
        <v>0</v>
      </c>
      <c r="CVO56" s="850">
        <f t="shared" si="55"/>
        <v>5.6568965963576823E+20</v>
      </c>
      <c r="CVP56" s="850">
        <f t="shared" si="55"/>
        <v>0</v>
      </c>
      <c r="CVQ56" s="850">
        <f t="shared" si="55"/>
        <v>5.8266034942484126E+20</v>
      </c>
      <c r="CVR56" s="850">
        <f t="shared" si="55"/>
        <v>0</v>
      </c>
      <c r="CVS56" s="850">
        <f t="shared" si="55"/>
        <v>6.0014015990758651E+20</v>
      </c>
      <c r="CVT56" s="850">
        <f t="shared" si="55"/>
        <v>0</v>
      </c>
      <c r="CVU56" s="850">
        <f t="shared" si="55"/>
        <v>6.1814436470481407E+20</v>
      </c>
      <c r="CVV56" s="850">
        <f t="shared" si="55"/>
        <v>0</v>
      </c>
      <c r="CVW56" s="850">
        <f t="shared" si="55"/>
        <v>6.3668869564595857E+20</v>
      </c>
      <c r="CVX56" s="850">
        <f t="shared" si="55"/>
        <v>0</v>
      </c>
      <c r="CVY56" s="850">
        <f t="shared" si="55"/>
        <v>6.5578935651533731E+20</v>
      </c>
      <c r="CVZ56" s="850">
        <f t="shared" si="55"/>
        <v>0</v>
      </c>
      <c r="CWA56" s="850">
        <f t="shared" si="55"/>
        <v>6.7546303721079741E+20</v>
      </c>
      <c r="CWB56" s="850">
        <f t="shared" si="55"/>
        <v>0</v>
      </c>
      <c r="CWC56" s="850">
        <f t="shared" si="55"/>
        <v>6.9572692832712131E+20</v>
      </c>
      <c r="CWD56" s="850">
        <f t="shared" si="55"/>
        <v>0</v>
      </c>
      <c r="CWE56" s="850">
        <f t="shared" si="55"/>
        <v>7.1659873617693494E+20</v>
      </c>
      <c r="CWF56" s="850">
        <f t="shared" si="55"/>
        <v>0</v>
      </c>
      <c r="CWG56" s="850">
        <f t="shared" si="55"/>
        <v>7.3809669826224298E+20</v>
      </c>
      <c r="CWH56" s="850">
        <f t="shared" ref="CWH56:CYS56" si="56">CWF56*$C$56</f>
        <v>0</v>
      </c>
      <c r="CWI56" s="850">
        <f t="shared" si="56"/>
        <v>7.6023959921011026E+20</v>
      </c>
      <c r="CWJ56" s="850">
        <f t="shared" si="56"/>
        <v>0</v>
      </c>
      <c r="CWK56" s="850">
        <f t="shared" si="56"/>
        <v>7.8304678718641354E+20</v>
      </c>
      <c r="CWL56" s="850">
        <f t="shared" si="56"/>
        <v>0</v>
      </c>
      <c r="CWM56" s="850">
        <f t="shared" si="56"/>
        <v>8.0653819080200592E+20</v>
      </c>
      <c r="CWN56" s="850">
        <f t="shared" si="56"/>
        <v>0</v>
      </c>
      <c r="CWO56" s="850">
        <f t="shared" si="56"/>
        <v>8.3073433652606612E+20</v>
      </c>
      <c r="CWP56" s="850">
        <f t="shared" si="56"/>
        <v>0</v>
      </c>
      <c r="CWQ56" s="850">
        <f t="shared" si="56"/>
        <v>8.5565636662184811E+20</v>
      </c>
      <c r="CWR56" s="850">
        <f t="shared" si="56"/>
        <v>0</v>
      </c>
      <c r="CWS56" s="850">
        <f t="shared" si="56"/>
        <v>8.8132605762050353E+20</v>
      </c>
      <c r="CWT56" s="850">
        <f t="shared" si="56"/>
        <v>0</v>
      </c>
      <c r="CWU56" s="850">
        <f t="shared" si="56"/>
        <v>9.0776583934911866E+20</v>
      </c>
      <c r="CWV56" s="850">
        <f t="shared" si="56"/>
        <v>0</v>
      </c>
      <c r="CWW56" s="850">
        <f t="shared" si="56"/>
        <v>9.3499881452959223E+20</v>
      </c>
      <c r="CWX56" s="850">
        <f t="shared" si="56"/>
        <v>0</v>
      </c>
      <c r="CWY56" s="850">
        <f t="shared" si="56"/>
        <v>9.6304877896547998E+20</v>
      </c>
      <c r="CWZ56" s="850">
        <f t="shared" si="56"/>
        <v>0</v>
      </c>
      <c r="CXA56" s="850">
        <f t="shared" si="56"/>
        <v>9.9194024233444442E+20</v>
      </c>
      <c r="CXB56" s="850">
        <f t="shared" si="56"/>
        <v>0</v>
      </c>
      <c r="CXC56" s="850">
        <f t="shared" si="56"/>
        <v>1.0216984496044778E+21</v>
      </c>
      <c r="CXD56" s="850">
        <f t="shared" si="56"/>
        <v>0</v>
      </c>
      <c r="CXE56" s="850">
        <f t="shared" si="56"/>
        <v>1.0523494030926122E+21</v>
      </c>
      <c r="CXF56" s="850">
        <f t="shared" si="56"/>
        <v>0</v>
      </c>
      <c r="CXG56" s="850">
        <f t="shared" si="56"/>
        <v>1.0839198851853906E+21</v>
      </c>
      <c r="CXH56" s="850">
        <f t="shared" si="56"/>
        <v>0</v>
      </c>
      <c r="CXI56" s="850">
        <f t="shared" si="56"/>
        <v>1.1164374817409524E+21</v>
      </c>
      <c r="CXJ56" s="850">
        <f t="shared" si="56"/>
        <v>0</v>
      </c>
      <c r="CXK56" s="850">
        <f t="shared" si="56"/>
        <v>1.1499306061931811E+21</v>
      </c>
      <c r="CXL56" s="850">
        <f t="shared" si="56"/>
        <v>0</v>
      </c>
      <c r="CXM56" s="850">
        <f t="shared" si="56"/>
        <v>1.1844285243789764E+21</v>
      </c>
      <c r="CXN56" s="850">
        <f t="shared" si="56"/>
        <v>0</v>
      </c>
      <c r="CXO56" s="850">
        <f t="shared" si="56"/>
        <v>1.2199613801103457E+21</v>
      </c>
      <c r="CXP56" s="850">
        <f t="shared" si="56"/>
        <v>0</v>
      </c>
      <c r="CXQ56" s="850">
        <f t="shared" si="56"/>
        <v>1.256560221513656E+21</v>
      </c>
      <c r="CXR56" s="850">
        <f t="shared" si="56"/>
        <v>0</v>
      </c>
      <c r="CXS56" s="850">
        <f t="shared" si="56"/>
        <v>1.2942570281590658E+21</v>
      </c>
      <c r="CXT56" s="850">
        <f t="shared" si="56"/>
        <v>0</v>
      </c>
      <c r="CXU56" s="850">
        <f t="shared" si="56"/>
        <v>1.3330847390038378E+21</v>
      </c>
      <c r="CXV56" s="850">
        <f t="shared" si="56"/>
        <v>0</v>
      </c>
      <c r="CXW56" s="850">
        <f t="shared" si="56"/>
        <v>1.3730772811739531E+21</v>
      </c>
      <c r="CXX56" s="850">
        <f t="shared" si="56"/>
        <v>0</v>
      </c>
      <c r="CXY56" s="850">
        <f t="shared" si="56"/>
        <v>1.4142695996091717E+21</v>
      </c>
      <c r="CXZ56" s="850">
        <f t="shared" si="56"/>
        <v>0</v>
      </c>
      <c r="CYA56" s="850">
        <f t="shared" si="56"/>
        <v>1.4566976875974469E+21</v>
      </c>
      <c r="CYB56" s="850">
        <f t="shared" si="56"/>
        <v>0</v>
      </c>
      <c r="CYC56" s="850">
        <f t="shared" si="56"/>
        <v>1.5003986182253702E+21</v>
      </c>
      <c r="CYD56" s="850">
        <f t="shared" si="56"/>
        <v>0</v>
      </c>
      <c r="CYE56" s="850">
        <f t="shared" si="56"/>
        <v>1.5454105767721315E+21</v>
      </c>
      <c r="CYF56" s="850">
        <f t="shared" si="56"/>
        <v>0</v>
      </c>
      <c r="CYG56" s="850">
        <f t="shared" si="56"/>
        <v>1.5917728940752954E+21</v>
      </c>
      <c r="CYH56" s="850">
        <f t="shared" si="56"/>
        <v>0</v>
      </c>
      <c r="CYI56" s="850">
        <f t="shared" si="56"/>
        <v>1.6395260808975543E+21</v>
      </c>
      <c r="CYJ56" s="850">
        <f t="shared" si="56"/>
        <v>0</v>
      </c>
      <c r="CYK56" s="850">
        <f t="shared" si="56"/>
        <v>1.6887118633244809E+21</v>
      </c>
      <c r="CYL56" s="850">
        <f t="shared" si="56"/>
        <v>0</v>
      </c>
      <c r="CYM56" s="850">
        <f t="shared" si="56"/>
        <v>1.7393732192242154E+21</v>
      </c>
      <c r="CYN56" s="850">
        <f t="shared" si="56"/>
        <v>0</v>
      </c>
      <c r="CYO56" s="850">
        <f t="shared" si="56"/>
        <v>1.7915544158009418E+21</v>
      </c>
      <c r="CYP56" s="850">
        <f t="shared" si="56"/>
        <v>0</v>
      </c>
      <c r="CYQ56" s="850">
        <f t="shared" si="56"/>
        <v>1.8453010482749702E+21</v>
      </c>
      <c r="CYR56" s="850">
        <f t="shared" si="56"/>
        <v>0</v>
      </c>
      <c r="CYS56" s="850">
        <f t="shared" si="56"/>
        <v>1.9006600797232193E+21</v>
      </c>
      <c r="CYT56" s="850">
        <f t="shared" ref="CYT56:DBE56" si="57">CYR56*$C$56</f>
        <v>0</v>
      </c>
      <c r="CYU56" s="850">
        <f t="shared" si="57"/>
        <v>1.9576798821149159E+21</v>
      </c>
      <c r="CYV56" s="850">
        <f t="shared" si="57"/>
        <v>0</v>
      </c>
      <c r="CYW56" s="850">
        <f t="shared" si="57"/>
        <v>2.0164102785783633E+21</v>
      </c>
      <c r="CYX56" s="850">
        <f t="shared" si="57"/>
        <v>0</v>
      </c>
      <c r="CYY56" s="850">
        <f t="shared" si="57"/>
        <v>2.0769025869357143E+21</v>
      </c>
      <c r="CYZ56" s="850">
        <f t="shared" si="57"/>
        <v>0</v>
      </c>
      <c r="CZA56" s="850">
        <f t="shared" si="57"/>
        <v>2.1392096645437857E+21</v>
      </c>
      <c r="CZB56" s="850">
        <f t="shared" si="57"/>
        <v>0</v>
      </c>
      <c r="CZC56" s="850">
        <f t="shared" si="57"/>
        <v>2.2033859544800994E+21</v>
      </c>
      <c r="CZD56" s="850">
        <f t="shared" si="57"/>
        <v>0</v>
      </c>
      <c r="CZE56" s="850">
        <f t="shared" si="57"/>
        <v>2.2694875331145024E+21</v>
      </c>
      <c r="CZF56" s="850">
        <f t="shared" si="57"/>
        <v>0</v>
      </c>
      <c r="CZG56" s="850">
        <f t="shared" si="57"/>
        <v>2.3375721591079376E+21</v>
      </c>
      <c r="CZH56" s="850">
        <f t="shared" si="57"/>
        <v>0</v>
      </c>
      <c r="CZI56" s="850">
        <f t="shared" si="57"/>
        <v>2.4076993238811756E+21</v>
      </c>
      <c r="CZJ56" s="850">
        <f t="shared" si="57"/>
        <v>0</v>
      </c>
      <c r="CZK56" s="850">
        <f t="shared" si="57"/>
        <v>2.4799303035976108E+21</v>
      </c>
      <c r="CZL56" s="850">
        <f t="shared" si="57"/>
        <v>0</v>
      </c>
      <c r="CZM56" s="850">
        <f t="shared" si="57"/>
        <v>2.5543282127055393E+21</v>
      </c>
      <c r="CZN56" s="850">
        <f t="shared" si="57"/>
        <v>0</v>
      </c>
      <c r="CZO56" s="850">
        <f t="shared" si="57"/>
        <v>2.6309580590867053E+21</v>
      </c>
      <c r="CZP56" s="850">
        <f t="shared" si="57"/>
        <v>0</v>
      </c>
      <c r="CZQ56" s="850">
        <f t="shared" si="57"/>
        <v>2.7098868008593067E+21</v>
      </c>
      <c r="CZR56" s="850">
        <f t="shared" si="57"/>
        <v>0</v>
      </c>
      <c r="CZS56" s="850">
        <f t="shared" si="57"/>
        <v>2.7911834048850858E+21</v>
      </c>
      <c r="CZT56" s="850">
        <f t="shared" si="57"/>
        <v>0</v>
      </c>
      <c r="CZU56" s="850">
        <f t="shared" si="57"/>
        <v>2.8749189070316382E+21</v>
      </c>
      <c r="CZV56" s="850">
        <f t="shared" si="57"/>
        <v>0</v>
      </c>
      <c r="CZW56" s="850">
        <f t="shared" si="57"/>
        <v>2.9611664742425874E+21</v>
      </c>
      <c r="CZX56" s="850">
        <f t="shared" si="57"/>
        <v>0</v>
      </c>
      <c r="CZY56" s="850">
        <f t="shared" si="57"/>
        <v>3.0500014684698648E+21</v>
      </c>
      <c r="CZZ56" s="850">
        <f t="shared" si="57"/>
        <v>0</v>
      </c>
      <c r="DAA56" s="850">
        <f t="shared" si="57"/>
        <v>3.1415015125239611E+21</v>
      </c>
      <c r="DAB56" s="850">
        <f t="shared" si="57"/>
        <v>0</v>
      </c>
      <c r="DAC56" s="850">
        <f t="shared" si="57"/>
        <v>3.2357465578996797E+21</v>
      </c>
      <c r="DAD56" s="850">
        <f t="shared" si="57"/>
        <v>0</v>
      </c>
      <c r="DAE56" s="850">
        <f t="shared" si="57"/>
        <v>3.33281895463667E+21</v>
      </c>
      <c r="DAF56" s="850">
        <f t="shared" si="57"/>
        <v>0</v>
      </c>
      <c r="DAG56" s="850">
        <f t="shared" si="57"/>
        <v>3.43280352327577E+21</v>
      </c>
      <c r="DAH56" s="850">
        <f t="shared" si="57"/>
        <v>0</v>
      </c>
      <c r="DAI56" s="850">
        <f t="shared" si="57"/>
        <v>3.535787628974043E+21</v>
      </c>
      <c r="DAJ56" s="850">
        <f t="shared" si="57"/>
        <v>0</v>
      </c>
      <c r="DAK56" s="850">
        <f t="shared" si="57"/>
        <v>3.6418612578432645E+21</v>
      </c>
      <c r="DAL56" s="850">
        <f t="shared" si="57"/>
        <v>0</v>
      </c>
      <c r="DAM56" s="850">
        <f t="shared" si="57"/>
        <v>3.7511170955785625E+21</v>
      </c>
      <c r="DAN56" s="850">
        <f t="shared" si="57"/>
        <v>0</v>
      </c>
      <c r="DAO56" s="850">
        <f t="shared" si="57"/>
        <v>3.8636506084459193E+21</v>
      </c>
      <c r="DAP56" s="850">
        <f t="shared" si="57"/>
        <v>0</v>
      </c>
      <c r="DAQ56" s="850">
        <f t="shared" si="57"/>
        <v>3.9795601266992968E+21</v>
      </c>
      <c r="DAR56" s="850">
        <f t="shared" si="57"/>
        <v>0</v>
      </c>
      <c r="DAS56" s="850">
        <f t="shared" si="57"/>
        <v>4.0989469305002755E+21</v>
      </c>
      <c r="DAT56" s="850">
        <f t="shared" si="57"/>
        <v>0</v>
      </c>
      <c r="DAU56" s="850">
        <f t="shared" si="57"/>
        <v>4.2219153384152839E+21</v>
      </c>
      <c r="DAV56" s="850">
        <f t="shared" si="57"/>
        <v>0</v>
      </c>
      <c r="DAW56" s="850">
        <f t="shared" si="57"/>
        <v>4.3485727985677427E+21</v>
      </c>
      <c r="DAX56" s="850">
        <f t="shared" si="57"/>
        <v>0</v>
      </c>
      <c r="DAY56" s="850">
        <f t="shared" si="57"/>
        <v>4.4790299825247753E+21</v>
      </c>
      <c r="DAZ56" s="850">
        <f t="shared" si="57"/>
        <v>0</v>
      </c>
      <c r="DBA56" s="850">
        <f t="shared" si="57"/>
        <v>4.6134008820005187E+21</v>
      </c>
      <c r="DBB56" s="850">
        <f t="shared" si="57"/>
        <v>0</v>
      </c>
      <c r="DBC56" s="850">
        <f t="shared" si="57"/>
        <v>4.7518029084605347E+21</v>
      </c>
      <c r="DBD56" s="850">
        <f t="shared" si="57"/>
        <v>0</v>
      </c>
      <c r="DBE56" s="850">
        <f t="shared" si="57"/>
        <v>4.8943569957143508E+21</v>
      </c>
      <c r="DBF56" s="850">
        <f t="shared" ref="DBF56:DDQ56" si="58">DBD56*$C$56</f>
        <v>0</v>
      </c>
      <c r="DBG56" s="850">
        <f t="shared" si="58"/>
        <v>5.0411877055857814E+21</v>
      </c>
      <c r="DBH56" s="850">
        <f t="shared" si="58"/>
        <v>0</v>
      </c>
      <c r="DBI56" s="850">
        <f t="shared" si="58"/>
        <v>5.1924233367533545E+21</v>
      </c>
      <c r="DBJ56" s="850">
        <f t="shared" si="58"/>
        <v>0</v>
      </c>
      <c r="DBK56" s="850">
        <f t="shared" si="58"/>
        <v>5.3481960368559557E+21</v>
      </c>
      <c r="DBL56" s="850">
        <f t="shared" si="58"/>
        <v>0</v>
      </c>
      <c r="DBM56" s="850">
        <f t="shared" si="58"/>
        <v>5.5086419179616348E+21</v>
      </c>
      <c r="DBN56" s="850">
        <f t="shared" si="58"/>
        <v>0</v>
      </c>
      <c r="DBO56" s="850">
        <f t="shared" si="58"/>
        <v>5.6739011755004836E+21</v>
      </c>
      <c r="DBP56" s="850">
        <f t="shared" si="58"/>
        <v>0</v>
      </c>
      <c r="DBQ56" s="850">
        <f t="shared" si="58"/>
        <v>5.8441182107654978E+21</v>
      </c>
      <c r="DBR56" s="850">
        <f t="shared" si="58"/>
        <v>0</v>
      </c>
      <c r="DBS56" s="850">
        <f t="shared" si="58"/>
        <v>6.0194417570884627E+21</v>
      </c>
      <c r="DBT56" s="850">
        <f t="shared" si="58"/>
        <v>0</v>
      </c>
      <c r="DBU56" s="850">
        <f t="shared" si="58"/>
        <v>6.2000250098011163E+21</v>
      </c>
      <c r="DBV56" s="850">
        <f t="shared" si="58"/>
        <v>0</v>
      </c>
      <c r="DBW56" s="850">
        <f t="shared" si="58"/>
        <v>6.3860257600951498E+21</v>
      </c>
      <c r="DBX56" s="850">
        <f t="shared" si="58"/>
        <v>0</v>
      </c>
      <c r="DBY56" s="850">
        <f t="shared" si="58"/>
        <v>6.5776065328980049E+21</v>
      </c>
      <c r="DBZ56" s="850">
        <f t="shared" si="58"/>
        <v>0</v>
      </c>
      <c r="DCA56" s="850">
        <f t="shared" si="58"/>
        <v>6.7749347288849454E+21</v>
      </c>
      <c r="DCB56" s="850">
        <f t="shared" si="58"/>
        <v>0</v>
      </c>
      <c r="DCC56" s="850">
        <f t="shared" si="58"/>
        <v>6.9781827707514944E+21</v>
      </c>
      <c r="DCD56" s="850">
        <f t="shared" si="58"/>
        <v>0</v>
      </c>
      <c r="DCE56" s="850">
        <f t="shared" si="58"/>
        <v>7.1875282538740392E+21</v>
      </c>
      <c r="DCF56" s="850">
        <f t="shared" si="58"/>
        <v>0</v>
      </c>
      <c r="DCG56" s="850">
        <f t="shared" si="58"/>
        <v>7.4031541014902604E+21</v>
      </c>
      <c r="DCH56" s="850">
        <f t="shared" si="58"/>
        <v>0</v>
      </c>
      <c r="DCI56" s="850">
        <f t="shared" si="58"/>
        <v>7.6252487245349687E+21</v>
      </c>
      <c r="DCJ56" s="850">
        <f t="shared" si="58"/>
        <v>0</v>
      </c>
      <c r="DCK56" s="850">
        <f t="shared" si="58"/>
        <v>7.8540061862710183E+21</v>
      </c>
      <c r="DCL56" s="850">
        <f t="shared" si="58"/>
        <v>0</v>
      </c>
      <c r="DCM56" s="850">
        <f t="shared" si="58"/>
        <v>8.0896263718591487E+21</v>
      </c>
      <c r="DCN56" s="850">
        <f t="shared" si="58"/>
        <v>0</v>
      </c>
      <c r="DCO56" s="850">
        <f t="shared" si="58"/>
        <v>8.3323151630149238E+21</v>
      </c>
      <c r="DCP56" s="850">
        <f t="shared" si="58"/>
        <v>0</v>
      </c>
      <c r="DCQ56" s="850">
        <f t="shared" si="58"/>
        <v>8.5822846179053719E+21</v>
      </c>
      <c r="DCR56" s="850">
        <f t="shared" si="58"/>
        <v>0</v>
      </c>
      <c r="DCS56" s="850">
        <f t="shared" si="58"/>
        <v>8.8397531564425337E+21</v>
      </c>
      <c r="DCT56" s="850">
        <f t="shared" si="58"/>
        <v>0</v>
      </c>
      <c r="DCU56" s="850">
        <f t="shared" si="58"/>
        <v>9.10494575113581E+21</v>
      </c>
      <c r="DCV56" s="850">
        <f t="shared" si="58"/>
        <v>0</v>
      </c>
      <c r="DCW56" s="850">
        <f t="shared" si="58"/>
        <v>9.3780941236698842E+21</v>
      </c>
      <c r="DCX56" s="850">
        <f t="shared" si="58"/>
        <v>0</v>
      </c>
      <c r="DCY56" s="850">
        <f t="shared" si="58"/>
        <v>9.6594369473799814E+21</v>
      </c>
      <c r="DCZ56" s="850">
        <f t="shared" si="58"/>
        <v>0</v>
      </c>
      <c r="DDA56" s="850">
        <f t="shared" si="58"/>
        <v>9.9492200558013805E+21</v>
      </c>
      <c r="DDB56" s="850">
        <f t="shared" si="58"/>
        <v>0</v>
      </c>
      <c r="DDC56" s="850">
        <f t="shared" si="58"/>
        <v>1.0247696657475422E+22</v>
      </c>
      <c r="DDD56" s="850">
        <f t="shared" si="58"/>
        <v>0</v>
      </c>
      <c r="DDE56" s="850">
        <f t="shared" si="58"/>
        <v>1.0555127557199684E+22</v>
      </c>
      <c r="DDF56" s="850">
        <f t="shared" si="58"/>
        <v>0</v>
      </c>
      <c r="DDG56" s="850">
        <f t="shared" si="58"/>
        <v>1.0871781383915675E+22</v>
      </c>
      <c r="DDH56" s="850">
        <f t="shared" si="58"/>
        <v>0</v>
      </c>
      <c r="DDI56" s="850">
        <f t="shared" si="58"/>
        <v>1.1197934825433146E+22</v>
      </c>
      <c r="DDJ56" s="850">
        <f t="shared" si="58"/>
        <v>0</v>
      </c>
      <c r="DDK56" s="850">
        <f t="shared" si="58"/>
        <v>1.1533872870196142E+22</v>
      </c>
      <c r="DDL56" s="850">
        <f t="shared" si="58"/>
        <v>0</v>
      </c>
      <c r="DDM56" s="850">
        <f t="shared" si="58"/>
        <v>1.1879889056302027E+22</v>
      </c>
      <c r="DDN56" s="850">
        <f t="shared" si="58"/>
        <v>0</v>
      </c>
      <c r="DDO56" s="850">
        <f t="shared" si="58"/>
        <v>1.2236285727991088E+22</v>
      </c>
      <c r="DDP56" s="850">
        <f t="shared" si="58"/>
        <v>0</v>
      </c>
      <c r="DDQ56" s="850">
        <f t="shared" si="58"/>
        <v>1.2603374299830821E+22</v>
      </c>
      <c r="DDR56" s="850">
        <f t="shared" ref="DDR56:DGC56" si="59">DDP56*$C$56</f>
        <v>0</v>
      </c>
      <c r="DDS56" s="850">
        <f t="shared" si="59"/>
        <v>1.2981475528825746E+22</v>
      </c>
      <c r="DDT56" s="850">
        <f t="shared" si="59"/>
        <v>0</v>
      </c>
      <c r="DDU56" s="850">
        <f t="shared" si="59"/>
        <v>1.337091979469052E+22</v>
      </c>
      <c r="DDV56" s="850">
        <f t="shared" si="59"/>
        <v>0</v>
      </c>
      <c r="DDW56" s="850">
        <f t="shared" si="59"/>
        <v>1.3772047388531235E+22</v>
      </c>
      <c r="DDX56" s="850">
        <f t="shared" si="59"/>
        <v>0</v>
      </c>
      <c r="DDY56" s="850">
        <f t="shared" si="59"/>
        <v>1.4185208810187172E+22</v>
      </c>
      <c r="DDZ56" s="850">
        <f t="shared" si="59"/>
        <v>0</v>
      </c>
      <c r="DEA56" s="850">
        <f t="shared" si="59"/>
        <v>1.4610765074492788E+22</v>
      </c>
      <c r="DEB56" s="850">
        <f t="shared" si="59"/>
        <v>0</v>
      </c>
      <c r="DEC56" s="850">
        <f t="shared" si="59"/>
        <v>1.5049088026727573E+22</v>
      </c>
      <c r="DED56" s="850">
        <f t="shared" si="59"/>
        <v>0</v>
      </c>
      <c r="DEE56" s="850">
        <f t="shared" si="59"/>
        <v>1.5500560667529401E+22</v>
      </c>
      <c r="DEF56" s="850">
        <f t="shared" si="59"/>
        <v>0</v>
      </c>
      <c r="DEG56" s="850">
        <f t="shared" si="59"/>
        <v>1.5965577487555284E+22</v>
      </c>
      <c r="DEH56" s="850">
        <f t="shared" si="59"/>
        <v>0</v>
      </c>
      <c r="DEI56" s="850">
        <f t="shared" si="59"/>
        <v>1.6444544812181944E+22</v>
      </c>
      <c r="DEJ56" s="850">
        <f t="shared" si="59"/>
        <v>0</v>
      </c>
      <c r="DEK56" s="850">
        <f t="shared" si="59"/>
        <v>1.6937881156547403E+22</v>
      </c>
      <c r="DEL56" s="850">
        <f t="shared" si="59"/>
        <v>0</v>
      </c>
      <c r="DEM56" s="850">
        <f t="shared" si="59"/>
        <v>1.7446017591243826E+22</v>
      </c>
      <c r="DEN56" s="850">
        <f t="shared" si="59"/>
        <v>0</v>
      </c>
      <c r="DEO56" s="850">
        <f t="shared" si="59"/>
        <v>1.7969398118981141E+22</v>
      </c>
      <c r="DEP56" s="850">
        <f t="shared" si="59"/>
        <v>0</v>
      </c>
      <c r="DEQ56" s="850">
        <f t="shared" si="59"/>
        <v>1.8508480062550576E+22</v>
      </c>
      <c r="DER56" s="850">
        <f t="shared" si="59"/>
        <v>0</v>
      </c>
      <c r="DES56" s="850">
        <f t="shared" si="59"/>
        <v>1.9063734464427093E+22</v>
      </c>
      <c r="DET56" s="850">
        <f t="shared" si="59"/>
        <v>0</v>
      </c>
      <c r="DEU56" s="850">
        <f t="shared" si="59"/>
        <v>1.9635646498359906E+22</v>
      </c>
      <c r="DEV56" s="850">
        <f t="shared" si="59"/>
        <v>0</v>
      </c>
      <c r="DEW56" s="850">
        <f t="shared" si="59"/>
        <v>2.0224715893310702E+22</v>
      </c>
      <c r="DEX56" s="850">
        <f t="shared" si="59"/>
        <v>0</v>
      </c>
      <c r="DEY56" s="850">
        <f t="shared" si="59"/>
        <v>2.0831457370110024E+22</v>
      </c>
      <c r="DEZ56" s="850">
        <f t="shared" si="59"/>
        <v>0</v>
      </c>
      <c r="DFA56" s="850">
        <f t="shared" si="59"/>
        <v>2.1456401091213325E+22</v>
      </c>
      <c r="DFB56" s="850">
        <f t="shared" si="59"/>
        <v>0</v>
      </c>
      <c r="DFC56" s="850">
        <f t="shared" si="59"/>
        <v>2.2100093123949725E+22</v>
      </c>
      <c r="DFD56" s="850">
        <f t="shared" si="59"/>
        <v>0</v>
      </c>
      <c r="DFE56" s="850">
        <f t="shared" si="59"/>
        <v>2.2763095917668216E+22</v>
      </c>
      <c r="DFF56" s="850">
        <f t="shared" si="59"/>
        <v>0</v>
      </c>
      <c r="DFG56" s="850">
        <f t="shared" si="59"/>
        <v>2.3445988795198262E+22</v>
      </c>
      <c r="DFH56" s="850">
        <f t="shared" si="59"/>
        <v>0</v>
      </c>
      <c r="DFI56" s="850">
        <f t="shared" si="59"/>
        <v>2.4149368459054211E+22</v>
      </c>
      <c r="DFJ56" s="850">
        <f t="shared" si="59"/>
        <v>0</v>
      </c>
      <c r="DFK56" s="850">
        <f t="shared" si="59"/>
        <v>2.4873849512825838E+22</v>
      </c>
      <c r="DFL56" s="850">
        <f t="shared" si="59"/>
        <v>0</v>
      </c>
      <c r="DFM56" s="850">
        <f t="shared" si="59"/>
        <v>2.5620064998210614E+22</v>
      </c>
      <c r="DFN56" s="850">
        <f t="shared" si="59"/>
        <v>0</v>
      </c>
      <c r="DFO56" s="850">
        <f t="shared" si="59"/>
        <v>2.6388666948156935E+22</v>
      </c>
      <c r="DFP56" s="850">
        <f t="shared" si="59"/>
        <v>0</v>
      </c>
      <c r="DFQ56" s="850">
        <f t="shared" si="59"/>
        <v>2.7180326956601642E+22</v>
      </c>
      <c r="DFR56" s="850">
        <f t="shared" si="59"/>
        <v>0</v>
      </c>
      <c r="DFS56" s="850">
        <f t="shared" si="59"/>
        <v>2.7995736765299692E+22</v>
      </c>
      <c r="DFT56" s="850">
        <f t="shared" si="59"/>
        <v>0</v>
      </c>
      <c r="DFU56" s="850">
        <f t="shared" si="59"/>
        <v>2.8835608868258683E+22</v>
      </c>
      <c r="DFV56" s="850">
        <f t="shared" si="59"/>
        <v>0</v>
      </c>
      <c r="DFW56" s="850">
        <f t="shared" si="59"/>
        <v>2.9700677134306446E+22</v>
      </c>
      <c r="DFX56" s="850">
        <f t="shared" si="59"/>
        <v>0</v>
      </c>
      <c r="DFY56" s="850">
        <f t="shared" si="59"/>
        <v>3.0591697448335638E+22</v>
      </c>
      <c r="DFZ56" s="850">
        <f t="shared" si="59"/>
        <v>0</v>
      </c>
      <c r="DGA56" s="850">
        <f t="shared" si="59"/>
        <v>3.150944837178571E+22</v>
      </c>
      <c r="DGB56" s="850">
        <f t="shared" si="59"/>
        <v>0</v>
      </c>
      <c r="DGC56" s="850">
        <f t="shared" si="59"/>
        <v>3.2454731822939282E+22</v>
      </c>
      <c r="DGD56" s="850">
        <f t="shared" ref="DGD56:DIO56" si="60">DGB56*$C$56</f>
        <v>0</v>
      </c>
      <c r="DGE56" s="850">
        <f t="shared" si="60"/>
        <v>3.3428373777627463E+22</v>
      </c>
      <c r="DGF56" s="850">
        <f t="shared" si="60"/>
        <v>0</v>
      </c>
      <c r="DGG56" s="850">
        <f t="shared" si="60"/>
        <v>3.4431224990956287E+22</v>
      </c>
      <c r="DGH56" s="850">
        <f t="shared" si="60"/>
        <v>0</v>
      </c>
      <c r="DGI56" s="850">
        <f t="shared" si="60"/>
        <v>3.5464161740684974E+22</v>
      </c>
      <c r="DGJ56" s="850">
        <f t="shared" si="60"/>
        <v>0</v>
      </c>
      <c r="DGK56" s="850">
        <f t="shared" si="60"/>
        <v>3.6528086592905523E+22</v>
      </c>
      <c r="DGL56" s="850">
        <f t="shared" si="60"/>
        <v>0</v>
      </c>
      <c r="DGM56" s="850">
        <f t="shared" si="60"/>
        <v>3.7623929190692688E+22</v>
      </c>
      <c r="DGN56" s="850">
        <f t="shared" si="60"/>
        <v>0</v>
      </c>
      <c r="DGO56" s="850">
        <f t="shared" si="60"/>
        <v>3.8752647066413471E+22</v>
      </c>
      <c r="DGP56" s="850">
        <f t="shared" si="60"/>
        <v>0</v>
      </c>
      <c r="DGQ56" s="850">
        <f t="shared" si="60"/>
        <v>3.9915226478405879E+22</v>
      </c>
      <c r="DGR56" s="850">
        <f t="shared" si="60"/>
        <v>0</v>
      </c>
      <c r="DGS56" s="850">
        <f t="shared" si="60"/>
        <v>4.1112683272758056E+22</v>
      </c>
      <c r="DGT56" s="850">
        <f t="shared" si="60"/>
        <v>0</v>
      </c>
      <c r="DGU56" s="850">
        <f t="shared" si="60"/>
        <v>4.2346063770940795E+22</v>
      </c>
      <c r="DGV56" s="850">
        <f t="shared" si="60"/>
        <v>0</v>
      </c>
      <c r="DGW56" s="850">
        <f t="shared" si="60"/>
        <v>4.361644568406902E+22</v>
      </c>
      <c r="DGX56" s="850">
        <f t="shared" si="60"/>
        <v>0</v>
      </c>
      <c r="DGY56" s="850">
        <f t="shared" si="60"/>
        <v>4.4924939054591089E+22</v>
      </c>
      <c r="DGZ56" s="850">
        <f t="shared" si="60"/>
        <v>0</v>
      </c>
      <c r="DHA56" s="850">
        <f t="shared" si="60"/>
        <v>4.6272687226228826E+22</v>
      </c>
      <c r="DHB56" s="850">
        <f t="shared" si="60"/>
        <v>0</v>
      </c>
      <c r="DHC56" s="850">
        <f t="shared" si="60"/>
        <v>4.7660867843015695E+22</v>
      </c>
      <c r="DHD56" s="850">
        <f t="shared" si="60"/>
        <v>0</v>
      </c>
      <c r="DHE56" s="850">
        <f t="shared" si="60"/>
        <v>4.9090693878306163E+22</v>
      </c>
      <c r="DHF56" s="850">
        <f t="shared" si="60"/>
        <v>0</v>
      </c>
      <c r="DHG56" s="850">
        <f t="shared" si="60"/>
        <v>5.0563414694655349E+22</v>
      </c>
      <c r="DHH56" s="850">
        <f t="shared" si="60"/>
        <v>0</v>
      </c>
      <c r="DHI56" s="850">
        <f t="shared" si="60"/>
        <v>5.208031713549501E+22</v>
      </c>
      <c r="DHJ56" s="850">
        <f t="shared" si="60"/>
        <v>0</v>
      </c>
      <c r="DHK56" s="850">
        <f t="shared" si="60"/>
        <v>5.3642726649559859E+22</v>
      </c>
      <c r="DHL56" s="850">
        <f t="shared" si="60"/>
        <v>0</v>
      </c>
      <c r="DHM56" s="850">
        <f t="shared" si="60"/>
        <v>5.5252008449046657E+22</v>
      </c>
      <c r="DHN56" s="850">
        <f t="shared" si="60"/>
        <v>0</v>
      </c>
      <c r="DHO56" s="850">
        <f t="shared" si="60"/>
        <v>5.6909568702518061E+22</v>
      </c>
      <c r="DHP56" s="850">
        <f t="shared" si="60"/>
        <v>0</v>
      </c>
      <c r="DHQ56" s="850">
        <f t="shared" si="60"/>
        <v>5.8616855763593606E+22</v>
      </c>
      <c r="DHR56" s="850">
        <f t="shared" si="60"/>
        <v>0</v>
      </c>
      <c r="DHS56" s="850">
        <f t="shared" si="60"/>
        <v>6.037536143650142E+22</v>
      </c>
      <c r="DHT56" s="850">
        <f t="shared" si="60"/>
        <v>0</v>
      </c>
      <c r="DHU56" s="850">
        <f t="shared" si="60"/>
        <v>6.2186622279596462E+22</v>
      </c>
      <c r="DHV56" s="850">
        <f t="shared" si="60"/>
        <v>0</v>
      </c>
      <c r="DHW56" s="850">
        <f t="shared" si="60"/>
        <v>6.4052220947984361E+22</v>
      </c>
      <c r="DHX56" s="850">
        <f t="shared" si="60"/>
        <v>0</v>
      </c>
      <c r="DHY56" s="850">
        <f t="shared" si="60"/>
        <v>6.5973787576423896E+22</v>
      </c>
      <c r="DHZ56" s="850">
        <f t="shared" si="60"/>
        <v>0</v>
      </c>
      <c r="DIA56" s="850">
        <f t="shared" si="60"/>
        <v>6.7953001203716617E+22</v>
      </c>
      <c r="DIB56" s="850">
        <f t="shared" si="60"/>
        <v>0</v>
      </c>
      <c r="DIC56" s="850">
        <f t="shared" si="60"/>
        <v>6.9991591239828113E+22</v>
      </c>
      <c r="DID56" s="850">
        <f t="shared" si="60"/>
        <v>0</v>
      </c>
      <c r="DIE56" s="850">
        <f t="shared" si="60"/>
        <v>7.2091338977022958E+22</v>
      </c>
      <c r="DIF56" s="850">
        <f t="shared" si="60"/>
        <v>0</v>
      </c>
      <c r="DIG56" s="850">
        <f t="shared" si="60"/>
        <v>7.4254079146333651E+22</v>
      </c>
      <c r="DIH56" s="850">
        <f t="shared" si="60"/>
        <v>0</v>
      </c>
      <c r="DII56" s="850">
        <f t="shared" si="60"/>
        <v>7.6481701520723665E+22</v>
      </c>
      <c r="DIJ56" s="850">
        <f t="shared" si="60"/>
        <v>0</v>
      </c>
      <c r="DIK56" s="850">
        <f t="shared" si="60"/>
        <v>7.8776152566345381E+22</v>
      </c>
      <c r="DIL56" s="850">
        <f t="shared" si="60"/>
        <v>0</v>
      </c>
      <c r="DIM56" s="850">
        <f t="shared" si="60"/>
        <v>8.1139437143335746E+22</v>
      </c>
      <c r="DIN56" s="850">
        <f t="shared" si="60"/>
        <v>0</v>
      </c>
      <c r="DIO56" s="850">
        <f t="shared" si="60"/>
        <v>8.357362025763582E+22</v>
      </c>
      <c r="DIP56" s="850">
        <f t="shared" ref="DIP56:DLA56" si="61">DIN56*$C$56</f>
        <v>0</v>
      </c>
      <c r="DIQ56" s="850">
        <f t="shared" si="61"/>
        <v>8.6080828865364892E+22</v>
      </c>
      <c r="DIR56" s="850">
        <f t="shared" si="61"/>
        <v>0</v>
      </c>
      <c r="DIS56" s="850">
        <f t="shared" si="61"/>
        <v>8.8663253731325839E+22</v>
      </c>
      <c r="DIT56" s="850">
        <f t="shared" si="61"/>
        <v>0</v>
      </c>
      <c r="DIU56" s="850">
        <f t="shared" si="61"/>
        <v>9.1323151343265612E+22</v>
      </c>
      <c r="DIV56" s="850">
        <f t="shared" si="61"/>
        <v>0</v>
      </c>
      <c r="DIW56" s="850">
        <f t="shared" si="61"/>
        <v>9.4062845883563588E+22</v>
      </c>
      <c r="DIX56" s="850">
        <f t="shared" si="61"/>
        <v>0</v>
      </c>
      <c r="DIY56" s="850">
        <f t="shared" si="61"/>
        <v>9.6884731260070502E+22</v>
      </c>
      <c r="DIZ56" s="850">
        <f t="shared" si="61"/>
        <v>0</v>
      </c>
      <c r="DJA56" s="850">
        <f t="shared" si="61"/>
        <v>9.9791273197872624E+22</v>
      </c>
      <c r="DJB56" s="850">
        <f t="shared" si="61"/>
        <v>0</v>
      </c>
      <c r="DJC56" s="850">
        <f t="shared" si="61"/>
        <v>1.0278501139380881E+23</v>
      </c>
      <c r="DJD56" s="850">
        <f t="shared" si="61"/>
        <v>0</v>
      </c>
      <c r="DJE56" s="850">
        <f t="shared" si="61"/>
        <v>1.0586856173562308E+23</v>
      </c>
      <c r="DJF56" s="850">
        <f t="shared" si="61"/>
        <v>0</v>
      </c>
      <c r="DJG56" s="850">
        <f t="shared" si="61"/>
        <v>1.0904461858769178E+23</v>
      </c>
      <c r="DJH56" s="850">
        <f t="shared" si="61"/>
        <v>0</v>
      </c>
      <c r="DJI56" s="850">
        <f t="shared" si="61"/>
        <v>1.1231595714532253E+23</v>
      </c>
      <c r="DJJ56" s="850">
        <f t="shared" si="61"/>
        <v>0</v>
      </c>
      <c r="DJK56" s="850">
        <f t="shared" si="61"/>
        <v>1.1568543585968222E+23</v>
      </c>
      <c r="DJL56" s="850">
        <f t="shared" si="61"/>
        <v>0</v>
      </c>
      <c r="DJM56" s="850">
        <f t="shared" si="61"/>
        <v>1.1915599893547269E+23</v>
      </c>
      <c r="DJN56" s="850">
        <f t="shared" si="61"/>
        <v>0</v>
      </c>
      <c r="DJO56" s="850">
        <f t="shared" si="61"/>
        <v>1.2273067890353686E+23</v>
      </c>
      <c r="DJP56" s="850">
        <f t="shared" si="61"/>
        <v>0</v>
      </c>
      <c r="DJQ56" s="850">
        <f t="shared" si="61"/>
        <v>1.2641259927064297E+23</v>
      </c>
      <c r="DJR56" s="850">
        <f t="shared" si="61"/>
        <v>0</v>
      </c>
      <c r="DJS56" s="850">
        <f t="shared" si="61"/>
        <v>1.3020497724876227E+23</v>
      </c>
      <c r="DJT56" s="850">
        <f t="shared" si="61"/>
        <v>0</v>
      </c>
      <c r="DJU56" s="850">
        <f t="shared" si="61"/>
        <v>1.3411112656622514E+23</v>
      </c>
      <c r="DJV56" s="850">
        <f t="shared" si="61"/>
        <v>0</v>
      </c>
      <c r="DJW56" s="850">
        <f t="shared" si="61"/>
        <v>1.3813446036321189E+23</v>
      </c>
      <c r="DJX56" s="850">
        <f t="shared" si="61"/>
        <v>0</v>
      </c>
      <c r="DJY56" s="850">
        <f t="shared" si="61"/>
        <v>1.4227849417410825E+23</v>
      </c>
      <c r="DJZ56" s="850">
        <f t="shared" si="61"/>
        <v>0</v>
      </c>
      <c r="DKA56" s="850">
        <f t="shared" si="61"/>
        <v>1.465468489993315E+23</v>
      </c>
      <c r="DKB56" s="850">
        <f t="shared" si="61"/>
        <v>0</v>
      </c>
      <c r="DKC56" s="850">
        <f t="shared" si="61"/>
        <v>1.5094325446931144E+23</v>
      </c>
      <c r="DKD56" s="850">
        <f t="shared" si="61"/>
        <v>0</v>
      </c>
      <c r="DKE56" s="850">
        <f t="shared" si="61"/>
        <v>1.554715521033908E+23</v>
      </c>
      <c r="DKF56" s="850">
        <f t="shared" si="61"/>
        <v>0</v>
      </c>
      <c r="DKG56" s="850">
        <f t="shared" si="61"/>
        <v>1.6013569866649254E+23</v>
      </c>
      <c r="DKH56" s="850">
        <f t="shared" si="61"/>
        <v>0</v>
      </c>
      <c r="DKI56" s="850">
        <f t="shared" si="61"/>
        <v>1.6493976962648731E+23</v>
      </c>
      <c r="DKJ56" s="850">
        <f t="shared" si="61"/>
        <v>0</v>
      </c>
      <c r="DKK56" s="850">
        <f t="shared" si="61"/>
        <v>1.6988796271528192E+23</v>
      </c>
      <c r="DKL56" s="850">
        <f t="shared" si="61"/>
        <v>0</v>
      </c>
      <c r="DKM56" s="850">
        <f t="shared" si="61"/>
        <v>1.7498460159674039E+23</v>
      </c>
      <c r="DKN56" s="850">
        <f t="shared" si="61"/>
        <v>0</v>
      </c>
      <c r="DKO56" s="850">
        <f t="shared" si="61"/>
        <v>1.8023413964464262E+23</v>
      </c>
      <c r="DKP56" s="850">
        <f t="shared" si="61"/>
        <v>0</v>
      </c>
      <c r="DKQ56" s="850">
        <f t="shared" si="61"/>
        <v>1.8564116383398189E+23</v>
      </c>
      <c r="DKR56" s="850">
        <f t="shared" si="61"/>
        <v>0</v>
      </c>
      <c r="DKS56" s="850">
        <f t="shared" si="61"/>
        <v>1.9121039874900136E+23</v>
      </c>
      <c r="DKT56" s="850">
        <f t="shared" si="61"/>
        <v>0</v>
      </c>
      <c r="DKU56" s="850">
        <f t="shared" si="61"/>
        <v>1.9694671071147139E+23</v>
      </c>
      <c r="DKV56" s="850">
        <f t="shared" si="61"/>
        <v>0</v>
      </c>
      <c r="DKW56" s="850">
        <f t="shared" si="61"/>
        <v>2.0285511203281553E+23</v>
      </c>
      <c r="DKX56" s="850">
        <f t="shared" si="61"/>
        <v>0</v>
      </c>
      <c r="DKY56" s="850">
        <f t="shared" si="61"/>
        <v>2.0894076539380001E+23</v>
      </c>
      <c r="DKZ56" s="850">
        <f t="shared" si="61"/>
        <v>0</v>
      </c>
      <c r="DLA56" s="850">
        <f t="shared" si="61"/>
        <v>2.15208988355614E+23</v>
      </c>
      <c r="DLB56" s="850">
        <f t="shared" ref="DLB56:DNM56" si="62">DKZ56*$C$56</f>
        <v>0</v>
      </c>
      <c r="DLC56" s="850">
        <f t="shared" si="62"/>
        <v>2.2166525800628241E+23</v>
      </c>
      <c r="DLD56" s="850">
        <f t="shared" si="62"/>
        <v>0</v>
      </c>
      <c r="DLE56" s="850">
        <f t="shared" si="62"/>
        <v>2.283152157464709E+23</v>
      </c>
      <c r="DLF56" s="850">
        <f t="shared" si="62"/>
        <v>0</v>
      </c>
      <c r="DLG56" s="850">
        <f t="shared" si="62"/>
        <v>2.3516467221886502E+23</v>
      </c>
      <c r="DLH56" s="850">
        <f t="shared" si="62"/>
        <v>0</v>
      </c>
      <c r="DLI56" s="850">
        <f t="shared" si="62"/>
        <v>2.42219612385431E+23</v>
      </c>
      <c r="DLJ56" s="850">
        <f t="shared" si="62"/>
        <v>0</v>
      </c>
      <c r="DLK56" s="850">
        <f t="shared" si="62"/>
        <v>2.4948620075699395E+23</v>
      </c>
      <c r="DLL56" s="850">
        <f t="shared" si="62"/>
        <v>0</v>
      </c>
      <c r="DLM56" s="850">
        <f t="shared" si="62"/>
        <v>2.5697078677970376E+23</v>
      </c>
      <c r="DLN56" s="850">
        <f t="shared" si="62"/>
        <v>0</v>
      </c>
      <c r="DLO56" s="850">
        <f t="shared" si="62"/>
        <v>2.646799103830949E+23</v>
      </c>
      <c r="DLP56" s="850">
        <f t="shared" si="62"/>
        <v>0</v>
      </c>
      <c r="DLQ56" s="850">
        <f t="shared" si="62"/>
        <v>2.7262030769458774E+23</v>
      </c>
      <c r="DLR56" s="850">
        <f t="shared" si="62"/>
        <v>0</v>
      </c>
      <c r="DLS56" s="850">
        <f t="shared" si="62"/>
        <v>2.8079891692542538E+23</v>
      </c>
      <c r="DLT56" s="850">
        <f t="shared" si="62"/>
        <v>0</v>
      </c>
      <c r="DLU56" s="850">
        <f t="shared" si="62"/>
        <v>2.8922288443318814E+23</v>
      </c>
      <c r="DLV56" s="850">
        <f t="shared" si="62"/>
        <v>0</v>
      </c>
      <c r="DLW56" s="850">
        <f t="shared" si="62"/>
        <v>2.978995709661838E+23</v>
      </c>
      <c r="DLX56" s="850">
        <f t="shared" si="62"/>
        <v>0</v>
      </c>
      <c r="DLY56" s="850">
        <f t="shared" si="62"/>
        <v>3.0683655809516932E+23</v>
      </c>
      <c r="DLZ56" s="850">
        <f t="shared" si="62"/>
        <v>0</v>
      </c>
      <c r="DMA56" s="850">
        <f t="shared" si="62"/>
        <v>3.1604165483802443E+23</v>
      </c>
      <c r="DMB56" s="850">
        <f t="shared" si="62"/>
        <v>0</v>
      </c>
      <c r="DMC56" s="850">
        <f t="shared" si="62"/>
        <v>3.2552290448316516E+23</v>
      </c>
      <c r="DMD56" s="850">
        <f t="shared" si="62"/>
        <v>0</v>
      </c>
      <c r="DME56" s="850">
        <f t="shared" si="62"/>
        <v>3.3528859161766015E+23</v>
      </c>
      <c r="DMF56" s="850">
        <f t="shared" si="62"/>
        <v>0</v>
      </c>
      <c r="DMG56" s="850">
        <f t="shared" si="62"/>
        <v>3.4534724936618993E+23</v>
      </c>
      <c r="DMH56" s="850">
        <f t="shared" si="62"/>
        <v>0</v>
      </c>
      <c r="DMI56" s="850">
        <f t="shared" si="62"/>
        <v>3.5570766684717563E+23</v>
      </c>
      <c r="DMJ56" s="850">
        <f t="shared" si="62"/>
        <v>0</v>
      </c>
      <c r="DMK56" s="850">
        <f t="shared" si="62"/>
        <v>3.6637889685259092E+23</v>
      </c>
      <c r="DML56" s="850">
        <f t="shared" si="62"/>
        <v>0</v>
      </c>
      <c r="DMM56" s="850">
        <f t="shared" si="62"/>
        <v>3.7737026375816863E+23</v>
      </c>
      <c r="DMN56" s="850">
        <f t="shared" si="62"/>
        <v>0</v>
      </c>
      <c r="DMO56" s="850">
        <f t="shared" si="62"/>
        <v>3.8869137167091367E+23</v>
      </c>
      <c r="DMP56" s="850">
        <f t="shared" si="62"/>
        <v>0</v>
      </c>
      <c r="DMQ56" s="850">
        <f t="shared" si="62"/>
        <v>4.0035211282104108E+23</v>
      </c>
      <c r="DMR56" s="850">
        <f t="shared" si="62"/>
        <v>0</v>
      </c>
      <c r="DMS56" s="850">
        <f t="shared" si="62"/>
        <v>4.1236267620567234E+23</v>
      </c>
      <c r="DMT56" s="850">
        <f t="shared" si="62"/>
        <v>0</v>
      </c>
      <c r="DMU56" s="850">
        <f t="shared" si="62"/>
        <v>4.2473355649184252E+23</v>
      </c>
      <c r="DMV56" s="850">
        <f t="shared" si="62"/>
        <v>0</v>
      </c>
      <c r="DMW56" s="850">
        <f t="shared" si="62"/>
        <v>4.3747556318659784E+23</v>
      </c>
      <c r="DMX56" s="850">
        <f t="shared" si="62"/>
        <v>0</v>
      </c>
      <c r="DMY56" s="850">
        <f t="shared" si="62"/>
        <v>4.5059983008219581E+23</v>
      </c>
      <c r="DMZ56" s="850">
        <f t="shared" si="62"/>
        <v>0</v>
      </c>
      <c r="DNA56" s="850">
        <f t="shared" si="62"/>
        <v>4.6411782498466169E+23</v>
      </c>
      <c r="DNB56" s="850">
        <f t="shared" si="62"/>
        <v>0</v>
      </c>
      <c r="DNC56" s="850">
        <f t="shared" si="62"/>
        <v>4.7804135973420157E+23</v>
      </c>
      <c r="DND56" s="850">
        <f t="shared" si="62"/>
        <v>0</v>
      </c>
      <c r="DNE56" s="850">
        <f t="shared" si="62"/>
        <v>4.9238260052622765E+23</v>
      </c>
      <c r="DNF56" s="850">
        <f t="shared" si="62"/>
        <v>0</v>
      </c>
      <c r="DNG56" s="850">
        <f t="shared" si="62"/>
        <v>5.0715407854201451E+23</v>
      </c>
      <c r="DNH56" s="850">
        <f t="shared" si="62"/>
        <v>0</v>
      </c>
      <c r="DNI56" s="850">
        <f t="shared" si="62"/>
        <v>5.2236870089827495E+23</v>
      </c>
      <c r="DNJ56" s="850">
        <f t="shared" si="62"/>
        <v>0</v>
      </c>
      <c r="DNK56" s="850">
        <f t="shared" si="62"/>
        <v>5.3803976192522322E+23</v>
      </c>
      <c r="DNL56" s="850">
        <f t="shared" si="62"/>
        <v>0</v>
      </c>
      <c r="DNM56" s="850">
        <f t="shared" si="62"/>
        <v>5.5418095478297992E+23</v>
      </c>
      <c r="DNN56" s="850">
        <f t="shared" ref="DNN56:DPY56" si="63">DNL56*$C$56</f>
        <v>0</v>
      </c>
      <c r="DNO56" s="850">
        <f t="shared" si="63"/>
        <v>5.7080638342646935E+23</v>
      </c>
      <c r="DNP56" s="850">
        <f t="shared" si="63"/>
        <v>0</v>
      </c>
      <c r="DNQ56" s="850">
        <f t="shared" si="63"/>
        <v>5.8793057492926343E+23</v>
      </c>
      <c r="DNR56" s="850">
        <f t="shared" si="63"/>
        <v>0</v>
      </c>
      <c r="DNS56" s="850">
        <f t="shared" si="63"/>
        <v>6.055684921771413E+23</v>
      </c>
      <c r="DNT56" s="850">
        <f t="shared" si="63"/>
        <v>0</v>
      </c>
      <c r="DNU56" s="850">
        <f t="shared" si="63"/>
        <v>6.2373554694245556E+23</v>
      </c>
      <c r="DNV56" s="850">
        <f t="shared" si="63"/>
        <v>0</v>
      </c>
      <c r="DNW56" s="850">
        <f t="shared" si="63"/>
        <v>6.4244761335072924E+23</v>
      </c>
      <c r="DNX56" s="850">
        <f t="shared" si="63"/>
        <v>0</v>
      </c>
      <c r="DNY56" s="850">
        <f t="shared" si="63"/>
        <v>6.6172104175125113E+23</v>
      </c>
      <c r="DNZ56" s="850">
        <f t="shared" si="63"/>
        <v>0</v>
      </c>
      <c r="DOA56" s="850">
        <f t="shared" si="63"/>
        <v>6.8157267300378868E+23</v>
      </c>
      <c r="DOB56" s="850">
        <f t="shared" si="63"/>
        <v>0</v>
      </c>
      <c r="DOC56" s="850">
        <f t="shared" si="63"/>
        <v>7.0201985319390233E+23</v>
      </c>
      <c r="DOD56" s="850">
        <f t="shared" si="63"/>
        <v>0</v>
      </c>
      <c r="DOE56" s="850">
        <f t="shared" si="63"/>
        <v>7.2308044878971939E+23</v>
      </c>
      <c r="DOF56" s="850">
        <f t="shared" si="63"/>
        <v>0</v>
      </c>
      <c r="DOG56" s="850">
        <f t="shared" si="63"/>
        <v>7.4477286225341101E+23</v>
      </c>
      <c r="DOH56" s="850">
        <f t="shared" si="63"/>
        <v>0</v>
      </c>
      <c r="DOI56" s="850">
        <f t="shared" si="63"/>
        <v>7.6711604812101339E+23</v>
      </c>
      <c r="DOJ56" s="850">
        <f t="shared" si="63"/>
        <v>0</v>
      </c>
      <c r="DOK56" s="850">
        <f t="shared" si="63"/>
        <v>7.9012952956464376E+23</v>
      </c>
      <c r="DOL56" s="850">
        <f t="shared" si="63"/>
        <v>0</v>
      </c>
      <c r="DOM56" s="850">
        <f t="shared" si="63"/>
        <v>8.1383341545158312E+23</v>
      </c>
      <c r="DON56" s="850">
        <f t="shared" si="63"/>
        <v>0</v>
      </c>
      <c r="DOO56" s="850">
        <f t="shared" si="63"/>
        <v>8.382484179151307E+23</v>
      </c>
      <c r="DOP56" s="850">
        <f t="shared" si="63"/>
        <v>0</v>
      </c>
      <c r="DOQ56" s="850">
        <f t="shared" si="63"/>
        <v>8.6339587045258461E+23</v>
      </c>
      <c r="DOR56" s="850">
        <f t="shared" si="63"/>
        <v>0</v>
      </c>
      <c r="DOS56" s="850">
        <f t="shared" si="63"/>
        <v>8.892977465661622E+23</v>
      </c>
      <c r="DOT56" s="850">
        <f t="shared" si="63"/>
        <v>0</v>
      </c>
      <c r="DOU56" s="850">
        <f t="shared" si="63"/>
        <v>9.1597667896314707E+23</v>
      </c>
      <c r="DOV56" s="850">
        <f t="shared" si="63"/>
        <v>0</v>
      </c>
      <c r="DOW56" s="850">
        <f t="shared" si="63"/>
        <v>9.4345597933204155E+23</v>
      </c>
      <c r="DOX56" s="850">
        <f t="shared" si="63"/>
        <v>0</v>
      </c>
      <c r="DOY56" s="850">
        <f t="shared" si="63"/>
        <v>9.7175965871200276E+23</v>
      </c>
      <c r="DOZ56" s="850">
        <f t="shared" si="63"/>
        <v>0</v>
      </c>
      <c r="DPA56" s="850">
        <f t="shared" si="63"/>
        <v>1.0009124484733628E+24</v>
      </c>
      <c r="DPB56" s="850">
        <f t="shared" si="63"/>
        <v>0</v>
      </c>
      <c r="DPC56" s="850">
        <f t="shared" si="63"/>
        <v>1.0309398219275638E+24</v>
      </c>
      <c r="DPD56" s="850">
        <f t="shared" si="63"/>
        <v>0</v>
      </c>
      <c r="DPE56" s="850">
        <f t="shared" si="63"/>
        <v>1.0618680165853907E+24</v>
      </c>
      <c r="DPF56" s="850">
        <f t="shared" si="63"/>
        <v>0</v>
      </c>
      <c r="DPG56" s="850">
        <f t="shared" si="63"/>
        <v>1.0937240570829525E+24</v>
      </c>
      <c r="DPH56" s="850">
        <f t="shared" si="63"/>
        <v>0</v>
      </c>
      <c r="DPI56" s="850">
        <f t="shared" si="63"/>
        <v>1.1265357787954411E+24</v>
      </c>
      <c r="DPJ56" s="850">
        <f t="shared" si="63"/>
        <v>0</v>
      </c>
      <c r="DPK56" s="850">
        <f t="shared" si="63"/>
        <v>1.1603318521593044E+24</v>
      </c>
      <c r="DPL56" s="850">
        <f t="shared" si="63"/>
        <v>0</v>
      </c>
      <c r="DPM56" s="850">
        <f t="shared" si="63"/>
        <v>1.1951418077240835E+24</v>
      </c>
      <c r="DPN56" s="850">
        <f t="shared" si="63"/>
        <v>0</v>
      </c>
      <c r="DPO56" s="850">
        <f t="shared" si="63"/>
        <v>1.2309960619558059E+24</v>
      </c>
      <c r="DPP56" s="850">
        <f t="shared" si="63"/>
        <v>0</v>
      </c>
      <c r="DPQ56" s="850">
        <f t="shared" si="63"/>
        <v>1.2679259438144802E+24</v>
      </c>
      <c r="DPR56" s="850">
        <f t="shared" si="63"/>
        <v>0</v>
      </c>
      <c r="DPS56" s="850">
        <f t="shared" si="63"/>
        <v>1.3059637221289147E+24</v>
      </c>
      <c r="DPT56" s="850">
        <f t="shared" si="63"/>
        <v>0</v>
      </c>
      <c r="DPU56" s="850">
        <f t="shared" si="63"/>
        <v>1.3451426337927823E+24</v>
      </c>
      <c r="DPV56" s="850">
        <f t="shared" si="63"/>
        <v>0</v>
      </c>
      <c r="DPW56" s="850">
        <f t="shared" si="63"/>
        <v>1.3854969128065658E+24</v>
      </c>
      <c r="DPX56" s="850">
        <f t="shared" si="63"/>
        <v>0</v>
      </c>
      <c r="DPY56" s="850">
        <f t="shared" si="63"/>
        <v>1.4270618201907628E+24</v>
      </c>
      <c r="DPZ56" s="850">
        <f t="shared" ref="DPZ56:DSK56" si="64">DPX56*$C$56</f>
        <v>0</v>
      </c>
      <c r="DQA56" s="850">
        <f t="shared" si="64"/>
        <v>1.4698736747964858E+24</v>
      </c>
      <c r="DQB56" s="850">
        <f t="shared" si="64"/>
        <v>0</v>
      </c>
      <c r="DQC56" s="850">
        <f t="shared" si="64"/>
        <v>1.5139698850403803E+24</v>
      </c>
      <c r="DQD56" s="850">
        <f t="shared" si="64"/>
        <v>0</v>
      </c>
      <c r="DQE56" s="850">
        <f t="shared" si="64"/>
        <v>1.5593889815915917E+24</v>
      </c>
      <c r="DQF56" s="850">
        <f t="shared" si="64"/>
        <v>0</v>
      </c>
      <c r="DQG56" s="850">
        <f t="shared" si="64"/>
        <v>1.6061706510393395E+24</v>
      </c>
      <c r="DQH56" s="850">
        <f t="shared" si="64"/>
        <v>0</v>
      </c>
      <c r="DQI56" s="850">
        <f t="shared" si="64"/>
        <v>1.6543557705705197E+24</v>
      </c>
      <c r="DQJ56" s="850">
        <f t="shared" si="64"/>
        <v>0</v>
      </c>
      <c r="DQK56" s="850">
        <f t="shared" si="64"/>
        <v>1.7039864436876352E+24</v>
      </c>
      <c r="DQL56" s="850">
        <f t="shared" si="64"/>
        <v>0</v>
      </c>
      <c r="DQM56" s="850">
        <f t="shared" si="64"/>
        <v>1.7551060369982642E+24</v>
      </c>
      <c r="DQN56" s="850">
        <f t="shared" si="64"/>
        <v>0</v>
      </c>
      <c r="DQO56" s="850">
        <f t="shared" si="64"/>
        <v>1.8077592181082121E+24</v>
      </c>
      <c r="DQP56" s="850">
        <f t="shared" si="64"/>
        <v>0</v>
      </c>
      <c r="DQQ56" s="850">
        <f t="shared" si="64"/>
        <v>1.8619919946514586E+24</v>
      </c>
      <c r="DQR56" s="850">
        <f t="shared" si="64"/>
        <v>0</v>
      </c>
      <c r="DQS56" s="850">
        <f t="shared" si="64"/>
        <v>1.9178517544910024E+24</v>
      </c>
      <c r="DQT56" s="850">
        <f t="shared" si="64"/>
        <v>0</v>
      </c>
      <c r="DQU56" s="850">
        <f t="shared" si="64"/>
        <v>1.9753873071257326E+24</v>
      </c>
      <c r="DQV56" s="850">
        <f t="shared" si="64"/>
        <v>0</v>
      </c>
      <c r="DQW56" s="850">
        <f t="shared" si="64"/>
        <v>2.0346489263395046E+24</v>
      </c>
      <c r="DQX56" s="850">
        <f t="shared" si="64"/>
        <v>0</v>
      </c>
      <c r="DQY56" s="850">
        <f t="shared" si="64"/>
        <v>2.0956883941296897E+24</v>
      </c>
      <c r="DQZ56" s="850">
        <f t="shared" si="64"/>
        <v>0</v>
      </c>
      <c r="DRA56" s="850">
        <f t="shared" si="64"/>
        <v>2.1585590459535804E+24</v>
      </c>
      <c r="DRB56" s="850">
        <f t="shared" si="64"/>
        <v>0</v>
      </c>
      <c r="DRC56" s="850">
        <f t="shared" si="64"/>
        <v>2.223315817332188E+24</v>
      </c>
      <c r="DRD56" s="850">
        <f t="shared" si="64"/>
        <v>0</v>
      </c>
      <c r="DRE56" s="850">
        <f t="shared" si="64"/>
        <v>2.2900152918521537E+24</v>
      </c>
      <c r="DRF56" s="850">
        <f t="shared" si="64"/>
        <v>0</v>
      </c>
      <c r="DRG56" s="850">
        <f t="shared" si="64"/>
        <v>2.3587157506077184E+24</v>
      </c>
      <c r="DRH56" s="850">
        <f t="shared" si="64"/>
        <v>0</v>
      </c>
      <c r="DRI56" s="850">
        <f t="shared" si="64"/>
        <v>2.4294772231259499E+24</v>
      </c>
      <c r="DRJ56" s="850">
        <f t="shared" si="64"/>
        <v>0</v>
      </c>
      <c r="DRK56" s="850">
        <f t="shared" si="64"/>
        <v>2.5023615398197287E+24</v>
      </c>
      <c r="DRL56" s="850">
        <f t="shared" si="64"/>
        <v>0</v>
      </c>
      <c r="DRM56" s="850">
        <f t="shared" si="64"/>
        <v>2.5774323860143207E+24</v>
      </c>
      <c r="DRN56" s="850">
        <f t="shared" si="64"/>
        <v>0</v>
      </c>
      <c r="DRO56" s="850">
        <f t="shared" si="64"/>
        <v>2.6547553575947506E+24</v>
      </c>
      <c r="DRP56" s="850">
        <f t="shared" si="64"/>
        <v>0</v>
      </c>
      <c r="DRQ56" s="850">
        <f t="shared" si="64"/>
        <v>2.7343980183225933E+24</v>
      </c>
      <c r="DRR56" s="850">
        <f t="shared" si="64"/>
        <v>0</v>
      </c>
      <c r="DRS56" s="850">
        <f t="shared" si="64"/>
        <v>2.8164299588722713E+24</v>
      </c>
      <c r="DRT56" s="850">
        <f t="shared" si="64"/>
        <v>0</v>
      </c>
      <c r="DRU56" s="850">
        <f t="shared" si="64"/>
        <v>2.9009228576384398E+24</v>
      </c>
      <c r="DRV56" s="850">
        <f t="shared" si="64"/>
        <v>0</v>
      </c>
      <c r="DRW56" s="850">
        <f t="shared" si="64"/>
        <v>2.9879505433675933E+24</v>
      </c>
      <c r="DRX56" s="850">
        <f t="shared" si="64"/>
        <v>0</v>
      </c>
      <c r="DRY56" s="850">
        <f t="shared" si="64"/>
        <v>3.0775890596686214E+24</v>
      </c>
      <c r="DRZ56" s="850">
        <f t="shared" si="64"/>
        <v>0</v>
      </c>
      <c r="DSA56" s="850">
        <f t="shared" si="64"/>
        <v>3.1699167314586802E+24</v>
      </c>
      <c r="DSB56" s="850">
        <f t="shared" si="64"/>
        <v>0</v>
      </c>
      <c r="DSC56" s="850">
        <f t="shared" si="64"/>
        <v>3.2650142334024407E+24</v>
      </c>
      <c r="DSD56" s="850">
        <f t="shared" si="64"/>
        <v>0</v>
      </c>
      <c r="DSE56" s="850">
        <f t="shared" si="64"/>
        <v>3.3629646604045142E+24</v>
      </c>
      <c r="DSF56" s="850">
        <f t="shared" si="64"/>
        <v>0</v>
      </c>
      <c r="DSG56" s="850">
        <f t="shared" si="64"/>
        <v>3.4638536002166496E+24</v>
      </c>
      <c r="DSH56" s="850">
        <f t="shared" si="64"/>
        <v>0</v>
      </c>
      <c r="DSI56" s="850">
        <f t="shared" si="64"/>
        <v>3.5677692082231491E+24</v>
      </c>
      <c r="DSJ56" s="850">
        <f t="shared" si="64"/>
        <v>0</v>
      </c>
      <c r="DSK56" s="850">
        <f t="shared" si="64"/>
        <v>3.6748022844698438E+24</v>
      </c>
      <c r="DSL56" s="850">
        <f t="shared" ref="DSL56:DUW56" si="65">DSJ56*$C$56</f>
        <v>0</v>
      </c>
      <c r="DSM56" s="850">
        <f t="shared" si="65"/>
        <v>3.7850463530039392E+24</v>
      </c>
      <c r="DSN56" s="850">
        <f t="shared" si="65"/>
        <v>0</v>
      </c>
      <c r="DSO56" s="850">
        <f t="shared" si="65"/>
        <v>3.8985977435940577E+24</v>
      </c>
      <c r="DSP56" s="850">
        <f t="shared" si="65"/>
        <v>0</v>
      </c>
      <c r="DSQ56" s="850">
        <f t="shared" si="65"/>
        <v>4.0155556759018796E+24</v>
      </c>
      <c r="DSR56" s="850">
        <f t="shared" si="65"/>
        <v>0</v>
      </c>
      <c r="DSS56" s="850">
        <f t="shared" si="65"/>
        <v>4.1360223461789359E+24</v>
      </c>
      <c r="DST56" s="850">
        <f t="shared" si="65"/>
        <v>0</v>
      </c>
      <c r="DSU56" s="850">
        <f t="shared" si="65"/>
        <v>4.2601030165643039E+24</v>
      </c>
      <c r="DSV56" s="850">
        <f t="shared" si="65"/>
        <v>0</v>
      </c>
      <c r="DSW56" s="850">
        <f t="shared" si="65"/>
        <v>4.387906107061233E+24</v>
      </c>
      <c r="DSX56" s="850">
        <f t="shared" si="65"/>
        <v>0</v>
      </c>
      <c r="DSY56" s="850">
        <f t="shared" si="65"/>
        <v>4.51954329027307E+24</v>
      </c>
      <c r="DSZ56" s="850">
        <f t="shared" si="65"/>
        <v>0</v>
      </c>
      <c r="DTA56" s="850">
        <f t="shared" si="65"/>
        <v>4.6551295889812623E+24</v>
      </c>
      <c r="DTB56" s="850">
        <f t="shared" si="65"/>
        <v>0</v>
      </c>
      <c r="DTC56" s="850">
        <f t="shared" si="65"/>
        <v>4.7947834766507005E+24</v>
      </c>
      <c r="DTD56" s="850">
        <f t="shared" si="65"/>
        <v>0</v>
      </c>
      <c r="DTE56" s="850">
        <f t="shared" si="65"/>
        <v>4.9386269809502214E+24</v>
      </c>
      <c r="DTF56" s="850">
        <f t="shared" si="65"/>
        <v>0</v>
      </c>
      <c r="DTG56" s="850">
        <f t="shared" si="65"/>
        <v>5.0867857903787283E+24</v>
      </c>
      <c r="DTH56" s="850">
        <f t="shared" si="65"/>
        <v>0</v>
      </c>
      <c r="DTI56" s="850">
        <f t="shared" si="65"/>
        <v>5.2393893640900907E+24</v>
      </c>
      <c r="DTJ56" s="850">
        <f t="shared" si="65"/>
        <v>0</v>
      </c>
      <c r="DTK56" s="850">
        <f t="shared" si="65"/>
        <v>5.3965710450127932E+24</v>
      </c>
      <c r="DTL56" s="850">
        <f t="shared" si="65"/>
        <v>0</v>
      </c>
      <c r="DTM56" s="850">
        <f t="shared" si="65"/>
        <v>5.5584681763631773E+24</v>
      </c>
      <c r="DTN56" s="850">
        <f t="shared" si="65"/>
        <v>0</v>
      </c>
      <c r="DTO56" s="850">
        <f t="shared" si="65"/>
        <v>5.7252222216540729E+24</v>
      </c>
      <c r="DTP56" s="850">
        <f t="shared" si="65"/>
        <v>0</v>
      </c>
      <c r="DTQ56" s="850">
        <f t="shared" si="65"/>
        <v>5.8969788883036955E+24</v>
      </c>
      <c r="DTR56" s="850">
        <f t="shared" si="65"/>
        <v>0</v>
      </c>
      <c r="DTS56" s="850">
        <f t="shared" si="65"/>
        <v>6.0738882549528068E+24</v>
      </c>
      <c r="DTT56" s="850">
        <f t="shared" si="65"/>
        <v>0</v>
      </c>
      <c r="DTU56" s="850">
        <f t="shared" si="65"/>
        <v>6.2561049026013911E+24</v>
      </c>
      <c r="DTV56" s="850">
        <f t="shared" si="65"/>
        <v>0</v>
      </c>
      <c r="DTW56" s="850">
        <f t="shared" si="65"/>
        <v>6.4437880496794335E+24</v>
      </c>
      <c r="DTX56" s="850">
        <f t="shared" si="65"/>
        <v>0</v>
      </c>
      <c r="DTY56" s="850">
        <f t="shared" si="65"/>
        <v>6.6371016911698164E+24</v>
      </c>
      <c r="DTZ56" s="850">
        <f t="shared" si="65"/>
        <v>0</v>
      </c>
      <c r="DUA56" s="850">
        <f t="shared" si="65"/>
        <v>6.8362147419049113E+24</v>
      </c>
      <c r="DUB56" s="850">
        <f t="shared" si="65"/>
        <v>0</v>
      </c>
      <c r="DUC56" s="850">
        <f t="shared" si="65"/>
        <v>7.0413011841620585E+24</v>
      </c>
      <c r="DUD56" s="850">
        <f t="shared" si="65"/>
        <v>0</v>
      </c>
      <c r="DUE56" s="850">
        <f t="shared" si="65"/>
        <v>7.2525402196869205E+24</v>
      </c>
      <c r="DUF56" s="850">
        <f t="shared" si="65"/>
        <v>0</v>
      </c>
      <c r="DUG56" s="850">
        <f t="shared" si="65"/>
        <v>7.4701164262775282E+24</v>
      </c>
      <c r="DUH56" s="850">
        <f t="shared" si="65"/>
        <v>0</v>
      </c>
      <c r="DUI56" s="850">
        <f t="shared" si="65"/>
        <v>7.6942199190658541E+24</v>
      </c>
      <c r="DUJ56" s="850">
        <f t="shared" si="65"/>
        <v>0</v>
      </c>
      <c r="DUK56" s="850">
        <f t="shared" si="65"/>
        <v>7.9250465166378294E+24</v>
      </c>
      <c r="DUL56" s="850">
        <f t="shared" si="65"/>
        <v>0</v>
      </c>
      <c r="DUM56" s="850">
        <f t="shared" si="65"/>
        <v>8.1627979121369641E+24</v>
      </c>
      <c r="DUN56" s="850">
        <f t="shared" si="65"/>
        <v>0</v>
      </c>
      <c r="DUO56" s="850">
        <f t="shared" si="65"/>
        <v>8.4076818495010736E+24</v>
      </c>
      <c r="DUP56" s="850">
        <f t="shared" si="65"/>
        <v>0</v>
      </c>
      <c r="DUQ56" s="850">
        <f t="shared" si="65"/>
        <v>8.6599123049861057E+24</v>
      </c>
      <c r="DUR56" s="850">
        <f t="shared" si="65"/>
        <v>0</v>
      </c>
      <c r="DUS56" s="850">
        <f t="shared" si="65"/>
        <v>8.9197096741356892E+24</v>
      </c>
      <c r="DUT56" s="850">
        <f t="shared" si="65"/>
        <v>0</v>
      </c>
      <c r="DUU56" s="850">
        <f t="shared" si="65"/>
        <v>9.1873009643597597E+24</v>
      </c>
      <c r="DUV56" s="850">
        <f t="shared" si="65"/>
        <v>0</v>
      </c>
      <c r="DUW56" s="850">
        <f t="shared" si="65"/>
        <v>9.4629199932905525E+24</v>
      </c>
      <c r="DUX56" s="850">
        <f t="shared" ref="DUX56:DXI56" si="66">DUV56*$C$56</f>
        <v>0</v>
      </c>
      <c r="DUY56" s="850">
        <f t="shared" si="66"/>
        <v>9.7468075930892698E+24</v>
      </c>
      <c r="DUZ56" s="850">
        <f t="shared" si="66"/>
        <v>0</v>
      </c>
      <c r="DVA56" s="850">
        <f t="shared" si="66"/>
        <v>1.0039211820881948E+25</v>
      </c>
      <c r="DVB56" s="850">
        <f t="shared" si="66"/>
        <v>0</v>
      </c>
      <c r="DVC56" s="850">
        <f t="shared" si="66"/>
        <v>1.0340388175508407E+25</v>
      </c>
      <c r="DVD56" s="850">
        <f t="shared" si="66"/>
        <v>0</v>
      </c>
      <c r="DVE56" s="850">
        <f t="shared" si="66"/>
        <v>1.0650599820773659E+25</v>
      </c>
      <c r="DVF56" s="850">
        <f t="shared" si="66"/>
        <v>0</v>
      </c>
      <c r="DVG56" s="850">
        <f t="shared" si="66"/>
        <v>1.0970117815396868E+25</v>
      </c>
      <c r="DVH56" s="850">
        <f t="shared" si="66"/>
        <v>0</v>
      </c>
      <c r="DVI56" s="850">
        <f t="shared" si="66"/>
        <v>1.1299221349858774E+25</v>
      </c>
      <c r="DVJ56" s="850">
        <f t="shared" si="66"/>
        <v>0</v>
      </c>
      <c r="DVK56" s="850">
        <f t="shared" si="66"/>
        <v>1.1638197990354538E+25</v>
      </c>
      <c r="DVL56" s="850">
        <f t="shared" si="66"/>
        <v>0</v>
      </c>
      <c r="DVM56" s="850">
        <f t="shared" si="66"/>
        <v>1.1987343930065173E+25</v>
      </c>
      <c r="DVN56" s="850">
        <f t="shared" si="66"/>
        <v>0</v>
      </c>
      <c r="DVO56" s="850">
        <f t="shared" si="66"/>
        <v>1.2346964247967129E+25</v>
      </c>
      <c r="DVP56" s="850">
        <f t="shared" si="66"/>
        <v>0</v>
      </c>
      <c r="DVQ56" s="850">
        <f t="shared" si="66"/>
        <v>1.2717373175406142E+25</v>
      </c>
      <c r="DVR56" s="850">
        <f t="shared" si="66"/>
        <v>0</v>
      </c>
      <c r="DVS56" s="850">
        <f t="shared" si="66"/>
        <v>1.3098894370668327E+25</v>
      </c>
      <c r="DVT56" s="850">
        <f t="shared" si="66"/>
        <v>0</v>
      </c>
      <c r="DVU56" s="850">
        <f t="shared" si="66"/>
        <v>1.3491861201788378E+25</v>
      </c>
      <c r="DVV56" s="850">
        <f t="shared" si="66"/>
        <v>0</v>
      </c>
      <c r="DVW56" s="850">
        <f t="shared" si="66"/>
        <v>1.389661703784203E+25</v>
      </c>
      <c r="DVX56" s="850">
        <f t="shared" si="66"/>
        <v>0</v>
      </c>
      <c r="DVY56" s="850">
        <f t="shared" si="66"/>
        <v>1.4313515548977292E+25</v>
      </c>
      <c r="DVZ56" s="850">
        <f t="shared" si="66"/>
        <v>0</v>
      </c>
      <c r="DWA56" s="850">
        <f t="shared" si="66"/>
        <v>1.474292101544661E+25</v>
      </c>
      <c r="DWB56" s="850">
        <f t="shared" si="66"/>
        <v>0</v>
      </c>
      <c r="DWC56" s="850">
        <f t="shared" si="66"/>
        <v>1.5185208645910009E+25</v>
      </c>
      <c r="DWD56" s="850">
        <f t="shared" si="66"/>
        <v>0</v>
      </c>
      <c r="DWE56" s="850">
        <f t="shared" si="66"/>
        <v>1.5640764905287309E+25</v>
      </c>
      <c r="DWF56" s="850">
        <f t="shared" si="66"/>
        <v>0</v>
      </c>
      <c r="DWG56" s="850">
        <f t="shared" si="66"/>
        <v>1.6109987852445929E+25</v>
      </c>
      <c r="DWH56" s="850">
        <f t="shared" si="66"/>
        <v>0</v>
      </c>
      <c r="DWI56" s="850">
        <f t="shared" si="66"/>
        <v>1.6593287488019308E+25</v>
      </c>
      <c r="DWJ56" s="850">
        <f t="shared" si="66"/>
        <v>0</v>
      </c>
      <c r="DWK56" s="850">
        <f t="shared" si="66"/>
        <v>1.7091086112659887E+25</v>
      </c>
      <c r="DWL56" s="850">
        <f t="shared" si="66"/>
        <v>0</v>
      </c>
      <c r="DWM56" s="850">
        <f t="shared" si="66"/>
        <v>1.7603818696039684E+25</v>
      </c>
      <c r="DWN56" s="850">
        <f t="shared" si="66"/>
        <v>0</v>
      </c>
      <c r="DWO56" s="850">
        <f t="shared" si="66"/>
        <v>1.8131933256920875E+25</v>
      </c>
      <c r="DWP56" s="850">
        <f t="shared" si="66"/>
        <v>0</v>
      </c>
      <c r="DWQ56" s="850">
        <f t="shared" si="66"/>
        <v>1.8675891254628502E+25</v>
      </c>
      <c r="DWR56" s="850">
        <f t="shared" si="66"/>
        <v>0</v>
      </c>
      <c r="DWS56" s="850">
        <f t="shared" si="66"/>
        <v>1.9236167992267358E+25</v>
      </c>
      <c r="DWT56" s="850">
        <f t="shared" si="66"/>
        <v>0</v>
      </c>
      <c r="DWU56" s="850">
        <f t="shared" si="66"/>
        <v>1.9813253032035378E+25</v>
      </c>
      <c r="DWV56" s="850">
        <f t="shared" si="66"/>
        <v>0</v>
      </c>
      <c r="DWW56" s="850">
        <f t="shared" si="66"/>
        <v>2.0407650622996441E+25</v>
      </c>
      <c r="DWX56" s="850">
        <f t="shared" si="66"/>
        <v>0</v>
      </c>
      <c r="DWY56" s="850">
        <f t="shared" si="66"/>
        <v>2.1019880141686336E+25</v>
      </c>
      <c r="DWZ56" s="850">
        <f t="shared" si="66"/>
        <v>0</v>
      </c>
      <c r="DXA56" s="850">
        <f t="shared" si="66"/>
        <v>2.1650476545936928E+25</v>
      </c>
      <c r="DXB56" s="850">
        <f t="shared" si="66"/>
        <v>0</v>
      </c>
      <c r="DXC56" s="850">
        <f t="shared" si="66"/>
        <v>2.2299990842315035E+25</v>
      </c>
      <c r="DXD56" s="850">
        <f t="shared" si="66"/>
        <v>0</v>
      </c>
      <c r="DXE56" s="850">
        <f t="shared" si="66"/>
        <v>2.2968990567584485E+25</v>
      </c>
      <c r="DXF56" s="850">
        <f t="shared" si="66"/>
        <v>0</v>
      </c>
      <c r="DXG56" s="850">
        <f t="shared" si="66"/>
        <v>2.3658060284612021E+25</v>
      </c>
      <c r="DXH56" s="850">
        <f t="shared" si="66"/>
        <v>0</v>
      </c>
      <c r="DXI56" s="850">
        <f t="shared" si="66"/>
        <v>2.4367802093150382E+25</v>
      </c>
      <c r="DXJ56" s="850">
        <f t="shared" ref="DXJ56:DZU56" si="67">DXH56*$C$56</f>
        <v>0</v>
      </c>
      <c r="DXK56" s="850">
        <f t="shared" si="67"/>
        <v>2.5098836155944896E+25</v>
      </c>
      <c r="DXL56" s="850">
        <f t="shared" si="67"/>
        <v>0</v>
      </c>
      <c r="DXM56" s="850">
        <f t="shared" si="67"/>
        <v>2.5851801240623243E+25</v>
      </c>
      <c r="DXN56" s="850">
        <f t="shared" si="67"/>
        <v>0</v>
      </c>
      <c r="DXO56" s="850">
        <f t="shared" si="67"/>
        <v>2.6627355277841942E+25</v>
      </c>
      <c r="DXP56" s="850">
        <f t="shared" si="67"/>
        <v>0</v>
      </c>
      <c r="DXQ56" s="850">
        <f t="shared" si="67"/>
        <v>2.74261759361772E+25</v>
      </c>
      <c r="DXR56" s="850">
        <f t="shared" si="67"/>
        <v>0</v>
      </c>
      <c r="DXS56" s="850">
        <f t="shared" si="67"/>
        <v>2.8248961214262515E+25</v>
      </c>
      <c r="DXT56" s="850">
        <f t="shared" si="67"/>
        <v>0</v>
      </c>
      <c r="DXU56" s="850">
        <f t="shared" si="67"/>
        <v>2.909643005069039E+25</v>
      </c>
      <c r="DXV56" s="850">
        <f t="shared" si="67"/>
        <v>0</v>
      </c>
      <c r="DXW56" s="850">
        <f t="shared" si="67"/>
        <v>2.9969322952211101E+25</v>
      </c>
      <c r="DXX56" s="850">
        <f t="shared" si="67"/>
        <v>0</v>
      </c>
      <c r="DXY56" s="850">
        <f t="shared" si="67"/>
        <v>3.0868402640777434E+25</v>
      </c>
      <c r="DXZ56" s="850">
        <f t="shared" si="67"/>
        <v>0</v>
      </c>
      <c r="DYA56" s="850">
        <f t="shared" si="67"/>
        <v>3.1794454720000759E+25</v>
      </c>
      <c r="DYB56" s="850">
        <f t="shared" si="67"/>
        <v>0</v>
      </c>
      <c r="DYC56" s="850">
        <f t="shared" si="67"/>
        <v>3.2748288361600783E+25</v>
      </c>
      <c r="DYD56" s="850">
        <f t="shared" si="67"/>
        <v>0</v>
      </c>
      <c r="DYE56" s="850">
        <f t="shared" si="67"/>
        <v>3.3730737012448806E+25</v>
      </c>
      <c r="DYF56" s="850">
        <f t="shared" si="67"/>
        <v>0</v>
      </c>
      <c r="DYG56" s="850">
        <f t="shared" si="67"/>
        <v>3.4742659122822271E+25</v>
      </c>
      <c r="DYH56" s="850">
        <f t="shared" si="67"/>
        <v>0</v>
      </c>
      <c r="DYI56" s="850">
        <f t="shared" si="67"/>
        <v>3.578493889650694E+25</v>
      </c>
      <c r="DYJ56" s="850">
        <f t="shared" si="67"/>
        <v>0</v>
      </c>
      <c r="DYK56" s="850">
        <f t="shared" si="67"/>
        <v>3.6858487063402147E+25</v>
      </c>
      <c r="DYL56" s="850">
        <f t="shared" si="67"/>
        <v>0</v>
      </c>
      <c r="DYM56" s="850">
        <f t="shared" si="67"/>
        <v>3.7964241675304214E+25</v>
      </c>
      <c r="DYN56" s="850">
        <f t="shared" si="67"/>
        <v>0</v>
      </c>
      <c r="DYO56" s="850">
        <f t="shared" si="67"/>
        <v>3.9103168925563339E+25</v>
      </c>
      <c r="DYP56" s="850">
        <f t="shared" si="67"/>
        <v>0</v>
      </c>
      <c r="DYQ56" s="850">
        <f t="shared" si="67"/>
        <v>4.0276263993330243E+25</v>
      </c>
      <c r="DYR56" s="850">
        <f t="shared" si="67"/>
        <v>0</v>
      </c>
      <c r="DYS56" s="850">
        <f t="shared" si="67"/>
        <v>4.1484551913130152E+25</v>
      </c>
      <c r="DYT56" s="850">
        <f t="shared" si="67"/>
        <v>0</v>
      </c>
      <c r="DYU56" s="850">
        <f t="shared" si="67"/>
        <v>4.2729088470524057E+25</v>
      </c>
      <c r="DYV56" s="850">
        <f t="shared" si="67"/>
        <v>0</v>
      </c>
      <c r="DYW56" s="850">
        <f t="shared" si="67"/>
        <v>4.401096112463978E+25</v>
      </c>
      <c r="DYX56" s="850">
        <f t="shared" si="67"/>
        <v>0</v>
      </c>
      <c r="DYY56" s="850">
        <f t="shared" si="67"/>
        <v>4.5331289958378976E+25</v>
      </c>
      <c r="DYZ56" s="850">
        <f t="shared" si="67"/>
        <v>0</v>
      </c>
      <c r="DZA56" s="850">
        <f t="shared" si="67"/>
        <v>4.6691228657130349E+25</v>
      </c>
      <c r="DZB56" s="850">
        <f t="shared" si="67"/>
        <v>0</v>
      </c>
      <c r="DZC56" s="850">
        <f t="shared" si="67"/>
        <v>4.809196551684426E+25</v>
      </c>
      <c r="DZD56" s="850">
        <f t="shared" si="67"/>
        <v>0</v>
      </c>
      <c r="DZE56" s="850">
        <f t="shared" si="67"/>
        <v>4.9534724482349585E+25</v>
      </c>
      <c r="DZF56" s="850">
        <f t="shared" si="67"/>
        <v>0</v>
      </c>
      <c r="DZG56" s="850">
        <f t="shared" si="67"/>
        <v>5.1020766216820071E+25</v>
      </c>
      <c r="DZH56" s="850">
        <f t="shared" si="67"/>
        <v>0</v>
      </c>
      <c r="DZI56" s="850">
        <f t="shared" si="67"/>
        <v>5.2551389203324679E+25</v>
      </c>
      <c r="DZJ56" s="850">
        <f t="shared" si="67"/>
        <v>0</v>
      </c>
      <c r="DZK56" s="850">
        <f t="shared" si="67"/>
        <v>5.4127930879424423E+25</v>
      </c>
      <c r="DZL56" s="850">
        <f t="shared" si="67"/>
        <v>0</v>
      </c>
      <c r="DZM56" s="850">
        <f t="shared" si="67"/>
        <v>5.5751768805807153E+25</v>
      </c>
      <c r="DZN56" s="850">
        <f t="shared" si="67"/>
        <v>0</v>
      </c>
      <c r="DZO56" s="850">
        <f t="shared" si="67"/>
        <v>5.7424321869981367E+25</v>
      </c>
      <c r="DZP56" s="850">
        <f t="shared" si="67"/>
        <v>0</v>
      </c>
      <c r="DZQ56" s="850">
        <f t="shared" si="67"/>
        <v>5.9147051526080806E+25</v>
      </c>
      <c r="DZR56" s="850">
        <f t="shared" si="67"/>
        <v>0</v>
      </c>
      <c r="DZS56" s="850">
        <f t="shared" si="67"/>
        <v>6.0921463071863232E+25</v>
      </c>
      <c r="DZT56" s="850">
        <f t="shared" si="67"/>
        <v>0</v>
      </c>
      <c r="DZU56" s="850">
        <f t="shared" si="67"/>
        <v>6.2749106964019133E+25</v>
      </c>
      <c r="DZV56" s="850">
        <f t="shared" ref="DZV56:ECG56" si="68">DZT56*$C$56</f>
        <v>0</v>
      </c>
      <c r="DZW56" s="850">
        <f t="shared" si="68"/>
        <v>6.4631580172939713E+25</v>
      </c>
      <c r="DZX56" s="850">
        <f t="shared" si="68"/>
        <v>0</v>
      </c>
      <c r="DZY56" s="850">
        <f t="shared" si="68"/>
        <v>6.6570527578127909E+25</v>
      </c>
      <c r="DZZ56" s="850">
        <f t="shared" si="68"/>
        <v>0</v>
      </c>
      <c r="EAA56" s="850">
        <f t="shared" si="68"/>
        <v>6.8567643405471746E+25</v>
      </c>
      <c r="EAB56" s="850">
        <f t="shared" si="68"/>
        <v>0</v>
      </c>
      <c r="EAC56" s="850">
        <f t="shared" si="68"/>
        <v>7.0624672707635899E+25</v>
      </c>
      <c r="EAD56" s="850">
        <f t="shared" si="68"/>
        <v>0</v>
      </c>
      <c r="EAE56" s="850">
        <f t="shared" si="68"/>
        <v>7.2743412888864975E+25</v>
      </c>
      <c r="EAF56" s="850">
        <f t="shared" si="68"/>
        <v>0</v>
      </c>
      <c r="EAG56" s="850">
        <f t="shared" si="68"/>
        <v>7.4925715275530929E+25</v>
      </c>
      <c r="EAH56" s="850">
        <f t="shared" si="68"/>
        <v>0</v>
      </c>
      <c r="EAI56" s="850">
        <f t="shared" si="68"/>
        <v>7.7173486733796861E+25</v>
      </c>
      <c r="EAJ56" s="850">
        <f t="shared" si="68"/>
        <v>0</v>
      </c>
      <c r="EAK56" s="850">
        <f t="shared" si="68"/>
        <v>7.9488691335810772E+25</v>
      </c>
      <c r="EAL56" s="850">
        <f t="shared" si="68"/>
        <v>0</v>
      </c>
      <c r="EAM56" s="850">
        <f t="shared" si="68"/>
        <v>8.1873352075885104E+25</v>
      </c>
      <c r="EAN56" s="850">
        <f t="shared" si="68"/>
        <v>0</v>
      </c>
      <c r="EAO56" s="850">
        <f t="shared" si="68"/>
        <v>8.4329552638161665E+25</v>
      </c>
      <c r="EAP56" s="850">
        <f t="shared" si="68"/>
        <v>0</v>
      </c>
      <c r="EAQ56" s="850">
        <f t="shared" si="68"/>
        <v>8.6859439217306524E+25</v>
      </c>
      <c r="EAR56" s="850">
        <f t="shared" si="68"/>
        <v>0</v>
      </c>
      <c r="EAS56" s="850">
        <f t="shared" si="68"/>
        <v>8.9465222393825714E+25</v>
      </c>
      <c r="EAT56" s="850">
        <f t="shared" si="68"/>
        <v>0</v>
      </c>
      <c r="EAU56" s="850">
        <f t="shared" si="68"/>
        <v>9.214917906564049E+25</v>
      </c>
      <c r="EAV56" s="850">
        <f t="shared" si="68"/>
        <v>0</v>
      </c>
      <c r="EAW56" s="850">
        <f t="shared" si="68"/>
        <v>9.4913654437609709E+25</v>
      </c>
      <c r="EAX56" s="850">
        <f t="shared" si="68"/>
        <v>0</v>
      </c>
      <c r="EAY56" s="850">
        <f t="shared" si="68"/>
        <v>9.7761064070737997E+25</v>
      </c>
      <c r="EAZ56" s="850">
        <f t="shared" si="68"/>
        <v>0</v>
      </c>
      <c r="EBA56" s="850">
        <f t="shared" si="68"/>
        <v>1.0069389599286015E+26</v>
      </c>
      <c r="EBB56" s="850">
        <f t="shared" si="68"/>
        <v>0</v>
      </c>
      <c r="EBC56" s="850">
        <f t="shared" si="68"/>
        <v>1.0371471287264596E+26</v>
      </c>
      <c r="EBD56" s="850">
        <f t="shared" si="68"/>
        <v>0</v>
      </c>
      <c r="EBE56" s="850">
        <f t="shared" si="68"/>
        <v>1.0682615425882533E+26</v>
      </c>
      <c r="EBF56" s="850">
        <f t="shared" si="68"/>
        <v>0</v>
      </c>
      <c r="EBG56" s="850">
        <f t="shared" si="68"/>
        <v>1.1003093888659009E+26</v>
      </c>
      <c r="EBH56" s="850">
        <f t="shared" si="68"/>
        <v>0</v>
      </c>
      <c r="EBI56" s="850">
        <f t="shared" si="68"/>
        <v>1.133318670531878E+26</v>
      </c>
      <c r="EBJ56" s="850">
        <f t="shared" si="68"/>
        <v>0</v>
      </c>
      <c r="EBK56" s="850">
        <f t="shared" si="68"/>
        <v>1.1673182306478344E+26</v>
      </c>
      <c r="EBL56" s="850">
        <f t="shared" si="68"/>
        <v>0</v>
      </c>
      <c r="EBM56" s="850">
        <f t="shared" si="68"/>
        <v>1.2023377775672695E+26</v>
      </c>
      <c r="EBN56" s="850">
        <f t="shared" si="68"/>
        <v>0</v>
      </c>
      <c r="EBO56" s="850">
        <f t="shared" si="68"/>
        <v>1.2384079108942876E+26</v>
      </c>
      <c r="EBP56" s="850">
        <f t="shared" si="68"/>
        <v>0</v>
      </c>
      <c r="EBQ56" s="850">
        <f t="shared" si="68"/>
        <v>1.2755601482211162E+26</v>
      </c>
      <c r="EBR56" s="850">
        <f t="shared" si="68"/>
        <v>0</v>
      </c>
      <c r="EBS56" s="850">
        <f t="shared" si="68"/>
        <v>1.3138269526677497E+26</v>
      </c>
      <c r="EBT56" s="850">
        <f t="shared" si="68"/>
        <v>0</v>
      </c>
      <c r="EBU56" s="850">
        <f t="shared" si="68"/>
        <v>1.3532417612477823E+26</v>
      </c>
      <c r="EBV56" s="850">
        <f t="shared" si="68"/>
        <v>0</v>
      </c>
      <c r="EBW56" s="850">
        <f t="shared" si="68"/>
        <v>1.3938390140852158E+26</v>
      </c>
      <c r="EBX56" s="850">
        <f t="shared" si="68"/>
        <v>0</v>
      </c>
      <c r="EBY56" s="850">
        <f t="shared" si="68"/>
        <v>1.4356541845077722E+26</v>
      </c>
      <c r="EBZ56" s="850">
        <f t="shared" si="68"/>
        <v>0</v>
      </c>
      <c r="ECA56" s="850">
        <f t="shared" si="68"/>
        <v>1.4787238100430054E+26</v>
      </c>
      <c r="ECB56" s="850">
        <f t="shared" si="68"/>
        <v>0</v>
      </c>
      <c r="ECC56" s="850">
        <f t="shared" si="68"/>
        <v>1.5230855243442957E+26</v>
      </c>
      <c r="ECD56" s="850">
        <f t="shared" si="68"/>
        <v>0</v>
      </c>
      <c r="ECE56" s="850">
        <f t="shared" si="68"/>
        <v>1.5687780900746246E+26</v>
      </c>
      <c r="ECF56" s="850">
        <f t="shared" si="68"/>
        <v>0</v>
      </c>
      <c r="ECG56" s="850">
        <f t="shared" si="68"/>
        <v>1.6158414327768633E+26</v>
      </c>
      <c r="ECH56" s="850">
        <f t="shared" ref="ECH56:EES56" si="69">ECF56*$C$56</f>
        <v>0</v>
      </c>
      <c r="ECI56" s="850">
        <f t="shared" si="69"/>
        <v>1.6643166757601694E+26</v>
      </c>
      <c r="ECJ56" s="850">
        <f t="shared" si="69"/>
        <v>0</v>
      </c>
      <c r="ECK56" s="850">
        <f t="shared" si="69"/>
        <v>1.7142461760329745E+26</v>
      </c>
      <c r="ECL56" s="850">
        <f t="shared" si="69"/>
        <v>0</v>
      </c>
      <c r="ECM56" s="850">
        <f t="shared" si="69"/>
        <v>1.7656735613139637E+26</v>
      </c>
      <c r="ECN56" s="850">
        <f t="shared" si="69"/>
        <v>0</v>
      </c>
      <c r="ECO56" s="850">
        <f t="shared" si="69"/>
        <v>1.8186437681533828E+26</v>
      </c>
      <c r="ECP56" s="850">
        <f t="shared" si="69"/>
        <v>0</v>
      </c>
      <c r="ECQ56" s="850">
        <f t="shared" si="69"/>
        <v>1.8732030811979842E+26</v>
      </c>
      <c r="ECR56" s="850">
        <f t="shared" si="69"/>
        <v>0</v>
      </c>
      <c r="ECS56" s="850">
        <f t="shared" si="69"/>
        <v>1.9293991736339238E+26</v>
      </c>
      <c r="ECT56" s="850">
        <f t="shared" si="69"/>
        <v>0</v>
      </c>
      <c r="ECU56" s="850">
        <f t="shared" si="69"/>
        <v>1.9872811488429417E+26</v>
      </c>
      <c r="ECV56" s="850">
        <f t="shared" si="69"/>
        <v>0</v>
      </c>
      <c r="ECW56" s="850">
        <f t="shared" si="69"/>
        <v>2.04689958330823E+26</v>
      </c>
      <c r="ECX56" s="850">
        <f t="shared" si="69"/>
        <v>0</v>
      </c>
      <c r="ECY56" s="850">
        <f t="shared" si="69"/>
        <v>2.1083065708074769E+26</v>
      </c>
      <c r="ECZ56" s="850">
        <f t="shared" si="69"/>
        <v>0</v>
      </c>
      <c r="EDA56" s="850">
        <f t="shared" si="69"/>
        <v>2.1715557679317011E+26</v>
      </c>
      <c r="EDB56" s="850">
        <f t="shared" si="69"/>
        <v>0</v>
      </c>
      <c r="EDC56" s="850">
        <f t="shared" si="69"/>
        <v>2.2367024409696521E+26</v>
      </c>
      <c r="EDD56" s="850">
        <f t="shared" si="69"/>
        <v>0</v>
      </c>
      <c r="EDE56" s="850">
        <f t="shared" si="69"/>
        <v>2.3038035141987418E+26</v>
      </c>
      <c r="EDF56" s="850">
        <f t="shared" si="69"/>
        <v>0</v>
      </c>
      <c r="EDG56" s="850">
        <f t="shared" si="69"/>
        <v>2.3729176196247043E+26</v>
      </c>
      <c r="EDH56" s="850">
        <f t="shared" si="69"/>
        <v>0</v>
      </c>
      <c r="EDI56" s="850">
        <f t="shared" si="69"/>
        <v>2.4441051482134456E+26</v>
      </c>
      <c r="EDJ56" s="850">
        <f t="shared" si="69"/>
        <v>0</v>
      </c>
      <c r="EDK56" s="850">
        <f t="shared" si="69"/>
        <v>2.5174283026598492E+26</v>
      </c>
      <c r="EDL56" s="850">
        <f t="shared" si="69"/>
        <v>0</v>
      </c>
      <c r="EDM56" s="850">
        <f t="shared" si="69"/>
        <v>2.5929511517396448E+26</v>
      </c>
      <c r="EDN56" s="850">
        <f t="shared" si="69"/>
        <v>0</v>
      </c>
      <c r="EDO56" s="850">
        <f t="shared" si="69"/>
        <v>2.6707396862918342E+26</v>
      </c>
      <c r="EDP56" s="850">
        <f t="shared" si="69"/>
        <v>0</v>
      </c>
      <c r="EDQ56" s="850">
        <f t="shared" si="69"/>
        <v>2.7508618768805891E+26</v>
      </c>
      <c r="EDR56" s="850">
        <f t="shared" si="69"/>
        <v>0</v>
      </c>
      <c r="EDS56" s="850">
        <f t="shared" si="69"/>
        <v>2.8333877331870069E+26</v>
      </c>
      <c r="EDT56" s="850">
        <f t="shared" si="69"/>
        <v>0</v>
      </c>
      <c r="EDU56" s="850">
        <f t="shared" si="69"/>
        <v>2.9183893651826171E+26</v>
      </c>
      <c r="EDV56" s="850">
        <f t="shared" si="69"/>
        <v>0</v>
      </c>
      <c r="EDW56" s="850">
        <f t="shared" si="69"/>
        <v>3.0059410461380957E+26</v>
      </c>
      <c r="EDX56" s="850">
        <f t="shared" si="69"/>
        <v>0</v>
      </c>
      <c r="EDY56" s="850">
        <f t="shared" si="69"/>
        <v>3.0961192775222387E+26</v>
      </c>
      <c r="EDZ56" s="850">
        <f t="shared" si="69"/>
        <v>0</v>
      </c>
      <c r="EEA56" s="850">
        <f t="shared" si="69"/>
        <v>3.1890028558479058E+26</v>
      </c>
      <c r="EEB56" s="850">
        <f t="shared" si="69"/>
        <v>0</v>
      </c>
      <c r="EEC56" s="850">
        <f t="shared" si="69"/>
        <v>3.2846729415233432E+26</v>
      </c>
      <c r="EED56" s="850">
        <f t="shared" si="69"/>
        <v>0</v>
      </c>
      <c r="EEE56" s="850">
        <f t="shared" si="69"/>
        <v>3.3832131297690434E+26</v>
      </c>
      <c r="EEF56" s="850">
        <f t="shared" si="69"/>
        <v>0</v>
      </c>
      <c r="EEG56" s="850">
        <f t="shared" si="69"/>
        <v>3.484709523662115E+26</v>
      </c>
      <c r="EEH56" s="850">
        <f t="shared" si="69"/>
        <v>0</v>
      </c>
      <c r="EEI56" s="850">
        <f t="shared" si="69"/>
        <v>3.5892508093719783E+26</v>
      </c>
      <c r="EEJ56" s="850">
        <f t="shared" si="69"/>
        <v>0</v>
      </c>
      <c r="EEK56" s="850">
        <f t="shared" si="69"/>
        <v>3.6969283336531381E+26</v>
      </c>
      <c r="EEL56" s="850">
        <f t="shared" si="69"/>
        <v>0</v>
      </c>
      <c r="EEM56" s="850">
        <f t="shared" si="69"/>
        <v>3.8078361836627323E+26</v>
      </c>
      <c r="EEN56" s="850">
        <f t="shared" si="69"/>
        <v>0</v>
      </c>
      <c r="EEO56" s="850">
        <f t="shared" si="69"/>
        <v>3.9220712691726142E+26</v>
      </c>
      <c r="EEP56" s="850">
        <f t="shared" si="69"/>
        <v>0</v>
      </c>
      <c r="EEQ56" s="850">
        <f t="shared" si="69"/>
        <v>4.0397334072477924E+26</v>
      </c>
      <c r="EER56" s="850">
        <f t="shared" si="69"/>
        <v>0</v>
      </c>
      <c r="EES56" s="850">
        <f t="shared" si="69"/>
        <v>4.1609254094652266E+26</v>
      </c>
      <c r="EET56" s="850">
        <f t="shared" ref="EET56:EHE56" si="70">EER56*$C$56</f>
        <v>0</v>
      </c>
      <c r="EEU56" s="850">
        <f t="shared" si="70"/>
        <v>4.2857531717491836E+26</v>
      </c>
      <c r="EEV56" s="850">
        <f t="shared" si="70"/>
        <v>0</v>
      </c>
      <c r="EEW56" s="850">
        <f t="shared" si="70"/>
        <v>4.4143257669016595E+26</v>
      </c>
      <c r="EEX56" s="850">
        <f t="shared" si="70"/>
        <v>0</v>
      </c>
      <c r="EEY56" s="850">
        <f t="shared" si="70"/>
        <v>4.546755539908709E+26</v>
      </c>
      <c r="EEZ56" s="850">
        <f t="shared" si="70"/>
        <v>0</v>
      </c>
      <c r="EFA56" s="850">
        <f t="shared" si="70"/>
        <v>4.6831582061059705E+26</v>
      </c>
      <c r="EFB56" s="850">
        <f t="shared" si="70"/>
        <v>0</v>
      </c>
      <c r="EFC56" s="850">
        <f t="shared" si="70"/>
        <v>4.8236529522891496E+26</v>
      </c>
      <c r="EFD56" s="850">
        <f t="shared" si="70"/>
        <v>0</v>
      </c>
      <c r="EFE56" s="850">
        <f t="shared" si="70"/>
        <v>4.9683625408578244E+26</v>
      </c>
      <c r="EFF56" s="850">
        <f t="shared" si="70"/>
        <v>0</v>
      </c>
      <c r="EFG56" s="850">
        <f t="shared" si="70"/>
        <v>5.117413417083559E+26</v>
      </c>
      <c r="EFH56" s="850">
        <f t="shared" si="70"/>
        <v>0</v>
      </c>
      <c r="EFI56" s="850">
        <f t="shared" si="70"/>
        <v>5.2709358195960656E+26</v>
      </c>
      <c r="EFJ56" s="850">
        <f t="shared" si="70"/>
        <v>0</v>
      </c>
      <c r="EFK56" s="850">
        <f t="shared" si="70"/>
        <v>5.4290638941839476E+26</v>
      </c>
      <c r="EFL56" s="850">
        <f t="shared" si="70"/>
        <v>0</v>
      </c>
      <c r="EFM56" s="850">
        <f t="shared" si="70"/>
        <v>5.591935811009466E+26</v>
      </c>
      <c r="EFN56" s="850">
        <f t="shared" si="70"/>
        <v>0</v>
      </c>
      <c r="EFO56" s="850">
        <f t="shared" si="70"/>
        <v>5.7596938853397501E+26</v>
      </c>
      <c r="EFP56" s="850">
        <f t="shared" si="70"/>
        <v>0</v>
      </c>
      <c r="EFQ56" s="850">
        <f t="shared" si="70"/>
        <v>5.9324847018999427E+26</v>
      </c>
      <c r="EFR56" s="850">
        <f t="shared" si="70"/>
        <v>0</v>
      </c>
      <c r="EFS56" s="850">
        <f t="shared" si="70"/>
        <v>6.1104592429569414E+26</v>
      </c>
      <c r="EFT56" s="850">
        <f t="shared" si="70"/>
        <v>0</v>
      </c>
      <c r="EFU56" s="850">
        <f t="shared" si="70"/>
        <v>6.2937730202456494E+26</v>
      </c>
      <c r="EFV56" s="850">
        <f t="shared" si="70"/>
        <v>0</v>
      </c>
      <c r="EFW56" s="850">
        <f t="shared" si="70"/>
        <v>6.4825862108530194E+26</v>
      </c>
      <c r="EFX56" s="850">
        <f t="shared" si="70"/>
        <v>0</v>
      </c>
      <c r="EFY56" s="850">
        <f t="shared" si="70"/>
        <v>6.6770637971786106E+26</v>
      </c>
      <c r="EFZ56" s="850">
        <f t="shared" si="70"/>
        <v>0</v>
      </c>
      <c r="EGA56" s="850">
        <f t="shared" si="70"/>
        <v>6.8773757110939694E+26</v>
      </c>
      <c r="EGB56" s="850">
        <f t="shared" si="70"/>
        <v>0</v>
      </c>
      <c r="EGC56" s="850">
        <f t="shared" si="70"/>
        <v>7.0836969824267886E+26</v>
      </c>
      <c r="EGD56" s="850">
        <f t="shared" si="70"/>
        <v>0</v>
      </c>
      <c r="EGE56" s="850">
        <f t="shared" si="70"/>
        <v>7.2962078918995922E+26</v>
      </c>
      <c r="EGF56" s="850">
        <f t="shared" si="70"/>
        <v>0</v>
      </c>
      <c r="EGG56" s="850">
        <f t="shared" si="70"/>
        <v>7.5150941286565798E+26</v>
      </c>
      <c r="EGH56" s="850">
        <f t="shared" si="70"/>
        <v>0</v>
      </c>
      <c r="EGI56" s="850">
        <f t="shared" si="70"/>
        <v>7.7405469525162771E+26</v>
      </c>
      <c r="EGJ56" s="850">
        <f t="shared" si="70"/>
        <v>0</v>
      </c>
      <c r="EGK56" s="850">
        <f t="shared" si="70"/>
        <v>7.9727633610917663E+26</v>
      </c>
      <c r="EGL56" s="850">
        <f t="shared" si="70"/>
        <v>0</v>
      </c>
      <c r="EGM56" s="850">
        <f t="shared" si="70"/>
        <v>8.2119462619245196E+26</v>
      </c>
      <c r="EGN56" s="850">
        <f t="shared" si="70"/>
        <v>0</v>
      </c>
      <c r="EGO56" s="850">
        <f t="shared" si="70"/>
        <v>8.4583046497822558E+26</v>
      </c>
      <c r="EGP56" s="850">
        <f t="shared" si="70"/>
        <v>0</v>
      </c>
      <c r="EGQ56" s="850">
        <f t="shared" si="70"/>
        <v>8.7120537892757237E+26</v>
      </c>
      <c r="EGR56" s="850">
        <f t="shared" si="70"/>
        <v>0</v>
      </c>
      <c r="EGS56" s="850">
        <f t="shared" si="70"/>
        <v>8.9734154029539957E+26</v>
      </c>
      <c r="EGT56" s="850">
        <f t="shared" si="70"/>
        <v>0</v>
      </c>
      <c r="EGU56" s="850">
        <f t="shared" si="70"/>
        <v>9.2426178650426157E+26</v>
      </c>
      <c r="EGV56" s="850">
        <f t="shared" si="70"/>
        <v>0</v>
      </c>
      <c r="EGW56" s="850">
        <f t="shared" si="70"/>
        <v>9.5198964009938946E+26</v>
      </c>
      <c r="EGX56" s="850">
        <f t="shared" si="70"/>
        <v>0</v>
      </c>
      <c r="EGY56" s="850">
        <f t="shared" si="70"/>
        <v>9.8054932930237117E+26</v>
      </c>
      <c r="EGZ56" s="850">
        <f t="shared" si="70"/>
        <v>0</v>
      </c>
      <c r="EHA56" s="850">
        <f t="shared" si="70"/>
        <v>1.0099658091814423E+27</v>
      </c>
      <c r="EHB56" s="850">
        <f t="shared" si="70"/>
        <v>0</v>
      </c>
      <c r="EHC56" s="850">
        <f t="shared" si="70"/>
        <v>1.0402647834568855E+27</v>
      </c>
      <c r="EHD56" s="850">
        <f t="shared" si="70"/>
        <v>0</v>
      </c>
      <c r="EHE56" s="850">
        <f t="shared" si="70"/>
        <v>1.0714727269605921E+27</v>
      </c>
      <c r="EHF56" s="850">
        <f t="shared" ref="EHF56:EJQ56" si="71">EHD56*$C$56</f>
        <v>0</v>
      </c>
      <c r="EHG56" s="850">
        <f t="shared" si="71"/>
        <v>1.1036169087694099E+27</v>
      </c>
      <c r="EHH56" s="850">
        <f t="shared" si="71"/>
        <v>0</v>
      </c>
      <c r="EHI56" s="850">
        <f t="shared" si="71"/>
        <v>1.1367254160324922E+27</v>
      </c>
      <c r="EHJ56" s="850">
        <f t="shared" si="71"/>
        <v>0</v>
      </c>
      <c r="EHK56" s="850">
        <f t="shared" si="71"/>
        <v>1.1708271785134669E+27</v>
      </c>
      <c r="EHL56" s="850">
        <f t="shared" si="71"/>
        <v>0</v>
      </c>
      <c r="EHM56" s="850">
        <f t="shared" si="71"/>
        <v>1.205951993868871E+27</v>
      </c>
      <c r="EHN56" s="850">
        <f t="shared" si="71"/>
        <v>0</v>
      </c>
      <c r="EHO56" s="850">
        <f t="shared" si="71"/>
        <v>1.2421305536849373E+27</v>
      </c>
      <c r="EHP56" s="850">
        <f t="shared" si="71"/>
        <v>0</v>
      </c>
      <c r="EHQ56" s="850">
        <f t="shared" si="71"/>
        <v>1.2793944702954854E+27</v>
      </c>
      <c r="EHR56" s="850">
        <f t="shared" si="71"/>
        <v>0</v>
      </c>
      <c r="EHS56" s="850">
        <f t="shared" si="71"/>
        <v>1.3177763044043499E+27</v>
      </c>
      <c r="EHT56" s="850">
        <f t="shared" si="71"/>
        <v>0</v>
      </c>
      <c r="EHU56" s="850">
        <f t="shared" si="71"/>
        <v>1.3573095935364805E+27</v>
      </c>
      <c r="EHV56" s="850">
        <f t="shared" si="71"/>
        <v>0</v>
      </c>
      <c r="EHW56" s="850">
        <f t="shared" si="71"/>
        <v>1.398028881342575E+27</v>
      </c>
      <c r="EHX56" s="850">
        <f t="shared" si="71"/>
        <v>0</v>
      </c>
      <c r="EHY56" s="850">
        <f t="shared" si="71"/>
        <v>1.4399697477828524E+27</v>
      </c>
      <c r="EHZ56" s="850">
        <f t="shared" si="71"/>
        <v>0</v>
      </c>
      <c r="EIA56" s="850">
        <f t="shared" si="71"/>
        <v>1.4831688402163381E+27</v>
      </c>
      <c r="EIB56" s="850">
        <f t="shared" si="71"/>
        <v>0</v>
      </c>
      <c r="EIC56" s="850">
        <f t="shared" si="71"/>
        <v>1.5276639054228282E+27</v>
      </c>
      <c r="EID56" s="850">
        <f t="shared" si="71"/>
        <v>0</v>
      </c>
      <c r="EIE56" s="850">
        <f t="shared" si="71"/>
        <v>1.573493822585513E+27</v>
      </c>
      <c r="EIF56" s="850">
        <f t="shared" si="71"/>
        <v>0</v>
      </c>
      <c r="EIG56" s="850">
        <f t="shared" si="71"/>
        <v>1.6206986372630785E+27</v>
      </c>
      <c r="EIH56" s="850">
        <f t="shared" si="71"/>
        <v>0</v>
      </c>
      <c r="EII56" s="850">
        <f t="shared" si="71"/>
        <v>1.6693195963809708E+27</v>
      </c>
      <c r="EIJ56" s="850">
        <f t="shared" si="71"/>
        <v>0</v>
      </c>
      <c r="EIK56" s="850">
        <f t="shared" si="71"/>
        <v>1.7193991842724E+27</v>
      </c>
      <c r="EIL56" s="850">
        <f t="shared" si="71"/>
        <v>0</v>
      </c>
      <c r="EIM56" s="850">
        <f t="shared" si="71"/>
        <v>1.7709811598005719E+27</v>
      </c>
      <c r="EIN56" s="850">
        <f t="shared" si="71"/>
        <v>0</v>
      </c>
      <c r="EIO56" s="850">
        <f t="shared" si="71"/>
        <v>1.8241105945945892E+27</v>
      </c>
      <c r="EIP56" s="850">
        <f t="shared" si="71"/>
        <v>0</v>
      </c>
      <c r="EIQ56" s="850">
        <f t="shared" si="71"/>
        <v>1.8788339124324271E+27</v>
      </c>
      <c r="EIR56" s="850">
        <f t="shared" si="71"/>
        <v>0</v>
      </c>
      <c r="EIS56" s="850">
        <f t="shared" si="71"/>
        <v>1.9351989298053998E+27</v>
      </c>
      <c r="EIT56" s="850">
        <f t="shared" si="71"/>
        <v>0</v>
      </c>
      <c r="EIU56" s="850">
        <f t="shared" si="71"/>
        <v>1.9932548976995618E+27</v>
      </c>
      <c r="EIV56" s="850">
        <f t="shared" si="71"/>
        <v>0</v>
      </c>
      <c r="EIW56" s="850">
        <f t="shared" si="71"/>
        <v>2.0530525446305486E+27</v>
      </c>
      <c r="EIX56" s="850">
        <f t="shared" si="71"/>
        <v>0</v>
      </c>
      <c r="EIY56" s="850">
        <f t="shared" si="71"/>
        <v>2.1146441209694652E+27</v>
      </c>
      <c r="EIZ56" s="850">
        <f t="shared" si="71"/>
        <v>0</v>
      </c>
      <c r="EJA56" s="850">
        <f t="shared" si="71"/>
        <v>2.1780834445985492E+27</v>
      </c>
      <c r="EJB56" s="850">
        <f t="shared" si="71"/>
        <v>0</v>
      </c>
      <c r="EJC56" s="850">
        <f t="shared" si="71"/>
        <v>2.2434259479365056E+27</v>
      </c>
      <c r="EJD56" s="850">
        <f t="shared" si="71"/>
        <v>0</v>
      </c>
      <c r="EJE56" s="850">
        <f t="shared" si="71"/>
        <v>2.310728726374601E+27</v>
      </c>
      <c r="EJF56" s="850">
        <f t="shared" si="71"/>
        <v>0</v>
      </c>
      <c r="EJG56" s="850">
        <f t="shared" si="71"/>
        <v>2.3800505881658391E+27</v>
      </c>
      <c r="EJH56" s="850">
        <f t="shared" si="71"/>
        <v>0</v>
      </c>
      <c r="EJI56" s="850">
        <f t="shared" si="71"/>
        <v>2.4514521058108143E+27</v>
      </c>
      <c r="EJJ56" s="850">
        <f t="shared" si="71"/>
        <v>0</v>
      </c>
      <c r="EJK56" s="850">
        <f t="shared" si="71"/>
        <v>2.5249956689851391E+27</v>
      </c>
      <c r="EJL56" s="850">
        <f t="shared" si="71"/>
        <v>0</v>
      </c>
      <c r="EJM56" s="850">
        <f t="shared" si="71"/>
        <v>2.6007455390546936E+27</v>
      </c>
      <c r="EJN56" s="850">
        <f t="shared" si="71"/>
        <v>0</v>
      </c>
      <c r="EJO56" s="850">
        <f t="shared" si="71"/>
        <v>2.6787679052263342E+27</v>
      </c>
      <c r="EJP56" s="850">
        <f t="shared" si="71"/>
        <v>0</v>
      </c>
      <c r="EJQ56" s="850">
        <f t="shared" si="71"/>
        <v>2.7591309423831242E+27</v>
      </c>
      <c r="EJR56" s="850">
        <f t="shared" ref="EJR56:EMC56" si="72">EJP56*$C$56</f>
        <v>0</v>
      </c>
      <c r="EJS56" s="850">
        <f t="shared" si="72"/>
        <v>2.841904870654618E+27</v>
      </c>
      <c r="EJT56" s="850">
        <f t="shared" si="72"/>
        <v>0</v>
      </c>
      <c r="EJU56" s="850">
        <f t="shared" si="72"/>
        <v>2.9271620167742564E+27</v>
      </c>
      <c r="EJV56" s="850">
        <f t="shared" si="72"/>
        <v>0</v>
      </c>
      <c r="EJW56" s="850">
        <f t="shared" si="72"/>
        <v>3.0149768772774843E+27</v>
      </c>
      <c r="EJX56" s="850">
        <f t="shared" si="72"/>
        <v>0</v>
      </c>
      <c r="EJY56" s="850">
        <f t="shared" si="72"/>
        <v>3.105426183595809E+27</v>
      </c>
      <c r="EJZ56" s="850">
        <f t="shared" si="72"/>
        <v>0</v>
      </c>
      <c r="EKA56" s="850">
        <f t="shared" si="72"/>
        <v>3.1985889691036834E+27</v>
      </c>
      <c r="EKB56" s="850">
        <f t="shared" si="72"/>
        <v>0</v>
      </c>
      <c r="EKC56" s="850">
        <f t="shared" si="72"/>
        <v>3.2945466381767939E+27</v>
      </c>
      <c r="EKD56" s="850">
        <f t="shared" si="72"/>
        <v>0</v>
      </c>
      <c r="EKE56" s="850">
        <f t="shared" si="72"/>
        <v>3.3933830373220981E+27</v>
      </c>
      <c r="EKF56" s="850">
        <f t="shared" si="72"/>
        <v>0</v>
      </c>
      <c r="EKG56" s="850">
        <f t="shared" si="72"/>
        <v>3.4951845284417613E+27</v>
      </c>
      <c r="EKH56" s="850">
        <f t="shared" si="72"/>
        <v>0</v>
      </c>
      <c r="EKI56" s="850">
        <f t="shared" si="72"/>
        <v>3.6000400642950144E+27</v>
      </c>
      <c r="EKJ56" s="850">
        <f t="shared" si="72"/>
        <v>0</v>
      </c>
      <c r="EKK56" s="850">
        <f t="shared" si="72"/>
        <v>3.7080412662238647E+27</v>
      </c>
      <c r="EKL56" s="850">
        <f t="shared" si="72"/>
        <v>0</v>
      </c>
      <c r="EKM56" s="850">
        <f t="shared" si="72"/>
        <v>3.8192825042105806E+27</v>
      </c>
      <c r="EKN56" s="850">
        <f t="shared" si="72"/>
        <v>0</v>
      </c>
      <c r="EKO56" s="850">
        <f t="shared" si="72"/>
        <v>3.933860979336898E+27</v>
      </c>
      <c r="EKP56" s="850">
        <f t="shared" si="72"/>
        <v>0</v>
      </c>
      <c r="EKQ56" s="850">
        <f t="shared" si="72"/>
        <v>4.0518768087170048E+27</v>
      </c>
      <c r="EKR56" s="850">
        <f t="shared" si="72"/>
        <v>0</v>
      </c>
      <c r="EKS56" s="850">
        <f t="shared" si="72"/>
        <v>4.173433112978515E+27</v>
      </c>
      <c r="EKT56" s="850">
        <f t="shared" si="72"/>
        <v>0</v>
      </c>
      <c r="EKU56" s="850">
        <f t="shared" si="72"/>
        <v>4.2986361063678707E+27</v>
      </c>
      <c r="EKV56" s="850">
        <f t="shared" si="72"/>
        <v>0</v>
      </c>
      <c r="EKW56" s="850">
        <f t="shared" si="72"/>
        <v>4.4275951895589067E+27</v>
      </c>
      <c r="EKX56" s="850">
        <f t="shared" si="72"/>
        <v>0</v>
      </c>
      <c r="EKY56" s="850">
        <f t="shared" si="72"/>
        <v>4.560423045245674E+27</v>
      </c>
      <c r="EKZ56" s="850">
        <f t="shared" si="72"/>
        <v>0</v>
      </c>
      <c r="ELA56" s="850">
        <f t="shared" si="72"/>
        <v>4.6972357366030441E+27</v>
      </c>
      <c r="ELB56" s="850">
        <f t="shared" si="72"/>
        <v>0</v>
      </c>
      <c r="ELC56" s="850">
        <f t="shared" si="72"/>
        <v>4.8381528087011357E+27</v>
      </c>
      <c r="ELD56" s="850">
        <f t="shared" si="72"/>
        <v>0</v>
      </c>
      <c r="ELE56" s="850">
        <f t="shared" si="72"/>
        <v>4.9832973929621694E+27</v>
      </c>
      <c r="ELF56" s="850">
        <f t="shared" si="72"/>
        <v>0</v>
      </c>
      <c r="ELG56" s="850">
        <f t="shared" si="72"/>
        <v>5.1327963147510343E+27</v>
      </c>
      <c r="ELH56" s="850">
        <f t="shared" si="72"/>
        <v>0</v>
      </c>
      <c r="ELI56" s="850">
        <f t="shared" si="72"/>
        <v>5.2867802041935649E+27</v>
      </c>
      <c r="ELJ56" s="850">
        <f t="shared" si="72"/>
        <v>0</v>
      </c>
      <c r="ELK56" s="850">
        <f t="shared" si="72"/>
        <v>5.4453836103193725E+27</v>
      </c>
      <c r="ELL56" s="850">
        <f t="shared" si="72"/>
        <v>0</v>
      </c>
      <c r="ELM56" s="850">
        <f t="shared" si="72"/>
        <v>5.6087451186289534E+27</v>
      </c>
      <c r="ELN56" s="850">
        <f t="shared" si="72"/>
        <v>0</v>
      </c>
      <c r="ELO56" s="850">
        <f t="shared" si="72"/>
        <v>5.7770074721878218E+27</v>
      </c>
      <c r="ELP56" s="850">
        <f t="shared" si="72"/>
        <v>0</v>
      </c>
      <c r="ELQ56" s="850">
        <f t="shared" si="72"/>
        <v>5.9503176963534562E+27</v>
      </c>
      <c r="ELR56" s="850">
        <f t="shared" si="72"/>
        <v>0</v>
      </c>
      <c r="ELS56" s="850">
        <f t="shared" si="72"/>
        <v>6.12882722724406E+27</v>
      </c>
      <c r="ELT56" s="850">
        <f t="shared" si="72"/>
        <v>0</v>
      </c>
      <c r="ELU56" s="850">
        <f t="shared" si="72"/>
        <v>6.3126920440613816E+27</v>
      </c>
      <c r="ELV56" s="850">
        <f t="shared" si="72"/>
        <v>0</v>
      </c>
      <c r="ELW56" s="850">
        <f t="shared" si="72"/>
        <v>6.5020728053832227E+27</v>
      </c>
      <c r="ELX56" s="850">
        <f t="shared" si="72"/>
        <v>0</v>
      </c>
      <c r="ELY56" s="850">
        <f t="shared" si="72"/>
        <v>6.69713498954472E+27</v>
      </c>
      <c r="ELZ56" s="850">
        <f t="shared" si="72"/>
        <v>0</v>
      </c>
      <c r="EMA56" s="850">
        <f t="shared" si="72"/>
        <v>6.8980490392310621E+27</v>
      </c>
      <c r="EMB56" s="850">
        <f t="shared" si="72"/>
        <v>0</v>
      </c>
      <c r="EMC56" s="850">
        <f t="shared" si="72"/>
        <v>7.1049905104079943E+27</v>
      </c>
      <c r="EMD56" s="850">
        <f t="shared" ref="EMD56:EOO56" si="73">EMB56*$C$56</f>
        <v>0</v>
      </c>
      <c r="EME56" s="850">
        <f t="shared" si="73"/>
        <v>7.318140225720234E+27</v>
      </c>
      <c r="EMF56" s="850">
        <f t="shared" si="73"/>
        <v>0</v>
      </c>
      <c r="EMG56" s="850">
        <f t="shared" si="73"/>
        <v>7.5376844324918413E+27</v>
      </c>
      <c r="EMH56" s="850">
        <f t="shared" si="73"/>
        <v>0</v>
      </c>
      <c r="EMI56" s="850">
        <f t="shared" si="73"/>
        <v>7.7638149654665972E+27</v>
      </c>
      <c r="EMJ56" s="850">
        <f t="shared" si="73"/>
        <v>0</v>
      </c>
      <c r="EMK56" s="850">
        <f t="shared" si="73"/>
        <v>7.9967294144305949E+27</v>
      </c>
      <c r="EML56" s="850">
        <f t="shared" si="73"/>
        <v>0</v>
      </c>
      <c r="EMM56" s="850">
        <f t="shared" si="73"/>
        <v>8.2366312968635131E+27</v>
      </c>
      <c r="EMN56" s="850">
        <f t="shared" si="73"/>
        <v>0</v>
      </c>
      <c r="EMO56" s="850">
        <f t="shared" si="73"/>
        <v>8.4837302357694191E+27</v>
      </c>
      <c r="EMP56" s="850">
        <f t="shared" si="73"/>
        <v>0</v>
      </c>
      <c r="EMQ56" s="850">
        <f t="shared" si="73"/>
        <v>8.7382421428425023E+27</v>
      </c>
      <c r="EMR56" s="850">
        <f t="shared" si="73"/>
        <v>0</v>
      </c>
      <c r="EMS56" s="850">
        <f t="shared" si="73"/>
        <v>9.0003894071277771E+27</v>
      </c>
      <c r="EMT56" s="850">
        <f t="shared" si="73"/>
        <v>0</v>
      </c>
      <c r="EMU56" s="850">
        <f t="shared" si="73"/>
        <v>9.2704010893416104E+27</v>
      </c>
      <c r="EMV56" s="850">
        <f t="shared" si="73"/>
        <v>0</v>
      </c>
      <c r="EMW56" s="850">
        <f t="shared" si="73"/>
        <v>9.5485131220218595E+27</v>
      </c>
      <c r="EMX56" s="850">
        <f t="shared" si="73"/>
        <v>0</v>
      </c>
      <c r="EMY56" s="850">
        <f t="shared" si="73"/>
        <v>9.8349685156825154E+27</v>
      </c>
      <c r="EMZ56" s="850">
        <f t="shared" si="73"/>
        <v>0</v>
      </c>
      <c r="ENA56" s="850">
        <f t="shared" si="73"/>
        <v>1.0130017571152991E+28</v>
      </c>
      <c r="ENB56" s="850">
        <f t="shared" si="73"/>
        <v>0</v>
      </c>
      <c r="ENC56" s="850">
        <f t="shared" si="73"/>
        <v>1.0433918098287581E+28</v>
      </c>
      <c r="END56" s="850">
        <f t="shared" si="73"/>
        <v>0</v>
      </c>
      <c r="ENE56" s="850">
        <f t="shared" si="73"/>
        <v>1.0746935641236208E+28</v>
      </c>
      <c r="ENF56" s="850">
        <f t="shared" si="73"/>
        <v>0</v>
      </c>
      <c r="ENG56" s="850">
        <f t="shared" si="73"/>
        <v>1.1069343710473295E+28</v>
      </c>
      <c r="ENH56" s="850">
        <f t="shared" si="73"/>
        <v>0</v>
      </c>
      <c r="ENI56" s="850">
        <f t="shared" si="73"/>
        <v>1.1401424021787493E+28</v>
      </c>
      <c r="ENJ56" s="850">
        <f t="shared" si="73"/>
        <v>0</v>
      </c>
      <c r="ENK56" s="850">
        <f t="shared" si="73"/>
        <v>1.1743466742441118E+28</v>
      </c>
      <c r="ENL56" s="850">
        <f t="shared" si="73"/>
        <v>0</v>
      </c>
      <c r="ENM56" s="850">
        <f t="shared" si="73"/>
        <v>1.2095770744714352E+28</v>
      </c>
      <c r="ENN56" s="850">
        <f t="shared" si="73"/>
        <v>0</v>
      </c>
      <c r="ENO56" s="850">
        <f t="shared" si="73"/>
        <v>1.2458643867055782E+28</v>
      </c>
      <c r="ENP56" s="850">
        <f t="shared" si="73"/>
        <v>0</v>
      </c>
      <c r="ENQ56" s="850">
        <f t="shared" si="73"/>
        <v>1.2832403183067455E+28</v>
      </c>
      <c r="ENR56" s="850">
        <f t="shared" si="73"/>
        <v>0</v>
      </c>
      <c r="ENS56" s="850">
        <f t="shared" si="73"/>
        <v>1.3217375278559479E+28</v>
      </c>
      <c r="ENT56" s="850">
        <f t="shared" si="73"/>
        <v>0</v>
      </c>
      <c r="ENU56" s="850">
        <f t="shared" si="73"/>
        <v>1.3613896536916264E+28</v>
      </c>
      <c r="ENV56" s="850">
        <f t="shared" si="73"/>
        <v>0</v>
      </c>
      <c r="ENW56" s="850">
        <f t="shared" si="73"/>
        <v>1.4022313433023753E+28</v>
      </c>
      <c r="ENX56" s="850">
        <f t="shared" si="73"/>
        <v>0</v>
      </c>
      <c r="ENY56" s="850">
        <f t="shared" si="73"/>
        <v>1.4442982836014466E+28</v>
      </c>
      <c r="ENZ56" s="850">
        <f t="shared" si="73"/>
        <v>0</v>
      </c>
      <c r="EOA56" s="850">
        <f t="shared" si="73"/>
        <v>1.4876272321094901E+28</v>
      </c>
      <c r="EOB56" s="850">
        <f t="shared" si="73"/>
        <v>0</v>
      </c>
      <c r="EOC56" s="850">
        <f t="shared" si="73"/>
        <v>1.5322560490727748E+28</v>
      </c>
      <c r="EOD56" s="850">
        <f t="shared" si="73"/>
        <v>0</v>
      </c>
      <c r="EOE56" s="850">
        <f t="shared" si="73"/>
        <v>1.578223730544958E+28</v>
      </c>
      <c r="EOF56" s="850">
        <f t="shared" si="73"/>
        <v>0</v>
      </c>
      <c r="EOG56" s="850">
        <f t="shared" si="73"/>
        <v>1.6255704424613068E+28</v>
      </c>
      <c r="EOH56" s="850">
        <f t="shared" si="73"/>
        <v>0</v>
      </c>
      <c r="EOI56" s="850">
        <f t="shared" si="73"/>
        <v>1.674337555735146E+28</v>
      </c>
      <c r="EOJ56" s="850">
        <f t="shared" si="73"/>
        <v>0</v>
      </c>
      <c r="EOK56" s="850">
        <f t="shared" si="73"/>
        <v>1.7245676824072005E+28</v>
      </c>
      <c r="EOL56" s="850">
        <f t="shared" si="73"/>
        <v>0</v>
      </c>
      <c r="EOM56" s="850">
        <f t="shared" si="73"/>
        <v>1.7763047128794165E+28</v>
      </c>
      <c r="EON56" s="850">
        <f t="shared" si="73"/>
        <v>0</v>
      </c>
      <c r="EOO56" s="850">
        <f t="shared" si="73"/>
        <v>1.829593854265799E+28</v>
      </c>
      <c r="EOP56" s="850">
        <f t="shared" ref="EOP56:ERA56" si="74">EON56*$C$56</f>
        <v>0</v>
      </c>
      <c r="EOQ56" s="850">
        <f t="shared" si="74"/>
        <v>1.8844816698937731E+28</v>
      </c>
      <c r="EOR56" s="850">
        <f t="shared" si="74"/>
        <v>0</v>
      </c>
      <c r="EOS56" s="850">
        <f t="shared" si="74"/>
        <v>1.9410161199905863E+28</v>
      </c>
      <c r="EOT56" s="850">
        <f t="shared" si="74"/>
        <v>0</v>
      </c>
      <c r="EOU56" s="850">
        <f t="shared" si="74"/>
        <v>1.999246603590304E+28</v>
      </c>
      <c r="EOV56" s="850">
        <f t="shared" si="74"/>
        <v>0</v>
      </c>
      <c r="EOW56" s="850">
        <f t="shared" si="74"/>
        <v>2.0592240016980132E+28</v>
      </c>
      <c r="EOX56" s="850">
        <f t="shared" si="74"/>
        <v>0</v>
      </c>
      <c r="EOY56" s="850">
        <f t="shared" si="74"/>
        <v>2.1210007217489535E+28</v>
      </c>
      <c r="EOZ56" s="850">
        <f t="shared" si="74"/>
        <v>0</v>
      </c>
      <c r="EPA56" s="850">
        <f t="shared" si="74"/>
        <v>2.184630743401422E+28</v>
      </c>
      <c r="EPB56" s="850">
        <f t="shared" si="74"/>
        <v>0</v>
      </c>
      <c r="EPC56" s="850">
        <f t="shared" si="74"/>
        <v>2.2501696657034649E+28</v>
      </c>
      <c r="EPD56" s="850">
        <f t="shared" si="74"/>
        <v>0</v>
      </c>
      <c r="EPE56" s="850">
        <f t="shared" si="74"/>
        <v>2.3176747556745689E+28</v>
      </c>
      <c r="EPF56" s="850">
        <f t="shared" si="74"/>
        <v>0</v>
      </c>
      <c r="EPG56" s="850">
        <f t="shared" si="74"/>
        <v>2.3872049983448062E+28</v>
      </c>
      <c r="EPH56" s="850">
        <f t="shared" si="74"/>
        <v>0</v>
      </c>
      <c r="EPI56" s="850">
        <f t="shared" si="74"/>
        <v>2.4588211482951504E+28</v>
      </c>
      <c r="EPJ56" s="850">
        <f t="shared" si="74"/>
        <v>0</v>
      </c>
      <c r="EPK56" s="850">
        <f t="shared" si="74"/>
        <v>2.5325857827440049E+28</v>
      </c>
      <c r="EPL56" s="850">
        <f t="shared" si="74"/>
        <v>0</v>
      </c>
      <c r="EPM56" s="850">
        <f t="shared" si="74"/>
        <v>2.6085633562263252E+28</v>
      </c>
      <c r="EPN56" s="850">
        <f t="shared" si="74"/>
        <v>0</v>
      </c>
      <c r="EPO56" s="850">
        <f t="shared" si="74"/>
        <v>2.686820256913115E+28</v>
      </c>
      <c r="EPP56" s="850">
        <f t="shared" si="74"/>
        <v>0</v>
      </c>
      <c r="EPQ56" s="850">
        <f t="shared" si="74"/>
        <v>2.7674248646205084E+28</v>
      </c>
      <c r="EPR56" s="850">
        <f t="shared" si="74"/>
        <v>0</v>
      </c>
      <c r="EPS56" s="850">
        <f t="shared" si="74"/>
        <v>2.8504476105591236E+28</v>
      </c>
      <c r="EPT56" s="850">
        <f t="shared" si="74"/>
        <v>0</v>
      </c>
      <c r="EPU56" s="850">
        <f t="shared" si="74"/>
        <v>2.9359610388758973E+28</v>
      </c>
      <c r="EPV56" s="850">
        <f t="shared" si="74"/>
        <v>0</v>
      </c>
      <c r="EPW56" s="850">
        <f t="shared" si="74"/>
        <v>3.0240398700421743E+28</v>
      </c>
      <c r="EPX56" s="850">
        <f t="shared" si="74"/>
        <v>0</v>
      </c>
      <c r="EPY56" s="850">
        <f t="shared" si="74"/>
        <v>3.1147610661434396E+28</v>
      </c>
      <c r="EPZ56" s="850">
        <f t="shared" si="74"/>
        <v>0</v>
      </c>
      <c r="EQA56" s="850">
        <f t="shared" si="74"/>
        <v>3.2082038981277427E+28</v>
      </c>
      <c r="EQB56" s="850">
        <f t="shared" si="74"/>
        <v>0</v>
      </c>
      <c r="EQC56" s="850">
        <f t="shared" si="74"/>
        <v>3.3044500150715751E+28</v>
      </c>
      <c r="EQD56" s="850">
        <f t="shared" si="74"/>
        <v>0</v>
      </c>
      <c r="EQE56" s="850">
        <f t="shared" si="74"/>
        <v>3.4035835155237222E+28</v>
      </c>
      <c r="EQF56" s="850">
        <f t="shared" si="74"/>
        <v>0</v>
      </c>
      <c r="EQG56" s="850">
        <f t="shared" si="74"/>
        <v>3.505691020989434E+28</v>
      </c>
      <c r="EQH56" s="850">
        <f t="shared" si="74"/>
        <v>0</v>
      </c>
      <c r="EQI56" s="850">
        <f t="shared" si="74"/>
        <v>3.6108617516191173E+28</v>
      </c>
      <c r="EQJ56" s="850">
        <f t="shared" si="74"/>
        <v>0</v>
      </c>
      <c r="EQK56" s="850">
        <f t="shared" si="74"/>
        <v>3.719187604167691E+28</v>
      </c>
      <c r="EQL56" s="850">
        <f t="shared" si="74"/>
        <v>0</v>
      </c>
      <c r="EQM56" s="850">
        <f t="shared" si="74"/>
        <v>3.8307632322927218E+28</v>
      </c>
      <c r="EQN56" s="850">
        <f t="shared" si="74"/>
        <v>0</v>
      </c>
      <c r="EQO56" s="850">
        <f t="shared" si="74"/>
        <v>3.9456861292615036E+28</v>
      </c>
      <c r="EQP56" s="850">
        <f t="shared" si="74"/>
        <v>0</v>
      </c>
      <c r="EQQ56" s="850">
        <f t="shared" si="74"/>
        <v>4.064056713139349E+28</v>
      </c>
      <c r="EQR56" s="850">
        <f t="shared" si="74"/>
        <v>0</v>
      </c>
      <c r="EQS56" s="850">
        <f t="shared" si="74"/>
        <v>4.1859784145335293E+28</v>
      </c>
      <c r="EQT56" s="850">
        <f t="shared" si="74"/>
        <v>0</v>
      </c>
      <c r="EQU56" s="850">
        <f t="shared" si="74"/>
        <v>4.3115577669695349E+28</v>
      </c>
      <c r="EQV56" s="850">
        <f t="shared" si="74"/>
        <v>0</v>
      </c>
      <c r="EQW56" s="850">
        <f t="shared" si="74"/>
        <v>4.4409044999786213E+28</v>
      </c>
      <c r="EQX56" s="850">
        <f t="shared" si="74"/>
        <v>0</v>
      </c>
      <c r="EQY56" s="850">
        <f t="shared" si="74"/>
        <v>4.5741316349779798E+28</v>
      </c>
      <c r="EQZ56" s="850">
        <f t="shared" si="74"/>
        <v>0</v>
      </c>
      <c r="ERA56" s="850">
        <f t="shared" si="74"/>
        <v>4.7113555840273196E+28</v>
      </c>
      <c r="ERB56" s="850">
        <f t="shared" ref="ERB56:ETM56" si="75">EQZ56*$C$56</f>
        <v>0</v>
      </c>
      <c r="ERC56" s="850">
        <f t="shared" si="75"/>
        <v>4.8526962515481392E+28</v>
      </c>
      <c r="ERD56" s="850">
        <f t="shared" si="75"/>
        <v>0</v>
      </c>
      <c r="ERE56" s="850">
        <f t="shared" si="75"/>
        <v>4.9982771390945831E+28</v>
      </c>
      <c r="ERF56" s="850">
        <f t="shared" si="75"/>
        <v>0</v>
      </c>
      <c r="ERG56" s="850">
        <f t="shared" si="75"/>
        <v>5.1482254532674208E+28</v>
      </c>
      <c r="ERH56" s="850">
        <f t="shared" si="75"/>
        <v>0</v>
      </c>
      <c r="ERI56" s="850">
        <f t="shared" si="75"/>
        <v>5.3026722168654435E+28</v>
      </c>
      <c r="ERJ56" s="850">
        <f t="shared" si="75"/>
        <v>0</v>
      </c>
      <c r="ERK56" s="850">
        <f t="shared" si="75"/>
        <v>5.4617523833714068E+28</v>
      </c>
      <c r="ERL56" s="850">
        <f t="shared" si="75"/>
        <v>0</v>
      </c>
      <c r="ERM56" s="850">
        <f t="shared" si="75"/>
        <v>5.6256049548725495E+28</v>
      </c>
      <c r="ERN56" s="850">
        <f t="shared" si="75"/>
        <v>0</v>
      </c>
      <c r="ERO56" s="850">
        <f t="shared" si="75"/>
        <v>5.7943731035187265E+28</v>
      </c>
      <c r="ERP56" s="850">
        <f t="shared" si="75"/>
        <v>0</v>
      </c>
      <c r="ERQ56" s="850">
        <f t="shared" si="75"/>
        <v>5.9682042966242883E+28</v>
      </c>
      <c r="ERR56" s="850">
        <f t="shared" si="75"/>
        <v>0</v>
      </c>
      <c r="ERS56" s="850">
        <f t="shared" si="75"/>
        <v>6.1472504255230168E+28</v>
      </c>
      <c r="ERT56" s="850">
        <f t="shared" si="75"/>
        <v>0</v>
      </c>
      <c r="ERU56" s="850">
        <f t="shared" si="75"/>
        <v>6.3316679382887073E+28</v>
      </c>
      <c r="ERV56" s="850">
        <f t="shared" si="75"/>
        <v>0</v>
      </c>
      <c r="ERW56" s="850">
        <f t="shared" si="75"/>
        <v>6.5216179764373683E+28</v>
      </c>
      <c r="ERX56" s="850">
        <f t="shared" si="75"/>
        <v>0</v>
      </c>
      <c r="ERY56" s="850">
        <f t="shared" si="75"/>
        <v>6.7172665157304896E+28</v>
      </c>
      <c r="ERZ56" s="850">
        <f t="shared" si="75"/>
        <v>0</v>
      </c>
      <c r="ESA56" s="850">
        <f t="shared" si="75"/>
        <v>6.9187845112024041E+28</v>
      </c>
      <c r="ESB56" s="850">
        <f t="shared" si="75"/>
        <v>0</v>
      </c>
      <c r="ESC56" s="850">
        <f t="shared" si="75"/>
        <v>7.1263480465384767E+28</v>
      </c>
      <c r="ESD56" s="850">
        <f t="shared" si="75"/>
        <v>0</v>
      </c>
      <c r="ESE56" s="850">
        <f t="shared" si="75"/>
        <v>7.3401384879346314E+28</v>
      </c>
      <c r="ESF56" s="850">
        <f t="shared" si="75"/>
        <v>0</v>
      </c>
      <c r="ESG56" s="850">
        <f t="shared" si="75"/>
        <v>7.5603426425726706E+28</v>
      </c>
      <c r="ESH56" s="850">
        <f t="shared" si="75"/>
        <v>0</v>
      </c>
      <c r="ESI56" s="850">
        <f t="shared" si="75"/>
        <v>7.7871529218498508E+28</v>
      </c>
      <c r="ESJ56" s="850">
        <f t="shared" si="75"/>
        <v>0</v>
      </c>
      <c r="ESK56" s="850">
        <f t="shared" si="75"/>
        <v>8.0207675095053458E+28</v>
      </c>
      <c r="ESL56" s="850">
        <f t="shared" si="75"/>
        <v>0</v>
      </c>
      <c r="ESM56" s="850">
        <f t="shared" si="75"/>
        <v>8.2613905347905067E+28</v>
      </c>
      <c r="ESN56" s="850">
        <f t="shared" si="75"/>
        <v>0</v>
      </c>
      <c r="ESO56" s="850">
        <f t="shared" si="75"/>
        <v>8.5092322508342228E+28</v>
      </c>
      <c r="ESP56" s="850">
        <f t="shared" si="75"/>
        <v>0</v>
      </c>
      <c r="ESQ56" s="850">
        <f t="shared" si="75"/>
        <v>8.7645092183592499E+28</v>
      </c>
      <c r="ESR56" s="850">
        <f t="shared" si="75"/>
        <v>0</v>
      </c>
      <c r="ESS56" s="850">
        <f t="shared" si="75"/>
        <v>9.0274444949100285E+28</v>
      </c>
      <c r="EST56" s="850">
        <f t="shared" si="75"/>
        <v>0</v>
      </c>
      <c r="ESU56" s="850">
        <f t="shared" si="75"/>
        <v>9.2982678297573296E+28</v>
      </c>
      <c r="ESV56" s="850">
        <f t="shared" si="75"/>
        <v>0</v>
      </c>
      <c r="ESW56" s="850">
        <f t="shared" si="75"/>
        <v>9.5772158646500501E+28</v>
      </c>
      <c r="ESX56" s="850">
        <f t="shared" si="75"/>
        <v>0</v>
      </c>
      <c r="ESY56" s="850">
        <f t="shared" si="75"/>
        <v>9.8645323405895525E+28</v>
      </c>
      <c r="ESZ56" s="850">
        <f t="shared" si="75"/>
        <v>0</v>
      </c>
      <c r="ETA56" s="850">
        <f t="shared" si="75"/>
        <v>1.016046831080724E+29</v>
      </c>
      <c r="ETB56" s="850">
        <f t="shared" si="75"/>
        <v>0</v>
      </c>
      <c r="ETC56" s="850">
        <f t="shared" si="75"/>
        <v>1.0465282360131457E+29</v>
      </c>
      <c r="ETD56" s="850">
        <f t="shared" si="75"/>
        <v>0</v>
      </c>
      <c r="ETE56" s="850">
        <f t="shared" si="75"/>
        <v>1.0779240830935402E+29</v>
      </c>
      <c r="ETF56" s="850">
        <f t="shared" si="75"/>
        <v>0</v>
      </c>
      <c r="ETG56" s="850">
        <f t="shared" si="75"/>
        <v>1.1102618055863465E+29</v>
      </c>
      <c r="ETH56" s="850">
        <f t="shared" si="75"/>
        <v>0</v>
      </c>
      <c r="ETI56" s="850">
        <f t="shared" si="75"/>
        <v>1.1435696597539369E+29</v>
      </c>
      <c r="ETJ56" s="850">
        <f t="shared" si="75"/>
        <v>0</v>
      </c>
      <c r="ETK56" s="850">
        <f t="shared" si="75"/>
        <v>1.1778767495465549E+29</v>
      </c>
      <c r="ETL56" s="850">
        <f t="shared" si="75"/>
        <v>0</v>
      </c>
      <c r="ETM56" s="850">
        <f t="shared" si="75"/>
        <v>1.2132130520329517E+29</v>
      </c>
      <c r="ETN56" s="850">
        <f t="shared" ref="ETN56:EVY56" si="76">ETL56*$C$56</f>
        <v>0</v>
      </c>
      <c r="ETO56" s="850">
        <f t="shared" si="76"/>
        <v>1.2496094435939402E+29</v>
      </c>
      <c r="ETP56" s="850">
        <f t="shared" si="76"/>
        <v>0</v>
      </c>
      <c r="ETQ56" s="850">
        <f t="shared" si="76"/>
        <v>1.2870977269017585E+29</v>
      </c>
      <c r="ETR56" s="850">
        <f t="shared" si="76"/>
        <v>0</v>
      </c>
      <c r="ETS56" s="850">
        <f t="shared" si="76"/>
        <v>1.3257106587088113E+29</v>
      </c>
      <c r="ETT56" s="850">
        <f t="shared" si="76"/>
        <v>0</v>
      </c>
      <c r="ETU56" s="850">
        <f t="shared" si="76"/>
        <v>1.3654819784700756E+29</v>
      </c>
      <c r="ETV56" s="850">
        <f t="shared" si="76"/>
        <v>0</v>
      </c>
      <c r="ETW56" s="850">
        <f t="shared" si="76"/>
        <v>1.4064464378241779E+29</v>
      </c>
      <c r="ETX56" s="850">
        <f t="shared" si="76"/>
        <v>0</v>
      </c>
      <c r="ETY56" s="850">
        <f t="shared" si="76"/>
        <v>1.4486398309589033E+29</v>
      </c>
      <c r="ETZ56" s="850">
        <f t="shared" si="76"/>
        <v>0</v>
      </c>
      <c r="EUA56" s="850">
        <f t="shared" si="76"/>
        <v>1.4920990258876704E+29</v>
      </c>
      <c r="EUB56" s="850">
        <f t="shared" si="76"/>
        <v>0</v>
      </c>
      <c r="EUC56" s="850">
        <f t="shared" si="76"/>
        <v>1.5368619966643006E+29</v>
      </c>
      <c r="EUD56" s="850">
        <f t="shared" si="76"/>
        <v>0</v>
      </c>
      <c r="EUE56" s="850">
        <f t="shared" si="76"/>
        <v>1.5829678565642297E+29</v>
      </c>
      <c r="EUF56" s="850">
        <f t="shared" si="76"/>
        <v>0</v>
      </c>
      <c r="EUG56" s="850">
        <f t="shared" si="76"/>
        <v>1.6304568922611568E+29</v>
      </c>
      <c r="EUH56" s="850">
        <f t="shared" si="76"/>
        <v>0</v>
      </c>
      <c r="EUI56" s="850">
        <f t="shared" si="76"/>
        <v>1.6793705990289917E+29</v>
      </c>
      <c r="EUJ56" s="850">
        <f t="shared" si="76"/>
        <v>0</v>
      </c>
      <c r="EUK56" s="850">
        <f t="shared" si="76"/>
        <v>1.7297517169998616E+29</v>
      </c>
      <c r="EUL56" s="850">
        <f t="shared" si="76"/>
        <v>0</v>
      </c>
      <c r="EUM56" s="850">
        <f t="shared" si="76"/>
        <v>1.7816442685098576E+29</v>
      </c>
      <c r="EUN56" s="850">
        <f t="shared" si="76"/>
        <v>0</v>
      </c>
      <c r="EUO56" s="850">
        <f t="shared" si="76"/>
        <v>1.8350935965651535E+29</v>
      </c>
      <c r="EUP56" s="850">
        <f t="shared" si="76"/>
        <v>0</v>
      </c>
      <c r="EUQ56" s="850">
        <f t="shared" si="76"/>
        <v>1.8901464044621083E+29</v>
      </c>
      <c r="EUR56" s="850">
        <f t="shared" si="76"/>
        <v>0</v>
      </c>
      <c r="EUS56" s="850">
        <f t="shared" si="76"/>
        <v>1.9468507965959716E+29</v>
      </c>
      <c r="EUT56" s="850">
        <f t="shared" si="76"/>
        <v>0</v>
      </c>
      <c r="EUU56" s="850">
        <f t="shared" si="76"/>
        <v>2.0052563204938508E+29</v>
      </c>
      <c r="EUV56" s="850">
        <f t="shared" si="76"/>
        <v>0</v>
      </c>
      <c r="EUW56" s="850">
        <f t="shared" si="76"/>
        <v>2.0654140101086663E+29</v>
      </c>
      <c r="EUX56" s="850">
        <f t="shared" si="76"/>
        <v>0</v>
      </c>
      <c r="EUY56" s="850">
        <f t="shared" si="76"/>
        <v>2.1273764304119263E+29</v>
      </c>
      <c r="EUZ56" s="850">
        <f t="shared" si="76"/>
        <v>0</v>
      </c>
      <c r="EVA56" s="850">
        <f t="shared" si="76"/>
        <v>2.1911977233242842E+29</v>
      </c>
      <c r="EVB56" s="850">
        <f t="shared" si="76"/>
        <v>0</v>
      </c>
      <c r="EVC56" s="850">
        <f t="shared" si="76"/>
        <v>2.2569336550240128E+29</v>
      </c>
      <c r="EVD56" s="850">
        <f t="shared" si="76"/>
        <v>0</v>
      </c>
      <c r="EVE56" s="850">
        <f t="shared" si="76"/>
        <v>2.3246416646747334E+29</v>
      </c>
      <c r="EVF56" s="850">
        <f t="shared" si="76"/>
        <v>0</v>
      </c>
      <c r="EVG56" s="850">
        <f t="shared" si="76"/>
        <v>2.3943809146149754E+29</v>
      </c>
      <c r="EVH56" s="850">
        <f t="shared" si="76"/>
        <v>0</v>
      </c>
      <c r="EVI56" s="850">
        <f t="shared" si="76"/>
        <v>2.4662123420534249E+29</v>
      </c>
      <c r="EVJ56" s="850">
        <f t="shared" si="76"/>
        <v>0</v>
      </c>
      <c r="EVK56" s="850">
        <f t="shared" si="76"/>
        <v>2.5401987123150277E+29</v>
      </c>
      <c r="EVL56" s="850">
        <f t="shared" si="76"/>
        <v>0</v>
      </c>
      <c r="EVM56" s="850">
        <f t="shared" si="76"/>
        <v>2.6164046736844788E+29</v>
      </c>
      <c r="EVN56" s="850">
        <f t="shared" si="76"/>
        <v>0</v>
      </c>
      <c r="EVO56" s="850">
        <f t="shared" si="76"/>
        <v>2.6948968138950132E+29</v>
      </c>
      <c r="EVP56" s="850">
        <f t="shared" si="76"/>
        <v>0</v>
      </c>
      <c r="EVQ56" s="850">
        <f t="shared" si="76"/>
        <v>2.7757437183118637E+29</v>
      </c>
      <c r="EVR56" s="850">
        <f t="shared" si="76"/>
        <v>0</v>
      </c>
      <c r="EVS56" s="850">
        <f t="shared" si="76"/>
        <v>2.8590160298612196E+29</v>
      </c>
      <c r="EVT56" s="850">
        <f t="shared" si="76"/>
        <v>0</v>
      </c>
      <c r="EVU56" s="850">
        <f t="shared" si="76"/>
        <v>2.9447865107570563E+29</v>
      </c>
      <c r="EVV56" s="850">
        <f t="shared" si="76"/>
        <v>0</v>
      </c>
      <c r="EVW56" s="850">
        <f t="shared" si="76"/>
        <v>3.033130106079768E+29</v>
      </c>
      <c r="EVX56" s="850">
        <f t="shared" si="76"/>
        <v>0</v>
      </c>
      <c r="EVY56" s="850">
        <f t="shared" si="76"/>
        <v>3.1241240092621611E+29</v>
      </c>
      <c r="EVZ56" s="850">
        <f t="shared" ref="EVZ56:EYK56" si="77">EVX56*$C$56</f>
        <v>0</v>
      </c>
      <c r="EWA56" s="850">
        <f t="shared" si="77"/>
        <v>3.217847729540026E+29</v>
      </c>
      <c r="EWB56" s="850">
        <f t="shared" si="77"/>
        <v>0</v>
      </c>
      <c r="EWC56" s="850">
        <f t="shared" si="77"/>
        <v>3.3143831614262269E+29</v>
      </c>
      <c r="EWD56" s="850">
        <f t="shared" si="77"/>
        <v>0</v>
      </c>
      <c r="EWE56" s="850">
        <f t="shared" si="77"/>
        <v>3.4138146562690136E+29</v>
      </c>
      <c r="EWF56" s="850">
        <f t="shared" si="77"/>
        <v>0</v>
      </c>
      <c r="EWG56" s="850">
        <f t="shared" si="77"/>
        <v>3.5162290959570843E+29</v>
      </c>
      <c r="EWH56" s="850">
        <f t="shared" si="77"/>
        <v>0</v>
      </c>
      <c r="EWI56" s="850">
        <f t="shared" si="77"/>
        <v>3.6217159688357971E+29</v>
      </c>
      <c r="EWJ56" s="850">
        <f t="shared" si="77"/>
        <v>0</v>
      </c>
      <c r="EWK56" s="850">
        <f t="shared" si="77"/>
        <v>3.7303674479008712E+29</v>
      </c>
      <c r="EWL56" s="850">
        <f t="shared" si="77"/>
        <v>0</v>
      </c>
      <c r="EWM56" s="850">
        <f t="shared" si="77"/>
        <v>3.8422784713378977E+29</v>
      </c>
      <c r="EWN56" s="850">
        <f t="shared" si="77"/>
        <v>0</v>
      </c>
      <c r="EWO56" s="850">
        <f t="shared" si="77"/>
        <v>3.9575468254780346E+29</v>
      </c>
      <c r="EWP56" s="850">
        <f t="shared" si="77"/>
        <v>0</v>
      </c>
      <c r="EWQ56" s="850">
        <f t="shared" si="77"/>
        <v>4.0762732302423759E+29</v>
      </c>
      <c r="EWR56" s="850">
        <f t="shared" si="77"/>
        <v>0</v>
      </c>
      <c r="EWS56" s="850">
        <f t="shared" si="77"/>
        <v>4.1985614271496473E+29</v>
      </c>
      <c r="EWT56" s="850">
        <f t="shared" si="77"/>
        <v>0</v>
      </c>
      <c r="EWU56" s="850">
        <f t="shared" si="77"/>
        <v>4.3245182699641371E+29</v>
      </c>
      <c r="EWV56" s="850">
        <f t="shared" si="77"/>
        <v>0</v>
      </c>
      <c r="EWW56" s="850">
        <f t="shared" si="77"/>
        <v>4.4542538180630611E+29</v>
      </c>
      <c r="EWX56" s="850">
        <f t="shared" si="77"/>
        <v>0</v>
      </c>
      <c r="EWY56" s="850">
        <f t="shared" si="77"/>
        <v>4.587881432604953E+29</v>
      </c>
      <c r="EWZ56" s="850">
        <f t="shared" si="77"/>
        <v>0</v>
      </c>
      <c r="EXA56" s="850">
        <f t="shared" si="77"/>
        <v>4.725517875583102E+29</v>
      </c>
      <c r="EXB56" s="850">
        <f t="shared" si="77"/>
        <v>0</v>
      </c>
      <c r="EXC56" s="850">
        <f t="shared" si="77"/>
        <v>4.8672834118505954E+29</v>
      </c>
      <c r="EXD56" s="850">
        <f t="shared" si="77"/>
        <v>0</v>
      </c>
      <c r="EXE56" s="850">
        <f t="shared" si="77"/>
        <v>5.0133019142061136E+29</v>
      </c>
      <c r="EXF56" s="850">
        <f t="shared" si="77"/>
        <v>0</v>
      </c>
      <c r="EXG56" s="850">
        <f t="shared" si="77"/>
        <v>5.1637009716322973E+29</v>
      </c>
      <c r="EXH56" s="850">
        <f t="shared" si="77"/>
        <v>0</v>
      </c>
      <c r="EXI56" s="850">
        <f t="shared" si="77"/>
        <v>5.3186120007812662E+29</v>
      </c>
      <c r="EXJ56" s="850">
        <f t="shared" si="77"/>
        <v>0</v>
      </c>
      <c r="EXK56" s="850">
        <f t="shared" si="77"/>
        <v>5.478170360804704E+29</v>
      </c>
      <c r="EXL56" s="850">
        <f t="shared" si="77"/>
        <v>0</v>
      </c>
      <c r="EXM56" s="850">
        <f t="shared" si="77"/>
        <v>5.642515471628845E+29</v>
      </c>
      <c r="EXN56" s="850">
        <f t="shared" si="77"/>
        <v>0</v>
      </c>
      <c r="EXO56" s="850">
        <f t="shared" si="77"/>
        <v>5.8117909357777103E+29</v>
      </c>
      <c r="EXP56" s="850">
        <f t="shared" si="77"/>
        <v>0</v>
      </c>
      <c r="EXQ56" s="850">
        <f t="shared" si="77"/>
        <v>5.9861446638510417E+29</v>
      </c>
      <c r="EXR56" s="850">
        <f t="shared" si="77"/>
        <v>0</v>
      </c>
      <c r="EXS56" s="850">
        <f t="shared" si="77"/>
        <v>6.1657290037665732E+29</v>
      </c>
      <c r="EXT56" s="850">
        <f t="shared" si="77"/>
        <v>0</v>
      </c>
      <c r="EXU56" s="850">
        <f t="shared" si="77"/>
        <v>6.3507008738795705E+29</v>
      </c>
      <c r="EXV56" s="850">
        <f t="shared" si="77"/>
        <v>0</v>
      </c>
      <c r="EXW56" s="850">
        <f t="shared" si="77"/>
        <v>6.5412219000959584E+29</v>
      </c>
      <c r="EXX56" s="850">
        <f t="shared" si="77"/>
        <v>0</v>
      </c>
      <c r="EXY56" s="850">
        <f t="shared" si="77"/>
        <v>6.7374585570988373E+29</v>
      </c>
      <c r="EXZ56" s="850">
        <f t="shared" si="77"/>
        <v>0</v>
      </c>
      <c r="EYA56" s="850">
        <f t="shared" si="77"/>
        <v>6.9395823138118022E+29</v>
      </c>
      <c r="EYB56" s="850">
        <f t="shared" si="77"/>
        <v>0</v>
      </c>
      <c r="EYC56" s="850">
        <f t="shared" si="77"/>
        <v>7.1477697832261558E+29</v>
      </c>
      <c r="EYD56" s="850">
        <f t="shared" si="77"/>
        <v>0</v>
      </c>
      <c r="EYE56" s="850">
        <f t="shared" si="77"/>
        <v>7.3622028767229408E+29</v>
      </c>
      <c r="EYF56" s="850">
        <f t="shared" si="77"/>
        <v>0</v>
      </c>
      <c r="EYG56" s="850">
        <f t="shared" si="77"/>
        <v>7.5830689630246292E+29</v>
      </c>
      <c r="EYH56" s="850">
        <f t="shared" si="77"/>
        <v>0</v>
      </c>
      <c r="EYI56" s="850">
        <f t="shared" si="77"/>
        <v>7.8105610319153683E+29</v>
      </c>
      <c r="EYJ56" s="850">
        <f t="shared" si="77"/>
        <v>0</v>
      </c>
      <c r="EYK56" s="850">
        <f t="shared" si="77"/>
        <v>8.044877862872829E+29</v>
      </c>
      <c r="EYL56" s="850">
        <f t="shared" ref="EYL56:FAW56" si="78">EYJ56*$C$56</f>
        <v>0</v>
      </c>
      <c r="EYM56" s="850">
        <f t="shared" si="78"/>
        <v>8.286224198759014E+29</v>
      </c>
      <c r="EYN56" s="850">
        <f t="shared" si="78"/>
        <v>0</v>
      </c>
      <c r="EYO56" s="850">
        <f t="shared" si="78"/>
        <v>8.5348109247217842E+29</v>
      </c>
      <c r="EYP56" s="850">
        <f t="shared" si="78"/>
        <v>0</v>
      </c>
      <c r="EYQ56" s="850">
        <f t="shared" si="78"/>
        <v>8.7908552524634374E+29</v>
      </c>
      <c r="EYR56" s="850">
        <f t="shared" si="78"/>
        <v>0</v>
      </c>
      <c r="EYS56" s="850">
        <f t="shared" si="78"/>
        <v>9.0545809100373412E+29</v>
      </c>
      <c r="EYT56" s="850">
        <f t="shared" si="78"/>
        <v>0</v>
      </c>
      <c r="EYU56" s="850">
        <f t="shared" si="78"/>
        <v>9.326218337338461E+29</v>
      </c>
      <c r="EYV56" s="850">
        <f t="shared" si="78"/>
        <v>0</v>
      </c>
      <c r="EYW56" s="850">
        <f t="shared" si="78"/>
        <v>9.6060048874586156E+29</v>
      </c>
      <c r="EYX56" s="850">
        <f t="shared" si="78"/>
        <v>0</v>
      </c>
      <c r="EYY56" s="850">
        <f t="shared" si="78"/>
        <v>9.8941850340823738E+29</v>
      </c>
      <c r="EYZ56" s="850">
        <f t="shared" si="78"/>
        <v>0</v>
      </c>
      <c r="EZA56" s="850">
        <f t="shared" si="78"/>
        <v>1.0191010585104845E+30</v>
      </c>
      <c r="EZB56" s="850">
        <f t="shared" si="78"/>
        <v>0</v>
      </c>
      <c r="EZC56" s="850">
        <f t="shared" si="78"/>
        <v>1.049674090265799E+30</v>
      </c>
      <c r="EZD56" s="850">
        <f t="shared" si="78"/>
        <v>0</v>
      </c>
      <c r="EZE56" s="850">
        <f t="shared" si="78"/>
        <v>1.0811643129737731E+30</v>
      </c>
      <c r="EZF56" s="850">
        <f t="shared" si="78"/>
        <v>0</v>
      </c>
      <c r="EZG56" s="850">
        <f t="shared" si="78"/>
        <v>1.1135992423629862E+30</v>
      </c>
      <c r="EZH56" s="850">
        <f t="shared" si="78"/>
        <v>0</v>
      </c>
      <c r="EZI56" s="850">
        <f t="shared" si="78"/>
        <v>1.1470072196338759E+30</v>
      </c>
      <c r="EZJ56" s="850">
        <f t="shared" si="78"/>
        <v>0</v>
      </c>
      <c r="EZK56" s="850">
        <f t="shared" si="78"/>
        <v>1.1814174362228922E+30</v>
      </c>
      <c r="EZL56" s="850">
        <f t="shared" si="78"/>
        <v>0</v>
      </c>
      <c r="EZM56" s="850">
        <f t="shared" si="78"/>
        <v>1.2168599593095789E+30</v>
      </c>
      <c r="EZN56" s="850">
        <f t="shared" si="78"/>
        <v>0</v>
      </c>
      <c r="EZO56" s="850">
        <f t="shared" si="78"/>
        <v>1.2533657580888663E+30</v>
      </c>
      <c r="EZP56" s="850">
        <f t="shared" si="78"/>
        <v>0</v>
      </c>
      <c r="EZQ56" s="850">
        <f t="shared" si="78"/>
        <v>1.2909667308315322E+30</v>
      </c>
      <c r="EZR56" s="850">
        <f t="shared" si="78"/>
        <v>0</v>
      </c>
      <c r="EZS56" s="850">
        <f t="shared" si="78"/>
        <v>1.3296957327564784E+30</v>
      </c>
      <c r="EZT56" s="850">
        <f t="shared" si="78"/>
        <v>0</v>
      </c>
      <c r="EZU56" s="850">
        <f t="shared" si="78"/>
        <v>1.3695866047391727E+30</v>
      </c>
      <c r="EZV56" s="850">
        <f t="shared" si="78"/>
        <v>0</v>
      </c>
      <c r="EZW56" s="850">
        <f t="shared" si="78"/>
        <v>1.410674202881348E+30</v>
      </c>
      <c r="EZX56" s="850">
        <f t="shared" si="78"/>
        <v>0</v>
      </c>
      <c r="EZY56" s="850">
        <f t="shared" si="78"/>
        <v>1.4529944289677885E+30</v>
      </c>
      <c r="EZZ56" s="850">
        <f t="shared" si="78"/>
        <v>0</v>
      </c>
      <c r="FAA56" s="850">
        <f t="shared" si="78"/>
        <v>1.4965842618368223E+30</v>
      </c>
      <c r="FAB56" s="850">
        <f t="shared" si="78"/>
        <v>0</v>
      </c>
      <c r="FAC56" s="850">
        <f t="shared" si="78"/>
        <v>1.541481789691927E+30</v>
      </c>
      <c r="FAD56" s="850">
        <f t="shared" si="78"/>
        <v>0</v>
      </c>
      <c r="FAE56" s="850">
        <f t="shared" si="78"/>
        <v>1.5877262433826849E+30</v>
      </c>
      <c r="FAF56" s="850">
        <f t="shared" si="78"/>
        <v>0</v>
      </c>
      <c r="FAG56" s="850">
        <f t="shared" si="78"/>
        <v>1.6353580306841655E+30</v>
      </c>
      <c r="FAH56" s="850">
        <f t="shared" si="78"/>
        <v>0</v>
      </c>
      <c r="FAI56" s="850">
        <f t="shared" si="78"/>
        <v>1.6844187716046906E+30</v>
      </c>
      <c r="FAJ56" s="850">
        <f t="shared" si="78"/>
        <v>0</v>
      </c>
      <c r="FAK56" s="850">
        <f t="shared" si="78"/>
        <v>1.7349513347528314E+30</v>
      </c>
      <c r="FAL56" s="850">
        <f t="shared" si="78"/>
        <v>0</v>
      </c>
      <c r="FAM56" s="850">
        <f t="shared" si="78"/>
        <v>1.7869998747954163E+30</v>
      </c>
      <c r="FAN56" s="850">
        <f t="shared" si="78"/>
        <v>0</v>
      </c>
      <c r="FAO56" s="850">
        <f t="shared" si="78"/>
        <v>1.8406098710392789E+30</v>
      </c>
      <c r="FAP56" s="850">
        <f t="shared" si="78"/>
        <v>0</v>
      </c>
      <c r="FAQ56" s="850">
        <f t="shared" si="78"/>
        <v>1.8958281671704572E+30</v>
      </c>
      <c r="FAR56" s="850">
        <f t="shared" si="78"/>
        <v>0</v>
      </c>
      <c r="FAS56" s="850">
        <f t="shared" si="78"/>
        <v>1.9527030121855709E+30</v>
      </c>
      <c r="FAT56" s="850">
        <f t="shared" si="78"/>
        <v>0</v>
      </c>
      <c r="FAU56" s="850">
        <f t="shared" si="78"/>
        <v>2.0112841025511382E+30</v>
      </c>
      <c r="FAV56" s="850">
        <f t="shared" si="78"/>
        <v>0</v>
      </c>
      <c r="FAW56" s="850">
        <f t="shared" si="78"/>
        <v>2.0716226256276724E+30</v>
      </c>
      <c r="FAX56" s="850">
        <f t="shared" ref="FAX56:FDI56" si="79">FAV56*$C$56</f>
        <v>0</v>
      </c>
      <c r="FAY56" s="850">
        <f t="shared" si="79"/>
        <v>2.1337713043965025E+30</v>
      </c>
      <c r="FAZ56" s="850">
        <f t="shared" si="79"/>
        <v>0</v>
      </c>
      <c r="FBA56" s="850">
        <f t="shared" si="79"/>
        <v>2.1977844435283975E+30</v>
      </c>
      <c r="FBB56" s="850">
        <f t="shared" si="79"/>
        <v>0</v>
      </c>
      <c r="FBC56" s="850">
        <f t="shared" si="79"/>
        <v>2.2637179768342496E+30</v>
      </c>
      <c r="FBD56" s="850">
        <f t="shared" si="79"/>
        <v>0</v>
      </c>
      <c r="FBE56" s="850">
        <f t="shared" si="79"/>
        <v>2.3316295161392771E+30</v>
      </c>
      <c r="FBF56" s="850">
        <f t="shared" si="79"/>
        <v>0</v>
      </c>
      <c r="FBG56" s="850">
        <f t="shared" si="79"/>
        <v>2.4015784016234554E+30</v>
      </c>
      <c r="FBH56" s="850">
        <f t="shared" si="79"/>
        <v>0</v>
      </c>
      <c r="FBI56" s="850">
        <f t="shared" si="79"/>
        <v>2.4736257536721591E+30</v>
      </c>
      <c r="FBJ56" s="850">
        <f t="shared" si="79"/>
        <v>0</v>
      </c>
      <c r="FBK56" s="850">
        <f t="shared" si="79"/>
        <v>2.5478345262823238E+30</v>
      </c>
      <c r="FBL56" s="850">
        <f t="shared" si="79"/>
        <v>0</v>
      </c>
      <c r="FBM56" s="850">
        <f t="shared" si="79"/>
        <v>2.6242695620707934E+30</v>
      </c>
      <c r="FBN56" s="850">
        <f t="shared" si="79"/>
        <v>0</v>
      </c>
      <c r="FBO56" s="850">
        <f t="shared" si="79"/>
        <v>2.7029976489329174E+30</v>
      </c>
      <c r="FBP56" s="850">
        <f t="shared" si="79"/>
        <v>0</v>
      </c>
      <c r="FBQ56" s="850">
        <f t="shared" si="79"/>
        <v>2.7840875784009052E+30</v>
      </c>
      <c r="FBR56" s="850">
        <f t="shared" si="79"/>
        <v>0</v>
      </c>
      <c r="FBS56" s="850">
        <f t="shared" si="79"/>
        <v>2.8676102057529324E+30</v>
      </c>
      <c r="FBT56" s="850">
        <f t="shared" si="79"/>
        <v>0</v>
      </c>
      <c r="FBU56" s="850">
        <f t="shared" si="79"/>
        <v>2.9536385119255207E+30</v>
      </c>
      <c r="FBV56" s="850">
        <f t="shared" si="79"/>
        <v>0</v>
      </c>
      <c r="FBW56" s="850">
        <f t="shared" si="79"/>
        <v>3.0422476672832862E+30</v>
      </c>
      <c r="FBX56" s="850">
        <f t="shared" si="79"/>
        <v>0</v>
      </c>
      <c r="FBY56" s="850">
        <f t="shared" si="79"/>
        <v>3.1335150973017849E+30</v>
      </c>
      <c r="FBZ56" s="850">
        <f t="shared" si="79"/>
        <v>0</v>
      </c>
      <c r="FCA56" s="850">
        <f t="shared" si="79"/>
        <v>3.2275205502208385E+30</v>
      </c>
      <c r="FCB56" s="850">
        <f t="shared" si="79"/>
        <v>0</v>
      </c>
      <c r="FCC56" s="850">
        <f t="shared" si="79"/>
        <v>3.324346166727464E+30</v>
      </c>
      <c r="FCD56" s="850">
        <f t="shared" si="79"/>
        <v>0</v>
      </c>
      <c r="FCE56" s="850">
        <f t="shared" si="79"/>
        <v>3.4240765517292879E+30</v>
      </c>
      <c r="FCF56" s="850">
        <f t="shared" si="79"/>
        <v>0</v>
      </c>
      <c r="FCG56" s="850">
        <f t="shared" si="79"/>
        <v>3.5267988482811668E+30</v>
      </c>
      <c r="FCH56" s="850">
        <f t="shared" si="79"/>
        <v>0</v>
      </c>
      <c r="FCI56" s="850">
        <f t="shared" si="79"/>
        <v>3.6326028137296017E+30</v>
      </c>
      <c r="FCJ56" s="850">
        <f t="shared" si="79"/>
        <v>0</v>
      </c>
      <c r="FCK56" s="850">
        <f t="shared" si="79"/>
        <v>3.7415808981414896E+30</v>
      </c>
      <c r="FCL56" s="850">
        <f t="shared" si="79"/>
        <v>0</v>
      </c>
      <c r="FCM56" s="850">
        <f t="shared" si="79"/>
        <v>3.8538283250857343E+30</v>
      </c>
      <c r="FCN56" s="850">
        <f t="shared" si="79"/>
        <v>0</v>
      </c>
      <c r="FCO56" s="850">
        <f t="shared" si="79"/>
        <v>3.9694431748383065E+30</v>
      </c>
      <c r="FCP56" s="850">
        <f t="shared" si="79"/>
        <v>0</v>
      </c>
      <c r="FCQ56" s="850">
        <f t="shared" si="79"/>
        <v>4.0885264700834557E+30</v>
      </c>
      <c r="FCR56" s="850">
        <f t="shared" si="79"/>
        <v>0</v>
      </c>
      <c r="FCS56" s="850">
        <f t="shared" si="79"/>
        <v>4.2111822641859592E+30</v>
      </c>
      <c r="FCT56" s="850">
        <f t="shared" si="79"/>
        <v>0</v>
      </c>
      <c r="FCU56" s="850">
        <f t="shared" si="79"/>
        <v>4.337517732111538E+30</v>
      </c>
      <c r="FCV56" s="850">
        <f t="shared" si="79"/>
        <v>0</v>
      </c>
      <c r="FCW56" s="850">
        <f t="shared" si="79"/>
        <v>4.4676432640748843E+30</v>
      </c>
      <c r="FCX56" s="850">
        <f t="shared" si="79"/>
        <v>0</v>
      </c>
      <c r="FCY56" s="850">
        <f t="shared" si="79"/>
        <v>4.6016725619971312E+30</v>
      </c>
      <c r="FCZ56" s="850">
        <f t="shared" si="79"/>
        <v>0</v>
      </c>
      <c r="FDA56" s="850">
        <f t="shared" si="79"/>
        <v>4.7397227388570455E+30</v>
      </c>
      <c r="FDB56" s="850">
        <f t="shared" si="79"/>
        <v>0</v>
      </c>
      <c r="FDC56" s="850">
        <f t="shared" si="79"/>
        <v>4.8819144210227568E+30</v>
      </c>
      <c r="FDD56" s="850">
        <f t="shared" si="79"/>
        <v>0</v>
      </c>
      <c r="FDE56" s="850">
        <f t="shared" si="79"/>
        <v>5.0283718536534397E+30</v>
      </c>
      <c r="FDF56" s="850">
        <f t="shared" si="79"/>
        <v>0</v>
      </c>
      <c r="FDG56" s="850">
        <f t="shared" si="79"/>
        <v>5.1792230092630435E+30</v>
      </c>
      <c r="FDH56" s="850">
        <f t="shared" si="79"/>
        <v>0</v>
      </c>
      <c r="FDI56" s="850">
        <f t="shared" si="79"/>
        <v>5.3345996995409344E+30</v>
      </c>
      <c r="FDJ56" s="850">
        <f t="shared" ref="FDJ56:FFU56" si="80">FDH56*$C$56</f>
        <v>0</v>
      </c>
      <c r="FDK56" s="850">
        <f t="shared" si="80"/>
        <v>5.4946376905271626E+30</v>
      </c>
      <c r="FDL56" s="850">
        <f t="shared" si="80"/>
        <v>0</v>
      </c>
      <c r="FDM56" s="850">
        <f t="shared" si="80"/>
        <v>5.6594768212429776E+30</v>
      </c>
      <c r="FDN56" s="850">
        <f t="shared" si="80"/>
        <v>0</v>
      </c>
      <c r="FDO56" s="850">
        <f t="shared" si="80"/>
        <v>5.8292611258802666E+30</v>
      </c>
      <c r="FDP56" s="850">
        <f t="shared" si="80"/>
        <v>0</v>
      </c>
      <c r="FDQ56" s="850">
        <f t="shared" si="80"/>
        <v>6.0041389596566744E+30</v>
      </c>
      <c r="FDR56" s="850">
        <f t="shared" si="80"/>
        <v>0</v>
      </c>
      <c r="FDS56" s="850">
        <f t="shared" si="80"/>
        <v>6.1842631284463751E+30</v>
      </c>
      <c r="FDT56" s="850">
        <f t="shared" si="80"/>
        <v>0</v>
      </c>
      <c r="FDU56" s="850">
        <f t="shared" si="80"/>
        <v>6.3697910222997668E+30</v>
      </c>
      <c r="FDV56" s="850">
        <f t="shared" si="80"/>
        <v>0</v>
      </c>
      <c r="FDW56" s="850">
        <f t="shared" si="80"/>
        <v>6.5608847529687603E+30</v>
      </c>
      <c r="FDX56" s="850">
        <f t="shared" si="80"/>
        <v>0</v>
      </c>
      <c r="FDY56" s="850">
        <f t="shared" si="80"/>
        <v>6.7577112955578228E+30</v>
      </c>
      <c r="FDZ56" s="850">
        <f t="shared" si="80"/>
        <v>0</v>
      </c>
      <c r="FEA56" s="850">
        <f t="shared" si="80"/>
        <v>6.9604426344245575E+30</v>
      </c>
      <c r="FEB56" s="850">
        <f t="shared" si="80"/>
        <v>0</v>
      </c>
      <c r="FEC56" s="850">
        <f t="shared" si="80"/>
        <v>7.1692559134572949E+30</v>
      </c>
      <c r="FED56" s="850">
        <f t="shared" si="80"/>
        <v>0</v>
      </c>
      <c r="FEE56" s="850">
        <f t="shared" si="80"/>
        <v>7.3843335908610145E+30</v>
      </c>
      <c r="FEF56" s="850">
        <f t="shared" si="80"/>
        <v>0</v>
      </c>
      <c r="FEG56" s="850">
        <f t="shared" si="80"/>
        <v>7.6058635985868454E+30</v>
      </c>
      <c r="FEH56" s="850">
        <f t="shared" si="80"/>
        <v>0</v>
      </c>
      <c r="FEI56" s="850">
        <f t="shared" si="80"/>
        <v>7.8340395065444506E+30</v>
      </c>
      <c r="FEJ56" s="850">
        <f t="shared" si="80"/>
        <v>0</v>
      </c>
      <c r="FEK56" s="850">
        <f t="shared" si="80"/>
        <v>8.0690606917407841E+30</v>
      </c>
      <c r="FEL56" s="850">
        <f t="shared" si="80"/>
        <v>0</v>
      </c>
      <c r="FEM56" s="850">
        <f t="shared" si="80"/>
        <v>8.3111325124930078E+30</v>
      </c>
      <c r="FEN56" s="850">
        <f t="shared" si="80"/>
        <v>0</v>
      </c>
      <c r="FEO56" s="850">
        <f t="shared" si="80"/>
        <v>8.5604664878677979E+30</v>
      </c>
      <c r="FEP56" s="850">
        <f t="shared" si="80"/>
        <v>0</v>
      </c>
      <c r="FEQ56" s="850">
        <f t="shared" si="80"/>
        <v>8.8172804825038318E+30</v>
      </c>
      <c r="FER56" s="850">
        <f t="shared" si="80"/>
        <v>0</v>
      </c>
      <c r="FES56" s="850">
        <f t="shared" si="80"/>
        <v>9.0817988969789475E+30</v>
      </c>
      <c r="FET56" s="850">
        <f t="shared" si="80"/>
        <v>0</v>
      </c>
      <c r="FEU56" s="850">
        <f t="shared" si="80"/>
        <v>9.3542528638883158E+30</v>
      </c>
      <c r="FEV56" s="850">
        <f t="shared" si="80"/>
        <v>0</v>
      </c>
      <c r="FEW56" s="850">
        <f t="shared" si="80"/>
        <v>9.6348804498049655E+30</v>
      </c>
      <c r="FEX56" s="850">
        <f t="shared" si="80"/>
        <v>0</v>
      </c>
      <c r="FEY56" s="850">
        <f t="shared" si="80"/>
        <v>9.9239268632991142E+30</v>
      </c>
      <c r="FEZ56" s="850">
        <f t="shared" si="80"/>
        <v>0</v>
      </c>
      <c r="FFA56" s="850">
        <f t="shared" si="80"/>
        <v>1.0221644669198089E+31</v>
      </c>
      <c r="FFB56" s="850">
        <f t="shared" si="80"/>
        <v>0</v>
      </c>
      <c r="FFC56" s="850">
        <f t="shared" si="80"/>
        <v>1.0528294009274033E+31</v>
      </c>
      <c r="FFD56" s="850">
        <f t="shared" si="80"/>
        <v>0</v>
      </c>
      <c r="FFE56" s="850">
        <f t="shared" si="80"/>
        <v>1.0844142829552255E+31</v>
      </c>
      <c r="FFF56" s="850">
        <f t="shared" si="80"/>
        <v>0</v>
      </c>
      <c r="FFG56" s="850">
        <f t="shared" si="80"/>
        <v>1.1169467114438823E+31</v>
      </c>
      <c r="FFH56" s="850">
        <f t="shared" si="80"/>
        <v>0</v>
      </c>
      <c r="FFI56" s="850">
        <f t="shared" si="80"/>
        <v>1.1504551127871988E+31</v>
      </c>
      <c r="FFJ56" s="850">
        <f t="shared" si="80"/>
        <v>0</v>
      </c>
      <c r="FFK56" s="850">
        <f t="shared" si="80"/>
        <v>1.1849687661708149E+31</v>
      </c>
      <c r="FFL56" s="850">
        <f t="shared" si="80"/>
        <v>0</v>
      </c>
      <c r="FFM56" s="850">
        <f t="shared" si="80"/>
        <v>1.2205178291559393E+31</v>
      </c>
      <c r="FFN56" s="850">
        <f t="shared" si="80"/>
        <v>0</v>
      </c>
      <c r="FFO56" s="850">
        <f t="shared" si="80"/>
        <v>1.2571333640306176E+31</v>
      </c>
      <c r="FFP56" s="850">
        <f t="shared" si="80"/>
        <v>0</v>
      </c>
      <c r="FFQ56" s="850">
        <f t="shared" si="80"/>
        <v>1.2948473649515363E+31</v>
      </c>
      <c r="FFR56" s="850">
        <f t="shared" si="80"/>
        <v>0</v>
      </c>
      <c r="FFS56" s="850">
        <f t="shared" si="80"/>
        <v>1.3336927859000823E+31</v>
      </c>
      <c r="FFT56" s="850">
        <f t="shared" si="80"/>
        <v>0</v>
      </c>
      <c r="FFU56" s="850">
        <f t="shared" si="80"/>
        <v>1.3737035694770848E+31</v>
      </c>
      <c r="FFV56" s="850">
        <f t="shared" ref="FFV56:FIG56" si="81">FFT56*$C$56</f>
        <v>0</v>
      </c>
      <c r="FFW56" s="850">
        <f t="shared" si="81"/>
        <v>1.4149146765613974E+31</v>
      </c>
      <c r="FFX56" s="850">
        <f t="shared" si="81"/>
        <v>0</v>
      </c>
      <c r="FFY56" s="850">
        <f t="shared" si="81"/>
        <v>1.4573621168582395E+31</v>
      </c>
      <c r="FFZ56" s="850">
        <f t="shared" si="81"/>
        <v>0</v>
      </c>
      <c r="FGA56" s="850">
        <f t="shared" si="81"/>
        <v>1.5010829803639867E+31</v>
      </c>
      <c r="FGB56" s="850">
        <f t="shared" si="81"/>
        <v>0</v>
      </c>
      <c r="FGC56" s="850">
        <f t="shared" si="81"/>
        <v>1.5461154697749063E+31</v>
      </c>
      <c r="FGD56" s="850">
        <f t="shared" si="81"/>
        <v>0</v>
      </c>
      <c r="FGE56" s="850">
        <f t="shared" si="81"/>
        <v>1.5924989338681535E+31</v>
      </c>
      <c r="FGF56" s="850">
        <f t="shared" si="81"/>
        <v>0</v>
      </c>
      <c r="FGG56" s="850">
        <f t="shared" si="81"/>
        <v>1.6402739018841982E+31</v>
      </c>
      <c r="FGH56" s="850">
        <f t="shared" si="81"/>
        <v>0</v>
      </c>
      <c r="FGI56" s="850">
        <f t="shared" si="81"/>
        <v>1.6894821189407242E+31</v>
      </c>
      <c r="FGJ56" s="850">
        <f t="shared" si="81"/>
        <v>0</v>
      </c>
      <c r="FGK56" s="850">
        <f t="shared" si="81"/>
        <v>1.7401665825089459E+31</v>
      </c>
      <c r="FGL56" s="850">
        <f t="shared" si="81"/>
        <v>0</v>
      </c>
      <c r="FGM56" s="850">
        <f t="shared" si="81"/>
        <v>1.7923715799842144E+31</v>
      </c>
      <c r="FGN56" s="850">
        <f t="shared" si="81"/>
        <v>0</v>
      </c>
      <c r="FGO56" s="850">
        <f t="shared" si="81"/>
        <v>1.846142727383741E+31</v>
      </c>
      <c r="FGP56" s="850">
        <f t="shared" si="81"/>
        <v>0</v>
      </c>
      <c r="FGQ56" s="850">
        <f t="shared" si="81"/>
        <v>1.9015270092052533E+31</v>
      </c>
      <c r="FGR56" s="850">
        <f t="shared" si="81"/>
        <v>0</v>
      </c>
      <c r="FGS56" s="850">
        <f t="shared" si="81"/>
        <v>1.9585728194814109E+31</v>
      </c>
      <c r="FGT56" s="850">
        <f t="shared" si="81"/>
        <v>0</v>
      </c>
      <c r="FGU56" s="850">
        <f t="shared" si="81"/>
        <v>2.0173300040658533E+31</v>
      </c>
      <c r="FGV56" s="850">
        <f t="shared" si="81"/>
        <v>0</v>
      </c>
      <c r="FGW56" s="850">
        <f t="shared" si="81"/>
        <v>2.0778499041878288E+31</v>
      </c>
      <c r="FGX56" s="850">
        <f t="shared" si="81"/>
        <v>0</v>
      </c>
      <c r="FGY56" s="850">
        <f t="shared" si="81"/>
        <v>2.1401854013134636E+31</v>
      </c>
      <c r="FGZ56" s="850">
        <f t="shared" si="81"/>
        <v>0</v>
      </c>
      <c r="FHA56" s="850">
        <f t="shared" si="81"/>
        <v>2.2043909633528674E+31</v>
      </c>
      <c r="FHB56" s="850">
        <f t="shared" si="81"/>
        <v>0</v>
      </c>
      <c r="FHC56" s="850">
        <f t="shared" si="81"/>
        <v>2.2705226922534534E+31</v>
      </c>
      <c r="FHD56" s="850">
        <f t="shared" si="81"/>
        <v>0</v>
      </c>
      <c r="FHE56" s="850">
        <f t="shared" si="81"/>
        <v>2.338638373021057E+31</v>
      </c>
      <c r="FHF56" s="850">
        <f t="shared" si="81"/>
        <v>0</v>
      </c>
      <c r="FHG56" s="850">
        <f t="shared" si="81"/>
        <v>2.4087975242116889E+31</v>
      </c>
      <c r="FHH56" s="850">
        <f t="shared" si="81"/>
        <v>0</v>
      </c>
      <c r="FHI56" s="850">
        <f t="shared" si="81"/>
        <v>2.4810614499380398E+31</v>
      </c>
      <c r="FHJ56" s="850">
        <f t="shared" si="81"/>
        <v>0</v>
      </c>
      <c r="FHK56" s="850">
        <f t="shared" si="81"/>
        <v>2.5554932934361809E+31</v>
      </c>
      <c r="FHL56" s="850">
        <f t="shared" si="81"/>
        <v>0</v>
      </c>
      <c r="FHM56" s="850">
        <f t="shared" si="81"/>
        <v>2.6321580922392663E+31</v>
      </c>
      <c r="FHN56" s="850">
        <f t="shared" si="81"/>
        <v>0</v>
      </c>
      <c r="FHO56" s="850">
        <f t="shared" si="81"/>
        <v>2.7111228350064445E+31</v>
      </c>
      <c r="FHP56" s="850">
        <f t="shared" si="81"/>
        <v>0</v>
      </c>
      <c r="FHQ56" s="850">
        <f t="shared" si="81"/>
        <v>2.7924565200566378E+31</v>
      </c>
      <c r="FHR56" s="850">
        <f t="shared" si="81"/>
        <v>0</v>
      </c>
      <c r="FHS56" s="850">
        <f t="shared" si="81"/>
        <v>2.8762302156583368E+31</v>
      </c>
      <c r="FHT56" s="850">
        <f t="shared" si="81"/>
        <v>0</v>
      </c>
      <c r="FHU56" s="850">
        <f t="shared" si="81"/>
        <v>2.962517122128087E+31</v>
      </c>
      <c r="FHV56" s="850">
        <f t="shared" si="81"/>
        <v>0</v>
      </c>
      <c r="FHW56" s="850">
        <f t="shared" si="81"/>
        <v>3.0513926357919298E+31</v>
      </c>
      <c r="FHX56" s="850">
        <f t="shared" si="81"/>
        <v>0</v>
      </c>
      <c r="FHY56" s="850">
        <f t="shared" si="81"/>
        <v>3.1429344148656878E+31</v>
      </c>
      <c r="FHZ56" s="850">
        <f t="shared" si="81"/>
        <v>0</v>
      </c>
      <c r="FIA56" s="850">
        <f t="shared" si="81"/>
        <v>3.2372224473116585E+31</v>
      </c>
      <c r="FIB56" s="850">
        <f t="shared" si="81"/>
        <v>0</v>
      </c>
      <c r="FIC56" s="850">
        <f t="shared" si="81"/>
        <v>3.3343391207310083E+31</v>
      </c>
      <c r="FID56" s="850">
        <f t="shared" si="81"/>
        <v>0</v>
      </c>
      <c r="FIE56" s="850">
        <f t="shared" si="81"/>
        <v>3.4343692943529386E+31</v>
      </c>
      <c r="FIF56" s="850">
        <f t="shared" si="81"/>
        <v>0</v>
      </c>
      <c r="FIG56" s="850">
        <f t="shared" si="81"/>
        <v>3.5374003731835267E+31</v>
      </c>
      <c r="FIH56" s="850">
        <f t="shared" ref="FIH56:FKS56" si="82">FIF56*$C$56</f>
        <v>0</v>
      </c>
      <c r="FII56" s="850">
        <f t="shared" si="82"/>
        <v>3.6435223843790328E+31</v>
      </c>
      <c r="FIJ56" s="850">
        <f t="shared" si="82"/>
        <v>0</v>
      </c>
      <c r="FIK56" s="850">
        <f t="shared" si="82"/>
        <v>3.7528280559104037E+31</v>
      </c>
      <c r="FIL56" s="850">
        <f t="shared" si="82"/>
        <v>0</v>
      </c>
      <c r="FIM56" s="850">
        <f t="shared" si="82"/>
        <v>3.865412897587716E+31</v>
      </c>
      <c r="FIN56" s="850">
        <f t="shared" si="82"/>
        <v>0</v>
      </c>
      <c r="FIO56" s="850">
        <f t="shared" si="82"/>
        <v>3.9813752845153477E+31</v>
      </c>
      <c r="FIP56" s="850">
        <f t="shared" si="82"/>
        <v>0</v>
      </c>
      <c r="FIQ56" s="850">
        <f t="shared" si="82"/>
        <v>4.1008165430508084E+31</v>
      </c>
      <c r="FIR56" s="850">
        <f t="shared" si="82"/>
        <v>0</v>
      </c>
      <c r="FIS56" s="850">
        <f t="shared" si="82"/>
        <v>4.2238410393423332E+31</v>
      </c>
      <c r="FIT56" s="850">
        <f t="shared" si="82"/>
        <v>0</v>
      </c>
      <c r="FIU56" s="850">
        <f t="shared" si="82"/>
        <v>4.3505562705226029E+31</v>
      </c>
      <c r="FIV56" s="850">
        <f t="shared" si="82"/>
        <v>0</v>
      </c>
      <c r="FIW56" s="850">
        <f t="shared" si="82"/>
        <v>4.4810729586382807E+31</v>
      </c>
      <c r="FIX56" s="850">
        <f t="shared" si="82"/>
        <v>0</v>
      </c>
      <c r="FIY56" s="850">
        <f t="shared" si="82"/>
        <v>4.6155051473974294E+31</v>
      </c>
      <c r="FIZ56" s="850">
        <f t="shared" si="82"/>
        <v>0</v>
      </c>
      <c r="FJA56" s="850">
        <f t="shared" si="82"/>
        <v>4.7539703018193526E+31</v>
      </c>
      <c r="FJB56" s="850">
        <f t="shared" si="82"/>
        <v>0</v>
      </c>
      <c r="FJC56" s="850">
        <f t="shared" si="82"/>
        <v>4.8965894108739337E+31</v>
      </c>
      <c r="FJD56" s="850">
        <f t="shared" si="82"/>
        <v>0</v>
      </c>
      <c r="FJE56" s="850">
        <f t="shared" si="82"/>
        <v>5.0434870932001515E+31</v>
      </c>
      <c r="FJF56" s="850">
        <f t="shared" si="82"/>
        <v>0</v>
      </c>
      <c r="FJG56" s="850">
        <f t="shared" si="82"/>
        <v>5.1947917059961558E+31</v>
      </c>
      <c r="FJH56" s="850">
        <f t="shared" si="82"/>
        <v>0</v>
      </c>
      <c r="FJI56" s="850">
        <f t="shared" si="82"/>
        <v>5.3506354571760406E+31</v>
      </c>
      <c r="FJJ56" s="850">
        <f t="shared" si="82"/>
        <v>0</v>
      </c>
      <c r="FJK56" s="850">
        <f t="shared" si="82"/>
        <v>5.511154520891322E+31</v>
      </c>
      <c r="FJL56" s="850">
        <f t="shared" si="82"/>
        <v>0</v>
      </c>
      <c r="FJM56" s="850">
        <f t="shared" si="82"/>
        <v>5.6764891565180616E+31</v>
      </c>
      <c r="FJN56" s="850">
        <f t="shared" si="82"/>
        <v>0</v>
      </c>
      <c r="FJO56" s="850">
        <f t="shared" si="82"/>
        <v>5.8467838312136038E+31</v>
      </c>
      <c r="FJP56" s="850">
        <f t="shared" si="82"/>
        <v>0</v>
      </c>
      <c r="FJQ56" s="850">
        <f t="shared" si="82"/>
        <v>6.0221873461500121E+31</v>
      </c>
      <c r="FJR56" s="850">
        <f t="shared" si="82"/>
        <v>0</v>
      </c>
      <c r="FJS56" s="850">
        <f t="shared" si="82"/>
        <v>6.2028529665345131E+31</v>
      </c>
      <c r="FJT56" s="850">
        <f t="shared" si="82"/>
        <v>0</v>
      </c>
      <c r="FJU56" s="850">
        <f t="shared" si="82"/>
        <v>6.3889385555305483E+31</v>
      </c>
      <c r="FJV56" s="850">
        <f t="shared" si="82"/>
        <v>0</v>
      </c>
      <c r="FJW56" s="850">
        <f t="shared" si="82"/>
        <v>6.5806067121964647E+31</v>
      </c>
      <c r="FJX56" s="850">
        <f t="shared" si="82"/>
        <v>0</v>
      </c>
      <c r="FJY56" s="850">
        <f t="shared" si="82"/>
        <v>6.7780249135623586E+31</v>
      </c>
      <c r="FJZ56" s="850">
        <f t="shared" si="82"/>
        <v>0</v>
      </c>
      <c r="FKA56" s="850">
        <f t="shared" si="82"/>
        <v>6.9813656609692294E+31</v>
      </c>
      <c r="FKB56" s="850">
        <f t="shared" si="82"/>
        <v>0</v>
      </c>
      <c r="FKC56" s="850">
        <f t="shared" si="82"/>
        <v>7.1908066307983063E+31</v>
      </c>
      <c r="FKD56" s="850">
        <f t="shared" si="82"/>
        <v>0</v>
      </c>
      <c r="FKE56" s="850">
        <f t="shared" si="82"/>
        <v>7.4065308297222557E+31</v>
      </c>
      <c r="FKF56" s="850">
        <f t="shared" si="82"/>
        <v>0</v>
      </c>
      <c r="FKG56" s="850">
        <f t="shared" si="82"/>
        <v>7.6287267546139239E+31</v>
      </c>
      <c r="FKH56" s="850">
        <f t="shared" si="82"/>
        <v>0</v>
      </c>
      <c r="FKI56" s="850">
        <f t="shared" si="82"/>
        <v>7.8575885572523419E+31</v>
      </c>
      <c r="FKJ56" s="850">
        <f t="shared" si="82"/>
        <v>0</v>
      </c>
      <c r="FKK56" s="850">
        <f t="shared" si="82"/>
        <v>8.0933162139699126E+31</v>
      </c>
      <c r="FKL56" s="850">
        <f t="shared" si="82"/>
        <v>0</v>
      </c>
      <c r="FKM56" s="850">
        <f t="shared" si="82"/>
        <v>8.3361157003890101E+31</v>
      </c>
      <c r="FKN56" s="850">
        <f t="shared" si="82"/>
        <v>0</v>
      </c>
      <c r="FKO56" s="850">
        <f t="shared" si="82"/>
        <v>8.5861991714006801E+31</v>
      </c>
      <c r="FKP56" s="850">
        <f t="shared" si="82"/>
        <v>0</v>
      </c>
      <c r="FKQ56" s="850">
        <f t="shared" si="82"/>
        <v>8.8437851465427003E+31</v>
      </c>
      <c r="FKR56" s="850">
        <f t="shared" si="82"/>
        <v>0</v>
      </c>
      <c r="FKS56" s="850">
        <f t="shared" si="82"/>
        <v>9.1090987009389812E+31</v>
      </c>
      <c r="FKT56" s="850">
        <f t="shared" ref="FKT56:FNE56" si="83">FKR56*$C$56</f>
        <v>0</v>
      </c>
      <c r="FKU56" s="850">
        <f t="shared" si="83"/>
        <v>9.3823716619671517E+31</v>
      </c>
      <c r="FKV56" s="850">
        <f t="shared" si="83"/>
        <v>0</v>
      </c>
      <c r="FKW56" s="850">
        <f t="shared" si="83"/>
        <v>9.6638428118261664E+31</v>
      </c>
      <c r="FKX56" s="850">
        <f t="shared" si="83"/>
        <v>0</v>
      </c>
      <c r="FKY56" s="850">
        <f t="shared" si="83"/>
        <v>9.9537580961809517E+31</v>
      </c>
      <c r="FKZ56" s="850">
        <f t="shared" si="83"/>
        <v>0</v>
      </c>
      <c r="FLA56" s="850">
        <f t="shared" si="83"/>
        <v>1.025237083906638E+32</v>
      </c>
      <c r="FLB56" s="850">
        <f t="shared" si="83"/>
        <v>0</v>
      </c>
      <c r="FLC56" s="850">
        <f t="shared" si="83"/>
        <v>1.0559941964238372E+32</v>
      </c>
      <c r="FLD56" s="850">
        <f t="shared" si="83"/>
        <v>0</v>
      </c>
      <c r="FLE56" s="850">
        <f t="shared" si="83"/>
        <v>1.0876740223165524E+32</v>
      </c>
      <c r="FLF56" s="850">
        <f t="shared" si="83"/>
        <v>0</v>
      </c>
      <c r="FLG56" s="850">
        <f t="shared" si="83"/>
        <v>1.120304242986049E+32</v>
      </c>
      <c r="FLH56" s="850">
        <f t="shared" si="83"/>
        <v>0</v>
      </c>
      <c r="FLI56" s="850">
        <f t="shared" si="83"/>
        <v>1.1539133702756304E+32</v>
      </c>
      <c r="FLJ56" s="850">
        <f t="shared" si="83"/>
        <v>0</v>
      </c>
      <c r="FLK56" s="850">
        <f t="shared" si="83"/>
        <v>1.1885307713838994E+32</v>
      </c>
      <c r="FLL56" s="850">
        <f t="shared" si="83"/>
        <v>0</v>
      </c>
      <c r="FLM56" s="850">
        <f t="shared" si="83"/>
        <v>1.2241866945254164E+32</v>
      </c>
      <c r="FLN56" s="850">
        <f t="shared" si="83"/>
        <v>0</v>
      </c>
      <c r="FLO56" s="850">
        <f t="shared" si="83"/>
        <v>1.2609122953611789E+32</v>
      </c>
      <c r="FLP56" s="850">
        <f t="shared" si="83"/>
        <v>0</v>
      </c>
      <c r="FLQ56" s="850">
        <f t="shared" si="83"/>
        <v>1.2987396642220144E+32</v>
      </c>
      <c r="FLR56" s="850">
        <f t="shared" si="83"/>
        <v>0</v>
      </c>
      <c r="FLS56" s="850">
        <f t="shared" si="83"/>
        <v>1.3377018541486748E+32</v>
      </c>
      <c r="FLT56" s="850">
        <f t="shared" si="83"/>
        <v>0</v>
      </c>
      <c r="FLU56" s="850">
        <f t="shared" si="83"/>
        <v>1.377832909773135E+32</v>
      </c>
      <c r="FLV56" s="850">
        <f t="shared" si="83"/>
        <v>0</v>
      </c>
      <c r="FLW56" s="850">
        <f t="shared" si="83"/>
        <v>1.4191678970663292E+32</v>
      </c>
      <c r="FLX56" s="850">
        <f t="shared" si="83"/>
        <v>0</v>
      </c>
      <c r="FLY56" s="850">
        <f t="shared" si="83"/>
        <v>1.4617429339783192E+32</v>
      </c>
      <c r="FLZ56" s="850">
        <f t="shared" si="83"/>
        <v>0</v>
      </c>
      <c r="FMA56" s="850">
        <f t="shared" si="83"/>
        <v>1.5055952219976687E+32</v>
      </c>
      <c r="FMB56" s="850">
        <f t="shared" si="83"/>
        <v>0</v>
      </c>
      <c r="FMC56" s="850">
        <f t="shared" si="83"/>
        <v>1.5507630786575989E+32</v>
      </c>
      <c r="FMD56" s="850">
        <f t="shared" si="83"/>
        <v>0</v>
      </c>
      <c r="FME56" s="850">
        <f t="shared" si="83"/>
        <v>1.5972859710173269E+32</v>
      </c>
      <c r="FMF56" s="850">
        <f t="shared" si="83"/>
        <v>0</v>
      </c>
      <c r="FMG56" s="850">
        <f t="shared" si="83"/>
        <v>1.6452045501478467E+32</v>
      </c>
      <c r="FMH56" s="850">
        <f t="shared" si="83"/>
        <v>0</v>
      </c>
      <c r="FMI56" s="850">
        <f t="shared" si="83"/>
        <v>1.6945606866522821E+32</v>
      </c>
      <c r="FMJ56" s="850">
        <f t="shared" si="83"/>
        <v>0</v>
      </c>
      <c r="FMK56" s="850">
        <f t="shared" si="83"/>
        <v>1.7453975072518508E+32</v>
      </c>
      <c r="FML56" s="850">
        <f t="shared" si="83"/>
        <v>0</v>
      </c>
      <c r="FMM56" s="850">
        <f t="shared" si="83"/>
        <v>1.7977594324694064E+32</v>
      </c>
      <c r="FMN56" s="850">
        <f t="shared" si="83"/>
        <v>0</v>
      </c>
      <c r="FMO56" s="850">
        <f t="shared" si="83"/>
        <v>1.8516922154434885E+32</v>
      </c>
      <c r="FMP56" s="850">
        <f t="shared" si="83"/>
        <v>0</v>
      </c>
      <c r="FMQ56" s="850">
        <f t="shared" si="83"/>
        <v>1.9072429819067933E+32</v>
      </c>
      <c r="FMR56" s="850">
        <f t="shared" si="83"/>
        <v>0</v>
      </c>
      <c r="FMS56" s="850">
        <f t="shared" si="83"/>
        <v>1.9644602713639972E+32</v>
      </c>
      <c r="FMT56" s="850">
        <f t="shared" si="83"/>
        <v>0</v>
      </c>
      <c r="FMU56" s="850">
        <f t="shared" si="83"/>
        <v>2.0233940795049172E+32</v>
      </c>
      <c r="FMV56" s="850">
        <f t="shared" si="83"/>
        <v>0</v>
      </c>
      <c r="FMW56" s="850">
        <f t="shared" si="83"/>
        <v>2.0840959018900648E+32</v>
      </c>
      <c r="FMX56" s="850">
        <f t="shared" si="83"/>
        <v>0</v>
      </c>
      <c r="FMY56" s="850">
        <f t="shared" si="83"/>
        <v>2.1466187789467667E+32</v>
      </c>
      <c r="FMZ56" s="850">
        <f t="shared" si="83"/>
        <v>0</v>
      </c>
      <c r="FNA56" s="850">
        <f t="shared" si="83"/>
        <v>2.2110173423151697E+32</v>
      </c>
      <c r="FNB56" s="850">
        <f t="shared" si="83"/>
        <v>0</v>
      </c>
      <c r="FNC56" s="850">
        <f t="shared" si="83"/>
        <v>2.2773478625846249E+32</v>
      </c>
      <c r="FND56" s="850">
        <f t="shared" si="83"/>
        <v>0</v>
      </c>
      <c r="FNE56" s="850">
        <f t="shared" si="83"/>
        <v>2.3456682984621635E+32</v>
      </c>
      <c r="FNF56" s="850">
        <f t="shared" ref="FNF56:FPQ56" si="84">FND56*$C$56</f>
        <v>0</v>
      </c>
      <c r="FNG56" s="850">
        <f t="shared" si="84"/>
        <v>2.4160383474160286E+32</v>
      </c>
      <c r="FNH56" s="850">
        <f t="shared" si="84"/>
        <v>0</v>
      </c>
      <c r="FNI56" s="850">
        <f t="shared" si="84"/>
        <v>2.4885194978385094E+32</v>
      </c>
      <c r="FNJ56" s="850">
        <f t="shared" si="84"/>
        <v>0</v>
      </c>
      <c r="FNK56" s="850">
        <f t="shared" si="84"/>
        <v>2.5631750827736647E+32</v>
      </c>
      <c r="FNL56" s="850">
        <f t="shared" si="84"/>
        <v>0</v>
      </c>
      <c r="FNM56" s="850">
        <f t="shared" si="84"/>
        <v>2.6400703352568746E+32</v>
      </c>
      <c r="FNN56" s="850">
        <f t="shared" si="84"/>
        <v>0</v>
      </c>
      <c r="FNO56" s="850">
        <f t="shared" si="84"/>
        <v>2.7192724453145809E+32</v>
      </c>
      <c r="FNP56" s="850">
        <f t="shared" si="84"/>
        <v>0</v>
      </c>
      <c r="FNQ56" s="850">
        <f t="shared" si="84"/>
        <v>2.8008506186740183E+32</v>
      </c>
      <c r="FNR56" s="850">
        <f t="shared" si="84"/>
        <v>0</v>
      </c>
      <c r="FNS56" s="850">
        <f t="shared" si="84"/>
        <v>2.8848761372342388E+32</v>
      </c>
      <c r="FNT56" s="850">
        <f t="shared" si="84"/>
        <v>0</v>
      </c>
      <c r="FNU56" s="850">
        <f t="shared" si="84"/>
        <v>2.9714224213512659E+32</v>
      </c>
      <c r="FNV56" s="850">
        <f t="shared" si="84"/>
        <v>0</v>
      </c>
      <c r="FNW56" s="850">
        <f t="shared" si="84"/>
        <v>3.060565093991804E+32</v>
      </c>
      <c r="FNX56" s="850">
        <f t="shared" si="84"/>
        <v>0</v>
      </c>
      <c r="FNY56" s="850">
        <f t="shared" si="84"/>
        <v>3.1523820468115582E+32</v>
      </c>
      <c r="FNZ56" s="850">
        <f t="shared" si="84"/>
        <v>0</v>
      </c>
      <c r="FOA56" s="850">
        <f t="shared" si="84"/>
        <v>3.2469535082159047E+32</v>
      </c>
      <c r="FOB56" s="850">
        <f t="shared" si="84"/>
        <v>0</v>
      </c>
      <c r="FOC56" s="850">
        <f t="shared" si="84"/>
        <v>3.3443621134623817E+32</v>
      </c>
      <c r="FOD56" s="850">
        <f t="shared" si="84"/>
        <v>0</v>
      </c>
      <c r="FOE56" s="850">
        <f t="shared" si="84"/>
        <v>3.4446929768662535E+32</v>
      </c>
      <c r="FOF56" s="850">
        <f t="shared" si="84"/>
        <v>0</v>
      </c>
      <c r="FOG56" s="850">
        <f t="shared" si="84"/>
        <v>3.5480337661722413E+32</v>
      </c>
      <c r="FOH56" s="850">
        <f t="shared" si="84"/>
        <v>0</v>
      </c>
      <c r="FOI56" s="850">
        <f t="shared" si="84"/>
        <v>3.654474779157409E+32</v>
      </c>
      <c r="FOJ56" s="850">
        <f t="shared" si="84"/>
        <v>0</v>
      </c>
      <c r="FOK56" s="850">
        <f t="shared" si="84"/>
        <v>3.764109022532131E+32</v>
      </c>
      <c r="FOL56" s="850">
        <f t="shared" si="84"/>
        <v>0</v>
      </c>
      <c r="FOM56" s="850">
        <f t="shared" si="84"/>
        <v>3.8770322932080954E+32</v>
      </c>
      <c r="FON56" s="850">
        <f t="shared" si="84"/>
        <v>0</v>
      </c>
      <c r="FOO56" s="850">
        <f t="shared" si="84"/>
        <v>3.9933432620043385E+32</v>
      </c>
      <c r="FOP56" s="850">
        <f t="shared" si="84"/>
        <v>0</v>
      </c>
      <c r="FOQ56" s="850">
        <f t="shared" si="84"/>
        <v>4.113143559864469E+32</v>
      </c>
      <c r="FOR56" s="850">
        <f t="shared" si="84"/>
        <v>0</v>
      </c>
      <c r="FOS56" s="850">
        <f t="shared" si="84"/>
        <v>4.236537866660403E+32</v>
      </c>
      <c r="FOT56" s="850">
        <f t="shared" si="84"/>
        <v>0</v>
      </c>
      <c r="FOU56" s="850">
        <f t="shared" si="84"/>
        <v>4.3636340026602151E+32</v>
      </c>
      <c r="FOV56" s="850">
        <f t="shared" si="84"/>
        <v>0</v>
      </c>
      <c r="FOW56" s="850">
        <f t="shared" si="84"/>
        <v>4.4945430227400219E+32</v>
      </c>
      <c r="FOX56" s="850">
        <f t="shared" si="84"/>
        <v>0</v>
      </c>
      <c r="FOY56" s="850">
        <f t="shared" si="84"/>
        <v>4.6293793134222225E+32</v>
      </c>
      <c r="FOZ56" s="850">
        <f t="shared" si="84"/>
        <v>0</v>
      </c>
      <c r="FPA56" s="850">
        <f t="shared" si="84"/>
        <v>4.7682606928248891E+32</v>
      </c>
      <c r="FPB56" s="850">
        <f t="shared" si="84"/>
        <v>0</v>
      </c>
      <c r="FPC56" s="850">
        <f t="shared" si="84"/>
        <v>4.9113085136096361E+32</v>
      </c>
      <c r="FPD56" s="850">
        <f t="shared" si="84"/>
        <v>0</v>
      </c>
      <c r="FPE56" s="850">
        <f t="shared" si="84"/>
        <v>5.0586477690179256E+32</v>
      </c>
      <c r="FPF56" s="850">
        <f t="shared" si="84"/>
        <v>0</v>
      </c>
      <c r="FPG56" s="850">
        <f t="shared" si="84"/>
        <v>5.2104072020884631E+32</v>
      </c>
      <c r="FPH56" s="850">
        <f t="shared" si="84"/>
        <v>0</v>
      </c>
      <c r="FPI56" s="850">
        <f t="shared" si="84"/>
        <v>5.3667194181511172E+32</v>
      </c>
      <c r="FPJ56" s="850">
        <f t="shared" si="84"/>
        <v>0</v>
      </c>
      <c r="FPK56" s="850">
        <f t="shared" si="84"/>
        <v>5.5277210006956507E+32</v>
      </c>
      <c r="FPL56" s="850">
        <f t="shared" si="84"/>
        <v>0</v>
      </c>
      <c r="FPM56" s="850">
        <f t="shared" si="84"/>
        <v>5.6935526307165202E+32</v>
      </c>
      <c r="FPN56" s="850">
        <f t="shared" si="84"/>
        <v>0</v>
      </c>
      <c r="FPO56" s="850">
        <f t="shared" si="84"/>
        <v>5.8643592096380158E+32</v>
      </c>
      <c r="FPP56" s="850">
        <f t="shared" si="84"/>
        <v>0</v>
      </c>
      <c r="FPQ56" s="850">
        <f t="shared" si="84"/>
        <v>6.0402899859271566E+32</v>
      </c>
      <c r="FPR56" s="850">
        <f t="shared" ref="FPR56:FSC56" si="85">FPP56*$C$56</f>
        <v>0</v>
      </c>
      <c r="FPS56" s="850">
        <f t="shared" si="85"/>
        <v>6.2214986855049713E+32</v>
      </c>
      <c r="FPT56" s="850">
        <f t="shared" si="85"/>
        <v>0</v>
      </c>
      <c r="FPU56" s="850">
        <f t="shared" si="85"/>
        <v>6.4081436460701207E+32</v>
      </c>
      <c r="FPV56" s="850">
        <f t="shared" si="85"/>
        <v>0</v>
      </c>
      <c r="FPW56" s="850">
        <f t="shared" si="85"/>
        <v>6.6003879554522252E+32</v>
      </c>
      <c r="FPX56" s="850">
        <f t="shared" si="85"/>
        <v>0</v>
      </c>
      <c r="FPY56" s="850">
        <f t="shared" si="85"/>
        <v>6.7983995941157927E+32</v>
      </c>
      <c r="FPZ56" s="850">
        <f t="shared" si="85"/>
        <v>0</v>
      </c>
      <c r="FQA56" s="850">
        <f t="shared" si="85"/>
        <v>7.002351581939266E+32</v>
      </c>
      <c r="FQB56" s="850">
        <f t="shared" si="85"/>
        <v>0</v>
      </c>
      <c r="FQC56" s="850">
        <f t="shared" si="85"/>
        <v>7.2124221293974447E+32</v>
      </c>
      <c r="FQD56" s="850">
        <f t="shared" si="85"/>
        <v>0</v>
      </c>
      <c r="FQE56" s="850">
        <f t="shared" si="85"/>
        <v>7.4287947932793687E+32</v>
      </c>
      <c r="FQF56" s="850">
        <f t="shared" si="85"/>
        <v>0</v>
      </c>
      <c r="FQG56" s="850">
        <f t="shared" si="85"/>
        <v>7.6516586370777498E+32</v>
      </c>
      <c r="FQH56" s="850">
        <f t="shared" si="85"/>
        <v>0</v>
      </c>
      <c r="FQI56" s="850">
        <f t="shared" si="85"/>
        <v>7.8812083961900828E+32</v>
      </c>
      <c r="FQJ56" s="850">
        <f t="shared" si="85"/>
        <v>0</v>
      </c>
      <c r="FQK56" s="850">
        <f t="shared" si="85"/>
        <v>8.117644648075786E+32</v>
      </c>
      <c r="FQL56" s="850">
        <f t="shared" si="85"/>
        <v>0</v>
      </c>
      <c r="FQM56" s="850">
        <f t="shared" si="85"/>
        <v>8.3611739875180602E+32</v>
      </c>
      <c r="FQN56" s="850">
        <f t="shared" si="85"/>
        <v>0</v>
      </c>
      <c r="FQO56" s="850">
        <f t="shared" si="85"/>
        <v>8.6120092071436016E+32</v>
      </c>
      <c r="FQP56" s="850">
        <f t="shared" si="85"/>
        <v>0</v>
      </c>
      <c r="FQQ56" s="850">
        <f t="shared" si="85"/>
        <v>8.8703694833579096E+32</v>
      </c>
      <c r="FQR56" s="850">
        <f t="shared" si="85"/>
        <v>0</v>
      </c>
      <c r="FQS56" s="850">
        <f t="shared" si="85"/>
        <v>9.1364805678586473E+32</v>
      </c>
      <c r="FQT56" s="850">
        <f t="shared" si="85"/>
        <v>0</v>
      </c>
      <c r="FQU56" s="850">
        <f t="shared" si="85"/>
        <v>9.4105749848944072E+32</v>
      </c>
      <c r="FQV56" s="850">
        <f t="shared" si="85"/>
        <v>0</v>
      </c>
      <c r="FQW56" s="850">
        <f t="shared" si="85"/>
        <v>9.6928922344412395E+32</v>
      </c>
      <c r="FQX56" s="850">
        <f t="shared" si="85"/>
        <v>0</v>
      </c>
      <c r="FQY56" s="850">
        <f t="shared" si="85"/>
        <v>9.9836790014744765E+32</v>
      </c>
      <c r="FQZ56" s="850">
        <f t="shared" si="85"/>
        <v>0</v>
      </c>
      <c r="FRA56" s="850">
        <f t="shared" si="85"/>
        <v>1.0283189371518711E+33</v>
      </c>
      <c r="FRB56" s="850">
        <f t="shared" si="85"/>
        <v>0</v>
      </c>
      <c r="FRC56" s="850">
        <f t="shared" si="85"/>
        <v>1.0591685052664274E+33</v>
      </c>
      <c r="FRD56" s="850">
        <f t="shared" si="85"/>
        <v>0</v>
      </c>
      <c r="FRE56" s="850">
        <f t="shared" si="85"/>
        <v>1.0909435604244203E+33</v>
      </c>
      <c r="FRF56" s="850">
        <f t="shared" si="85"/>
        <v>0</v>
      </c>
      <c r="FRG56" s="850">
        <f t="shared" si="85"/>
        <v>1.1236718672371529E+33</v>
      </c>
      <c r="FRH56" s="850">
        <f t="shared" si="85"/>
        <v>0</v>
      </c>
      <c r="FRI56" s="850">
        <f t="shared" si="85"/>
        <v>1.1573820232542675E+33</v>
      </c>
      <c r="FRJ56" s="850">
        <f t="shared" si="85"/>
        <v>0</v>
      </c>
      <c r="FRK56" s="850">
        <f t="shared" si="85"/>
        <v>1.1921034839518956E+33</v>
      </c>
      <c r="FRL56" s="850">
        <f t="shared" si="85"/>
        <v>0</v>
      </c>
      <c r="FRM56" s="850">
        <f t="shared" si="85"/>
        <v>1.2278665884704526E+33</v>
      </c>
      <c r="FRN56" s="850">
        <f t="shared" si="85"/>
        <v>0</v>
      </c>
      <c r="FRO56" s="850">
        <f t="shared" si="85"/>
        <v>1.2647025861245662E+33</v>
      </c>
      <c r="FRP56" s="850">
        <f t="shared" si="85"/>
        <v>0</v>
      </c>
      <c r="FRQ56" s="850">
        <f t="shared" si="85"/>
        <v>1.3026436637083034E+33</v>
      </c>
      <c r="FRR56" s="850">
        <f t="shared" si="85"/>
        <v>0</v>
      </c>
      <c r="FRS56" s="850">
        <f t="shared" si="85"/>
        <v>1.3417229736195525E+33</v>
      </c>
      <c r="FRT56" s="850">
        <f t="shared" si="85"/>
        <v>0</v>
      </c>
      <c r="FRU56" s="850">
        <f t="shared" si="85"/>
        <v>1.3819746628281391E+33</v>
      </c>
      <c r="FRV56" s="850">
        <f t="shared" si="85"/>
        <v>0</v>
      </c>
      <c r="FRW56" s="850">
        <f t="shared" si="85"/>
        <v>1.4234339027129832E+33</v>
      </c>
      <c r="FRX56" s="850">
        <f t="shared" si="85"/>
        <v>0</v>
      </c>
      <c r="FRY56" s="850">
        <f t="shared" si="85"/>
        <v>1.4661369197943727E+33</v>
      </c>
      <c r="FRZ56" s="850">
        <f t="shared" si="85"/>
        <v>0</v>
      </c>
      <c r="FSA56" s="850">
        <f t="shared" si="85"/>
        <v>1.5101210273882041E+33</v>
      </c>
      <c r="FSB56" s="850">
        <f t="shared" si="85"/>
        <v>0</v>
      </c>
      <c r="FSC56" s="850">
        <f t="shared" si="85"/>
        <v>1.5554246582098502E+33</v>
      </c>
      <c r="FSD56" s="850">
        <f t="shared" ref="FSD56:FUO56" si="86">FSB56*$C$56</f>
        <v>0</v>
      </c>
      <c r="FSE56" s="850">
        <f t="shared" si="86"/>
        <v>1.6020873979561458E+33</v>
      </c>
      <c r="FSF56" s="850">
        <f t="shared" si="86"/>
        <v>0</v>
      </c>
      <c r="FSG56" s="850">
        <f t="shared" si="86"/>
        <v>1.6501500198948304E+33</v>
      </c>
      <c r="FSH56" s="850">
        <f t="shared" si="86"/>
        <v>0</v>
      </c>
      <c r="FSI56" s="850">
        <f t="shared" si="86"/>
        <v>1.6996545204916754E+33</v>
      </c>
      <c r="FSJ56" s="850">
        <f t="shared" si="86"/>
        <v>0</v>
      </c>
      <c r="FSK56" s="850">
        <f t="shared" si="86"/>
        <v>1.7506441561064258E+33</v>
      </c>
      <c r="FSL56" s="850">
        <f t="shared" si="86"/>
        <v>0</v>
      </c>
      <c r="FSM56" s="850">
        <f t="shared" si="86"/>
        <v>1.8031634807896187E+33</v>
      </c>
      <c r="FSN56" s="850">
        <f t="shared" si="86"/>
        <v>0</v>
      </c>
      <c r="FSO56" s="850">
        <f t="shared" si="86"/>
        <v>1.8572583852133075E+33</v>
      </c>
      <c r="FSP56" s="850">
        <f t="shared" si="86"/>
        <v>0</v>
      </c>
      <c r="FSQ56" s="850">
        <f t="shared" si="86"/>
        <v>1.9129761367697067E+33</v>
      </c>
      <c r="FSR56" s="850">
        <f t="shared" si="86"/>
        <v>0</v>
      </c>
      <c r="FSS56" s="850">
        <f t="shared" si="86"/>
        <v>1.9703654208727979E+33</v>
      </c>
      <c r="FST56" s="850">
        <f t="shared" si="86"/>
        <v>0</v>
      </c>
      <c r="FSU56" s="850">
        <f t="shared" si="86"/>
        <v>2.0294763834989819E+33</v>
      </c>
      <c r="FSV56" s="850">
        <f t="shared" si="86"/>
        <v>0</v>
      </c>
      <c r="FSW56" s="850">
        <f t="shared" si="86"/>
        <v>2.0903606750039515E+33</v>
      </c>
      <c r="FSX56" s="850">
        <f t="shared" si="86"/>
        <v>0</v>
      </c>
      <c r="FSY56" s="850">
        <f t="shared" si="86"/>
        <v>2.1530714952540701E+33</v>
      </c>
      <c r="FSZ56" s="850">
        <f t="shared" si="86"/>
        <v>0</v>
      </c>
      <c r="FTA56" s="850">
        <f t="shared" si="86"/>
        <v>2.2176636401116924E+33</v>
      </c>
      <c r="FTB56" s="850">
        <f t="shared" si="86"/>
        <v>0</v>
      </c>
      <c r="FTC56" s="850">
        <f t="shared" si="86"/>
        <v>2.2841935493150432E+33</v>
      </c>
      <c r="FTD56" s="850">
        <f t="shared" si="86"/>
        <v>0</v>
      </c>
      <c r="FTE56" s="850">
        <f t="shared" si="86"/>
        <v>2.3527193557944946E+33</v>
      </c>
      <c r="FTF56" s="850">
        <f t="shared" si="86"/>
        <v>0</v>
      </c>
      <c r="FTG56" s="850">
        <f t="shared" si="86"/>
        <v>2.4233009364683296E+33</v>
      </c>
      <c r="FTH56" s="850">
        <f t="shared" si="86"/>
        <v>0</v>
      </c>
      <c r="FTI56" s="850">
        <f t="shared" si="86"/>
        <v>2.4959999645623796E+33</v>
      </c>
      <c r="FTJ56" s="850">
        <f t="shared" si="86"/>
        <v>0</v>
      </c>
      <c r="FTK56" s="850">
        <f t="shared" si="86"/>
        <v>2.5708799634992512E+33</v>
      </c>
      <c r="FTL56" s="850">
        <f t="shared" si="86"/>
        <v>0</v>
      </c>
      <c r="FTM56" s="850">
        <f t="shared" si="86"/>
        <v>2.6480063624042291E+33</v>
      </c>
      <c r="FTN56" s="850">
        <f t="shared" si="86"/>
        <v>0</v>
      </c>
      <c r="FTO56" s="850">
        <f t="shared" si="86"/>
        <v>2.727446553276356E+33</v>
      </c>
      <c r="FTP56" s="850">
        <f t="shared" si="86"/>
        <v>0</v>
      </c>
      <c r="FTQ56" s="850">
        <f t="shared" si="86"/>
        <v>2.8092699498746468E+33</v>
      </c>
      <c r="FTR56" s="850">
        <f t="shared" si="86"/>
        <v>0</v>
      </c>
      <c r="FTS56" s="850">
        <f t="shared" si="86"/>
        <v>2.8935480483708862E+33</v>
      </c>
      <c r="FTT56" s="850">
        <f t="shared" si="86"/>
        <v>0</v>
      </c>
      <c r="FTU56" s="850">
        <f t="shared" si="86"/>
        <v>2.980354489822013E+33</v>
      </c>
      <c r="FTV56" s="850">
        <f t="shared" si="86"/>
        <v>0</v>
      </c>
      <c r="FTW56" s="850">
        <f t="shared" si="86"/>
        <v>3.0697651245166736E+33</v>
      </c>
      <c r="FTX56" s="850">
        <f t="shared" si="86"/>
        <v>0</v>
      </c>
      <c r="FTY56" s="850">
        <f t="shared" si="86"/>
        <v>3.1618580782521736E+33</v>
      </c>
      <c r="FTZ56" s="850">
        <f t="shared" si="86"/>
        <v>0</v>
      </c>
      <c r="FUA56" s="850">
        <f t="shared" si="86"/>
        <v>3.256713820599739E+33</v>
      </c>
      <c r="FUB56" s="850">
        <f t="shared" si="86"/>
        <v>0</v>
      </c>
      <c r="FUC56" s="850">
        <f t="shared" si="86"/>
        <v>3.3544152352177314E+33</v>
      </c>
      <c r="FUD56" s="850">
        <f t="shared" si="86"/>
        <v>0</v>
      </c>
      <c r="FUE56" s="850">
        <f t="shared" si="86"/>
        <v>3.4550476922742634E+33</v>
      </c>
      <c r="FUF56" s="850">
        <f t="shared" si="86"/>
        <v>0</v>
      </c>
      <c r="FUG56" s="850">
        <f t="shared" si="86"/>
        <v>3.5586991230424915E+33</v>
      </c>
      <c r="FUH56" s="850">
        <f t="shared" si="86"/>
        <v>0</v>
      </c>
      <c r="FUI56" s="850">
        <f t="shared" si="86"/>
        <v>3.6654600967337665E+33</v>
      </c>
      <c r="FUJ56" s="850">
        <f t="shared" si="86"/>
        <v>0</v>
      </c>
      <c r="FUK56" s="850">
        <f t="shared" si="86"/>
        <v>3.7754238996357798E+33</v>
      </c>
      <c r="FUL56" s="850">
        <f t="shared" si="86"/>
        <v>0</v>
      </c>
      <c r="FUM56" s="850">
        <f t="shared" si="86"/>
        <v>3.8886866166248533E+33</v>
      </c>
      <c r="FUN56" s="850">
        <f t="shared" si="86"/>
        <v>0</v>
      </c>
      <c r="FUO56" s="850">
        <f t="shared" si="86"/>
        <v>4.0053472151235991E+33</v>
      </c>
      <c r="FUP56" s="850">
        <f t="shared" ref="FUP56:FXA56" si="87">FUN56*$C$56</f>
        <v>0</v>
      </c>
      <c r="FUQ56" s="850">
        <f t="shared" si="87"/>
        <v>4.1255076315773071E+33</v>
      </c>
      <c r="FUR56" s="850">
        <f t="shared" si="87"/>
        <v>0</v>
      </c>
      <c r="FUS56" s="850">
        <f t="shared" si="87"/>
        <v>4.2492728605246263E+33</v>
      </c>
      <c r="FUT56" s="850">
        <f t="shared" si="87"/>
        <v>0</v>
      </c>
      <c r="FUU56" s="850">
        <f t="shared" si="87"/>
        <v>4.3767510463403653E+33</v>
      </c>
      <c r="FUV56" s="850">
        <f t="shared" si="87"/>
        <v>0</v>
      </c>
      <c r="FUW56" s="850">
        <f t="shared" si="87"/>
        <v>4.5080535777305765E+33</v>
      </c>
      <c r="FUX56" s="850">
        <f t="shared" si="87"/>
        <v>0</v>
      </c>
      <c r="FUY56" s="850">
        <f t="shared" si="87"/>
        <v>4.6432951850624938E+33</v>
      </c>
      <c r="FUZ56" s="850">
        <f t="shared" si="87"/>
        <v>0</v>
      </c>
      <c r="FVA56" s="850">
        <f t="shared" si="87"/>
        <v>4.7825940406143689E+33</v>
      </c>
      <c r="FVB56" s="850">
        <f t="shared" si="87"/>
        <v>0</v>
      </c>
      <c r="FVC56" s="850">
        <f t="shared" si="87"/>
        <v>4.9260718618328002E+33</v>
      </c>
      <c r="FVD56" s="850">
        <f t="shared" si="87"/>
        <v>0</v>
      </c>
      <c r="FVE56" s="850">
        <f t="shared" si="87"/>
        <v>5.0738540176877842E+33</v>
      </c>
      <c r="FVF56" s="850">
        <f t="shared" si="87"/>
        <v>0</v>
      </c>
      <c r="FVG56" s="850">
        <f t="shared" si="87"/>
        <v>5.2260696382184176E+33</v>
      </c>
      <c r="FVH56" s="850">
        <f t="shared" si="87"/>
        <v>0</v>
      </c>
      <c r="FVI56" s="850">
        <f t="shared" si="87"/>
        <v>5.3828517273649705E+33</v>
      </c>
      <c r="FVJ56" s="850">
        <f t="shared" si="87"/>
        <v>0</v>
      </c>
      <c r="FVK56" s="850">
        <f t="shared" si="87"/>
        <v>5.5443372791859198E+33</v>
      </c>
      <c r="FVL56" s="850">
        <f t="shared" si="87"/>
        <v>0</v>
      </c>
      <c r="FVM56" s="850">
        <f t="shared" si="87"/>
        <v>5.7106673975614976E+33</v>
      </c>
      <c r="FVN56" s="850">
        <f t="shared" si="87"/>
        <v>0</v>
      </c>
      <c r="FVO56" s="850">
        <f t="shared" si="87"/>
        <v>5.8819874194883429E+33</v>
      </c>
      <c r="FVP56" s="850">
        <f t="shared" si="87"/>
        <v>0</v>
      </c>
      <c r="FVQ56" s="850">
        <f t="shared" si="87"/>
        <v>6.0584470420729932E+33</v>
      </c>
      <c r="FVR56" s="850">
        <f t="shared" si="87"/>
        <v>0</v>
      </c>
      <c r="FVS56" s="850">
        <f t="shared" si="87"/>
        <v>6.240200453335183E+33</v>
      </c>
      <c r="FVT56" s="850">
        <f t="shared" si="87"/>
        <v>0</v>
      </c>
      <c r="FVU56" s="850">
        <f t="shared" si="87"/>
        <v>6.4274064669352386E+33</v>
      </c>
      <c r="FVV56" s="850">
        <f t="shared" si="87"/>
        <v>0</v>
      </c>
      <c r="FVW56" s="850">
        <f t="shared" si="87"/>
        <v>6.6202286609432963E+33</v>
      </c>
      <c r="FVX56" s="850">
        <f t="shared" si="87"/>
        <v>0</v>
      </c>
      <c r="FVY56" s="850">
        <f t="shared" si="87"/>
        <v>6.8188355207715957E+33</v>
      </c>
      <c r="FVZ56" s="850">
        <f t="shared" si="87"/>
        <v>0</v>
      </c>
      <c r="FWA56" s="850">
        <f t="shared" si="87"/>
        <v>7.0234005863947443E+33</v>
      </c>
      <c r="FWB56" s="850">
        <f t="shared" si="87"/>
        <v>0</v>
      </c>
      <c r="FWC56" s="850">
        <f t="shared" si="87"/>
        <v>7.2341026039865871E+33</v>
      </c>
      <c r="FWD56" s="850">
        <f t="shared" si="87"/>
        <v>0</v>
      </c>
      <c r="FWE56" s="850">
        <f t="shared" si="87"/>
        <v>7.4511256821061844E+33</v>
      </c>
      <c r="FWF56" s="850">
        <f t="shared" si="87"/>
        <v>0</v>
      </c>
      <c r="FWG56" s="850">
        <f t="shared" si="87"/>
        <v>7.6746594525693706E+33</v>
      </c>
      <c r="FWH56" s="850">
        <f t="shared" si="87"/>
        <v>0</v>
      </c>
      <c r="FWI56" s="850">
        <f t="shared" si="87"/>
        <v>7.9048992361464517E+33</v>
      </c>
      <c r="FWJ56" s="850">
        <f t="shared" si="87"/>
        <v>0</v>
      </c>
      <c r="FWK56" s="850">
        <f t="shared" si="87"/>
        <v>8.1420462132308456E+33</v>
      </c>
      <c r="FWL56" s="850">
        <f t="shared" si="87"/>
        <v>0</v>
      </c>
      <c r="FWM56" s="850">
        <f t="shared" si="87"/>
        <v>8.3863075996277708E+33</v>
      </c>
      <c r="FWN56" s="850">
        <f t="shared" si="87"/>
        <v>0</v>
      </c>
      <c r="FWO56" s="850">
        <f t="shared" si="87"/>
        <v>8.6378968276166039E+33</v>
      </c>
      <c r="FWP56" s="850">
        <f t="shared" si="87"/>
        <v>0</v>
      </c>
      <c r="FWQ56" s="850">
        <f t="shared" si="87"/>
        <v>8.8970337324451024E+33</v>
      </c>
      <c r="FWR56" s="850">
        <f t="shared" si="87"/>
        <v>0</v>
      </c>
      <c r="FWS56" s="850">
        <f t="shared" si="87"/>
        <v>9.1639447444184554E+33</v>
      </c>
      <c r="FWT56" s="850">
        <f t="shared" si="87"/>
        <v>0</v>
      </c>
      <c r="FWU56" s="850">
        <f t="shared" si="87"/>
        <v>9.4388630867510095E+33</v>
      </c>
      <c r="FWV56" s="850">
        <f t="shared" si="87"/>
        <v>0</v>
      </c>
      <c r="FWW56" s="850">
        <f t="shared" si="87"/>
        <v>9.7220289793535406E+33</v>
      </c>
      <c r="FWX56" s="850">
        <f t="shared" si="87"/>
        <v>0</v>
      </c>
      <c r="FWY56" s="850">
        <f t="shared" si="87"/>
        <v>1.0013689848734148E+34</v>
      </c>
      <c r="FWZ56" s="850">
        <f t="shared" si="87"/>
        <v>0</v>
      </c>
      <c r="FXA56" s="850">
        <f t="shared" si="87"/>
        <v>1.0314100544196172E+34</v>
      </c>
      <c r="FXB56" s="850">
        <f t="shared" ref="FXB56:FZM56" si="88">FWZ56*$C$56</f>
        <v>0</v>
      </c>
      <c r="FXC56" s="850">
        <f t="shared" si="88"/>
        <v>1.0623523560522059E+34</v>
      </c>
      <c r="FXD56" s="850">
        <f t="shared" si="88"/>
        <v>0</v>
      </c>
      <c r="FXE56" s="850">
        <f t="shared" si="88"/>
        <v>1.0942229267337722E+34</v>
      </c>
      <c r="FXF56" s="850">
        <f t="shared" si="88"/>
        <v>0</v>
      </c>
      <c r="FXG56" s="850">
        <f t="shared" si="88"/>
        <v>1.1270496145357853E+34</v>
      </c>
      <c r="FXH56" s="850">
        <f t="shared" si="88"/>
        <v>0</v>
      </c>
      <c r="FXI56" s="850">
        <f t="shared" si="88"/>
        <v>1.1608611029718589E+34</v>
      </c>
      <c r="FXJ56" s="850">
        <f t="shared" si="88"/>
        <v>0</v>
      </c>
      <c r="FXK56" s="850">
        <f t="shared" si="88"/>
        <v>1.1956869360610146E+34</v>
      </c>
      <c r="FXL56" s="850">
        <f t="shared" si="88"/>
        <v>0</v>
      </c>
      <c r="FXM56" s="850">
        <f t="shared" si="88"/>
        <v>1.2315575441428452E+34</v>
      </c>
      <c r="FXN56" s="850">
        <f t="shared" si="88"/>
        <v>0</v>
      </c>
      <c r="FXO56" s="850">
        <f t="shared" si="88"/>
        <v>1.2685042704671305E+34</v>
      </c>
      <c r="FXP56" s="850">
        <f t="shared" si="88"/>
        <v>0</v>
      </c>
      <c r="FXQ56" s="850">
        <f t="shared" si="88"/>
        <v>1.3065593985811443E+34</v>
      </c>
      <c r="FXR56" s="850">
        <f t="shared" si="88"/>
        <v>0</v>
      </c>
      <c r="FXS56" s="850">
        <f t="shared" si="88"/>
        <v>1.3457561805385787E+34</v>
      </c>
      <c r="FXT56" s="850">
        <f t="shared" si="88"/>
        <v>0</v>
      </c>
      <c r="FXU56" s="850">
        <f t="shared" si="88"/>
        <v>1.3861288659547362E+34</v>
      </c>
      <c r="FXV56" s="850">
        <f t="shared" si="88"/>
        <v>0</v>
      </c>
      <c r="FXW56" s="850">
        <f t="shared" si="88"/>
        <v>1.4277127319333782E+34</v>
      </c>
      <c r="FXX56" s="850">
        <f t="shared" si="88"/>
        <v>0</v>
      </c>
      <c r="FXY56" s="850">
        <f t="shared" si="88"/>
        <v>1.4705441138913795E+34</v>
      </c>
      <c r="FXZ56" s="850">
        <f t="shared" si="88"/>
        <v>0</v>
      </c>
      <c r="FYA56" s="850">
        <f t="shared" si="88"/>
        <v>1.514660437308121E+34</v>
      </c>
      <c r="FYB56" s="850">
        <f t="shared" si="88"/>
        <v>0</v>
      </c>
      <c r="FYC56" s="850">
        <f t="shared" si="88"/>
        <v>1.5601002504273646E+34</v>
      </c>
      <c r="FYD56" s="850">
        <f t="shared" si="88"/>
        <v>0</v>
      </c>
      <c r="FYE56" s="850">
        <f t="shared" si="88"/>
        <v>1.6069032579401857E+34</v>
      </c>
      <c r="FYF56" s="850">
        <f t="shared" si="88"/>
        <v>0</v>
      </c>
      <c r="FYG56" s="850">
        <f t="shared" si="88"/>
        <v>1.6551103556783913E+34</v>
      </c>
      <c r="FYH56" s="850">
        <f t="shared" si="88"/>
        <v>0</v>
      </c>
      <c r="FYI56" s="850">
        <f t="shared" si="88"/>
        <v>1.704763666348743E+34</v>
      </c>
      <c r="FYJ56" s="850">
        <f t="shared" si="88"/>
        <v>0</v>
      </c>
      <c r="FYK56" s="850">
        <f t="shared" si="88"/>
        <v>1.7559065763392052E+34</v>
      </c>
      <c r="FYL56" s="850">
        <f t="shared" si="88"/>
        <v>0</v>
      </c>
      <c r="FYM56" s="850">
        <f t="shared" si="88"/>
        <v>1.8085837736293813E+34</v>
      </c>
      <c r="FYN56" s="850">
        <f t="shared" si="88"/>
        <v>0</v>
      </c>
      <c r="FYO56" s="850">
        <f t="shared" si="88"/>
        <v>1.8628412868382628E+34</v>
      </c>
      <c r="FYP56" s="850">
        <f t="shared" si="88"/>
        <v>0</v>
      </c>
      <c r="FYQ56" s="850">
        <f t="shared" si="88"/>
        <v>1.9187265254434108E+34</v>
      </c>
      <c r="FYR56" s="850">
        <f t="shared" si="88"/>
        <v>0</v>
      </c>
      <c r="FYS56" s="850">
        <f t="shared" si="88"/>
        <v>1.9762883212067131E+34</v>
      </c>
      <c r="FYT56" s="850">
        <f t="shared" si="88"/>
        <v>0</v>
      </c>
      <c r="FYU56" s="850">
        <f t="shared" si="88"/>
        <v>2.0355769708429145E+34</v>
      </c>
      <c r="FYV56" s="850">
        <f t="shared" si="88"/>
        <v>0</v>
      </c>
      <c r="FYW56" s="850">
        <f t="shared" si="88"/>
        <v>2.0966442799682022E+34</v>
      </c>
      <c r="FYX56" s="850">
        <f t="shared" si="88"/>
        <v>0</v>
      </c>
      <c r="FYY56" s="850">
        <f t="shared" si="88"/>
        <v>2.1595436083672483E+34</v>
      </c>
      <c r="FYZ56" s="850">
        <f t="shared" si="88"/>
        <v>0</v>
      </c>
      <c r="FZA56" s="850">
        <f t="shared" si="88"/>
        <v>2.2243299166182656E+34</v>
      </c>
      <c r="FZB56" s="850">
        <f t="shared" si="88"/>
        <v>0</v>
      </c>
      <c r="FZC56" s="850">
        <f t="shared" si="88"/>
        <v>2.2910598141168138E+34</v>
      </c>
      <c r="FZD56" s="850">
        <f t="shared" si="88"/>
        <v>0</v>
      </c>
      <c r="FZE56" s="850">
        <f t="shared" si="88"/>
        <v>2.3597916085403182E+34</v>
      </c>
      <c r="FZF56" s="850">
        <f t="shared" si="88"/>
        <v>0</v>
      </c>
      <c r="FZG56" s="850">
        <f t="shared" si="88"/>
        <v>2.4305853567965279E+34</v>
      </c>
      <c r="FZH56" s="850">
        <f t="shared" si="88"/>
        <v>0</v>
      </c>
      <c r="FZI56" s="850">
        <f t="shared" si="88"/>
        <v>2.5035029175004237E+34</v>
      </c>
      <c r="FZJ56" s="850">
        <f t="shared" si="88"/>
        <v>0</v>
      </c>
      <c r="FZK56" s="850">
        <f t="shared" si="88"/>
        <v>2.5786080050254367E+34</v>
      </c>
      <c r="FZL56" s="850">
        <f t="shared" si="88"/>
        <v>0</v>
      </c>
      <c r="FZM56" s="850">
        <f t="shared" si="88"/>
        <v>2.6559662451762E+34</v>
      </c>
      <c r="FZN56" s="850">
        <f t="shared" ref="FZN56:GBY56" si="89">FZL56*$C$56</f>
        <v>0</v>
      </c>
      <c r="FZO56" s="850">
        <f t="shared" si="89"/>
        <v>2.7356452325314859E+34</v>
      </c>
      <c r="FZP56" s="850">
        <f t="shared" si="89"/>
        <v>0</v>
      </c>
      <c r="FZQ56" s="850">
        <f t="shared" si="89"/>
        <v>2.8177145895074305E+34</v>
      </c>
      <c r="FZR56" s="850">
        <f t="shared" si="89"/>
        <v>0</v>
      </c>
      <c r="FZS56" s="850">
        <f t="shared" si="89"/>
        <v>2.9022460271926537E+34</v>
      </c>
      <c r="FZT56" s="850">
        <f t="shared" si="89"/>
        <v>0</v>
      </c>
      <c r="FZU56" s="850">
        <f t="shared" si="89"/>
        <v>2.9893134080084333E+34</v>
      </c>
      <c r="FZV56" s="850">
        <f t="shared" si="89"/>
        <v>0</v>
      </c>
      <c r="FZW56" s="850">
        <f t="shared" si="89"/>
        <v>3.0789928102486866E+34</v>
      </c>
      <c r="FZX56" s="850">
        <f t="shared" si="89"/>
        <v>0</v>
      </c>
      <c r="FZY56" s="850">
        <f t="shared" si="89"/>
        <v>3.1713625945561474E+34</v>
      </c>
      <c r="FZZ56" s="850">
        <f t="shared" si="89"/>
        <v>0</v>
      </c>
      <c r="GAA56" s="850">
        <f t="shared" si="89"/>
        <v>3.2665034723928321E+34</v>
      </c>
      <c r="GAB56" s="850">
        <f t="shared" si="89"/>
        <v>0</v>
      </c>
      <c r="GAC56" s="850">
        <f t="shared" si="89"/>
        <v>3.364498576564617E+34</v>
      </c>
      <c r="GAD56" s="850">
        <f t="shared" si="89"/>
        <v>0</v>
      </c>
      <c r="GAE56" s="850">
        <f t="shared" si="89"/>
        <v>3.4654335338615556E+34</v>
      </c>
      <c r="GAF56" s="850">
        <f t="shared" si="89"/>
        <v>0</v>
      </c>
      <c r="GAG56" s="850">
        <f t="shared" si="89"/>
        <v>3.5693965398774023E+34</v>
      </c>
      <c r="GAH56" s="850">
        <f t="shared" si="89"/>
        <v>0</v>
      </c>
      <c r="GAI56" s="850">
        <f t="shared" si="89"/>
        <v>3.6764784360737247E+34</v>
      </c>
      <c r="GAJ56" s="850">
        <f t="shared" si="89"/>
        <v>0</v>
      </c>
      <c r="GAK56" s="850">
        <f t="shared" si="89"/>
        <v>3.7867727891559366E+34</v>
      </c>
      <c r="GAL56" s="850">
        <f t="shared" si="89"/>
        <v>0</v>
      </c>
      <c r="GAM56" s="850">
        <f t="shared" si="89"/>
        <v>3.9003759728306149E+34</v>
      </c>
      <c r="GAN56" s="850">
        <f t="shared" si="89"/>
        <v>0</v>
      </c>
      <c r="GAO56" s="850">
        <f t="shared" si="89"/>
        <v>4.0173872520155334E+34</v>
      </c>
      <c r="GAP56" s="850">
        <f t="shared" si="89"/>
        <v>0</v>
      </c>
      <c r="GAQ56" s="850">
        <f t="shared" si="89"/>
        <v>4.1379088695759995E+34</v>
      </c>
      <c r="GAR56" s="850">
        <f t="shared" si="89"/>
        <v>0</v>
      </c>
      <c r="GAS56" s="850">
        <f t="shared" si="89"/>
        <v>4.2620461356632799E+34</v>
      </c>
      <c r="GAT56" s="850">
        <f t="shared" si="89"/>
        <v>0</v>
      </c>
      <c r="GAU56" s="850">
        <f t="shared" si="89"/>
        <v>4.389907519733178E+34</v>
      </c>
      <c r="GAV56" s="850">
        <f t="shared" si="89"/>
        <v>0</v>
      </c>
      <c r="GAW56" s="850">
        <f t="shared" si="89"/>
        <v>4.5216047453251734E+34</v>
      </c>
      <c r="GAX56" s="850">
        <f t="shared" si="89"/>
        <v>0</v>
      </c>
      <c r="GAY56" s="850">
        <f t="shared" si="89"/>
        <v>4.657252887684929E+34</v>
      </c>
      <c r="GAZ56" s="850">
        <f t="shared" si="89"/>
        <v>0</v>
      </c>
      <c r="GBA56" s="850">
        <f t="shared" si="89"/>
        <v>4.7969704743154772E+34</v>
      </c>
      <c r="GBB56" s="850">
        <f t="shared" si="89"/>
        <v>0</v>
      </c>
      <c r="GBC56" s="850">
        <f t="shared" si="89"/>
        <v>4.9408795885449416E+34</v>
      </c>
      <c r="GBD56" s="850">
        <f t="shared" si="89"/>
        <v>0</v>
      </c>
      <c r="GBE56" s="850">
        <f t="shared" si="89"/>
        <v>5.0891059762012896E+34</v>
      </c>
      <c r="GBF56" s="850">
        <f t="shared" si="89"/>
        <v>0</v>
      </c>
      <c r="GBG56" s="850">
        <f t="shared" si="89"/>
        <v>5.2417791554873282E+34</v>
      </c>
      <c r="GBH56" s="850">
        <f t="shared" si="89"/>
        <v>0</v>
      </c>
      <c r="GBI56" s="850">
        <f t="shared" si="89"/>
        <v>5.3990325301519482E+34</v>
      </c>
      <c r="GBJ56" s="850">
        <f t="shared" si="89"/>
        <v>0</v>
      </c>
      <c r="GBK56" s="850">
        <f t="shared" si="89"/>
        <v>5.5610035060565071E+34</v>
      </c>
      <c r="GBL56" s="850">
        <f t="shared" si="89"/>
        <v>0</v>
      </c>
      <c r="GBM56" s="850">
        <f t="shared" si="89"/>
        <v>5.7278336112382022E+34</v>
      </c>
      <c r="GBN56" s="850">
        <f t="shared" si="89"/>
        <v>0</v>
      </c>
      <c r="GBO56" s="850">
        <f t="shared" si="89"/>
        <v>5.8996686195753487E+34</v>
      </c>
      <c r="GBP56" s="850">
        <f t="shared" si="89"/>
        <v>0</v>
      </c>
      <c r="GBQ56" s="850">
        <f t="shared" si="89"/>
        <v>6.0766586781626096E+34</v>
      </c>
      <c r="GBR56" s="850">
        <f t="shared" si="89"/>
        <v>0</v>
      </c>
      <c r="GBS56" s="850">
        <f t="shared" si="89"/>
        <v>6.258958438507488E+34</v>
      </c>
      <c r="GBT56" s="850">
        <f t="shared" si="89"/>
        <v>0</v>
      </c>
      <c r="GBU56" s="850">
        <f t="shared" si="89"/>
        <v>6.4467271916627127E+34</v>
      </c>
      <c r="GBV56" s="850">
        <f t="shared" si="89"/>
        <v>0</v>
      </c>
      <c r="GBW56" s="850">
        <f t="shared" si="89"/>
        <v>6.6401290074125944E+34</v>
      </c>
      <c r="GBX56" s="850">
        <f t="shared" si="89"/>
        <v>0</v>
      </c>
      <c r="GBY56" s="850">
        <f t="shared" si="89"/>
        <v>6.8393328776349726E+34</v>
      </c>
      <c r="GBZ56" s="850">
        <f t="shared" ref="GBZ56:GEK56" si="90">GBX56*$C$56</f>
        <v>0</v>
      </c>
      <c r="GCA56" s="850">
        <f t="shared" si="90"/>
        <v>7.0445128639640216E+34</v>
      </c>
      <c r="GCB56" s="850">
        <f t="shared" si="90"/>
        <v>0</v>
      </c>
      <c r="GCC56" s="850">
        <f t="shared" si="90"/>
        <v>7.255848249882942E+34</v>
      </c>
      <c r="GCD56" s="850">
        <f t="shared" si="90"/>
        <v>0</v>
      </c>
      <c r="GCE56" s="850">
        <f t="shared" si="90"/>
        <v>7.4735236973794304E+34</v>
      </c>
      <c r="GCF56" s="850">
        <f t="shared" si="90"/>
        <v>0</v>
      </c>
      <c r="GCG56" s="850">
        <f t="shared" si="90"/>
        <v>7.6977294083008139E+34</v>
      </c>
      <c r="GCH56" s="850">
        <f t="shared" si="90"/>
        <v>0</v>
      </c>
      <c r="GCI56" s="850">
        <f t="shared" si="90"/>
        <v>7.9286612905498383E+34</v>
      </c>
      <c r="GCJ56" s="850">
        <f t="shared" si="90"/>
        <v>0</v>
      </c>
      <c r="GCK56" s="850">
        <f t="shared" si="90"/>
        <v>8.1665211292663337E+34</v>
      </c>
      <c r="GCL56" s="850">
        <f t="shared" si="90"/>
        <v>0</v>
      </c>
      <c r="GCM56" s="850">
        <f t="shared" si="90"/>
        <v>8.4115167631443237E+34</v>
      </c>
      <c r="GCN56" s="850">
        <f t="shared" si="90"/>
        <v>0</v>
      </c>
      <c r="GCO56" s="850">
        <f t="shared" si="90"/>
        <v>8.663862266038654E+34</v>
      </c>
      <c r="GCP56" s="850">
        <f t="shared" si="90"/>
        <v>0</v>
      </c>
      <c r="GCQ56" s="850">
        <f t="shared" si="90"/>
        <v>8.9237781340198147E+34</v>
      </c>
      <c r="GCR56" s="850">
        <f t="shared" si="90"/>
        <v>0</v>
      </c>
      <c r="GCS56" s="850">
        <f t="shared" si="90"/>
        <v>9.1914914780404094E+34</v>
      </c>
      <c r="GCT56" s="850">
        <f t="shared" si="90"/>
        <v>0</v>
      </c>
      <c r="GCU56" s="850">
        <f t="shared" si="90"/>
        <v>9.4672362223816213E+34</v>
      </c>
      <c r="GCV56" s="850">
        <f t="shared" si="90"/>
        <v>0</v>
      </c>
      <c r="GCW56" s="850">
        <f t="shared" si="90"/>
        <v>9.7512533090530696E+34</v>
      </c>
      <c r="GCX56" s="850">
        <f t="shared" si="90"/>
        <v>0</v>
      </c>
      <c r="GCY56" s="850">
        <f t="shared" si="90"/>
        <v>1.0043790908324662E+35</v>
      </c>
      <c r="GCZ56" s="850">
        <f t="shared" si="90"/>
        <v>0</v>
      </c>
      <c r="GDA56" s="850">
        <f t="shared" si="90"/>
        <v>1.0345104635574401E+35</v>
      </c>
      <c r="GDB56" s="850">
        <f t="shared" si="90"/>
        <v>0</v>
      </c>
      <c r="GDC56" s="850">
        <f t="shared" si="90"/>
        <v>1.0655457774641634E+35</v>
      </c>
      <c r="GDD56" s="850">
        <f t="shared" si="90"/>
        <v>0</v>
      </c>
      <c r="GDE56" s="850">
        <f t="shared" si="90"/>
        <v>1.0975121507880882E+35</v>
      </c>
      <c r="GDF56" s="850">
        <f t="shared" si="90"/>
        <v>0</v>
      </c>
      <c r="GDG56" s="850">
        <f t="shared" si="90"/>
        <v>1.130437515311731E+35</v>
      </c>
      <c r="GDH56" s="850">
        <f t="shared" si="90"/>
        <v>0</v>
      </c>
      <c r="GDI56" s="850">
        <f t="shared" si="90"/>
        <v>1.1643506407710829E+35</v>
      </c>
      <c r="GDJ56" s="850">
        <f t="shared" si="90"/>
        <v>0</v>
      </c>
      <c r="GDK56" s="850">
        <f t="shared" si="90"/>
        <v>1.1992811599942154E+35</v>
      </c>
      <c r="GDL56" s="850">
        <f t="shared" si="90"/>
        <v>0</v>
      </c>
      <c r="GDM56" s="850">
        <f t="shared" si="90"/>
        <v>1.235259594794042E+35</v>
      </c>
      <c r="GDN56" s="850">
        <f t="shared" si="90"/>
        <v>0</v>
      </c>
      <c r="GDO56" s="850">
        <f t="shared" si="90"/>
        <v>1.2723173826378633E+35</v>
      </c>
      <c r="GDP56" s="850">
        <f t="shared" si="90"/>
        <v>0</v>
      </c>
      <c r="GDQ56" s="850">
        <f t="shared" si="90"/>
        <v>1.3104869041169993E+35</v>
      </c>
      <c r="GDR56" s="850">
        <f t="shared" si="90"/>
        <v>0</v>
      </c>
      <c r="GDS56" s="850">
        <f t="shared" si="90"/>
        <v>1.3498015112405093E+35</v>
      </c>
      <c r="GDT56" s="850">
        <f t="shared" si="90"/>
        <v>0</v>
      </c>
      <c r="GDU56" s="850">
        <f t="shared" si="90"/>
        <v>1.3902955565777246E+35</v>
      </c>
      <c r="GDV56" s="850">
        <f t="shared" si="90"/>
        <v>0</v>
      </c>
      <c r="GDW56" s="850">
        <f t="shared" si="90"/>
        <v>1.4320044232750564E+35</v>
      </c>
      <c r="GDX56" s="850">
        <f t="shared" si="90"/>
        <v>0</v>
      </c>
      <c r="GDY56" s="850">
        <f t="shared" si="90"/>
        <v>1.4749645559733081E+35</v>
      </c>
      <c r="GDZ56" s="850">
        <f t="shared" si="90"/>
        <v>0</v>
      </c>
      <c r="GEA56" s="850">
        <f t="shared" si="90"/>
        <v>1.5192134926525074E+35</v>
      </c>
      <c r="GEB56" s="850">
        <f t="shared" si="90"/>
        <v>0</v>
      </c>
      <c r="GEC56" s="850">
        <f t="shared" si="90"/>
        <v>1.5647898974320826E+35</v>
      </c>
      <c r="GED56" s="850">
        <f t="shared" si="90"/>
        <v>0</v>
      </c>
      <c r="GEE56" s="850">
        <f t="shared" si="90"/>
        <v>1.6117335943550451E+35</v>
      </c>
      <c r="GEF56" s="850">
        <f t="shared" si="90"/>
        <v>0</v>
      </c>
      <c r="GEG56" s="850">
        <f t="shared" si="90"/>
        <v>1.6600856021856965E+35</v>
      </c>
      <c r="GEH56" s="850">
        <f t="shared" si="90"/>
        <v>0</v>
      </c>
      <c r="GEI56" s="850">
        <f t="shared" si="90"/>
        <v>1.7098881702512676E+35</v>
      </c>
      <c r="GEJ56" s="850">
        <f t="shared" si="90"/>
        <v>0</v>
      </c>
      <c r="GEK56" s="850">
        <f t="shared" si="90"/>
        <v>1.7611848153588058E+35</v>
      </c>
      <c r="GEL56" s="850">
        <f t="shared" ref="GEL56:GGW56" si="91">GEJ56*$C$56</f>
        <v>0</v>
      </c>
      <c r="GEM56" s="850">
        <f t="shared" si="91"/>
        <v>1.8140203598195701E+35</v>
      </c>
      <c r="GEN56" s="850">
        <f t="shared" si="91"/>
        <v>0</v>
      </c>
      <c r="GEO56" s="850">
        <f t="shared" si="91"/>
        <v>1.8684409706141574E+35</v>
      </c>
      <c r="GEP56" s="850">
        <f t="shared" si="91"/>
        <v>0</v>
      </c>
      <c r="GEQ56" s="850">
        <f t="shared" si="91"/>
        <v>1.9244941997325823E+35</v>
      </c>
      <c r="GER56" s="850">
        <f t="shared" si="91"/>
        <v>0</v>
      </c>
      <c r="GES56" s="850">
        <f t="shared" si="91"/>
        <v>1.9822290257245596E+35</v>
      </c>
      <c r="GET56" s="850">
        <f t="shared" si="91"/>
        <v>0</v>
      </c>
      <c r="GEU56" s="850">
        <f t="shared" si="91"/>
        <v>2.0416958964962966E+35</v>
      </c>
      <c r="GEV56" s="850">
        <f t="shared" si="91"/>
        <v>0</v>
      </c>
      <c r="GEW56" s="850">
        <f t="shared" si="91"/>
        <v>2.1029467733911856E+35</v>
      </c>
      <c r="GEX56" s="850">
        <f t="shared" si="91"/>
        <v>0</v>
      </c>
      <c r="GEY56" s="850">
        <f t="shared" si="91"/>
        <v>2.1660351765929212E+35</v>
      </c>
      <c r="GEZ56" s="850">
        <f t="shared" si="91"/>
        <v>0</v>
      </c>
      <c r="GFA56" s="850">
        <f t="shared" si="91"/>
        <v>2.2310162318907088E+35</v>
      </c>
      <c r="GFB56" s="850">
        <f t="shared" si="91"/>
        <v>0</v>
      </c>
      <c r="GFC56" s="850">
        <f t="shared" si="91"/>
        <v>2.2979467188474301E+35</v>
      </c>
      <c r="GFD56" s="850">
        <f t="shared" si="91"/>
        <v>0</v>
      </c>
      <c r="GFE56" s="850">
        <f t="shared" si="91"/>
        <v>2.366885120412853E+35</v>
      </c>
      <c r="GFF56" s="850">
        <f t="shared" si="91"/>
        <v>0</v>
      </c>
      <c r="GFG56" s="850">
        <f t="shared" si="91"/>
        <v>2.4378916740252385E+35</v>
      </c>
      <c r="GFH56" s="850">
        <f t="shared" si="91"/>
        <v>0</v>
      </c>
      <c r="GFI56" s="850">
        <f t="shared" si="91"/>
        <v>2.5110284242459959E+35</v>
      </c>
      <c r="GFJ56" s="850">
        <f t="shared" si="91"/>
        <v>0</v>
      </c>
      <c r="GFK56" s="850">
        <f t="shared" si="91"/>
        <v>2.5863592769733757E+35</v>
      </c>
      <c r="GFL56" s="850">
        <f t="shared" si="91"/>
        <v>0</v>
      </c>
      <c r="GFM56" s="850">
        <f t="shared" si="91"/>
        <v>2.663950055282577E+35</v>
      </c>
      <c r="GFN56" s="850">
        <f t="shared" si="91"/>
        <v>0</v>
      </c>
      <c r="GFO56" s="850">
        <f t="shared" si="91"/>
        <v>2.7438685569410544E+35</v>
      </c>
      <c r="GFP56" s="850">
        <f t="shared" si="91"/>
        <v>0</v>
      </c>
      <c r="GFQ56" s="850">
        <f t="shared" si="91"/>
        <v>2.8261846136492861E+35</v>
      </c>
      <c r="GFR56" s="850">
        <f t="shared" si="91"/>
        <v>0</v>
      </c>
      <c r="GFS56" s="850">
        <f t="shared" si="91"/>
        <v>2.9109701520587648E+35</v>
      </c>
      <c r="GFT56" s="850">
        <f t="shared" si="91"/>
        <v>0</v>
      </c>
      <c r="GFU56" s="850">
        <f t="shared" si="91"/>
        <v>2.9982992566205278E+35</v>
      </c>
      <c r="GFV56" s="850">
        <f t="shared" si="91"/>
        <v>0</v>
      </c>
      <c r="GFW56" s="850">
        <f t="shared" si="91"/>
        <v>3.0882482343191437E+35</v>
      </c>
      <c r="GFX56" s="850">
        <f t="shared" si="91"/>
        <v>0</v>
      </c>
      <c r="GFY56" s="850">
        <f t="shared" si="91"/>
        <v>3.1808956813487183E+35</v>
      </c>
      <c r="GFZ56" s="850">
        <f t="shared" si="91"/>
        <v>0</v>
      </c>
      <c r="GGA56" s="850">
        <f t="shared" si="91"/>
        <v>3.2763225517891798E+35</v>
      </c>
      <c r="GGB56" s="850">
        <f t="shared" si="91"/>
        <v>0</v>
      </c>
      <c r="GGC56" s="850">
        <f t="shared" si="91"/>
        <v>3.3746122283428552E+35</v>
      </c>
      <c r="GGD56" s="850">
        <f t="shared" si="91"/>
        <v>0</v>
      </c>
      <c r="GGE56" s="850">
        <f t="shared" si="91"/>
        <v>3.4758505951931407E+35</v>
      </c>
      <c r="GGF56" s="850">
        <f t="shared" si="91"/>
        <v>0</v>
      </c>
      <c r="GGG56" s="850">
        <f t="shared" si="91"/>
        <v>3.580126113048935E+35</v>
      </c>
      <c r="GGH56" s="850">
        <f t="shared" si="91"/>
        <v>0</v>
      </c>
      <c r="GGI56" s="850">
        <f t="shared" si="91"/>
        <v>3.6875298964404029E+35</v>
      </c>
      <c r="GGJ56" s="850">
        <f t="shared" si="91"/>
        <v>0</v>
      </c>
      <c r="GGK56" s="850">
        <f t="shared" si="91"/>
        <v>3.7981557933336154E+35</v>
      </c>
      <c r="GGL56" s="850">
        <f t="shared" si="91"/>
        <v>0</v>
      </c>
      <c r="GGM56" s="850">
        <f t="shared" si="91"/>
        <v>3.9121004671336241E+35</v>
      </c>
      <c r="GGN56" s="850">
        <f t="shared" si="91"/>
        <v>0</v>
      </c>
      <c r="GGO56" s="850">
        <f t="shared" si="91"/>
        <v>4.0294634811476331E+35</v>
      </c>
      <c r="GGP56" s="850">
        <f t="shared" si="91"/>
        <v>0</v>
      </c>
      <c r="GGQ56" s="850">
        <f t="shared" si="91"/>
        <v>4.1503473855820624E+35</v>
      </c>
      <c r="GGR56" s="850">
        <f t="shared" si="91"/>
        <v>0</v>
      </c>
      <c r="GGS56" s="850">
        <f t="shared" si="91"/>
        <v>4.2748578071495241E+35</v>
      </c>
      <c r="GGT56" s="850">
        <f t="shared" si="91"/>
        <v>0</v>
      </c>
      <c r="GGU56" s="850">
        <f t="shared" si="91"/>
        <v>4.4031035413640098E+35</v>
      </c>
      <c r="GGV56" s="850">
        <f t="shared" si="91"/>
        <v>0</v>
      </c>
      <c r="GGW56" s="850">
        <f t="shared" si="91"/>
        <v>4.5351966476049306E+35</v>
      </c>
      <c r="GGX56" s="850">
        <f t="shared" ref="GGX56:GJI56" si="92">GGV56*$C$56</f>
        <v>0</v>
      </c>
      <c r="GGY56" s="850">
        <f t="shared" si="92"/>
        <v>4.6712525470330784E+35</v>
      </c>
      <c r="GGZ56" s="850">
        <f t="shared" si="92"/>
        <v>0</v>
      </c>
      <c r="GHA56" s="850">
        <f t="shared" si="92"/>
        <v>4.8113901234440707E+35</v>
      </c>
      <c r="GHB56" s="850">
        <f t="shared" si="92"/>
        <v>0</v>
      </c>
      <c r="GHC56" s="850">
        <f t="shared" si="92"/>
        <v>4.9557318271473928E+35</v>
      </c>
      <c r="GHD56" s="850">
        <f t="shared" si="92"/>
        <v>0</v>
      </c>
      <c r="GHE56" s="850">
        <f t="shared" si="92"/>
        <v>5.1044037819618149E+35</v>
      </c>
      <c r="GHF56" s="850">
        <f t="shared" si="92"/>
        <v>0</v>
      </c>
      <c r="GHG56" s="850">
        <f t="shared" si="92"/>
        <v>5.2575358954206698E+35</v>
      </c>
      <c r="GHH56" s="850">
        <f t="shared" si="92"/>
        <v>0</v>
      </c>
      <c r="GHI56" s="850">
        <f t="shared" si="92"/>
        <v>5.4152619722832903E+35</v>
      </c>
      <c r="GHJ56" s="850">
        <f t="shared" si="92"/>
        <v>0</v>
      </c>
      <c r="GHK56" s="850">
        <f t="shared" si="92"/>
        <v>5.5777198314517889E+35</v>
      </c>
      <c r="GHL56" s="850">
        <f t="shared" si="92"/>
        <v>0</v>
      </c>
      <c r="GHM56" s="850">
        <f t="shared" si="92"/>
        <v>5.7450514263953429E+35</v>
      </c>
      <c r="GHN56" s="850">
        <f t="shared" si="92"/>
        <v>0</v>
      </c>
      <c r="GHO56" s="850">
        <f t="shared" si="92"/>
        <v>5.917402969187203E+35</v>
      </c>
      <c r="GHP56" s="850">
        <f t="shared" si="92"/>
        <v>0</v>
      </c>
      <c r="GHQ56" s="850">
        <f t="shared" si="92"/>
        <v>6.094925058262819E+35</v>
      </c>
      <c r="GHR56" s="850">
        <f t="shared" si="92"/>
        <v>0</v>
      </c>
      <c r="GHS56" s="850">
        <f t="shared" si="92"/>
        <v>6.277772810010704E+35</v>
      </c>
      <c r="GHT56" s="850">
        <f t="shared" si="92"/>
        <v>0</v>
      </c>
      <c r="GHU56" s="850">
        <f t="shared" si="92"/>
        <v>6.4661059943110257E+35</v>
      </c>
      <c r="GHV56" s="850">
        <f t="shared" si="92"/>
        <v>0</v>
      </c>
      <c r="GHW56" s="850">
        <f t="shared" si="92"/>
        <v>6.6600891741403562E+35</v>
      </c>
      <c r="GHX56" s="850">
        <f t="shared" si="92"/>
        <v>0</v>
      </c>
      <c r="GHY56" s="850">
        <f t="shared" si="92"/>
        <v>6.8598918493645675E+35</v>
      </c>
      <c r="GHZ56" s="850">
        <f t="shared" si="92"/>
        <v>0</v>
      </c>
      <c r="GIA56" s="850">
        <f t="shared" si="92"/>
        <v>7.0656886048455052E+35</v>
      </c>
      <c r="GIB56" s="850">
        <f t="shared" si="92"/>
        <v>0</v>
      </c>
      <c r="GIC56" s="850">
        <f t="shared" si="92"/>
        <v>7.2776592629908705E+35</v>
      </c>
      <c r="GID56" s="850">
        <f t="shared" si="92"/>
        <v>0</v>
      </c>
      <c r="GIE56" s="850">
        <f t="shared" si="92"/>
        <v>7.4959890408805963E+35</v>
      </c>
      <c r="GIF56" s="850">
        <f t="shared" si="92"/>
        <v>0</v>
      </c>
      <c r="GIG56" s="850">
        <f t="shared" si="92"/>
        <v>7.7208687121070147E+35</v>
      </c>
      <c r="GIH56" s="850">
        <f t="shared" si="92"/>
        <v>0</v>
      </c>
      <c r="GII56" s="850">
        <f t="shared" si="92"/>
        <v>7.9524947734702259E+35</v>
      </c>
      <c r="GIJ56" s="850">
        <f t="shared" si="92"/>
        <v>0</v>
      </c>
      <c r="GIK56" s="850">
        <f t="shared" si="92"/>
        <v>8.1910696166743331E+35</v>
      </c>
      <c r="GIL56" s="850">
        <f t="shared" si="92"/>
        <v>0</v>
      </c>
      <c r="GIM56" s="850">
        <f t="shared" si="92"/>
        <v>8.4368017051745638E+35</v>
      </c>
      <c r="GIN56" s="850">
        <f t="shared" si="92"/>
        <v>0</v>
      </c>
      <c r="GIO56" s="850">
        <f t="shared" si="92"/>
        <v>8.689905756329801E+35</v>
      </c>
      <c r="GIP56" s="850">
        <f t="shared" si="92"/>
        <v>0</v>
      </c>
      <c r="GIQ56" s="850">
        <f t="shared" si="92"/>
        <v>8.950602929019696E+35</v>
      </c>
      <c r="GIR56" s="850">
        <f t="shared" si="92"/>
        <v>0</v>
      </c>
      <c r="GIS56" s="850">
        <f t="shared" si="92"/>
        <v>9.2191210168902874E+35</v>
      </c>
      <c r="GIT56" s="850">
        <f t="shared" si="92"/>
        <v>0</v>
      </c>
      <c r="GIU56" s="850">
        <f t="shared" si="92"/>
        <v>9.4956946473969969E+35</v>
      </c>
      <c r="GIV56" s="850">
        <f t="shared" si="92"/>
        <v>0</v>
      </c>
      <c r="GIW56" s="850">
        <f t="shared" si="92"/>
        <v>9.7805654868189075E+35</v>
      </c>
      <c r="GIX56" s="850">
        <f t="shared" si="92"/>
        <v>0</v>
      </c>
      <c r="GIY56" s="850">
        <f t="shared" si="92"/>
        <v>1.0073982451423475E+36</v>
      </c>
      <c r="GIZ56" s="850">
        <f t="shared" si="92"/>
        <v>0</v>
      </c>
      <c r="GJA56" s="850">
        <f t="shared" si="92"/>
        <v>1.0376201924966179E+36</v>
      </c>
      <c r="GJB56" s="850">
        <f t="shared" si="92"/>
        <v>0</v>
      </c>
      <c r="GJC56" s="850">
        <f t="shared" si="92"/>
        <v>1.0687487982715166E+36</v>
      </c>
      <c r="GJD56" s="850">
        <f t="shared" si="92"/>
        <v>0</v>
      </c>
      <c r="GJE56" s="850">
        <f t="shared" si="92"/>
        <v>1.1008112622196622E+36</v>
      </c>
      <c r="GJF56" s="850">
        <f t="shared" si="92"/>
        <v>0</v>
      </c>
      <c r="GJG56" s="850">
        <f t="shared" si="92"/>
        <v>1.133835600086252E+36</v>
      </c>
      <c r="GJH56" s="850">
        <f t="shared" si="92"/>
        <v>0</v>
      </c>
      <c r="GJI56" s="850">
        <f t="shared" si="92"/>
        <v>1.1678506680888396E+36</v>
      </c>
      <c r="GJJ56" s="850">
        <f t="shared" ref="GJJ56:GLU56" si="93">GJH56*$C$56</f>
        <v>0</v>
      </c>
      <c r="GJK56" s="850">
        <f t="shared" si="93"/>
        <v>1.2028861881315049E+36</v>
      </c>
      <c r="GJL56" s="850">
        <f t="shared" si="93"/>
        <v>0</v>
      </c>
      <c r="GJM56" s="850">
        <f t="shared" si="93"/>
        <v>1.2389727737754501E+36</v>
      </c>
      <c r="GJN56" s="850">
        <f t="shared" si="93"/>
        <v>0</v>
      </c>
      <c r="GJO56" s="850">
        <f t="shared" si="93"/>
        <v>1.2761419569887136E+36</v>
      </c>
      <c r="GJP56" s="850">
        <f t="shared" si="93"/>
        <v>0</v>
      </c>
      <c r="GJQ56" s="850">
        <f t="shared" si="93"/>
        <v>1.314426215698375E+36</v>
      </c>
      <c r="GJR56" s="850">
        <f t="shared" si="93"/>
        <v>0</v>
      </c>
      <c r="GJS56" s="850">
        <f t="shared" si="93"/>
        <v>1.3538590021693261E+36</v>
      </c>
      <c r="GJT56" s="850">
        <f t="shared" si="93"/>
        <v>0</v>
      </c>
      <c r="GJU56" s="850">
        <f t="shared" si="93"/>
        <v>1.3944747722344059E+36</v>
      </c>
      <c r="GJV56" s="850">
        <f t="shared" si="93"/>
        <v>0</v>
      </c>
      <c r="GJW56" s="850">
        <f t="shared" si="93"/>
        <v>1.436309015401438E+36</v>
      </c>
      <c r="GJX56" s="850">
        <f t="shared" si="93"/>
        <v>0</v>
      </c>
      <c r="GJY56" s="850">
        <f t="shared" si="93"/>
        <v>1.479398285863481E+36</v>
      </c>
      <c r="GJZ56" s="850">
        <f t="shared" si="93"/>
        <v>0</v>
      </c>
      <c r="GKA56" s="850">
        <f t="shared" si="93"/>
        <v>1.5237802344393856E+36</v>
      </c>
      <c r="GKB56" s="850">
        <f t="shared" si="93"/>
        <v>0</v>
      </c>
      <c r="GKC56" s="850">
        <f t="shared" si="93"/>
        <v>1.5694936414725672E+36</v>
      </c>
      <c r="GKD56" s="850">
        <f t="shared" si="93"/>
        <v>0</v>
      </c>
      <c r="GKE56" s="850">
        <f t="shared" si="93"/>
        <v>1.6165784507167441E+36</v>
      </c>
      <c r="GKF56" s="850">
        <f t="shared" si="93"/>
        <v>0</v>
      </c>
      <c r="GKG56" s="850">
        <f t="shared" si="93"/>
        <v>1.6650758042382464E+36</v>
      </c>
      <c r="GKH56" s="850">
        <f t="shared" si="93"/>
        <v>0</v>
      </c>
      <c r="GKI56" s="850">
        <f t="shared" si="93"/>
        <v>1.7150280783653939E+36</v>
      </c>
      <c r="GKJ56" s="850">
        <f t="shared" si="93"/>
        <v>0</v>
      </c>
      <c r="GKK56" s="850">
        <f t="shared" si="93"/>
        <v>1.7664789207163556E+36</v>
      </c>
      <c r="GKL56" s="850">
        <f t="shared" si="93"/>
        <v>0</v>
      </c>
      <c r="GKM56" s="850">
        <f t="shared" si="93"/>
        <v>1.8194732883378465E+36</v>
      </c>
      <c r="GKN56" s="850">
        <f t="shared" si="93"/>
        <v>0</v>
      </c>
      <c r="GKO56" s="850">
        <f t="shared" si="93"/>
        <v>1.874057486987982E+36</v>
      </c>
      <c r="GKP56" s="850">
        <f t="shared" si="93"/>
        <v>0</v>
      </c>
      <c r="GKQ56" s="850">
        <f t="shared" si="93"/>
        <v>1.9302792115976214E+36</v>
      </c>
      <c r="GKR56" s="850">
        <f t="shared" si="93"/>
        <v>0</v>
      </c>
      <c r="GKS56" s="850">
        <f t="shared" si="93"/>
        <v>1.9881875879455501E+36</v>
      </c>
      <c r="GKT56" s="850">
        <f t="shared" si="93"/>
        <v>0</v>
      </c>
      <c r="GKU56" s="850">
        <f t="shared" si="93"/>
        <v>2.0478332155839167E+36</v>
      </c>
      <c r="GKV56" s="850">
        <f t="shared" si="93"/>
        <v>0</v>
      </c>
      <c r="GKW56" s="850">
        <f t="shared" si="93"/>
        <v>2.1092682120514344E+36</v>
      </c>
      <c r="GKX56" s="850">
        <f t="shared" si="93"/>
        <v>0</v>
      </c>
      <c r="GKY56" s="850">
        <f t="shared" si="93"/>
        <v>2.1725462584129774E+36</v>
      </c>
      <c r="GKZ56" s="850">
        <f t="shared" si="93"/>
        <v>0</v>
      </c>
      <c r="GLA56" s="850">
        <f t="shared" si="93"/>
        <v>2.2377226461653668E+36</v>
      </c>
      <c r="GLB56" s="850">
        <f t="shared" si="93"/>
        <v>0</v>
      </c>
      <c r="GLC56" s="850">
        <f t="shared" si="93"/>
        <v>2.3048543255503278E+36</v>
      </c>
      <c r="GLD56" s="850">
        <f t="shared" si="93"/>
        <v>0</v>
      </c>
      <c r="GLE56" s="850">
        <f t="shared" si="93"/>
        <v>2.3739999553168376E+36</v>
      </c>
      <c r="GLF56" s="850">
        <f t="shared" si="93"/>
        <v>0</v>
      </c>
      <c r="GLG56" s="850">
        <f t="shared" si="93"/>
        <v>2.4452199539763428E+36</v>
      </c>
      <c r="GLH56" s="850">
        <f t="shared" si="93"/>
        <v>0</v>
      </c>
      <c r="GLI56" s="850">
        <f t="shared" si="93"/>
        <v>2.5185765525956331E+36</v>
      </c>
      <c r="GLJ56" s="850">
        <f t="shared" si="93"/>
        <v>0</v>
      </c>
      <c r="GLK56" s="850">
        <f t="shared" si="93"/>
        <v>2.5941338491735023E+36</v>
      </c>
      <c r="GLL56" s="850">
        <f t="shared" si="93"/>
        <v>0</v>
      </c>
      <c r="GLM56" s="850">
        <f t="shared" si="93"/>
        <v>2.6719578646487074E+36</v>
      </c>
      <c r="GLN56" s="850">
        <f t="shared" si="93"/>
        <v>0</v>
      </c>
      <c r="GLO56" s="850">
        <f t="shared" si="93"/>
        <v>2.7521166005881685E+36</v>
      </c>
      <c r="GLP56" s="850">
        <f t="shared" si="93"/>
        <v>0</v>
      </c>
      <c r="GLQ56" s="850">
        <f t="shared" si="93"/>
        <v>2.8346800986058136E+36</v>
      </c>
      <c r="GLR56" s="850">
        <f t="shared" si="93"/>
        <v>0</v>
      </c>
      <c r="GLS56" s="850">
        <f t="shared" si="93"/>
        <v>2.9197205015639883E+36</v>
      </c>
      <c r="GLT56" s="850">
        <f t="shared" si="93"/>
        <v>0</v>
      </c>
      <c r="GLU56" s="850">
        <f t="shared" si="93"/>
        <v>3.0073121166109079E+36</v>
      </c>
      <c r="GLV56" s="850">
        <f t="shared" ref="GLV56:GOG56" si="94">GLT56*$C$56</f>
        <v>0</v>
      </c>
      <c r="GLW56" s="850">
        <f t="shared" si="94"/>
        <v>3.097531480109235E+36</v>
      </c>
      <c r="GLX56" s="850">
        <f t="shared" si="94"/>
        <v>0</v>
      </c>
      <c r="GLY56" s="850">
        <f t="shared" si="94"/>
        <v>3.190457424512512E+36</v>
      </c>
      <c r="GLZ56" s="850">
        <f t="shared" si="94"/>
        <v>0</v>
      </c>
      <c r="GMA56" s="850">
        <f t="shared" si="94"/>
        <v>3.2861711472478875E+36</v>
      </c>
      <c r="GMB56" s="850">
        <f t="shared" si="94"/>
        <v>0</v>
      </c>
      <c r="GMC56" s="850">
        <f t="shared" si="94"/>
        <v>3.3847562816653244E+36</v>
      </c>
      <c r="GMD56" s="850">
        <f t="shared" si="94"/>
        <v>0</v>
      </c>
      <c r="GME56" s="850">
        <f t="shared" si="94"/>
        <v>3.4862989701152841E+36</v>
      </c>
      <c r="GMF56" s="850">
        <f t="shared" si="94"/>
        <v>0</v>
      </c>
      <c r="GMG56" s="850">
        <f t="shared" si="94"/>
        <v>3.5908879392187427E+36</v>
      </c>
      <c r="GMH56" s="850">
        <f t="shared" si="94"/>
        <v>0</v>
      </c>
      <c r="GMI56" s="850">
        <f t="shared" si="94"/>
        <v>3.6986145773953053E+36</v>
      </c>
      <c r="GMJ56" s="850">
        <f t="shared" si="94"/>
        <v>0</v>
      </c>
      <c r="GMK56" s="850">
        <f t="shared" si="94"/>
        <v>3.8095730147171646E+36</v>
      </c>
      <c r="GML56" s="850">
        <f t="shared" si="94"/>
        <v>0</v>
      </c>
      <c r="GMM56" s="850">
        <f t="shared" si="94"/>
        <v>3.9238602051586796E+36</v>
      </c>
      <c r="GMN56" s="850">
        <f t="shared" si="94"/>
        <v>0</v>
      </c>
      <c r="GMO56" s="850">
        <f t="shared" si="94"/>
        <v>4.0415760113134399E+36</v>
      </c>
      <c r="GMP56" s="850">
        <f t="shared" si="94"/>
        <v>0</v>
      </c>
      <c r="GMQ56" s="850">
        <f t="shared" si="94"/>
        <v>4.162823291652843E+36</v>
      </c>
      <c r="GMR56" s="850">
        <f t="shared" si="94"/>
        <v>0</v>
      </c>
      <c r="GMS56" s="850">
        <f t="shared" si="94"/>
        <v>4.2877079904024287E+36</v>
      </c>
      <c r="GMT56" s="850">
        <f t="shared" si="94"/>
        <v>0</v>
      </c>
      <c r="GMU56" s="850">
        <f t="shared" si="94"/>
        <v>4.4163392301145016E+36</v>
      </c>
      <c r="GMV56" s="850">
        <f t="shared" si="94"/>
        <v>0</v>
      </c>
      <c r="GMW56" s="850">
        <f t="shared" si="94"/>
        <v>4.548829407017937E+36</v>
      </c>
      <c r="GMX56" s="850">
        <f t="shared" si="94"/>
        <v>0</v>
      </c>
      <c r="GMY56" s="850">
        <f t="shared" si="94"/>
        <v>4.685294289228475E+36</v>
      </c>
      <c r="GMZ56" s="850">
        <f t="shared" si="94"/>
        <v>0</v>
      </c>
      <c r="GNA56" s="850">
        <f t="shared" si="94"/>
        <v>4.8258531179053291E+36</v>
      </c>
      <c r="GNB56" s="850">
        <f t="shared" si="94"/>
        <v>0</v>
      </c>
      <c r="GNC56" s="850">
        <f t="shared" si="94"/>
        <v>4.9706287114424894E+36</v>
      </c>
      <c r="GND56" s="850">
        <f t="shared" si="94"/>
        <v>0</v>
      </c>
      <c r="GNE56" s="850">
        <f t="shared" si="94"/>
        <v>5.1197475727857643E+36</v>
      </c>
      <c r="GNF56" s="850">
        <f t="shared" si="94"/>
        <v>0</v>
      </c>
      <c r="GNG56" s="850">
        <f t="shared" si="94"/>
        <v>5.2733399999693375E+36</v>
      </c>
      <c r="GNH56" s="850">
        <f t="shared" si="94"/>
        <v>0</v>
      </c>
      <c r="GNI56" s="850">
        <f t="shared" si="94"/>
        <v>5.4315401999684181E+36</v>
      </c>
      <c r="GNJ56" s="850">
        <f t="shared" si="94"/>
        <v>0</v>
      </c>
      <c r="GNK56" s="850">
        <f t="shared" si="94"/>
        <v>5.5944864059674708E+36</v>
      </c>
      <c r="GNL56" s="850">
        <f t="shared" si="94"/>
        <v>0</v>
      </c>
      <c r="GNM56" s="850">
        <f t="shared" si="94"/>
        <v>5.7623209981464945E+36</v>
      </c>
      <c r="GNN56" s="850">
        <f t="shared" si="94"/>
        <v>0</v>
      </c>
      <c r="GNO56" s="850">
        <f t="shared" si="94"/>
        <v>5.9351906280908894E+36</v>
      </c>
      <c r="GNP56" s="850">
        <f t="shared" si="94"/>
        <v>0</v>
      </c>
      <c r="GNQ56" s="850">
        <f t="shared" si="94"/>
        <v>6.1132463469336162E+36</v>
      </c>
      <c r="GNR56" s="850">
        <f t="shared" si="94"/>
        <v>0</v>
      </c>
      <c r="GNS56" s="850">
        <f t="shared" si="94"/>
        <v>6.2966437373416248E+36</v>
      </c>
      <c r="GNT56" s="850">
        <f t="shared" si="94"/>
        <v>0</v>
      </c>
      <c r="GNU56" s="850">
        <f t="shared" si="94"/>
        <v>6.4855430494618732E+36</v>
      </c>
      <c r="GNV56" s="850">
        <f t="shared" si="94"/>
        <v>0</v>
      </c>
      <c r="GNW56" s="850">
        <f t="shared" si="94"/>
        <v>6.6801093409457294E+36</v>
      </c>
      <c r="GNX56" s="850">
        <f t="shared" si="94"/>
        <v>0</v>
      </c>
      <c r="GNY56" s="850">
        <f t="shared" si="94"/>
        <v>6.8805126211741009E+36</v>
      </c>
      <c r="GNZ56" s="850">
        <f t="shared" si="94"/>
        <v>0</v>
      </c>
      <c r="GOA56" s="850">
        <f t="shared" si="94"/>
        <v>7.0869279998093236E+36</v>
      </c>
      <c r="GOB56" s="850">
        <f t="shared" si="94"/>
        <v>0</v>
      </c>
      <c r="GOC56" s="850">
        <f t="shared" si="94"/>
        <v>7.299535839803604E+36</v>
      </c>
      <c r="GOD56" s="850">
        <f t="shared" si="94"/>
        <v>0</v>
      </c>
      <c r="GOE56" s="850">
        <f t="shared" si="94"/>
        <v>7.5185219149977118E+36</v>
      </c>
      <c r="GOF56" s="850">
        <f t="shared" si="94"/>
        <v>0</v>
      </c>
      <c r="GOG56" s="850">
        <f t="shared" si="94"/>
        <v>7.7440775724476435E+36</v>
      </c>
      <c r="GOH56" s="850">
        <f t="shared" ref="GOH56:GQS56" si="95">GOF56*$C$56</f>
        <v>0</v>
      </c>
      <c r="GOI56" s="850">
        <f t="shared" si="95"/>
        <v>7.9763998996210732E+36</v>
      </c>
      <c r="GOJ56" s="850">
        <f t="shared" si="95"/>
        <v>0</v>
      </c>
      <c r="GOK56" s="850">
        <f t="shared" si="95"/>
        <v>8.215691896609705E+36</v>
      </c>
      <c r="GOL56" s="850">
        <f t="shared" si="95"/>
        <v>0</v>
      </c>
      <c r="GOM56" s="850">
        <f t="shared" si="95"/>
        <v>8.4621626535079965E+36</v>
      </c>
      <c r="GON56" s="850">
        <f t="shared" si="95"/>
        <v>0</v>
      </c>
      <c r="GOO56" s="850">
        <f t="shared" si="95"/>
        <v>8.716027533113237E+36</v>
      </c>
      <c r="GOP56" s="850">
        <f t="shared" si="95"/>
        <v>0</v>
      </c>
      <c r="GOQ56" s="850">
        <f t="shared" si="95"/>
        <v>8.9775083591066341E+36</v>
      </c>
      <c r="GOR56" s="850">
        <f t="shared" si="95"/>
        <v>0</v>
      </c>
      <c r="GOS56" s="850">
        <f t="shared" si="95"/>
        <v>9.246833609879834E+36</v>
      </c>
      <c r="GOT56" s="850">
        <f t="shared" si="95"/>
        <v>0</v>
      </c>
      <c r="GOU56" s="850">
        <f t="shared" si="95"/>
        <v>9.5242386181762289E+36</v>
      </c>
      <c r="GOV56" s="850">
        <f t="shared" si="95"/>
        <v>0</v>
      </c>
      <c r="GOW56" s="850">
        <f t="shared" si="95"/>
        <v>9.8099657767215156E+36</v>
      </c>
      <c r="GOX56" s="850">
        <f t="shared" si="95"/>
        <v>0</v>
      </c>
      <c r="GOY56" s="850">
        <f t="shared" si="95"/>
        <v>1.0104264750023162E+37</v>
      </c>
      <c r="GOZ56" s="850">
        <f t="shared" si="95"/>
        <v>0</v>
      </c>
      <c r="GPA56" s="850">
        <f t="shared" si="95"/>
        <v>1.0407392692523857E+37</v>
      </c>
      <c r="GPB56" s="850">
        <f t="shared" si="95"/>
        <v>0</v>
      </c>
      <c r="GPC56" s="850">
        <f t="shared" si="95"/>
        <v>1.0719614473299573E+37</v>
      </c>
      <c r="GPD56" s="850">
        <f t="shared" si="95"/>
        <v>0</v>
      </c>
      <c r="GPE56" s="850">
        <f t="shared" si="95"/>
        <v>1.1041202907498561E+37</v>
      </c>
      <c r="GPF56" s="850">
        <f t="shared" si="95"/>
        <v>0</v>
      </c>
      <c r="GPG56" s="850">
        <f t="shared" si="95"/>
        <v>1.1372438994723518E+37</v>
      </c>
      <c r="GPH56" s="850">
        <f t="shared" si="95"/>
        <v>0</v>
      </c>
      <c r="GPI56" s="850">
        <f t="shared" si="95"/>
        <v>1.1713612164565224E+37</v>
      </c>
      <c r="GPJ56" s="850">
        <f t="shared" si="95"/>
        <v>0</v>
      </c>
      <c r="GPK56" s="850">
        <f t="shared" si="95"/>
        <v>1.2065020529502181E+37</v>
      </c>
      <c r="GPL56" s="850">
        <f t="shared" si="95"/>
        <v>0</v>
      </c>
      <c r="GPM56" s="850">
        <f t="shared" si="95"/>
        <v>1.2426971145387247E+37</v>
      </c>
      <c r="GPN56" s="850">
        <f t="shared" si="95"/>
        <v>0</v>
      </c>
      <c r="GPO56" s="850">
        <f t="shared" si="95"/>
        <v>1.2799780279748865E+37</v>
      </c>
      <c r="GPP56" s="850">
        <f t="shared" si="95"/>
        <v>0</v>
      </c>
      <c r="GPQ56" s="850">
        <f t="shared" si="95"/>
        <v>1.318377368814133E+37</v>
      </c>
      <c r="GPR56" s="850">
        <f t="shared" si="95"/>
        <v>0</v>
      </c>
      <c r="GPS56" s="850">
        <f t="shared" si="95"/>
        <v>1.3579286898785571E+37</v>
      </c>
      <c r="GPT56" s="850">
        <f t="shared" si="95"/>
        <v>0</v>
      </c>
      <c r="GPU56" s="850">
        <f t="shared" si="95"/>
        <v>1.3986665505749138E+37</v>
      </c>
      <c r="GPV56" s="850">
        <f t="shared" si="95"/>
        <v>0</v>
      </c>
      <c r="GPW56" s="850">
        <f t="shared" si="95"/>
        <v>1.4406265470921612E+37</v>
      </c>
      <c r="GPX56" s="850">
        <f t="shared" si="95"/>
        <v>0</v>
      </c>
      <c r="GPY56" s="850">
        <f t="shared" si="95"/>
        <v>1.4838453435049261E+37</v>
      </c>
      <c r="GPZ56" s="850">
        <f t="shared" si="95"/>
        <v>0</v>
      </c>
      <c r="GQA56" s="850">
        <f t="shared" si="95"/>
        <v>1.5283607038100738E+37</v>
      </c>
      <c r="GQB56" s="850">
        <f t="shared" si="95"/>
        <v>0</v>
      </c>
      <c r="GQC56" s="850">
        <f t="shared" si="95"/>
        <v>1.5742115249243761E+37</v>
      </c>
      <c r="GQD56" s="850">
        <f t="shared" si="95"/>
        <v>0</v>
      </c>
      <c r="GQE56" s="850">
        <f t="shared" si="95"/>
        <v>1.6214378706721074E+37</v>
      </c>
      <c r="GQF56" s="850">
        <f t="shared" si="95"/>
        <v>0</v>
      </c>
      <c r="GQG56" s="850">
        <f t="shared" si="95"/>
        <v>1.6700810067922707E+37</v>
      </c>
      <c r="GQH56" s="850">
        <f t="shared" si="95"/>
        <v>0</v>
      </c>
      <c r="GQI56" s="850">
        <f t="shared" si="95"/>
        <v>1.7201834369960388E+37</v>
      </c>
      <c r="GQJ56" s="850">
        <f t="shared" si="95"/>
        <v>0</v>
      </c>
      <c r="GQK56" s="850">
        <f t="shared" si="95"/>
        <v>1.77178894010592E+37</v>
      </c>
      <c r="GQL56" s="850">
        <f t="shared" si="95"/>
        <v>0</v>
      </c>
      <c r="GQM56" s="850">
        <f t="shared" si="95"/>
        <v>1.8249426083090977E+37</v>
      </c>
      <c r="GQN56" s="850">
        <f t="shared" si="95"/>
        <v>0</v>
      </c>
      <c r="GQO56" s="850">
        <f t="shared" si="95"/>
        <v>1.8796908865583706E+37</v>
      </c>
      <c r="GQP56" s="850">
        <f t="shared" si="95"/>
        <v>0</v>
      </c>
      <c r="GQQ56" s="850">
        <f t="shared" si="95"/>
        <v>1.9360816131551218E+37</v>
      </c>
      <c r="GQR56" s="850">
        <f t="shared" si="95"/>
        <v>0</v>
      </c>
      <c r="GQS56" s="850">
        <f t="shared" si="95"/>
        <v>1.9941640615497756E+37</v>
      </c>
      <c r="GQT56" s="850">
        <f t="shared" ref="GQT56:GTE56" si="96">GQR56*$C$56</f>
        <v>0</v>
      </c>
      <c r="GQU56" s="850">
        <f t="shared" si="96"/>
        <v>2.0539889833962689E+37</v>
      </c>
      <c r="GQV56" s="850">
        <f t="shared" si="96"/>
        <v>0</v>
      </c>
      <c r="GQW56" s="850">
        <f t="shared" si="96"/>
        <v>2.115608652898157E+37</v>
      </c>
      <c r="GQX56" s="850">
        <f t="shared" si="96"/>
        <v>0</v>
      </c>
      <c r="GQY56" s="850">
        <f t="shared" si="96"/>
        <v>2.1790769124851017E+37</v>
      </c>
      <c r="GQZ56" s="850">
        <f t="shared" si="96"/>
        <v>0</v>
      </c>
      <c r="GRA56" s="850">
        <f t="shared" si="96"/>
        <v>2.2444492198596546E+37</v>
      </c>
      <c r="GRB56" s="850">
        <f t="shared" si="96"/>
        <v>0</v>
      </c>
      <c r="GRC56" s="850">
        <f t="shared" si="96"/>
        <v>2.3117826964554446E+37</v>
      </c>
      <c r="GRD56" s="850">
        <f t="shared" si="96"/>
        <v>0</v>
      </c>
      <c r="GRE56" s="850">
        <f t="shared" si="96"/>
        <v>2.3811361773491078E+37</v>
      </c>
      <c r="GRF56" s="850">
        <f t="shared" si="96"/>
        <v>0</v>
      </c>
      <c r="GRG56" s="850">
        <f t="shared" si="96"/>
        <v>2.4525702626695811E+37</v>
      </c>
      <c r="GRH56" s="850">
        <f t="shared" si="96"/>
        <v>0</v>
      </c>
      <c r="GRI56" s="850">
        <f t="shared" si="96"/>
        <v>2.5261473705496684E+37</v>
      </c>
      <c r="GRJ56" s="850">
        <f t="shared" si="96"/>
        <v>0</v>
      </c>
      <c r="GRK56" s="850">
        <f t="shared" si="96"/>
        <v>2.6019317916661585E+37</v>
      </c>
      <c r="GRL56" s="850">
        <f t="shared" si="96"/>
        <v>0</v>
      </c>
      <c r="GRM56" s="850">
        <f t="shared" si="96"/>
        <v>2.6799897454161434E+37</v>
      </c>
      <c r="GRN56" s="850">
        <f t="shared" si="96"/>
        <v>0</v>
      </c>
      <c r="GRO56" s="850">
        <f t="shared" si="96"/>
        <v>2.760389437778628E+37</v>
      </c>
      <c r="GRP56" s="850">
        <f t="shared" si="96"/>
        <v>0</v>
      </c>
      <c r="GRQ56" s="850">
        <f t="shared" si="96"/>
        <v>2.8432011209119871E+37</v>
      </c>
      <c r="GRR56" s="850">
        <f t="shared" si="96"/>
        <v>0</v>
      </c>
      <c r="GRS56" s="850">
        <f t="shared" si="96"/>
        <v>2.9284971545393468E+37</v>
      </c>
      <c r="GRT56" s="850">
        <f t="shared" si="96"/>
        <v>0</v>
      </c>
      <c r="GRU56" s="850">
        <f t="shared" si="96"/>
        <v>3.0163520691755272E+37</v>
      </c>
      <c r="GRV56" s="850">
        <f t="shared" si="96"/>
        <v>0</v>
      </c>
      <c r="GRW56" s="850">
        <f t="shared" si="96"/>
        <v>3.1068426312507932E+37</v>
      </c>
      <c r="GRX56" s="850">
        <f t="shared" si="96"/>
        <v>0</v>
      </c>
      <c r="GRY56" s="850">
        <f t="shared" si="96"/>
        <v>3.2000479101883171E+37</v>
      </c>
      <c r="GRZ56" s="850">
        <f t="shared" si="96"/>
        <v>0</v>
      </c>
      <c r="GSA56" s="850">
        <f t="shared" si="96"/>
        <v>3.2960493474939665E+37</v>
      </c>
      <c r="GSB56" s="850">
        <f t="shared" si="96"/>
        <v>0</v>
      </c>
      <c r="GSC56" s="850">
        <f t="shared" si="96"/>
        <v>3.3949308279187855E+37</v>
      </c>
      <c r="GSD56" s="850">
        <f t="shared" si="96"/>
        <v>0</v>
      </c>
      <c r="GSE56" s="850">
        <f t="shared" si="96"/>
        <v>3.4967787527563491E+37</v>
      </c>
      <c r="GSF56" s="850">
        <f t="shared" si="96"/>
        <v>0</v>
      </c>
      <c r="GSG56" s="850">
        <f t="shared" si="96"/>
        <v>3.6016821153390396E+37</v>
      </c>
      <c r="GSH56" s="850">
        <f t="shared" si="96"/>
        <v>0</v>
      </c>
      <c r="GSI56" s="850">
        <f t="shared" si="96"/>
        <v>3.7097325787992109E+37</v>
      </c>
      <c r="GSJ56" s="850">
        <f t="shared" si="96"/>
        <v>0</v>
      </c>
      <c r="GSK56" s="850">
        <f t="shared" si="96"/>
        <v>3.8210245561631875E+37</v>
      </c>
      <c r="GSL56" s="850">
        <f t="shared" si="96"/>
        <v>0</v>
      </c>
      <c r="GSM56" s="850">
        <f t="shared" si="96"/>
        <v>3.9356552928480832E+37</v>
      </c>
      <c r="GSN56" s="850">
        <f t="shared" si="96"/>
        <v>0</v>
      </c>
      <c r="GSO56" s="850">
        <f t="shared" si="96"/>
        <v>4.053724951633526E+37</v>
      </c>
      <c r="GSP56" s="850">
        <f t="shared" si="96"/>
        <v>0</v>
      </c>
      <c r="GSQ56" s="850">
        <f t="shared" si="96"/>
        <v>4.1753367001825317E+37</v>
      </c>
      <c r="GSR56" s="850">
        <f t="shared" si="96"/>
        <v>0</v>
      </c>
      <c r="GSS56" s="850">
        <f t="shared" si="96"/>
        <v>4.3005968011880076E+37</v>
      </c>
      <c r="GST56" s="850">
        <f t="shared" si="96"/>
        <v>0</v>
      </c>
      <c r="GSU56" s="850">
        <f t="shared" si="96"/>
        <v>4.4296147052236478E+37</v>
      </c>
      <c r="GSV56" s="850">
        <f t="shared" si="96"/>
        <v>0</v>
      </c>
      <c r="GSW56" s="850">
        <f t="shared" si="96"/>
        <v>4.5625031463803576E+37</v>
      </c>
      <c r="GSX56" s="850">
        <f t="shared" si="96"/>
        <v>0</v>
      </c>
      <c r="GSY56" s="850">
        <f t="shared" si="96"/>
        <v>4.6993782407717684E+37</v>
      </c>
      <c r="GSZ56" s="850">
        <f t="shared" si="96"/>
        <v>0</v>
      </c>
      <c r="GTA56" s="850">
        <f t="shared" si="96"/>
        <v>4.8403595879949219E+37</v>
      </c>
      <c r="GTB56" s="850">
        <f t="shared" si="96"/>
        <v>0</v>
      </c>
      <c r="GTC56" s="850">
        <f t="shared" si="96"/>
        <v>4.9855703756347695E+37</v>
      </c>
      <c r="GTD56" s="850">
        <f t="shared" si="96"/>
        <v>0</v>
      </c>
      <c r="GTE56" s="850">
        <f t="shared" si="96"/>
        <v>5.1351374869038127E+37</v>
      </c>
      <c r="GTF56" s="850">
        <f t="shared" ref="GTF56:GVQ56" si="97">GTD56*$C$56</f>
        <v>0</v>
      </c>
      <c r="GTG56" s="850">
        <f t="shared" si="97"/>
        <v>5.2891916115109274E+37</v>
      </c>
      <c r="GTH56" s="850">
        <f t="shared" si="97"/>
        <v>0</v>
      </c>
      <c r="GTI56" s="850">
        <f t="shared" si="97"/>
        <v>5.4478673598562554E+37</v>
      </c>
      <c r="GTJ56" s="850">
        <f t="shared" si="97"/>
        <v>0</v>
      </c>
      <c r="GTK56" s="850">
        <f t="shared" si="97"/>
        <v>5.611303380651943E+37</v>
      </c>
      <c r="GTL56" s="850">
        <f t="shared" si="97"/>
        <v>0</v>
      </c>
      <c r="GTM56" s="850">
        <f t="shared" si="97"/>
        <v>5.779642482071501E+37</v>
      </c>
      <c r="GTN56" s="850">
        <f t="shared" si="97"/>
        <v>0</v>
      </c>
      <c r="GTO56" s="850">
        <f t="shared" si="97"/>
        <v>5.9530317565336466E+37</v>
      </c>
      <c r="GTP56" s="850">
        <f t="shared" si="97"/>
        <v>0</v>
      </c>
      <c r="GTQ56" s="850">
        <f t="shared" si="97"/>
        <v>6.1316227092296563E+37</v>
      </c>
      <c r="GTR56" s="850">
        <f t="shared" si="97"/>
        <v>0</v>
      </c>
      <c r="GTS56" s="850">
        <f t="shared" si="97"/>
        <v>6.3155713905065457E+37</v>
      </c>
      <c r="GTT56" s="850">
        <f t="shared" si="97"/>
        <v>0</v>
      </c>
      <c r="GTU56" s="850">
        <f t="shared" si="97"/>
        <v>6.5050385322217424E+37</v>
      </c>
      <c r="GTV56" s="850">
        <f t="shared" si="97"/>
        <v>0</v>
      </c>
      <c r="GTW56" s="850">
        <f t="shared" si="97"/>
        <v>6.7001896881883952E+37</v>
      </c>
      <c r="GTX56" s="850">
        <f t="shared" si="97"/>
        <v>0</v>
      </c>
      <c r="GTY56" s="850">
        <f t="shared" si="97"/>
        <v>6.9011953788340473E+37</v>
      </c>
      <c r="GTZ56" s="850">
        <f t="shared" si="97"/>
        <v>0</v>
      </c>
      <c r="GUA56" s="850">
        <f t="shared" si="97"/>
        <v>7.1082312401990691E+37</v>
      </c>
      <c r="GUB56" s="850">
        <f t="shared" si="97"/>
        <v>0</v>
      </c>
      <c r="GUC56" s="850">
        <f t="shared" si="97"/>
        <v>7.3214781774050411E+37</v>
      </c>
      <c r="GUD56" s="850">
        <f t="shared" si="97"/>
        <v>0</v>
      </c>
      <c r="GUE56" s="850">
        <f t="shared" si="97"/>
        <v>7.5411225227271926E+37</v>
      </c>
      <c r="GUF56" s="850">
        <f t="shared" si="97"/>
        <v>0</v>
      </c>
      <c r="GUG56" s="850">
        <f t="shared" si="97"/>
        <v>7.7673561984090089E+37</v>
      </c>
      <c r="GUH56" s="850">
        <f t="shared" si="97"/>
        <v>0</v>
      </c>
      <c r="GUI56" s="850">
        <f t="shared" si="97"/>
        <v>8.0003768843612793E+37</v>
      </c>
      <c r="GUJ56" s="850">
        <f t="shared" si="97"/>
        <v>0</v>
      </c>
      <c r="GUK56" s="850">
        <f t="shared" si="97"/>
        <v>8.2403881908921176E+37</v>
      </c>
      <c r="GUL56" s="850">
        <f t="shared" si="97"/>
        <v>0</v>
      </c>
      <c r="GUM56" s="850">
        <f t="shared" si="97"/>
        <v>8.487599836618881E+37</v>
      </c>
      <c r="GUN56" s="850">
        <f t="shared" si="97"/>
        <v>0</v>
      </c>
      <c r="GUO56" s="850">
        <f t="shared" si="97"/>
        <v>8.7422278317174481E+37</v>
      </c>
      <c r="GUP56" s="850">
        <f t="shared" si="97"/>
        <v>0</v>
      </c>
      <c r="GUQ56" s="850">
        <f t="shared" si="97"/>
        <v>9.0044946666689719E+37</v>
      </c>
      <c r="GUR56" s="850">
        <f t="shared" si="97"/>
        <v>0</v>
      </c>
      <c r="GUS56" s="850">
        <f t="shared" si="97"/>
        <v>9.2746295066690417E+37</v>
      </c>
      <c r="GUT56" s="850">
        <f t="shared" si="97"/>
        <v>0</v>
      </c>
      <c r="GUU56" s="850">
        <f t="shared" si="97"/>
        <v>9.5528683918691138E+37</v>
      </c>
      <c r="GUV56" s="850">
        <f t="shared" si="97"/>
        <v>0</v>
      </c>
      <c r="GUW56" s="850">
        <f t="shared" si="97"/>
        <v>9.8394544436251869E+37</v>
      </c>
      <c r="GUX56" s="850">
        <f t="shared" si="97"/>
        <v>0</v>
      </c>
      <c r="GUY56" s="850">
        <f t="shared" si="97"/>
        <v>1.0134638076933944E+38</v>
      </c>
      <c r="GUZ56" s="850">
        <f t="shared" si="97"/>
        <v>0</v>
      </c>
      <c r="GVA56" s="850">
        <f t="shared" si="97"/>
        <v>1.0438677219241962E+38</v>
      </c>
      <c r="GVB56" s="850">
        <f t="shared" si="97"/>
        <v>0</v>
      </c>
      <c r="GVC56" s="850">
        <f t="shared" si="97"/>
        <v>1.075183753581922E+38</v>
      </c>
      <c r="GVD56" s="850">
        <f t="shared" si="97"/>
        <v>0</v>
      </c>
      <c r="GVE56" s="850">
        <f t="shared" si="97"/>
        <v>1.1074392661893797E+38</v>
      </c>
      <c r="GVF56" s="850">
        <f t="shared" si="97"/>
        <v>0</v>
      </c>
      <c r="GVG56" s="850">
        <f t="shared" si="97"/>
        <v>1.1406624441750611E+38</v>
      </c>
      <c r="GVH56" s="850">
        <f t="shared" si="97"/>
        <v>0</v>
      </c>
      <c r="GVI56" s="850">
        <f t="shared" si="97"/>
        <v>1.174882317500313E+38</v>
      </c>
      <c r="GVJ56" s="850">
        <f t="shared" si="97"/>
        <v>0</v>
      </c>
      <c r="GVK56" s="850">
        <f t="shared" si="97"/>
        <v>1.2101287870253225E+38</v>
      </c>
      <c r="GVL56" s="850">
        <f t="shared" si="97"/>
        <v>0</v>
      </c>
      <c r="GVM56" s="850">
        <f t="shared" si="97"/>
        <v>1.2464326506360822E+38</v>
      </c>
      <c r="GVN56" s="850">
        <f t="shared" si="97"/>
        <v>0</v>
      </c>
      <c r="GVO56" s="850">
        <f t="shared" si="97"/>
        <v>1.2838256301551648E+38</v>
      </c>
      <c r="GVP56" s="850">
        <f t="shared" si="97"/>
        <v>0</v>
      </c>
      <c r="GVQ56" s="850">
        <f t="shared" si="97"/>
        <v>1.3223403990598197E+38</v>
      </c>
      <c r="GVR56" s="850">
        <f t="shared" ref="GVR56:GYC56" si="98">GVP56*$C$56</f>
        <v>0</v>
      </c>
      <c r="GVS56" s="850">
        <f t="shared" si="98"/>
        <v>1.3620106110316143E+38</v>
      </c>
      <c r="GVT56" s="850">
        <f t="shared" si="98"/>
        <v>0</v>
      </c>
      <c r="GVU56" s="850">
        <f t="shared" si="98"/>
        <v>1.4028709293625627E+38</v>
      </c>
      <c r="GVV56" s="850">
        <f t="shared" si="98"/>
        <v>0</v>
      </c>
      <c r="GVW56" s="850">
        <f t="shared" si="98"/>
        <v>1.4449570572434395E+38</v>
      </c>
      <c r="GVX56" s="850">
        <f t="shared" si="98"/>
        <v>0</v>
      </c>
      <c r="GVY56" s="850">
        <f t="shared" si="98"/>
        <v>1.4883057689607427E+38</v>
      </c>
      <c r="GVZ56" s="850">
        <f t="shared" si="98"/>
        <v>0</v>
      </c>
      <c r="GWA56" s="850">
        <f t="shared" si="98"/>
        <v>1.5329549420295649E+38</v>
      </c>
      <c r="GWB56" s="850">
        <f t="shared" si="98"/>
        <v>0</v>
      </c>
      <c r="GWC56" s="850">
        <f t="shared" si="98"/>
        <v>1.578943590290452E+38</v>
      </c>
      <c r="GWD56" s="850">
        <f t="shared" si="98"/>
        <v>0</v>
      </c>
      <c r="GWE56" s="850">
        <f t="shared" si="98"/>
        <v>1.6263118979991656E+38</v>
      </c>
      <c r="GWF56" s="850">
        <f t="shared" si="98"/>
        <v>0</v>
      </c>
      <c r="GWG56" s="850">
        <f t="shared" si="98"/>
        <v>1.6751012549391407E+38</v>
      </c>
      <c r="GWH56" s="850">
        <f t="shared" si="98"/>
        <v>0</v>
      </c>
      <c r="GWI56" s="850">
        <f t="shared" si="98"/>
        <v>1.725354292587315E+38</v>
      </c>
      <c r="GWJ56" s="850">
        <f t="shared" si="98"/>
        <v>0</v>
      </c>
      <c r="GWK56" s="850">
        <f t="shared" si="98"/>
        <v>1.7771149213649346E+38</v>
      </c>
      <c r="GWL56" s="850">
        <f t="shared" si="98"/>
        <v>0</v>
      </c>
      <c r="GWM56" s="850">
        <f t="shared" si="98"/>
        <v>1.8304283690058826E+38</v>
      </c>
      <c r="GWN56" s="850">
        <f t="shared" si="98"/>
        <v>0</v>
      </c>
      <c r="GWO56" s="850">
        <f t="shared" si="98"/>
        <v>1.8853412200760592E+38</v>
      </c>
      <c r="GWP56" s="850">
        <f t="shared" si="98"/>
        <v>0</v>
      </c>
      <c r="GWQ56" s="850">
        <f t="shared" si="98"/>
        <v>1.941901456678341E+38</v>
      </c>
      <c r="GWR56" s="850">
        <f t="shared" si="98"/>
        <v>0</v>
      </c>
      <c r="GWS56" s="850">
        <f t="shared" si="98"/>
        <v>2.0001585003786915E+38</v>
      </c>
      <c r="GWT56" s="850">
        <f t="shared" si="98"/>
        <v>0</v>
      </c>
      <c r="GWU56" s="850">
        <f t="shared" si="98"/>
        <v>2.0601632553900524E+38</v>
      </c>
      <c r="GWV56" s="850">
        <f t="shared" si="98"/>
        <v>0</v>
      </c>
      <c r="GWW56" s="850">
        <f t="shared" si="98"/>
        <v>2.1219681530517539E+38</v>
      </c>
      <c r="GWX56" s="850">
        <f t="shared" si="98"/>
        <v>0</v>
      </c>
      <c r="GWY56" s="850">
        <f t="shared" si="98"/>
        <v>2.1856271976433064E+38</v>
      </c>
      <c r="GWZ56" s="850">
        <f t="shared" si="98"/>
        <v>0</v>
      </c>
      <c r="GXA56" s="850">
        <f t="shared" si="98"/>
        <v>2.2511960135726056E+38</v>
      </c>
      <c r="GXB56" s="850">
        <f t="shared" si="98"/>
        <v>0</v>
      </c>
      <c r="GXC56" s="850">
        <f t="shared" si="98"/>
        <v>2.3187318939797839E+38</v>
      </c>
      <c r="GXD56" s="850">
        <f t="shared" si="98"/>
        <v>0</v>
      </c>
      <c r="GXE56" s="850">
        <f t="shared" si="98"/>
        <v>2.3882938507991774E+38</v>
      </c>
      <c r="GXF56" s="850">
        <f t="shared" si="98"/>
        <v>0</v>
      </c>
      <c r="GXG56" s="850">
        <f t="shared" si="98"/>
        <v>2.4599426663231529E+38</v>
      </c>
      <c r="GXH56" s="850">
        <f t="shared" si="98"/>
        <v>0</v>
      </c>
      <c r="GXI56" s="850">
        <f t="shared" si="98"/>
        <v>2.5337409463128473E+38</v>
      </c>
      <c r="GXJ56" s="850">
        <f t="shared" si="98"/>
        <v>0</v>
      </c>
      <c r="GXK56" s="850">
        <f t="shared" si="98"/>
        <v>2.6097531747022328E+38</v>
      </c>
      <c r="GXL56" s="850">
        <f t="shared" si="98"/>
        <v>0</v>
      </c>
      <c r="GXM56" s="850">
        <f t="shared" si="98"/>
        <v>2.6880457699432999E+38</v>
      </c>
      <c r="GXN56" s="850">
        <f t="shared" si="98"/>
        <v>0</v>
      </c>
      <c r="GXO56" s="850">
        <f t="shared" si="98"/>
        <v>2.7686871430415988E+38</v>
      </c>
      <c r="GXP56" s="850">
        <f t="shared" si="98"/>
        <v>0</v>
      </c>
      <c r="GXQ56" s="850">
        <f t="shared" si="98"/>
        <v>2.8517477573328469E+38</v>
      </c>
      <c r="GXR56" s="850">
        <f t="shared" si="98"/>
        <v>0</v>
      </c>
      <c r="GXS56" s="850">
        <f t="shared" si="98"/>
        <v>2.9373001900528325E+38</v>
      </c>
      <c r="GXT56" s="850">
        <f t="shared" si="98"/>
        <v>0</v>
      </c>
      <c r="GXU56" s="850">
        <f t="shared" si="98"/>
        <v>3.0254191957544176E+38</v>
      </c>
      <c r="GXV56" s="850">
        <f t="shared" si="98"/>
        <v>0</v>
      </c>
      <c r="GXW56" s="850">
        <f t="shared" si="98"/>
        <v>3.1161817716270503E+38</v>
      </c>
      <c r="GXX56" s="850">
        <f t="shared" si="98"/>
        <v>0</v>
      </c>
      <c r="GXY56" s="850">
        <f t="shared" si="98"/>
        <v>3.2096672247758618E+38</v>
      </c>
      <c r="GXZ56" s="850">
        <f t="shared" si="98"/>
        <v>0</v>
      </c>
      <c r="GYA56" s="850">
        <f t="shared" si="98"/>
        <v>3.3059572415191379E+38</v>
      </c>
      <c r="GYB56" s="850">
        <f t="shared" si="98"/>
        <v>0</v>
      </c>
      <c r="GYC56" s="850">
        <f t="shared" si="98"/>
        <v>3.405135958764712E+38</v>
      </c>
      <c r="GYD56" s="850">
        <f t="shared" ref="GYD56:HAO56" si="99">GYB56*$C$56</f>
        <v>0</v>
      </c>
      <c r="GYE56" s="850">
        <f t="shared" si="99"/>
        <v>3.5072900375276532E+38</v>
      </c>
      <c r="GYF56" s="850">
        <f t="shared" si="99"/>
        <v>0</v>
      </c>
      <c r="GYG56" s="850">
        <f t="shared" si="99"/>
        <v>3.6125087386534826E+38</v>
      </c>
      <c r="GYH56" s="850">
        <f t="shared" si="99"/>
        <v>0</v>
      </c>
      <c r="GYI56" s="850">
        <f t="shared" si="99"/>
        <v>3.7208840008130874E+38</v>
      </c>
      <c r="GYJ56" s="850">
        <f t="shared" si="99"/>
        <v>0</v>
      </c>
      <c r="GYK56" s="850">
        <f t="shared" si="99"/>
        <v>3.8325105208374802E+38</v>
      </c>
      <c r="GYL56" s="850">
        <f t="shared" si="99"/>
        <v>0</v>
      </c>
      <c r="GYM56" s="850">
        <f t="shared" si="99"/>
        <v>3.9474858364626046E+38</v>
      </c>
      <c r="GYN56" s="850">
        <f t="shared" si="99"/>
        <v>0</v>
      </c>
      <c r="GYO56" s="850">
        <f t="shared" si="99"/>
        <v>4.0659104115564829E+38</v>
      </c>
      <c r="GYP56" s="850">
        <f t="shared" si="99"/>
        <v>0</v>
      </c>
      <c r="GYQ56" s="850">
        <f t="shared" si="99"/>
        <v>4.1878877239031773E+38</v>
      </c>
      <c r="GYR56" s="850">
        <f t="shared" si="99"/>
        <v>0</v>
      </c>
      <c r="GYS56" s="850">
        <f t="shared" si="99"/>
        <v>4.3135243556202728E+38</v>
      </c>
      <c r="GYT56" s="850">
        <f t="shared" si="99"/>
        <v>0</v>
      </c>
      <c r="GYU56" s="850">
        <f t="shared" si="99"/>
        <v>4.4429300862888808E+38</v>
      </c>
      <c r="GYV56" s="850">
        <f t="shared" si="99"/>
        <v>0</v>
      </c>
      <c r="GYW56" s="850">
        <f t="shared" si="99"/>
        <v>4.576217988877547E+38</v>
      </c>
      <c r="GYX56" s="850">
        <f t="shared" si="99"/>
        <v>0</v>
      </c>
      <c r="GYY56" s="850">
        <f t="shared" si="99"/>
        <v>4.7135045285438736E+38</v>
      </c>
      <c r="GYZ56" s="850">
        <f t="shared" si="99"/>
        <v>0</v>
      </c>
      <c r="GZA56" s="850">
        <f t="shared" si="99"/>
        <v>4.8549096644001899E+38</v>
      </c>
      <c r="GZB56" s="850">
        <f t="shared" si="99"/>
        <v>0</v>
      </c>
      <c r="GZC56" s="850">
        <f t="shared" si="99"/>
        <v>5.0005569543321958E+38</v>
      </c>
      <c r="GZD56" s="850">
        <f t="shared" si="99"/>
        <v>0</v>
      </c>
      <c r="GZE56" s="850">
        <f t="shared" si="99"/>
        <v>5.1505736629621618E+38</v>
      </c>
      <c r="GZF56" s="850">
        <f t="shared" si="99"/>
        <v>0</v>
      </c>
      <c r="GZG56" s="850">
        <f t="shared" si="99"/>
        <v>5.305090872851027E+38</v>
      </c>
      <c r="GZH56" s="850">
        <f t="shared" si="99"/>
        <v>0</v>
      </c>
      <c r="GZI56" s="850">
        <f t="shared" si="99"/>
        <v>5.464243599036558E+38</v>
      </c>
      <c r="GZJ56" s="850">
        <f t="shared" si="99"/>
        <v>0</v>
      </c>
      <c r="GZK56" s="850">
        <f t="shared" si="99"/>
        <v>5.6281709070076548E+38</v>
      </c>
      <c r="GZL56" s="850">
        <f t="shared" si="99"/>
        <v>0</v>
      </c>
      <c r="GZM56" s="850">
        <f t="shared" si="99"/>
        <v>5.7970160342178847E+38</v>
      </c>
      <c r="GZN56" s="850">
        <f t="shared" si="99"/>
        <v>0</v>
      </c>
      <c r="GZO56" s="850">
        <f t="shared" si="99"/>
        <v>5.9709265152444216E+38</v>
      </c>
      <c r="GZP56" s="850">
        <f t="shared" si="99"/>
        <v>0</v>
      </c>
      <c r="GZQ56" s="850">
        <f t="shared" si="99"/>
        <v>6.1500543107017544E+38</v>
      </c>
      <c r="GZR56" s="850">
        <f t="shared" si="99"/>
        <v>0</v>
      </c>
      <c r="GZS56" s="850">
        <f t="shared" si="99"/>
        <v>6.3345559400228071E+38</v>
      </c>
      <c r="GZT56" s="850">
        <f t="shared" si="99"/>
        <v>0</v>
      </c>
      <c r="GZU56" s="850">
        <f t="shared" si="99"/>
        <v>6.5245926182234918E+38</v>
      </c>
      <c r="GZV56" s="850">
        <f t="shared" si="99"/>
        <v>0</v>
      </c>
      <c r="GZW56" s="850">
        <f t="shared" si="99"/>
        <v>6.7203303967701971E+38</v>
      </c>
      <c r="GZX56" s="850">
        <f t="shared" si="99"/>
        <v>0</v>
      </c>
      <c r="GZY56" s="850">
        <f t="shared" si="99"/>
        <v>6.921940308673303E+38</v>
      </c>
      <c r="GZZ56" s="850">
        <f t="shared" si="99"/>
        <v>0</v>
      </c>
      <c r="HAA56" s="850">
        <f t="shared" si="99"/>
        <v>7.1295985179335021E+38</v>
      </c>
      <c r="HAB56" s="850">
        <f t="shared" si="99"/>
        <v>0</v>
      </c>
      <c r="HAC56" s="850">
        <f t="shared" si="99"/>
        <v>7.343486473471508E+38</v>
      </c>
      <c r="HAD56" s="850">
        <f t="shared" si="99"/>
        <v>0</v>
      </c>
      <c r="HAE56" s="850">
        <f t="shared" si="99"/>
        <v>7.5637910676756535E+38</v>
      </c>
      <c r="HAF56" s="850">
        <f t="shared" si="99"/>
        <v>0</v>
      </c>
      <c r="HAG56" s="850">
        <f t="shared" si="99"/>
        <v>7.7907047997059237E+38</v>
      </c>
      <c r="HAH56" s="850">
        <f t="shared" si="99"/>
        <v>0</v>
      </c>
      <c r="HAI56" s="850">
        <f t="shared" si="99"/>
        <v>8.0244259436971023E+38</v>
      </c>
      <c r="HAJ56" s="850">
        <f t="shared" si="99"/>
        <v>0</v>
      </c>
      <c r="HAK56" s="850">
        <f t="shared" si="99"/>
        <v>8.2651587220080159E+38</v>
      </c>
      <c r="HAL56" s="850">
        <f t="shared" si="99"/>
        <v>0</v>
      </c>
      <c r="HAM56" s="850">
        <f t="shared" si="99"/>
        <v>8.5131134836682562E+38</v>
      </c>
      <c r="HAN56" s="850">
        <f t="shared" si="99"/>
        <v>0</v>
      </c>
      <c r="HAO56" s="850">
        <f t="shared" si="99"/>
        <v>8.7685068881783046E+38</v>
      </c>
      <c r="HAP56" s="850">
        <f t="shared" ref="HAP56:HDA56" si="100">HAN56*$C$56</f>
        <v>0</v>
      </c>
      <c r="HAQ56" s="850">
        <f t="shared" si="100"/>
        <v>9.0315620948236544E+38</v>
      </c>
      <c r="HAR56" s="850">
        <f t="shared" si="100"/>
        <v>0</v>
      </c>
      <c r="HAS56" s="850">
        <f t="shared" si="100"/>
        <v>9.3025089576683648E+38</v>
      </c>
      <c r="HAT56" s="850">
        <f t="shared" si="100"/>
        <v>0</v>
      </c>
      <c r="HAU56" s="850">
        <f t="shared" si="100"/>
        <v>9.5815842263984165E+38</v>
      </c>
      <c r="HAV56" s="850">
        <f t="shared" si="100"/>
        <v>0</v>
      </c>
      <c r="HAW56" s="850">
        <f t="shared" si="100"/>
        <v>9.8690317531903689E+38</v>
      </c>
      <c r="HAX56" s="850">
        <f t="shared" si="100"/>
        <v>0</v>
      </c>
      <c r="HAY56" s="850">
        <f t="shared" si="100"/>
        <v>1.016510270578608E+39</v>
      </c>
      <c r="HAZ56" s="850">
        <f t="shared" si="100"/>
        <v>0</v>
      </c>
      <c r="HBA56" s="850">
        <f t="shared" si="100"/>
        <v>1.0470055786959663E+39</v>
      </c>
      <c r="HBB56" s="850">
        <f t="shared" si="100"/>
        <v>0</v>
      </c>
      <c r="HBC56" s="850">
        <f t="shared" si="100"/>
        <v>1.0784157460568453E+39</v>
      </c>
      <c r="HBD56" s="850">
        <f t="shared" si="100"/>
        <v>0</v>
      </c>
      <c r="HBE56" s="850">
        <f t="shared" si="100"/>
        <v>1.1107682184385507E+39</v>
      </c>
      <c r="HBF56" s="850">
        <f t="shared" si="100"/>
        <v>0</v>
      </c>
      <c r="HBG56" s="850">
        <f t="shared" si="100"/>
        <v>1.1440912649917073E+39</v>
      </c>
      <c r="HBH56" s="850">
        <f t="shared" si="100"/>
        <v>0</v>
      </c>
      <c r="HBI56" s="850">
        <f t="shared" si="100"/>
        <v>1.1784140029414585E+39</v>
      </c>
      <c r="HBJ56" s="850">
        <f t="shared" si="100"/>
        <v>0</v>
      </c>
      <c r="HBK56" s="850">
        <f t="shared" si="100"/>
        <v>1.2137664230297023E+39</v>
      </c>
      <c r="HBL56" s="850">
        <f t="shared" si="100"/>
        <v>0</v>
      </c>
      <c r="HBM56" s="850">
        <f t="shared" si="100"/>
        <v>1.2501794157205935E+39</v>
      </c>
      <c r="HBN56" s="850">
        <f t="shared" si="100"/>
        <v>0</v>
      </c>
      <c r="HBO56" s="850">
        <f t="shared" si="100"/>
        <v>1.2876847981922112E+39</v>
      </c>
      <c r="HBP56" s="850">
        <f t="shared" si="100"/>
        <v>0</v>
      </c>
      <c r="HBQ56" s="850">
        <f t="shared" si="100"/>
        <v>1.3263153421379776E+39</v>
      </c>
      <c r="HBR56" s="850">
        <f t="shared" si="100"/>
        <v>0</v>
      </c>
      <c r="HBS56" s="850">
        <f t="shared" si="100"/>
        <v>1.366104802402117E+39</v>
      </c>
      <c r="HBT56" s="850">
        <f t="shared" si="100"/>
        <v>0</v>
      </c>
      <c r="HBU56" s="850">
        <f t="shared" si="100"/>
        <v>1.4070879464741806E+39</v>
      </c>
      <c r="HBV56" s="850">
        <f t="shared" si="100"/>
        <v>0</v>
      </c>
      <c r="HBW56" s="850">
        <f t="shared" si="100"/>
        <v>1.4493005848684059E+39</v>
      </c>
      <c r="HBX56" s="850">
        <f t="shared" si="100"/>
        <v>0</v>
      </c>
      <c r="HBY56" s="850">
        <f t="shared" si="100"/>
        <v>1.492779602414458E+39</v>
      </c>
      <c r="HBZ56" s="850">
        <f t="shared" si="100"/>
        <v>0</v>
      </c>
      <c r="HCA56" s="850">
        <f t="shared" si="100"/>
        <v>1.5375629904868918E+39</v>
      </c>
      <c r="HCB56" s="850">
        <f t="shared" si="100"/>
        <v>0</v>
      </c>
      <c r="HCC56" s="850">
        <f t="shared" si="100"/>
        <v>1.5836898802014987E+39</v>
      </c>
      <c r="HCD56" s="850">
        <f t="shared" si="100"/>
        <v>0</v>
      </c>
      <c r="HCE56" s="850">
        <f t="shared" si="100"/>
        <v>1.6312005766075438E+39</v>
      </c>
      <c r="HCF56" s="850">
        <f t="shared" si="100"/>
        <v>0</v>
      </c>
      <c r="HCG56" s="850">
        <f t="shared" si="100"/>
        <v>1.6801365939057702E+39</v>
      </c>
      <c r="HCH56" s="850">
        <f t="shared" si="100"/>
        <v>0</v>
      </c>
      <c r="HCI56" s="850">
        <f t="shared" si="100"/>
        <v>1.7305406917229433E+39</v>
      </c>
      <c r="HCJ56" s="850">
        <f t="shared" si="100"/>
        <v>0</v>
      </c>
      <c r="HCK56" s="850">
        <f t="shared" si="100"/>
        <v>1.7824569124746317E+39</v>
      </c>
      <c r="HCL56" s="850">
        <f t="shared" si="100"/>
        <v>0</v>
      </c>
      <c r="HCM56" s="850">
        <f t="shared" si="100"/>
        <v>1.8359306198488705E+39</v>
      </c>
      <c r="HCN56" s="850">
        <f t="shared" si="100"/>
        <v>0</v>
      </c>
      <c r="HCO56" s="850">
        <f t="shared" si="100"/>
        <v>1.8910085384443367E+39</v>
      </c>
      <c r="HCP56" s="850">
        <f t="shared" si="100"/>
        <v>0</v>
      </c>
      <c r="HCQ56" s="850">
        <f t="shared" si="100"/>
        <v>1.9477387945976668E+39</v>
      </c>
      <c r="HCR56" s="850">
        <f t="shared" si="100"/>
        <v>0</v>
      </c>
      <c r="HCS56" s="850">
        <f t="shared" si="100"/>
        <v>2.0061709584355967E+39</v>
      </c>
      <c r="HCT56" s="850">
        <f t="shared" si="100"/>
        <v>0</v>
      </c>
      <c r="HCU56" s="850">
        <f t="shared" si="100"/>
        <v>2.0663560871886645E+39</v>
      </c>
      <c r="HCV56" s="850">
        <f t="shared" si="100"/>
        <v>0</v>
      </c>
      <c r="HCW56" s="850">
        <f t="shared" si="100"/>
        <v>2.1283467698043246E+39</v>
      </c>
      <c r="HCX56" s="850">
        <f t="shared" si="100"/>
        <v>0</v>
      </c>
      <c r="HCY56" s="850">
        <f t="shared" si="100"/>
        <v>2.1921971728984544E+39</v>
      </c>
      <c r="HCZ56" s="850">
        <f t="shared" si="100"/>
        <v>0</v>
      </c>
      <c r="HDA56" s="850">
        <f t="shared" si="100"/>
        <v>2.257963088085408E+39</v>
      </c>
      <c r="HDB56" s="850">
        <f t="shared" ref="HDB56:HFM56" si="101">HCZ56*$C$56</f>
        <v>0</v>
      </c>
      <c r="HDC56" s="850">
        <f t="shared" si="101"/>
        <v>2.3257019807279703E+39</v>
      </c>
      <c r="HDD56" s="850">
        <f t="shared" si="101"/>
        <v>0</v>
      </c>
      <c r="HDE56" s="850">
        <f t="shared" si="101"/>
        <v>2.3954730401498093E+39</v>
      </c>
      <c r="HDF56" s="850">
        <f t="shared" si="101"/>
        <v>0</v>
      </c>
      <c r="HDG56" s="850">
        <f t="shared" si="101"/>
        <v>2.4673372313543036E+39</v>
      </c>
      <c r="HDH56" s="850">
        <f t="shared" si="101"/>
        <v>0</v>
      </c>
      <c r="HDI56" s="850">
        <f t="shared" si="101"/>
        <v>2.541357348294933E+39</v>
      </c>
      <c r="HDJ56" s="850">
        <f t="shared" si="101"/>
        <v>0</v>
      </c>
      <c r="HDK56" s="850">
        <f t="shared" si="101"/>
        <v>2.617598068743781E+39</v>
      </c>
      <c r="HDL56" s="850">
        <f t="shared" si="101"/>
        <v>0</v>
      </c>
      <c r="HDM56" s="850">
        <f t="shared" si="101"/>
        <v>2.6961260108060946E+39</v>
      </c>
      <c r="HDN56" s="850">
        <f t="shared" si="101"/>
        <v>0</v>
      </c>
      <c r="HDO56" s="850">
        <f t="shared" si="101"/>
        <v>2.7770097911302776E+39</v>
      </c>
      <c r="HDP56" s="850">
        <f t="shared" si="101"/>
        <v>0</v>
      </c>
      <c r="HDQ56" s="850">
        <f t="shared" si="101"/>
        <v>2.860320084864186E+39</v>
      </c>
      <c r="HDR56" s="850">
        <f t="shared" si="101"/>
        <v>0</v>
      </c>
      <c r="HDS56" s="850">
        <f t="shared" si="101"/>
        <v>2.9461296874101115E+39</v>
      </c>
      <c r="HDT56" s="850">
        <f t="shared" si="101"/>
        <v>0</v>
      </c>
      <c r="HDU56" s="850">
        <f t="shared" si="101"/>
        <v>3.0345135780324147E+39</v>
      </c>
      <c r="HDV56" s="850">
        <f t="shared" si="101"/>
        <v>0</v>
      </c>
      <c r="HDW56" s="850">
        <f t="shared" si="101"/>
        <v>3.1255489853733871E+39</v>
      </c>
      <c r="HDX56" s="850">
        <f t="shared" si="101"/>
        <v>0</v>
      </c>
      <c r="HDY56" s="850">
        <f t="shared" si="101"/>
        <v>3.2193154549345886E+39</v>
      </c>
      <c r="HDZ56" s="850">
        <f t="shared" si="101"/>
        <v>0</v>
      </c>
      <c r="HEA56" s="850">
        <f t="shared" si="101"/>
        <v>3.3158949185826261E+39</v>
      </c>
      <c r="HEB56" s="850">
        <f t="shared" si="101"/>
        <v>0</v>
      </c>
      <c r="HEC56" s="850">
        <f t="shared" si="101"/>
        <v>3.415371766140105E+39</v>
      </c>
      <c r="HED56" s="850">
        <f t="shared" si="101"/>
        <v>0</v>
      </c>
      <c r="HEE56" s="850">
        <f t="shared" si="101"/>
        <v>3.5178329191243079E+39</v>
      </c>
      <c r="HEF56" s="850">
        <f t="shared" si="101"/>
        <v>0</v>
      </c>
      <c r="HEG56" s="850">
        <f t="shared" si="101"/>
        <v>3.6233679066980372E+39</v>
      </c>
      <c r="HEH56" s="850">
        <f t="shared" si="101"/>
        <v>0</v>
      </c>
      <c r="HEI56" s="850">
        <f t="shared" si="101"/>
        <v>3.7320689438989784E+39</v>
      </c>
      <c r="HEJ56" s="850">
        <f t="shared" si="101"/>
        <v>0</v>
      </c>
      <c r="HEK56" s="850">
        <f t="shared" si="101"/>
        <v>3.8440310122159475E+39</v>
      </c>
      <c r="HEL56" s="850">
        <f t="shared" si="101"/>
        <v>0</v>
      </c>
      <c r="HEM56" s="850">
        <f t="shared" si="101"/>
        <v>3.9593519425824264E+39</v>
      </c>
      <c r="HEN56" s="850">
        <f t="shared" si="101"/>
        <v>0</v>
      </c>
      <c r="HEO56" s="850">
        <f t="shared" si="101"/>
        <v>4.0781325008598991E+39</v>
      </c>
      <c r="HEP56" s="850">
        <f t="shared" si="101"/>
        <v>0</v>
      </c>
      <c r="HEQ56" s="850">
        <f t="shared" si="101"/>
        <v>4.200476475885696E+39</v>
      </c>
      <c r="HER56" s="850">
        <f t="shared" si="101"/>
        <v>0</v>
      </c>
      <c r="HES56" s="850">
        <f t="shared" si="101"/>
        <v>4.326490770162267E+39</v>
      </c>
      <c r="HET56" s="850">
        <f t="shared" si="101"/>
        <v>0</v>
      </c>
      <c r="HEU56" s="850">
        <f t="shared" si="101"/>
        <v>4.4562854932671352E+39</v>
      </c>
      <c r="HEV56" s="850">
        <f t="shared" si="101"/>
        <v>0</v>
      </c>
      <c r="HEW56" s="850">
        <f t="shared" si="101"/>
        <v>4.5899740580651494E+39</v>
      </c>
      <c r="HEX56" s="850">
        <f t="shared" si="101"/>
        <v>0</v>
      </c>
      <c r="HEY56" s="850">
        <f t="shared" si="101"/>
        <v>4.7276732798071038E+39</v>
      </c>
      <c r="HEZ56" s="850">
        <f t="shared" si="101"/>
        <v>0</v>
      </c>
      <c r="HFA56" s="850">
        <f t="shared" si="101"/>
        <v>4.8695034782013167E+39</v>
      </c>
      <c r="HFB56" s="850">
        <f t="shared" si="101"/>
        <v>0</v>
      </c>
      <c r="HFC56" s="850">
        <f t="shared" si="101"/>
        <v>5.0155885825473563E+39</v>
      </c>
      <c r="HFD56" s="850">
        <f t="shared" si="101"/>
        <v>0</v>
      </c>
      <c r="HFE56" s="850">
        <f t="shared" si="101"/>
        <v>5.1660562400237772E+39</v>
      </c>
      <c r="HFF56" s="850">
        <f t="shared" si="101"/>
        <v>0</v>
      </c>
      <c r="HFG56" s="850">
        <f t="shared" si="101"/>
        <v>5.3210379272244908E+39</v>
      </c>
      <c r="HFH56" s="850">
        <f t="shared" si="101"/>
        <v>0</v>
      </c>
      <c r="HFI56" s="850">
        <f t="shared" si="101"/>
        <v>5.4806690650412262E+39</v>
      </c>
      <c r="HFJ56" s="850">
        <f t="shared" si="101"/>
        <v>0</v>
      </c>
      <c r="HFK56" s="850">
        <f t="shared" si="101"/>
        <v>5.6450891369924631E+39</v>
      </c>
      <c r="HFL56" s="850">
        <f t="shared" si="101"/>
        <v>0</v>
      </c>
      <c r="HFM56" s="850">
        <f t="shared" si="101"/>
        <v>5.814441811102237E+39</v>
      </c>
      <c r="HFN56" s="850">
        <f t="shared" ref="HFN56:HHY56" si="102">HFL56*$C$56</f>
        <v>0</v>
      </c>
      <c r="HFO56" s="850">
        <f t="shared" si="102"/>
        <v>5.9888750654353047E+39</v>
      </c>
      <c r="HFP56" s="850">
        <f t="shared" si="102"/>
        <v>0</v>
      </c>
      <c r="HFQ56" s="850">
        <f t="shared" si="102"/>
        <v>6.1685413173983639E+39</v>
      </c>
      <c r="HFR56" s="850">
        <f t="shared" si="102"/>
        <v>0</v>
      </c>
      <c r="HFS56" s="850">
        <f t="shared" si="102"/>
        <v>6.3535975569203147E+39</v>
      </c>
      <c r="HFT56" s="850">
        <f t="shared" si="102"/>
        <v>0</v>
      </c>
      <c r="HFU56" s="850">
        <f t="shared" si="102"/>
        <v>6.5442054836279241E+39</v>
      </c>
      <c r="HFV56" s="850">
        <f t="shared" si="102"/>
        <v>0</v>
      </c>
      <c r="HFW56" s="850">
        <f t="shared" si="102"/>
        <v>6.740531648136762E+39</v>
      </c>
      <c r="HFX56" s="850">
        <f t="shared" si="102"/>
        <v>0</v>
      </c>
      <c r="HFY56" s="850">
        <f t="shared" si="102"/>
        <v>6.9427475975808648E+39</v>
      </c>
      <c r="HFZ56" s="850">
        <f t="shared" si="102"/>
        <v>0</v>
      </c>
      <c r="HGA56" s="850">
        <f t="shared" si="102"/>
        <v>7.1510300255082907E+39</v>
      </c>
      <c r="HGB56" s="850">
        <f t="shared" si="102"/>
        <v>0</v>
      </c>
      <c r="HGC56" s="850">
        <f t="shared" si="102"/>
        <v>7.3655609262735391E+39</v>
      </c>
      <c r="HGD56" s="850">
        <f t="shared" si="102"/>
        <v>0</v>
      </c>
      <c r="HGE56" s="850">
        <f t="shared" si="102"/>
        <v>7.5865277540617456E+39</v>
      </c>
      <c r="HGF56" s="850">
        <f t="shared" si="102"/>
        <v>0</v>
      </c>
      <c r="HGG56" s="850">
        <f t="shared" si="102"/>
        <v>7.8141235866835977E+39</v>
      </c>
      <c r="HGH56" s="850">
        <f t="shared" si="102"/>
        <v>0</v>
      </c>
      <c r="HGI56" s="850">
        <f t="shared" si="102"/>
        <v>8.0485472942841056E+39</v>
      </c>
      <c r="HGJ56" s="850">
        <f t="shared" si="102"/>
        <v>0</v>
      </c>
      <c r="HGK56" s="850">
        <f t="shared" si="102"/>
        <v>8.2900037131126286E+39</v>
      </c>
      <c r="HGL56" s="850">
        <f t="shared" si="102"/>
        <v>0</v>
      </c>
      <c r="HGM56" s="850">
        <f t="shared" si="102"/>
        <v>8.5387038245060082E+39</v>
      </c>
      <c r="HGN56" s="850">
        <f t="shared" si="102"/>
        <v>0</v>
      </c>
      <c r="HGO56" s="850">
        <f t="shared" si="102"/>
        <v>8.7948649392411887E+39</v>
      </c>
      <c r="HGP56" s="850">
        <f t="shared" si="102"/>
        <v>0</v>
      </c>
      <c r="HGQ56" s="850">
        <f t="shared" si="102"/>
        <v>9.0587108874184241E+39</v>
      </c>
      <c r="HGR56" s="850">
        <f t="shared" si="102"/>
        <v>0</v>
      </c>
      <c r="HGS56" s="850">
        <f t="shared" si="102"/>
        <v>9.3304722140409774E+39</v>
      </c>
      <c r="HGT56" s="850">
        <f t="shared" si="102"/>
        <v>0</v>
      </c>
      <c r="HGU56" s="850">
        <f t="shared" si="102"/>
        <v>9.6103863804622072E+39</v>
      </c>
      <c r="HGV56" s="850">
        <f t="shared" si="102"/>
        <v>0</v>
      </c>
      <c r="HGW56" s="850">
        <f t="shared" si="102"/>
        <v>9.8986979718760733E+39</v>
      </c>
      <c r="HGX56" s="850">
        <f t="shared" si="102"/>
        <v>0</v>
      </c>
      <c r="HGY56" s="850">
        <f t="shared" si="102"/>
        <v>1.0195658911032356E+40</v>
      </c>
      <c r="HGZ56" s="850">
        <f t="shared" si="102"/>
        <v>0</v>
      </c>
      <c r="HHA56" s="850">
        <f t="shared" si="102"/>
        <v>1.0501528678363327E+40</v>
      </c>
      <c r="HHB56" s="850">
        <f t="shared" si="102"/>
        <v>0</v>
      </c>
      <c r="HHC56" s="850">
        <f t="shared" si="102"/>
        <v>1.0816574538714227E+40</v>
      </c>
      <c r="HHD56" s="850">
        <f t="shared" si="102"/>
        <v>0</v>
      </c>
      <c r="HHE56" s="850">
        <f t="shared" si="102"/>
        <v>1.1141071774875653E+40</v>
      </c>
      <c r="HHF56" s="850">
        <f t="shared" si="102"/>
        <v>0</v>
      </c>
      <c r="HHG56" s="850">
        <f t="shared" si="102"/>
        <v>1.1475303928121922E+40</v>
      </c>
      <c r="HHH56" s="850">
        <f t="shared" si="102"/>
        <v>0</v>
      </c>
      <c r="HHI56" s="850">
        <f t="shared" si="102"/>
        <v>1.181956304596558E+40</v>
      </c>
      <c r="HHJ56" s="850">
        <f t="shared" si="102"/>
        <v>0</v>
      </c>
      <c r="HHK56" s="850">
        <f t="shared" si="102"/>
        <v>1.2174149937344547E+40</v>
      </c>
      <c r="HHL56" s="850">
        <f t="shared" si="102"/>
        <v>0</v>
      </c>
      <c r="HHM56" s="850">
        <f t="shared" si="102"/>
        <v>1.2539374435464884E+40</v>
      </c>
      <c r="HHN56" s="850">
        <f t="shared" si="102"/>
        <v>0</v>
      </c>
      <c r="HHO56" s="850">
        <f t="shared" si="102"/>
        <v>1.2915555668528829E+40</v>
      </c>
      <c r="HHP56" s="850">
        <f t="shared" si="102"/>
        <v>0</v>
      </c>
      <c r="HHQ56" s="850">
        <f t="shared" si="102"/>
        <v>1.3303022338584694E+40</v>
      </c>
      <c r="HHR56" s="850">
        <f t="shared" si="102"/>
        <v>0</v>
      </c>
      <c r="HHS56" s="850">
        <f t="shared" si="102"/>
        <v>1.3702113008742236E+40</v>
      </c>
      <c r="HHT56" s="850">
        <f t="shared" si="102"/>
        <v>0</v>
      </c>
      <c r="HHU56" s="850">
        <f t="shared" si="102"/>
        <v>1.4113176399004503E+40</v>
      </c>
      <c r="HHV56" s="850">
        <f t="shared" si="102"/>
        <v>0</v>
      </c>
      <c r="HHW56" s="850">
        <f t="shared" si="102"/>
        <v>1.4536571690974638E+40</v>
      </c>
      <c r="HHX56" s="850">
        <f t="shared" si="102"/>
        <v>0</v>
      </c>
      <c r="HHY56" s="850">
        <f t="shared" si="102"/>
        <v>1.4972668841703877E+40</v>
      </c>
      <c r="HHZ56" s="850">
        <f t="shared" ref="HHZ56:HKK56" si="103">HHX56*$C$56</f>
        <v>0</v>
      </c>
      <c r="HIA56" s="850">
        <f t="shared" si="103"/>
        <v>1.5421848906954994E+40</v>
      </c>
      <c r="HIB56" s="850">
        <f t="shared" si="103"/>
        <v>0</v>
      </c>
      <c r="HIC56" s="850">
        <f t="shared" si="103"/>
        <v>1.5884504374163643E+40</v>
      </c>
      <c r="HID56" s="850">
        <f t="shared" si="103"/>
        <v>0</v>
      </c>
      <c r="HIE56" s="850">
        <f t="shared" si="103"/>
        <v>1.6361039505388553E+40</v>
      </c>
      <c r="HIF56" s="850">
        <f t="shared" si="103"/>
        <v>0</v>
      </c>
      <c r="HIG56" s="850">
        <f t="shared" si="103"/>
        <v>1.685187069055021E+40</v>
      </c>
      <c r="HIH56" s="850">
        <f t="shared" si="103"/>
        <v>0</v>
      </c>
      <c r="HII56" s="850">
        <f t="shared" si="103"/>
        <v>1.7357426811266716E+40</v>
      </c>
      <c r="HIJ56" s="850">
        <f t="shared" si="103"/>
        <v>0</v>
      </c>
      <c r="HIK56" s="850">
        <f t="shared" si="103"/>
        <v>1.7878149615604717E+40</v>
      </c>
      <c r="HIL56" s="850">
        <f t="shared" si="103"/>
        <v>0</v>
      </c>
      <c r="HIM56" s="850">
        <f t="shared" si="103"/>
        <v>1.8414494104072859E+40</v>
      </c>
      <c r="HIN56" s="850">
        <f t="shared" si="103"/>
        <v>0</v>
      </c>
      <c r="HIO56" s="850">
        <f t="shared" si="103"/>
        <v>1.8966928927195046E+40</v>
      </c>
      <c r="HIP56" s="850">
        <f t="shared" si="103"/>
        <v>0</v>
      </c>
      <c r="HIQ56" s="850">
        <f t="shared" si="103"/>
        <v>1.9535936795010897E+40</v>
      </c>
      <c r="HIR56" s="850">
        <f t="shared" si="103"/>
        <v>0</v>
      </c>
      <c r="HIS56" s="850">
        <f t="shared" si="103"/>
        <v>2.0122014898861223E+40</v>
      </c>
      <c r="HIT56" s="850">
        <f t="shared" si="103"/>
        <v>0</v>
      </c>
      <c r="HIU56" s="850">
        <f t="shared" si="103"/>
        <v>2.0725675345827061E+40</v>
      </c>
      <c r="HIV56" s="850">
        <f t="shared" si="103"/>
        <v>0</v>
      </c>
      <c r="HIW56" s="850">
        <f t="shared" si="103"/>
        <v>2.1347445606201872E+40</v>
      </c>
      <c r="HIX56" s="850">
        <f t="shared" si="103"/>
        <v>0</v>
      </c>
      <c r="HIY56" s="850">
        <f t="shared" si="103"/>
        <v>2.198786897438793E+40</v>
      </c>
      <c r="HIZ56" s="850">
        <f t="shared" si="103"/>
        <v>0</v>
      </c>
      <c r="HJA56" s="850">
        <f t="shared" si="103"/>
        <v>2.264750504361957E+40</v>
      </c>
      <c r="HJB56" s="850">
        <f t="shared" si="103"/>
        <v>0</v>
      </c>
      <c r="HJC56" s="850">
        <f t="shared" si="103"/>
        <v>2.3326930194928159E+40</v>
      </c>
      <c r="HJD56" s="850">
        <f t="shared" si="103"/>
        <v>0</v>
      </c>
      <c r="HJE56" s="850">
        <f t="shared" si="103"/>
        <v>2.4026738100776004E+40</v>
      </c>
      <c r="HJF56" s="850">
        <f t="shared" si="103"/>
        <v>0</v>
      </c>
      <c r="HJG56" s="850">
        <f t="shared" si="103"/>
        <v>2.4747540243799285E+40</v>
      </c>
      <c r="HJH56" s="850">
        <f t="shared" si="103"/>
        <v>0</v>
      </c>
      <c r="HJI56" s="850">
        <f t="shared" si="103"/>
        <v>2.5489966451113266E+40</v>
      </c>
      <c r="HJJ56" s="850">
        <f t="shared" si="103"/>
        <v>0</v>
      </c>
      <c r="HJK56" s="850">
        <f t="shared" si="103"/>
        <v>2.6254665444646664E+40</v>
      </c>
      <c r="HJL56" s="850">
        <f t="shared" si="103"/>
        <v>0</v>
      </c>
      <c r="HJM56" s="850">
        <f t="shared" si="103"/>
        <v>2.7042305407986062E+40</v>
      </c>
      <c r="HJN56" s="850">
        <f t="shared" si="103"/>
        <v>0</v>
      </c>
      <c r="HJO56" s="850">
        <f t="shared" si="103"/>
        <v>2.7853574570225645E+40</v>
      </c>
      <c r="HJP56" s="850">
        <f t="shared" si="103"/>
        <v>0</v>
      </c>
      <c r="HJQ56" s="850">
        <f t="shared" si="103"/>
        <v>2.8689181807332414E+40</v>
      </c>
      <c r="HJR56" s="850">
        <f t="shared" si="103"/>
        <v>0</v>
      </c>
      <c r="HJS56" s="850">
        <f t="shared" si="103"/>
        <v>2.9549857261552387E+40</v>
      </c>
      <c r="HJT56" s="850">
        <f t="shared" si="103"/>
        <v>0</v>
      </c>
      <c r="HJU56" s="850">
        <f t="shared" si="103"/>
        <v>3.0436352979398959E+40</v>
      </c>
      <c r="HJV56" s="850">
        <f t="shared" si="103"/>
        <v>0</v>
      </c>
      <c r="HJW56" s="850">
        <f t="shared" si="103"/>
        <v>3.134944356878093E+40</v>
      </c>
      <c r="HJX56" s="850">
        <f t="shared" si="103"/>
        <v>0</v>
      </c>
      <c r="HJY56" s="850">
        <f t="shared" si="103"/>
        <v>3.2289926875844359E+40</v>
      </c>
      <c r="HJZ56" s="850">
        <f t="shared" si="103"/>
        <v>0</v>
      </c>
      <c r="HKA56" s="850">
        <f t="shared" si="103"/>
        <v>3.3258624682119692E+40</v>
      </c>
      <c r="HKB56" s="850">
        <f t="shared" si="103"/>
        <v>0</v>
      </c>
      <c r="HKC56" s="850">
        <f t="shared" si="103"/>
        <v>3.4256383422583285E+40</v>
      </c>
      <c r="HKD56" s="850">
        <f t="shared" si="103"/>
        <v>0</v>
      </c>
      <c r="HKE56" s="850">
        <f t="shared" si="103"/>
        <v>3.5284074925260785E+40</v>
      </c>
      <c r="HKF56" s="850">
        <f t="shared" si="103"/>
        <v>0</v>
      </c>
      <c r="HKG56" s="850">
        <f t="shared" si="103"/>
        <v>3.6342597173018608E+40</v>
      </c>
      <c r="HKH56" s="850">
        <f t="shared" si="103"/>
        <v>0</v>
      </c>
      <c r="HKI56" s="850">
        <f t="shared" si="103"/>
        <v>3.7432875088209166E+40</v>
      </c>
      <c r="HKJ56" s="850">
        <f t="shared" si="103"/>
        <v>0</v>
      </c>
      <c r="HKK56" s="850">
        <f t="shared" si="103"/>
        <v>3.8555861340855443E+40</v>
      </c>
      <c r="HKL56" s="850">
        <f t="shared" ref="HKL56:HMW56" si="104">HKJ56*$C$56</f>
        <v>0</v>
      </c>
      <c r="HKM56" s="850">
        <f t="shared" si="104"/>
        <v>3.9712537181081106E+40</v>
      </c>
      <c r="HKN56" s="850">
        <f t="shared" si="104"/>
        <v>0</v>
      </c>
      <c r="HKO56" s="850">
        <f t="shared" si="104"/>
        <v>4.0903913296513541E+40</v>
      </c>
      <c r="HKP56" s="850">
        <f t="shared" si="104"/>
        <v>0</v>
      </c>
      <c r="HKQ56" s="850">
        <f t="shared" si="104"/>
        <v>4.2131030695408947E+40</v>
      </c>
      <c r="HKR56" s="850">
        <f t="shared" si="104"/>
        <v>0</v>
      </c>
      <c r="HKS56" s="850">
        <f t="shared" si="104"/>
        <v>4.3394961616271216E+40</v>
      </c>
      <c r="HKT56" s="850">
        <f t="shared" si="104"/>
        <v>0</v>
      </c>
      <c r="HKU56" s="850">
        <f t="shared" si="104"/>
        <v>4.4696810464759349E+40</v>
      </c>
      <c r="HKV56" s="850">
        <f t="shared" si="104"/>
        <v>0</v>
      </c>
      <c r="HKW56" s="850">
        <f t="shared" si="104"/>
        <v>4.6037714778702127E+40</v>
      </c>
      <c r="HKX56" s="850">
        <f t="shared" si="104"/>
        <v>0</v>
      </c>
      <c r="HKY56" s="850">
        <f t="shared" si="104"/>
        <v>4.7418846222063195E+40</v>
      </c>
      <c r="HKZ56" s="850">
        <f t="shared" si="104"/>
        <v>0</v>
      </c>
      <c r="HLA56" s="850">
        <f t="shared" si="104"/>
        <v>4.8841411608725089E+40</v>
      </c>
      <c r="HLB56" s="850">
        <f t="shared" si="104"/>
        <v>0</v>
      </c>
      <c r="HLC56" s="850">
        <f t="shared" si="104"/>
        <v>5.030665395698684E+40</v>
      </c>
      <c r="HLD56" s="850">
        <f t="shared" si="104"/>
        <v>0</v>
      </c>
      <c r="HLE56" s="850">
        <f t="shared" si="104"/>
        <v>5.1815853575696447E+40</v>
      </c>
      <c r="HLF56" s="850">
        <f t="shared" si="104"/>
        <v>0</v>
      </c>
      <c r="HLG56" s="850">
        <f t="shared" si="104"/>
        <v>5.3370329182967343E+40</v>
      </c>
      <c r="HLH56" s="850">
        <f t="shared" si="104"/>
        <v>0</v>
      </c>
      <c r="HLI56" s="850">
        <f t="shared" si="104"/>
        <v>5.4971439058456366E+40</v>
      </c>
      <c r="HLJ56" s="850">
        <f t="shared" si="104"/>
        <v>0</v>
      </c>
      <c r="HLK56" s="850">
        <f t="shared" si="104"/>
        <v>5.6620582230210061E+40</v>
      </c>
      <c r="HLL56" s="850">
        <f t="shared" si="104"/>
        <v>0</v>
      </c>
      <c r="HLM56" s="850">
        <f t="shared" si="104"/>
        <v>5.8319199697116369E+40</v>
      </c>
      <c r="HLN56" s="850">
        <f t="shared" si="104"/>
        <v>0</v>
      </c>
      <c r="HLO56" s="850">
        <f t="shared" si="104"/>
        <v>6.0068775688029865E+40</v>
      </c>
      <c r="HLP56" s="850">
        <f t="shared" si="104"/>
        <v>0</v>
      </c>
      <c r="HLQ56" s="850">
        <f t="shared" si="104"/>
        <v>6.187083895867076E+40</v>
      </c>
      <c r="HLR56" s="850">
        <f t="shared" si="104"/>
        <v>0</v>
      </c>
      <c r="HLS56" s="850">
        <f t="shared" si="104"/>
        <v>6.372696412743088E+40</v>
      </c>
      <c r="HLT56" s="850">
        <f t="shared" si="104"/>
        <v>0</v>
      </c>
      <c r="HLU56" s="850">
        <f t="shared" si="104"/>
        <v>6.5638773051253805E+40</v>
      </c>
      <c r="HLV56" s="850">
        <f t="shared" si="104"/>
        <v>0</v>
      </c>
      <c r="HLW56" s="850">
        <f t="shared" si="104"/>
        <v>6.7607936242791421E+40</v>
      </c>
      <c r="HLX56" s="850">
        <f t="shared" si="104"/>
        <v>0</v>
      </c>
      <c r="HLY56" s="850">
        <f t="shared" si="104"/>
        <v>6.9636174330075169E+40</v>
      </c>
      <c r="HLZ56" s="850">
        <f t="shared" si="104"/>
        <v>0</v>
      </c>
      <c r="HMA56" s="850">
        <f t="shared" si="104"/>
        <v>7.1725259559977427E+40</v>
      </c>
      <c r="HMB56" s="850">
        <f t="shared" si="104"/>
        <v>0</v>
      </c>
      <c r="HMC56" s="850">
        <f t="shared" si="104"/>
        <v>7.3877017346776756E+40</v>
      </c>
      <c r="HMD56" s="850">
        <f t="shared" si="104"/>
        <v>0</v>
      </c>
      <c r="HME56" s="850">
        <f t="shared" si="104"/>
        <v>7.6093327867180064E+40</v>
      </c>
      <c r="HMF56" s="850">
        <f t="shared" si="104"/>
        <v>0</v>
      </c>
      <c r="HMG56" s="850">
        <f t="shared" si="104"/>
        <v>7.8376127703195471E+40</v>
      </c>
      <c r="HMH56" s="850">
        <f t="shared" si="104"/>
        <v>0</v>
      </c>
      <c r="HMI56" s="850">
        <f t="shared" si="104"/>
        <v>8.0727411534291342E+40</v>
      </c>
      <c r="HMJ56" s="850">
        <f t="shared" si="104"/>
        <v>0</v>
      </c>
      <c r="HMK56" s="850">
        <f t="shared" si="104"/>
        <v>8.3149233880320082E+40</v>
      </c>
      <c r="HML56" s="850">
        <f t="shared" si="104"/>
        <v>0</v>
      </c>
      <c r="HMM56" s="850">
        <f t="shared" si="104"/>
        <v>8.5643710896729685E+40</v>
      </c>
      <c r="HMN56" s="850">
        <f t="shared" si="104"/>
        <v>0</v>
      </c>
      <c r="HMO56" s="850">
        <f t="shared" si="104"/>
        <v>8.8213022223631573E+40</v>
      </c>
      <c r="HMP56" s="850">
        <f t="shared" si="104"/>
        <v>0</v>
      </c>
      <c r="HMQ56" s="850">
        <f t="shared" si="104"/>
        <v>9.0859412890340527E+40</v>
      </c>
      <c r="HMR56" s="850">
        <f t="shared" si="104"/>
        <v>0</v>
      </c>
      <c r="HMS56" s="850">
        <f t="shared" si="104"/>
        <v>9.358519527705075E+40</v>
      </c>
      <c r="HMT56" s="850">
        <f t="shared" si="104"/>
        <v>0</v>
      </c>
      <c r="HMU56" s="850">
        <f t="shared" si="104"/>
        <v>9.6392751135362284E+40</v>
      </c>
      <c r="HMV56" s="850">
        <f t="shared" si="104"/>
        <v>0</v>
      </c>
      <c r="HMW56" s="850">
        <f t="shared" si="104"/>
        <v>9.9284533669423162E+40</v>
      </c>
      <c r="HMX56" s="850">
        <f t="shared" ref="HMX56:HPI56" si="105">HMV56*$C$56</f>
        <v>0</v>
      </c>
      <c r="HMY56" s="850">
        <f t="shared" si="105"/>
        <v>1.0226306967950586E+41</v>
      </c>
      <c r="HMZ56" s="850">
        <f t="shared" si="105"/>
        <v>0</v>
      </c>
      <c r="HNA56" s="850">
        <f t="shared" si="105"/>
        <v>1.0533096176989105E+41</v>
      </c>
      <c r="HNB56" s="850">
        <f t="shared" si="105"/>
        <v>0</v>
      </c>
      <c r="HNC56" s="850">
        <f t="shared" si="105"/>
        <v>1.0849089062298778E+41</v>
      </c>
      <c r="HND56" s="850">
        <f t="shared" si="105"/>
        <v>0</v>
      </c>
      <c r="HNE56" s="850">
        <f t="shared" si="105"/>
        <v>1.1174561734167742E+41</v>
      </c>
      <c r="HNF56" s="850">
        <f t="shared" si="105"/>
        <v>0</v>
      </c>
      <c r="HNG56" s="850">
        <f t="shared" si="105"/>
        <v>1.1509798586192774E+41</v>
      </c>
      <c r="HNH56" s="850">
        <f t="shared" si="105"/>
        <v>0</v>
      </c>
      <c r="HNI56" s="850">
        <f t="shared" si="105"/>
        <v>1.1855092543778557E+41</v>
      </c>
      <c r="HNJ56" s="850">
        <f t="shared" si="105"/>
        <v>0</v>
      </c>
      <c r="HNK56" s="850">
        <f t="shared" si="105"/>
        <v>1.2210745320091913E+41</v>
      </c>
      <c r="HNL56" s="850">
        <f t="shared" si="105"/>
        <v>0</v>
      </c>
      <c r="HNM56" s="850">
        <f t="shared" si="105"/>
        <v>1.2577067679694671E+41</v>
      </c>
      <c r="HNN56" s="850">
        <f t="shared" si="105"/>
        <v>0</v>
      </c>
      <c r="HNO56" s="850">
        <f t="shared" si="105"/>
        <v>1.2954379710085511E+41</v>
      </c>
      <c r="HNP56" s="850">
        <f t="shared" si="105"/>
        <v>0</v>
      </c>
      <c r="HNQ56" s="850">
        <f t="shared" si="105"/>
        <v>1.3343011101388077E+41</v>
      </c>
      <c r="HNR56" s="850">
        <f t="shared" si="105"/>
        <v>0</v>
      </c>
      <c r="HNS56" s="850">
        <f t="shared" si="105"/>
        <v>1.374330143442972E+41</v>
      </c>
      <c r="HNT56" s="850">
        <f t="shared" si="105"/>
        <v>0</v>
      </c>
      <c r="HNU56" s="850">
        <f t="shared" si="105"/>
        <v>1.4155600477462612E+41</v>
      </c>
      <c r="HNV56" s="850">
        <f t="shared" si="105"/>
        <v>0</v>
      </c>
      <c r="HNW56" s="850">
        <f t="shared" si="105"/>
        <v>1.4580268491786491E+41</v>
      </c>
      <c r="HNX56" s="850">
        <f t="shared" si="105"/>
        <v>0</v>
      </c>
      <c r="HNY56" s="850">
        <f t="shared" si="105"/>
        <v>1.5017676546540086E+41</v>
      </c>
      <c r="HNZ56" s="850">
        <f t="shared" si="105"/>
        <v>0</v>
      </c>
      <c r="HOA56" s="850">
        <f t="shared" si="105"/>
        <v>1.546820684293629E+41</v>
      </c>
      <c r="HOB56" s="850">
        <f t="shared" si="105"/>
        <v>0</v>
      </c>
      <c r="HOC56" s="850">
        <f t="shared" si="105"/>
        <v>1.5932253048224378E+41</v>
      </c>
      <c r="HOD56" s="850">
        <f t="shared" si="105"/>
        <v>0</v>
      </c>
      <c r="HOE56" s="850">
        <f t="shared" si="105"/>
        <v>1.641022063967111E+41</v>
      </c>
      <c r="HOF56" s="850">
        <f t="shared" si="105"/>
        <v>0</v>
      </c>
      <c r="HOG56" s="850">
        <f t="shared" si="105"/>
        <v>1.6902527258861244E+41</v>
      </c>
      <c r="HOH56" s="850">
        <f t="shared" si="105"/>
        <v>0</v>
      </c>
      <c r="HOI56" s="850">
        <f t="shared" si="105"/>
        <v>1.7409603076627081E+41</v>
      </c>
      <c r="HOJ56" s="850">
        <f t="shared" si="105"/>
        <v>0</v>
      </c>
      <c r="HOK56" s="850">
        <f t="shared" si="105"/>
        <v>1.7931891168925894E+41</v>
      </c>
      <c r="HOL56" s="850">
        <f t="shared" si="105"/>
        <v>0</v>
      </c>
      <c r="HOM56" s="850">
        <f t="shared" si="105"/>
        <v>1.8469847903993671E+41</v>
      </c>
      <c r="HON56" s="850">
        <f t="shared" si="105"/>
        <v>0</v>
      </c>
      <c r="HOO56" s="850">
        <f t="shared" si="105"/>
        <v>1.9023943341113483E+41</v>
      </c>
      <c r="HOP56" s="850">
        <f t="shared" si="105"/>
        <v>0</v>
      </c>
      <c r="HOQ56" s="850">
        <f t="shared" si="105"/>
        <v>1.9594661641346888E+41</v>
      </c>
      <c r="HOR56" s="850">
        <f t="shared" si="105"/>
        <v>0</v>
      </c>
      <c r="HOS56" s="850">
        <f t="shared" si="105"/>
        <v>2.0182501490587296E+41</v>
      </c>
      <c r="HOT56" s="850">
        <f t="shared" si="105"/>
        <v>0</v>
      </c>
      <c r="HOU56" s="850">
        <f t="shared" si="105"/>
        <v>2.0787976535304914E+41</v>
      </c>
      <c r="HOV56" s="850">
        <f t="shared" si="105"/>
        <v>0</v>
      </c>
      <c r="HOW56" s="850">
        <f t="shared" si="105"/>
        <v>2.1411615831364063E+41</v>
      </c>
      <c r="HOX56" s="850">
        <f t="shared" si="105"/>
        <v>0</v>
      </c>
      <c r="HOY56" s="850">
        <f t="shared" si="105"/>
        <v>2.2053964306304984E+41</v>
      </c>
      <c r="HOZ56" s="850">
        <f t="shared" si="105"/>
        <v>0</v>
      </c>
      <c r="HPA56" s="850">
        <f t="shared" si="105"/>
        <v>2.2715583235494135E+41</v>
      </c>
      <c r="HPB56" s="850">
        <f t="shared" si="105"/>
        <v>0</v>
      </c>
      <c r="HPC56" s="850">
        <f t="shared" si="105"/>
        <v>2.3397050732558958E+41</v>
      </c>
      <c r="HPD56" s="850">
        <f t="shared" si="105"/>
        <v>0</v>
      </c>
      <c r="HPE56" s="850">
        <f t="shared" si="105"/>
        <v>2.4098962254535727E+41</v>
      </c>
      <c r="HPF56" s="850">
        <f t="shared" si="105"/>
        <v>0</v>
      </c>
      <c r="HPG56" s="850">
        <f t="shared" si="105"/>
        <v>2.4821931122171798E+41</v>
      </c>
      <c r="HPH56" s="850">
        <f t="shared" si="105"/>
        <v>0</v>
      </c>
      <c r="HPI56" s="850">
        <f t="shared" si="105"/>
        <v>2.5566589055836955E+41</v>
      </c>
      <c r="HPJ56" s="850">
        <f t="shared" ref="HPJ56:HRU56" si="106">HPH56*$C$56</f>
        <v>0</v>
      </c>
      <c r="HPK56" s="850">
        <f t="shared" si="106"/>
        <v>2.6333586727512064E+41</v>
      </c>
      <c r="HPL56" s="850">
        <f t="shared" si="106"/>
        <v>0</v>
      </c>
      <c r="HPM56" s="850">
        <f t="shared" si="106"/>
        <v>2.7123594329337428E+41</v>
      </c>
      <c r="HPN56" s="850">
        <f t="shared" si="106"/>
        <v>0</v>
      </c>
      <c r="HPO56" s="850">
        <f t="shared" si="106"/>
        <v>2.7937302159217553E+41</v>
      </c>
      <c r="HPP56" s="850">
        <f t="shared" si="106"/>
        <v>0</v>
      </c>
      <c r="HPQ56" s="850">
        <f t="shared" si="106"/>
        <v>2.8775421223994079E+41</v>
      </c>
      <c r="HPR56" s="850">
        <f t="shared" si="106"/>
        <v>0</v>
      </c>
      <c r="HPS56" s="850">
        <f t="shared" si="106"/>
        <v>2.9638683860713902E+41</v>
      </c>
      <c r="HPT56" s="850">
        <f t="shared" si="106"/>
        <v>0</v>
      </c>
      <c r="HPU56" s="850">
        <f t="shared" si="106"/>
        <v>3.052784437653532E+41</v>
      </c>
      <c r="HPV56" s="850">
        <f t="shared" si="106"/>
        <v>0</v>
      </c>
      <c r="HPW56" s="850">
        <f t="shared" si="106"/>
        <v>3.1443679707831381E+41</v>
      </c>
      <c r="HPX56" s="850">
        <f t="shared" si="106"/>
        <v>0</v>
      </c>
      <c r="HPY56" s="850">
        <f t="shared" si="106"/>
        <v>3.2386990099066325E+41</v>
      </c>
      <c r="HPZ56" s="850">
        <f t="shared" si="106"/>
        <v>0</v>
      </c>
      <c r="HQA56" s="850">
        <f t="shared" si="106"/>
        <v>3.3358599802038314E+41</v>
      </c>
      <c r="HQB56" s="850">
        <f t="shared" si="106"/>
        <v>0</v>
      </c>
      <c r="HQC56" s="850">
        <f t="shared" si="106"/>
        <v>3.4359357796099464E+41</v>
      </c>
      <c r="HQD56" s="850">
        <f t="shared" si="106"/>
        <v>0</v>
      </c>
      <c r="HQE56" s="850">
        <f t="shared" si="106"/>
        <v>3.5390138529982445E+41</v>
      </c>
      <c r="HQF56" s="850">
        <f t="shared" si="106"/>
        <v>0</v>
      </c>
      <c r="HQG56" s="850">
        <f t="shared" si="106"/>
        <v>3.6451842685881918E+41</v>
      </c>
      <c r="HQH56" s="850">
        <f t="shared" si="106"/>
        <v>0</v>
      </c>
      <c r="HQI56" s="850">
        <f t="shared" si="106"/>
        <v>3.7545397966458377E+41</v>
      </c>
      <c r="HQJ56" s="850">
        <f t="shared" si="106"/>
        <v>0</v>
      </c>
      <c r="HQK56" s="850">
        <f t="shared" si="106"/>
        <v>3.8671759905452128E+41</v>
      </c>
      <c r="HQL56" s="850">
        <f t="shared" si="106"/>
        <v>0</v>
      </c>
      <c r="HQM56" s="850">
        <f t="shared" si="106"/>
        <v>3.9831912702615691E+41</v>
      </c>
      <c r="HQN56" s="850">
        <f t="shared" si="106"/>
        <v>0</v>
      </c>
      <c r="HQO56" s="850">
        <f t="shared" si="106"/>
        <v>4.1026870083694162E+41</v>
      </c>
      <c r="HQP56" s="850">
        <f t="shared" si="106"/>
        <v>0</v>
      </c>
      <c r="HQQ56" s="850">
        <f t="shared" si="106"/>
        <v>4.2257676186204987E+41</v>
      </c>
      <c r="HQR56" s="850">
        <f t="shared" si="106"/>
        <v>0</v>
      </c>
      <c r="HQS56" s="850">
        <f t="shared" si="106"/>
        <v>4.3525406471791134E+41</v>
      </c>
      <c r="HQT56" s="850">
        <f t="shared" si="106"/>
        <v>0</v>
      </c>
      <c r="HQU56" s="850">
        <f t="shared" si="106"/>
        <v>4.4831168665944869E+41</v>
      </c>
      <c r="HQV56" s="850">
        <f t="shared" si="106"/>
        <v>0</v>
      </c>
      <c r="HQW56" s="850">
        <f t="shared" si="106"/>
        <v>4.6176103725923219E+41</v>
      </c>
      <c r="HQX56" s="850">
        <f t="shared" si="106"/>
        <v>0</v>
      </c>
      <c r="HQY56" s="850">
        <f t="shared" si="106"/>
        <v>4.7561386837700918E+41</v>
      </c>
      <c r="HQZ56" s="850">
        <f t="shared" si="106"/>
        <v>0</v>
      </c>
      <c r="HRA56" s="850">
        <f t="shared" si="106"/>
        <v>4.8988228442831946E+41</v>
      </c>
      <c r="HRB56" s="850">
        <f t="shared" si="106"/>
        <v>0</v>
      </c>
      <c r="HRC56" s="850">
        <f t="shared" si="106"/>
        <v>5.0457875296116907E+41</v>
      </c>
      <c r="HRD56" s="850">
        <f t="shared" si="106"/>
        <v>0</v>
      </c>
      <c r="HRE56" s="850">
        <f t="shared" si="106"/>
        <v>5.1971611555000415E+41</v>
      </c>
      <c r="HRF56" s="850">
        <f t="shared" si="106"/>
        <v>0</v>
      </c>
      <c r="HRG56" s="850">
        <f t="shared" si="106"/>
        <v>5.3530759901650432E+41</v>
      </c>
      <c r="HRH56" s="850">
        <f t="shared" si="106"/>
        <v>0</v>
      </c>
      <c r="HRI56" s="850">
        <f t="shared" si="106"/>
        <v>5.5136682698699946E+41</v>
      </c>
      <c r="HRJ56" s="850">
        <f t="shared" si="106"/>
        <v>0</v>
      </c>
      <c r="HRK56" s="850">
        <f t="shared" si="106"/>
        <v>5.6790783179660942E+41</v>
      </c>
      <c r="HRL56" s="850">
        <f t="shared" si="106"/>
        <v>0</v>
      </c>
      <c r="HRM56" s="850">
        <f t="shared" si="106"/>
        <v>5.8494506675050768E+41</v>
      </c>
      <c r="HRN56" s="850">
        <f t="shared" si="106"/>
        <v>0</v>
      </c>
      <c r="HRO56" s="850">
        <f t="shared" si="106"/>
        <v>6.0249341875302292E+41</v>
      </c>
      <c r="HRP56" s="850">
        <f t="shared" si="106"/>
        <v>0</v>
      </c>
      <c r="HRQ56" s="850">
        <f t="shared" si="106"/>
        <v>6.2056822131561363E+41</v>
      </c>
      <c r="HRR56" s="850">
        <f t="shared" si="106"/>
        <v>0</v>
      </c>
      <c r="HRS56" s="850">
        <f t="shared" si="106"/>
        <v>6.3918526795508205E+41</v>
      </c>
      <c r="HRT56" s="850">
        <f t="shared" si="106"/>
        <v>0</v>
      </c>
      <c r="HRU56" s="850">
        <f t="shared" si="106"/>
        <v>6.5836082599373453E+41</v>
      </c>
      <c r="HRV56" s="850">
        <f t="shared" ref="HRV56:HUG56" si="107">HRT56*$C$56</f>
        <v>0</v>
      </c>
      <c r="HRW56" s="850">
        <f t="shared" si="107"/>
        <v>6.7811165077354658E+41</v>
      </c>
      <c r="HRX56" s="850">
        <f t="shared" si="107"/>
        <v>0</v>
      </c>
      <c r="HRY56" s="850">
        <f t="shared" si="107"/>
        <v>6.9845500029675301E+41</v>
      </c>
      <c r="HRZ56" s="850">
        <f t="shared" si="107"/>
        <v>0</v>
      </c>
      <c r="HSA56" s="850">
        <f t="shared" si="107"/>
        <v>7.1940865030565559E+41</v>
      </c>
      <c r="HSB56" s="850">
        <f t="shared" si="107"/>
        <v>0</v>
      </c>
      <c r="HSC56" s="850">
        <f t="shared" si="107"/>
        <v>7.409909098148253E+41</v>
      </c>
      <c r="HSD56" s="850">
        <f t="shared" si="107"/>
        <v>0</v>
      </c>
      <c r="HSE56" s="850">
        <f t="shared" si="107"/>
        <v>7.6322063710927001E+41</v>
      </c>
      <c r="HSF56" s="850">
        <f t="shared" si="107"/>
        <v>0</v>
      </c>
      <c r="HSG56" s="850">
        <f t="shared" si="107"/>
        <v>7.8611725622254813E+41</v>
      </c>
      <c r="HSH56" s="850">
        <f t="shared" si="107"/>
        <v>0</v>
      </c>
      <c r="HSI56" s="850">
        <f t="shared" si="107"/>
        <v>8.0970077390922455E+41</v>
      </c>
      <c r="HSJ56" s="850">
        <f t="shared" si="107"/>
        <v>0</v>
      </c>
      <c r="HSK56" s="850">
        <f t="shared" si="107"/>
        <v>8.3399179712650128E+41</v>
      </c>
      <c r="HSL56" s="850">
        <f t="shared" si="107"/>
        <v>0</v>
      </c>
      <c r="HSM56" s="850">
        <f t="shared" si="107"/>
        <v>8.5901155104029641E+41</v>
      </c>
      <c r="HSN56" s="850">
        <f t="shared" si="107"/>
        <v>0</v>
      </c>
      <c r="HSO56" s="850">
        <f t="shared" si="107"/>
        <v>8.8478189757150533E+41</v>
      </c>
      <c r="HSP56" s="850">
        <f t="shared" si="107"/>
        <v>0</v>
      </c>
      <c r="HSQ56" s="850">
        <f t="shared" si="107"/>
        <v>9.113253544986505E+41</v>
      </c>
      <c r="HSR56" s="850">
        <f t="shared" si="107"/>
        <v>0</v>
      </c>
      <c r="HSS56" s="850">
        <f t="shared" si="107"/>
        <v>9.3866511513361011E+41</v>
      </c>
      <c r="HST56" s="850">
        <f t="shared" si="107"/>
        <v>0</v>
      </c>
      <c r="HSU56" s="850">
        <f t="shared" si="107"/>
        <v>9.6682506858761844E+41</v>
      </c>
      <c r="HSV56" s="850">
        <f t="shared" si="107"/>
        <v>0</v>
      </c>
      <c r="HSW56" s="850">
        <f t="shared" si="107"/>
        <v>9.9582982064524697E+41</v>
      </c>
      <c r="HSX56" s="850">
        <f t="shared" si="107"/>
        <v>0</v>
      </c>
      <c r="HSY56" s="850">
        <f t="shared" si="107"/>
        <v>1.0257047152646043E+42</v>
      </c>
      <c r="HSZ56" s="850">
        <f t="shared" si="107"/>
        <v>0</v>
      </c>
      <c r="HTA56" s="850">
        <f t="shared" si="107"/>
        <v>1.0564758567225425E+42</v>
      </c>
      <c r="HTB56" s="850">
        <f t="shared" si="107"/>
        <v>0</v>
      </c>
      <c r="HTC56" s="850">
        <f t="shared" si="107"/>
        <v>1.0881701324242187E+42</v>
      </c>
      <c r="HTD56" s="850">
        <f t="shared" si="107"/>
        <v>0</v>
      </c>
      <c r="HTE56" s="850">
        <f t="shared" si="107"/>
        <v>1.1208152363969452E+42</v>
      </c>
      <c r="HTF56" s="850">
        <f t="shared" si="107"/>
        <v>0</v>
      </c>
      <c r="HTG56" s="850">
        <f t="shared" si="107"/>
        <v>1.1544396934888536E+42</v>
      </c>
      <c r="HTH56" s="850">
        <f t="shared" si="107"/>
        <v>0</v>
      </c>
      <c r="HTI56" s="850">
        <f t="shared" si="107"/>
        <v>1.1890728842935193E+42</v>
      </c>
      <c r="HTJ56" s="850">
        <f t="shared" si="107"/>
        <v>0</v>
      </c>
      <c r="HTK56" s="850">
        <f t="shared" si="107"/>
        <v>1.2247450708223249E+42</v>
      </c>
      <c r="HTL56" s="850">
        <f t="shared" si="107"/>
        <v>0</v>
      </c>
      <c r="HTM56" s="850">
        <f t="shared" si="107"/>
        <v>1.2614874229469946E+42</v>
      </c>
      <c r="HTN56" s="850">
        <f t="shared" si="107"/>
        <v>0</v>
      </c>
      <c r="HTO56" s="850">
        <f t="shared" si="107"/>
        <v>1.2993320456354046E+42</v>
      </c>
      <c r="HTP56" s="850">
        <f t="shared" si="107"/>
        <v>0</v>
      </c>
      <c r="HTQ56" s="850">
        <f t="shared" si="107"/>
        <v>1.3383120070044668E+42</v>
      </c>
      <c r="HTR56" s="850">
        <f t="shared" si="107"/>
        <v>0</v>
      </c>
      <c r="HTS56" s="850">
        <f t="shared" si="107"/>
        <v>1.3784613672146008E+42</v>
      </c>
      <c r="HTT56" s="850">
        <f t="shared" si="107"/>
        <v>0</v>
      </c>
      <c r="HTU56" s="850">
        <f t="shared" si="107"/>
        <v>1.4198152082310387E+42</v>
      </c>
      <c r="HTV56" s="850">
        <f t="shared" si="107"/>
        <v>0</v>
      </c>
      <c r="HTW56" s="850">
        <f t="shared" si="107"/>
        <v>1.4624096644779697E+42</v>
      </c>
      <c r="HTX56" s="850">
        <f t="shared" si="107"/>
        <v>0</v>
      </c>
      <c r="HTY56" s="850">
        <f t="shared" si="107"/>
        <v>1.5062819544123089E+42</v>
      </c>
      <c r="HTZ56" s="850">
        <f t="shared" si="107"/>
        <v>0</v>
      </c>
      <c r="HUA56" s="850">
        <f t="shared" si="107"/>
        <v>1.5514704130446783E+42</v>
      </c>
      <c r="HUB56" s="850">
        <f t="shared" si="107"/>
        <v>0</v>
      </c>
      <c r="HUC56" s="850">
        <f t="shared" si="107"/>
        <v>1.5980145254360186E+42</v>
      </c>
      <c r="HUD56" s="850">
        <f t="shared" si="107"/>
        <v>0</v>
      </c>
      <c r="HUE56" s="850">
        <f t="shared" si="107"/>
        <v>1.645954961199099E+42</v>
      </c>
      <c r="HUF56" s="850">
        <f t="shared" si="107"/>
        <v>0</v>
      </c>
      <c r="HUG56" s="850">
        <f t="shared" si="107"/>
        <v>1.6953336100350721E+42</v>
      </c>
      <c r="HUH56" s="850">
        <f t="shared" ref="HUH56:HWS56" si="108">HUF56*$C$56</f>
        <v>0</v>
      </c>
      <c r="HUI56" s="850">
        <f t="shared" si="108"/>
        <v>1.7461936183361244E+42</v>
      </c>
      <c r="HUJ56" s="850">
        <f t="shared" si="108"/>
        <v>0</v>
      </c>
      <c r="HUK56" s="850">
        <f t="shared" si="108"/>
        <v>1.7985794268862081E+42</v>
      </c>
      <c r="HUL56" s="850">
        <f t="shared" si="108"/>
        <v>0</v>
      </c>
      <c r="HUM56" s="850">
        <f t="shared" si="108"/>
        <v>1.8525368096927945E+42</v>
      </c>
      <c r="HUN56" s="850">
        <f t="shared" si="108"/>
        <v>0</v>
      </c>
      <c r="HUO56" s="850">
        <f t="shared" si="108"/>
        <v>1.9081129139835784E+42</v>
      </c>
      <c r="HUP56" s="850">
        <f t="shared" si="108"/>
        <v>0</v>
      </c>
      <c r="HUQ56" s="850">
        <f t="shared" si="108"/>
        <v>1.9653563014030858E+42</v>
      </c>
      <c r="HUR56" s="850">
        <f t="shared" si="108"/>
        <v>0</v>
      </c>
      <c r="HUS56" s="850">
        <f t="shared" si="108"/>
        <v>2.0243169904451783E+42</v>
      </c>
      <c r="HUT56" s="850">
        <f t="shared" si="108"/>
        <v>0</v>
      </c>
      <c r="HUU56" s="850">
        <f t="shared" si="108"/>
        <v>2.0850465001585336E+42</v>
      </c>
      <c r="HUV56" s="850">
        <f t="shared" si="108"/>
        <v>0</v>
      </c>
      <c r="HUW56" s="850">
        <f t="shared" si="108"/>
        <v>2.1475978951632898E+42</v>
      </c>
      <c r="HUX56" s="850">
        <f t="shared" si="108"/>
        <v>0</v>
      </c>
      <c r="HUY56" s="850">
        <f t="shared" si="108"/>
        <v>2.2120258320181887E+42</v>
      </c>
      <c r="HUZ56" s="850">
        <f t="shared" si="108"/>
        <v>0</v>
      </c>
      <c r="HVA56" s="850">
        <f t="shared" si="108"/>
        <v>2.2783866069787344E+42</v>
      </c>
      <c r="HVB56" s="850">
        <f t="shared" si="108"/>
        <v>0</v>
      </c>
      <c r="HVC56" s="850">
        <f t="shared" si="108"/>
        <v>2.3467382051880964E+42</v>
      </c>
      <c r="HVD56" s="850">
        <f t="shared" si="108"/>
        <v>0</v>
      </c>
      <c r="HVE56" s="850">
        <f t="shared" si="108"/>
        <v>2.4171403513437395E+42</v>
      </c>
      <c r="HVF56" s="850">
        <f t="shared" si="108"/>
        <v>0</v>
      </c>
      <c r="HVG56" s="850">
        <f t="shared" si="108"/>
        <v>2.4896545618840517E+42</v>
      </c>
      <c r="HVH56" s="850">
        <f t="shared" si="108"/>
        <v>0</v>
      </c>
      <c r="HVI56" s="850">
        <f t="shared" si="108"/>
        <v>2.5643441987405735E+42</v>
      </c>
      <c r="HVJ56" s="850">
        <f t="shared" si="108"/>
        <v>0</v>
      </c>
      <c r="HVK56" s="850">
        <f t="shared" si="108"/>
        <v>2.6412745247027907E+42</v>
      </c>
      <c r="HVL56" s="850">
        <f t="shared" si="108"/>
        <v>0</v>
      </c>
      <c r="HVM56" s="850">
        <f t="shared" si="108"/>
        <v>2.7205127604438747E+42</v>
      </c>
      <c r="HVN56" s="850">
        <f t="shared" si="108"/>
        <v>0</v>
      </c>
      <c r="HVO56" s="850">
        <f t="shared" si="108"/>
        <v>2.8021281432571909E+42</v>
      </c>
      <c r="HVP56" s="850">
        <f t="shared" si="108"/>
        <v>0</v>
      </c>
      <c r="HVQ56" s="850">
        <f t="shared" si="108"/>
        <v>2.8861919875549066E+42</v>
      </c>
      <c r="HVR56" s="850">
        <f t="shared" si="108"/>
        <v>0</v>
      </c>
      <c r="HVS56" s="850">
        <f t="shared" si="108"/>
        <v>2.9727777471815535E+42</v>
      </c>
      <c r="HVT56" s="850">
        <f t="shared" si="108"/>
        <v>0</v>
      </c>
      <c r="HVU56" s="850">
        <f t="shared" si="108"/>
        <v>3.061961079597E+42</v>
      </c>
      <c r="HVV56" s="850">
        <f t="shared" si="108"/>
        <v>0</v>
      </c>
      <c r="HVW56" s="850">
        <f t="shared" si="108"/>
        <v>3.1538199119849099E+42</v>
      </c>
      <c r="HVX56" s="850">
        <f t="shared" si="108"/>
        <v>0</v>
      </c>
      <c r="HVY56" s="850">
        <f t="shared" si="108"/>
        <v>3.2484345093444575E+42</v>
      </c>
      <c r="HVZ56" s="850">
        <f t="shared" si="108"/>
        <v>0</v>
      </c>
      <c r="HWA56" s="850">
        <f t="shared" si="108"/>
        <v>3.3458875446247913E+42</v>
      </c>
      <c r="HWB56" s="850">
        <f t="shared" si="108"/>
        <v>0</v>
      </c>
      <c r="HWC56" s="850">
        <f t="shared" si="108"/>
        <v>3.4462641709635352E+42</v>
      </c>
      <c r="HWD56" s="850">
        <f t="shared" si="108"/>
        <v>0</v>
      </c>
      <c r="HWE56" s="850">
        <f t="shared" si="108"/>
        <v>3.5496520960924417E+42</v>
      </c>
      <c r="HWF56" s="850">
        <f t="shared" si="108"/>
        <v>0</v>
      </c>
      <c r="HWG56" s="850">
        <f t="shared" si="108"/>
        <v>3.656141658975215E+42</v>
      </c>
      <c r="HWH56" s="850">
        <f t="shared" si="108"/>
        <v>0</v>
      </c>
      <c r="HWI56" s="850">
        <f t="shared" si="108"/>
        <v>3.7658259087444717E+42</v>
      </c>
      <c r="HWJ56" s="850">
        <f t="shared" si="108"/>
        <v>0</v>
      </c>
      <c r="HWK56" s="850">
        <f t="shared" si="108"/>
        <v>3.8788006860068059E+42</v>
      </c>
      <c r="HWL56" s="850">
        <f t="shared" si="108"/>
        <v>0</v>
      </c>
      <c r="HWM56" s="850">
        <f t="shared" si="108"/>
        <v>3.9951647065870098E+42</v>
      </c>
      <c r="HWN56" s="850">
        <f t="shared" si="108"/>
        <v>0</v>
      </c>
      <c r="HWO56" s="850">
        <f t="shared" si="108"/>
        <v>4.11501964778462E+42</v>
      </c>
      <c r="HWP56" s="850">
        <f t="shared" si="108"/>
        <v>0</v>
      </c>
      <c r="HWQ56" s="850">
        <f t="shared" si="108"/>
        <v>4.2384702372181588E+42</v>
      </c>
      <c r="HWR56" s="850">
        <f t="shared" si="108"/>
        <v>0</v>
      </c>
      <c r="HWS56" s="850">
        <f t="shared" si="108"/>
        <v>4.3656243443347034E+42</v>
      </c>
      <c r="HWT56" s="850">
        <f t="shared" ref="HWT56:HZE56" si="109">HWR56*$C$56</f>
        <v>0</v>
      </c>
      <c r="HWU56" s="850">
        <f t="shared" si="109"/>
        <v>4.4965930746647444E+42</v>
      </c>
      <c r="HWV56" s="850">
        <f t="shared" si="109"/>
        <v>0</v>
      </c>
      <c r="HWW56" s="850">
        <f t="shared" si="109"/>
        <v>4.6314908669046866E+42</v>
      </c>
      <c r="HWX56" s="850">
        <f t="shared" si="109"/>
        <v>0</v>
      </c>
      <c r="HWY56" s="850">
        <f t="shared" si="109"/>
        <v>4.7704355929118276E+42</v>
      </c>
      <c r="HWZ56" s="850">
        <f t="shared" si="109"/>
        <v>0</v>
      </c>
      <c r="HXA56" s="850">
        <f t="shared" si="109"/>
        <v>4.9135486606991827E+42</v>
      </c>
      <c r="HXB56" s="850">
        <f t="shared" si="109"/>
        <v>0</v>
      </c>
      <c r="HXC56" s="850">
        <f t="shared" si="109"/>
        <v>5.060955120520158E+42</v>
      </c>
      <c r="HXD56" s="850">
        <f t="shared" si="109"/>
        <v>0</v>
      </c>
      <c r="HXE56" s="850">
        <f t="shared" si="109"/>
        <v>5.2127837741357627E+42</v>
      </c>
      <c r="HXF56" s="850">
        <f t="shared" si="109"/>
        <v>0</v>
      </c>
      <c r="HXG56" s="850">
        <f t="shared" si="109"/>
        <v>5.369167287359836E+42</v>
      </c>
      <c r="HXH56" s="850">
        <f t="shared" si="109"/>
        <v>0</v>
      </c>
      <c r="HXI56" s="850">
        <f t="shared" si="109"/>
        <v>5.5302423059806312E+42</v>
      </c>
      <c r="HXJ56" s="850">
        <f t="shared" si="109"/>
        <v>0</v>
      </c>
      <c r="HXK56" s="850">
        <f t="shared" si="109"/>
        <v>5.6961495751600503E+42</v>
      </c>
      <c r="HXL56" s="850">
        <f t="shared" si="109"/>
        <v>0</v>
      </c>
      <c r="HXM56" s="850">
        <f t="shared" si="109"/>
        <v>5.8670340624148525E+42</v>
      </c>
      <c r="HXN56" s="850">
        <f t="shared" si="109"/>
        <v>0</v>
      </c>
      <c r="HXO56" s="850">
        <f t="shared" si="109"/>
        <v>6.0430450842872982E+42</v>
      </c>
      <c r="HXP56" s="850">
        <f t="shared" si="109"/>
        <v>0</v>
      </c>
      <c r="HXQ56" s="850">
        <f t="shared" si="109"/>
        <v>6.224336436815917E+42</v>
      </c>
      <c r="HXR56" s="850">
        <f t="shared" si="109"/>
        <v>0</v>
      </c>
      <c r="HXS56" s="850">
        <f t="shared" si="109"/>
        <v>6.411066529920395E+42</v>
      </c>
      <c r="HXT56" s="850">
        <f t="shared" si="109"/>
        <v>0</v>
      </c>
      <c r="HXU56" s="850">
        <f t="shared" si="109"/>
        <v>6.6033985258180067E+42</v>
      </c>
      <c r="HXV56" s="850">
        <f t="shared" si="109"/>
        <v>0</v>
      </c>
      <c r="HXW56" s="850">
        <f t="shared" si="109"/>
        <v>6.8015004815925467E+42</v>
      </c>
      <c r="HXX56" s="850">
        <f t="shared" si="109"/>
        <v>0</v>
      </c>
      <c r="HXY56" s="850">
        <f t="shared" si="109"/>
        <v>7.0055454960403232E+42</v>
      </c>
      <c r="HXZ56" s="850">
        <f t="shared" si="109"/>
        <v>0</v>
      </c>
      <c r="HYA56" s="850">
        <f t="shared" si="109"/>
        <v>7.2157118609215337E+42</v>
      </c>
      <c r="HYB56" s="850">
        <f t="shared" si="109"/>
        <v>0</v>
      </c>
      <c r="HYC56" s="850">
        <f t="shared" si="109"/>
        <v>7.4321832167491805E+42</v>
      </c>
      <c r="HYD56" s="850">
        <f t="shared" si="109"/>
        <v>0</v>
      </c>
      <c r="HYE56" s="850">
        <f t="shared" si="109"/>
        <v>7.6551487132516559E+42</v>
      </c>
      <c r="HYF56" s="850">
        <f t="shared" si="109"/>
        <v>0</v>
      </c>
      <c r="HYG56" s="850">
        <f t="shared" si="109"/>
        <v>7.884803174649206E+42</v>
      </c>
      <c r="HYH56" s="850">
        <f t="shared" si="109"/>
        <v>0</v>
      </c>
      <c r="HYI56" s="850">
        <f t="shared" si="109"/>
        <v>8.1213472698886827E+42</v>
      </c>
      <c r="HYJ56" s="850">
        <f t="shared" si="109"/>
        <v>0</v>
      </c>
      <c r="HYK56" s="850">
        <f t="shared" si="109"/>
        <v>8.364987687985343E+42</v>
      </c>
      <c r="HYL56" s="850">
        <f t="shared" si="109"/>
        <v>0</v>
      </c>
      <c r="HYM56" s="850">
        <f t="shared" si="109"/>
        <v>8.6159373186249034E+42</v>
      </c>
      <c r="HYN56" s="850">
        <f t="shared" si="109"/>
        <v>0</v>
      </c>
      <c r="HYO56" s="850">
        <f t="shared" si="109"/>
        <v>8.8744154381836509E+42</v>
      </c>
      <c r="HYP56" s="850">
        <f t="shared" si="109"/>
        <v>0</v>
      </c>
      <c r="HYQ56" s="850">
        <f t="shared" si="109"/>
        <v>9.1406479013291607E+42</v>
      </c>
      <c r="HYR56" s="850">
        <f t="shared" si="109"/>
        <v>0</v>
      </c>
      <c r="HYS56" s="850">
        <f t="shared" si="109"/>
        <v>9.4148673383690352E+42</v>
      </c>
      <c r="HYT56" s="850">
        <f t="shared" si="109"/>
        <v>0</v>
      </c>
      <c r="HYU56" s="850">
        <f t="shared" si="109"/>
        <v>9.6973133585201065E+42</v>
      </c>
      <c r="HYV56" s="850">
        <f t="shared" si="109"/>
        <v>0</v>
      </c>
      <c r="HYW56" s="850">
        <f t="shared" si="109"/>
        <v>9.9882327592757104E+42</v>
      </c>
      <c r="HYX56" s="850">
        <f t="shared" si="109"/>
        <v>0</v>
      </c>
      <c r="HYY56" s="850">
        <f t="shared" si="109"/>
        <v>1.0287879742053982E+43</v>
      </c>
      <c r="HYZ56" s="850">
        <f t="shared" si="109"/>
        <v>0</v>
      </c>
      <c r="HZA56" s="850">
        <f t="shared" si="109"/>
        <v>1.0596516134315601E+43</v>
      </c>
      <c r="HZB56" s="850">
        <f t="shared" si="109"/>
        <v>0</v>
      </c>
      <c r="HZC56" s="850">
        <f t="shared" si="109"/>
        <v>1.0914411618345069E+43</v>
      </c>
      <c r="HZD56" s="850">
        <f t="shared" si="109"/>
        <v>0</v>
      </c>
      <c r="HZE56" s="850">
        <f t="shared" si="109"/>
        <v>1.1241843966895421E+43</v>
      </c>
      <c r="HZF56" s="850">
        <f t="shared" ref="HZF56:IBQ56" si="110">HZD56*$C$56</f>
        <v>0</v>
      </c>
      <c r="HZG56" s="850">
        <f t="shared" si="110"/>
        <v>1.1579099285902285E+43</v>
      </c>
      <c r="HZH56" s="850">
        <f t="shared" si="110"/>
        <v>0</v>
      </c>
      <c r="HZI56" s="850">
        <f t="shared" si="110"/>
        <v>1.1926472264479353E+43</v>
      </c>
      <c r="HZJ56" s="850">
        <f t="shared" si="110"/>
        <v>0</v>
      </c>
      <c r="HZK56" s="850">
        <f t="shared" si="110"/>
        <v>1.2284266432413733E+43</v>
      </c>
      <c r="HZL56" s="850">
        <f t="shared" si="110"/>
        <v>0</v>
      </c>
      <c r="HZM56" s="850">
        <f t="shared" si="110"/>
        <v>1.2652794425386145E+43</v>
      </c>
      <c r="HZN56" s="850">
        <f t="shared" si="110"/>
        <v>0</v>
      </c>
      <c r="HZO56" s="850">
        <f t="shared" si="110"/>
        <v>1.3032378258147729E+43</v>
      </c>
      <c r="HZP56" s="850">
        <f t="shared" si="110"/>
        <v>0</v>
      </c>
      <c r="HZQ56" s="850">
        <f t="shared" si="110"/>
        <v>1.3423349605892162E+43</v>
      </c>
      <c r="HZR56" s="850">
        <f t="shared" si="110"/>
        <v>0</v>
      </c>
      <c r="HZS56" s="850">
        <f t="shared" si="110"/>
        <v>1.3826050094068927E+43</v>
      </c>
      <c r="HZT56" s="850">
        <f t="shared" si="110"/>
        <v>0</v>
      </c>
      <c r="HZU56" s="850">
        <f t="shared" si="110"/>
        <v>1.4240831596890996E+43</v>
      </c>
      <c r="HZV56" s="850">
        <f t="shared" si="110"/>
        <v>0</v>
      </c>
      <c r="HZW56" s="850">
        <f t="shared" si="110"/>
        <v>1.4668056544797726E+43</v>
      </c>
      <c r="HZX56" s="850">
        <f t="shared" si="110"/>
        <v>0</v>
      </c>
      <c r="HZY56" s="850">
        <f t="shared" si="110"/>
        <v>1.5108098241141658E+43</v>
      </c>
      <c r="HZZ56" s="850">
        <f t="shared" si="110"/>
        <v>0</v>
      </c>
      <c r="IAA56" s="850">
        <f t="shared" si="110"/>
        <v>1.5561341188375908E+43</v>
      </c>
      <c r="IAB56" s="850">
        <f t="shared" si="110"/>
        <v>0</v>
      </c>
      <c r="IAC56" s="850">
        <f t="shared" si="110"/>
        <v>1.6028181424027185E+43</v>
      </c>
      <c r="IAD56" s="850">
        <f t="shared" si="110"/>
        <v>0</v>
      </c>
      <c r="IAE56" s="850">
        <f t="shared" si="110"/>
        <v>1.6509026866748001E+43</v>
      </c>
      <c r="IAF56" s="850">
        <f t="shared" si="110"/>
        <v>0</v>
      </c>
      <c r="IAG56" s="850">
        <f t="shared" si="110"/>
        <v>1.7004297672750441E+43</v>
      </c>
      <c r="IAH56" s="850">
        <f t="shared" si="110"/>
        <v>0</v>
      </c>
      <c r="IAI56" s="850">
        <f t="shared" si="110"/>
        <v>1.7514426602932953E+43</v>
      </c>
      <c r="IAJ56" s="850">
        <f t="shared" si="110"/>
        <v>0</v>
      </c>
      <c r="IAK56" s="850">
        <f t="shared" si="110"/>
        <v>1.8039859401020942E+43</v>
      </c>
      <c r="IAL56" s="850">
        <f t="shared" si="110"/>
        <v>0</v>
      </c>
      <c r="IAM56" s="850">
        <f t="shared" si="110"/>
        <v>1.858105518305157E+43</v>
      </c>
      <c r="IAN56" s="850">
        <f t="shared" si="110"/>
        <v>0</v>
      </c>
      <c r="IAO56" s="850">
        <f t="shared" si="110"/>
        <v>1.9138486838543119E+43</v>
      </c>
      <c r="IAP56" s="850">
        <f t="shared" si="110"/>
        <v>0</v>
      </c>
      <c r="IAQ56" s="850">
        <f t="shared" si="110"/>
        <v>1.9712641443699412E+43</v>
      </c>
      <c r="IAR56" s="850">
        <f t="shared" si="110"/>
        <v>0</v>
      </c>
      <c r="IAS56" s="850">
        <f t="shared" si="110"/>
        <v>2.0304020687010395E+43</v>
      </c>
      <c r="IAT56" s="850">
        <f t="shared" si="110"/>
        <v>0</v>
      </c>
      <c r="IAU56" s="850">
        <f t="shared" si="110"/>
        <v>2.0913141307620707E+43</v>
      </c>
      <c r="IAV56" s="850">
        <f t="shared" si="110"/>
        <v>0</v>
      </c>
      <c r="IAW56" s="850">
        <f t="shared" si="110"/>
        <v>2.1540535546849328E+43</v>
      </c>
      <c r="IAX56" s="850">
        <f t="shared" si="110"/>
        <v>0</v>
      </c>
      <c r="IAY56" s="850">
        <f t="shared" si="110"/>
        <v>2.2186751613254808E+43</v>
      </c>
      <c r="IAZ56" s="850">
        <f t="shared" si="110"/>
        <v>0</v>
      </c>
      <c r="IBA56" s="850">
        <f t="shared" si="110"/>
        <v>2.2852354161652451E+43</v>
      </c>
      <c r="IBB56" s="850">
        <f t="shared" si="110"/>
        <v>0</v>
      </c>
      <c r="IBC56" s="850">
        <f t="shared" si="110"/>
        <v>2.3537924786502025E+43</v>
      </c>
      <c r="IBD56" s="850">
        <f t="shared" si="110"/>
        <v>0</v>
      </c>
      <c r="IBE56" s="850">
        <f t="shared" si="110"/>
        <v>2.4244062530097084E+43</v>
      </c>
      <c r="IBF56" s="850">
        <f t="shared" si="110"/>
        <v>0</v>
      </c>
      <c r="IBG56" s="850">
        <f t="shared" si="110"/>
        <v>2.4971384405999997E+43</v>
      </c>
      <c r="IBH56" s="850">
        <f t="shared" si="110"/>
        <v>0</v>
      </c>
      <c r="IBI56" s="850">
        <f t="shared" si="110"/>
        <v>2.5720525938179998E+43</v>
      </c>
      <c r="IBJ56" s="850">
        <f t="shared" si="110"/>
        <v>0</v>
      </c>
      <c r="IBK56" s="850">
        <f t="shared" si="110"/>
        <v>2.6492141716325401E+43</v>
      </c>
      <c r="IBL56" s="850">
        <f t="shared" si="110"/>
        <v>0</v>
      </c>
      <c r="IBM56" s="850">
        <f t="shared" si="110"/>
        <v>2.7286905967815166E+43</v>
      </c>
      <c r="IBN56" s="850">
        <f t="shared" si="110"/>
        <v>0</v>
      </c>
      <c r="IBO56" s="850">
        <f t="shared" si="110"/>
        <v>2.8105513146849621E+43</v>
      </c>
      <c r="IBP56" s="850">
        <f t="shared" si="110"/>
        <v>0</v>
      </c>
      <c r="IBQ56" s="850">
        <f t="shared" si="110"/>
        <v>2.894867854125511E+43</v>
      </c>
      <c r="IBR56" s="850">
        <f t="shared" ref="IBR56:IEC56" si="111">IBP56*$C$56</f>
        <v>0</v>
      </c>
      <c r="IBS56" s="850">
        <f t="shared" si="111"/>
        <v>2.9817138897492766E+43</v>
      </c>
      <c r="IBT56" s="850">
        <f t="shared" si="111"/>
        <v>0</v>
      </c>
      <c r="IBU56" s="850">
        <f t="shared" si="111"/>
        <v>3.071165306441755E+43</v>
      </c>
      <c r="IBV56" s="850">
        <f t="shared" si="111"/>
        <v>0</v>
      </c>
      <c r="IBW56" s="850">
        <f t="shared" si="111"/>
        <v>3.1633002656350076E+43</v>
      </c>
      <c r="IBX56" s="850">
        <f t="shared" si="111"/>
        <v>0</v>
      </c>
      <c r="IBY56" s="850">
        <f t="shared" si="111"/>
        <v>3.2581992736040579E+43</v>
      </c>
      <c r="IBZ56" s="850">
        <f t="shared" si="111"/>
        <v>0</v>
      </c>
      <c r="ICA56" s="850">
        <f t="shared" si="111"/>
        <v>3.3559452518121797E+43</v>
      </c>
      <c r="ICB56" s="850">
        <f t="shared" si="111"/>
        <v>0</v>
      </c>
      <c r="ICC56" s="850">
        <f t="shared" si="111"/>
        <v>3.4566236093665453E+43</v>
      </c>
      <c r="ICD56" s="850">
        <f t="shared" si="111"/>
        <v>0</v>
      </c>
      <c r="ICE56" s="850">
        <f t="shared" si="111"/>
        <v>3.5603223176475418E+43</v>
      </c>
      <c r="ICF56" s="850">
        <f t="shared" si="111"/>
        <v>0</v>
      </c>
      <c r="ICG56" s="850">
        <f t="shared" si="111"/>
        <v>3.6671319871769679E+43</v>
      </c>
      <c r="ICH56" s="850">
        <f t="shared" si="111"/>
        <v>0</v>
      </c>
      <c r="ICI56" s="850">
        <f t="shared" si="111"/>
        <v>3.7771459467922769E+43</v>
      </c>
      <c r="ICJ56" s="850">
        <f t="shared" si="111"/>
        <v>0</v>
      </c>
      <c r="ICK56" s="850">
        <f t="shared" si="111"/>
        <v>3.8904603251960454E+43</v>
      </c>
      <c r="ICL56" s="850">
        <f t="shared" si="111"/>
        <v>0</v>
      </c>
      <c r="ICM56" s="850">
        <f t="shared" si="111"/>
        <v>4.0071741349519269E+43</v>
      </c>
      <c r="ICN56" s="850">
        <f t="shared" si="111"/>
        <v>0</v>
      </c>
      <c r="ICO56" s="850">
        <f t="shared" si="111"/>
        <v>4.1273893590004848E+43</v>
      </c>
      <c r="ICP56" s="850">
        <f t="shared" si="111"/>
        <v>0</v>
      </c>
      <c r="ICQ56" s="850">
        <f t="shared" si="111"/>
        <v>4.2512110397704997E+43</v>
      </c>
      <c r="ICR56" s="850">
        <f t="shared" si="111"/>
        <v>0</v>
      </c>
      <c r="ICS56" s="850">
        <f t="shared" si="111"/>
        <v>4.3787473709636149E+43</v>
      </c>
      <c r="ICT56" s="850">
        <f t="shared" si="111"/>
        <v>0</v>
      </c>
      <c r="ICU56" s="850">
        <f t="shared" si="111"/>
        <v>4.510109792092523E+43</v>
      </c>
      <c r="ICV56" s="850">
        <f t="shared" si="111"/>
        <v>0</v>
      </c>
      <c r="ICW56" s="850">
        <f t="shared" si="111"/>
        <v>4.6454130858552984E+43</v>
      </c>
      <c r="ICX56" s="850">
        <f t="shared" si="111"/>
        <v>0</v>
      </c>
      <c r="ICY56" s="850">
        <f t="shared" si="111"/>
        <v>4.7847754784309579E+43</v>
      </c>
      <c r="ICZ56" s="850">
        <f t="shared" si="111"/>
        <v>0</v>
      </c>
      <c r="IDA56" s="850">
        <f t="shared" si="111"/>
        <v>4.9283187427838868E+43</v>
      </c>
      <c r="IDB56" s="850">
        <f t="shared" si="111"/>
        <v>0</v>
      </c>
      <c r="IDC56" s="850">
        <f t="shared" si="111"/>
        <v>5.0761683050674036E+43</v>
      </c>
      <c r="IDD56" s="850">
        <f t="shared" si="111"/>
        <v>0</v>
      </c>
      <c r="IDE56" s="850">
        <f t="shared" si="111"/>
        <v>5.228453354219426E+43</v>
      </c>
      <c r="IDF56" s="850">
        <f t="shared" si="111"/>
        <v>0</v>
      </c>
      <c r="IDG56" s="850">
        <f t="shared" si="111"/>
        <v>5.3853069548460085E+43</v>
      </c>
      <c r="IDH56" s="850">
        <f t="shared" si="111"/>
        <v>0</v>
      </c>
      <c r="IDI56" s="850">
        <f t="shared" si="111"/>
        <v>5.546866163491389E+43</v>
      </c>
      <c r="IDJ56" s="850">
        <f t="shared" si="111"/>
        <v>0</v>
      </c>
      <c r="IDK56" s="850">
        <f t="shared" si="111"/>
        <v>5.7132721483961305E+43</v>
      </c>
      <c r="IDL56" s="850">
        <f t="shared" si="111"/>
        <v>0</v>
      </c>
      <c r="IDM56" s="850">
        <f t="shared" si="111"/>
        <v>5.8846703128480142E+43</v>
      </c>
      <c r="IDN56" s="850">
        <f t="shared" si="111"/>
        <v>0</v>
      </c>
      <c r="IDO56" s="850">
        <f t="shared" si="111"/>
        <v>6.0612104222334545E+43</v>
      </c>
      <c r="IDP56" s="850">
        <f t="shared" si="111"/>
        <v>0</v>
      </c>
      <c r="IDQ56" s="850">
        <f t="shared" si="111"/>
        <v>6.2430467349004585E+43</v>
      </c>
      <c r="IDR56" s="850">
        <f t="shared" si="111"/>
        <v>0</v>
      </c>
      <c r="IDS56" s="850">
        <f t="shared" si="111"/>
        <v>6.430338136947472E+43</v>
      </c>
      <c r="IDT56" s="850">
        <f t="shared" si="111"/>
        <v>0</v>
      </c>
      <c r="IDU56" s="850">
        <f t="shared" si="111"/>
        <v>6.6232482810558964E+43</v>
      </c>
      <c r="IDV56" s="850">
        <f t="shared" si="111"/>
        <v>0</v>
      </c>
      <c r="IDW56" s="850">
        <f t="shared" si="111"/>
        <v>6.8219457294875733E+43</v>
      </c>
      <c r="IDX56" s="850">
        <f t="shared" si="111"/>
        <v>0</v>
      </c>
      <c r="IDY56" s="850">
        <f t="shared" si="111"/>
        <v>7.0266041013722007E+43</v>
      </c>
      <c r="IDZ56" s="850">
        <f t="shared" si="111"/>
        <v>0</v>
      </c>
      <c r="IEA56" s="850">
        <f t="shared" si="111"/>
        <v>7.2374022244133668E+43</v>
      </c>
      <c r="IEB56" s="850">
        <f t="shared" si="111"/>
        <v>0</v>
      </c>
      <c r="IEC56" s="850">
        <f t="shared" si="111"/>
        <v>7.454524291145768E+43</v>
      </c>
      <c r="IED56" s="850">
        <f t="shared" ref="IED56:IGO56" si="112">IEB56*$C$56</f>
        <v>0</v>
      </c>
      <c r="IEE56" s="850">
        <f t="shared" si="112"/>
        <v>7.6781600198801416E+43</v>
      </c>
      <c r="IEF56" s="850">
        <f t="shared" si="112"/>
        <v>0</v>
      </c>
      <c r="IEG56" s="850">
        <f t="shared" si="112"/>
        <v>7.9085048204765457E+43</v>
      </c>
      <c r="IEH56" s="850">
        <f t="shared" si="112"/>
        <v>0</v>
      </c>
      <c r="IEI56" s="850">
        <f t="shared" si="112"/>
        <v>8.1457599650908419E+43</v>
      </c>
      <c r="IEJ56" s="850">
        <f t="shared" si="112"/>
        <v>0</v>
      </c>
      <c r="IEK56" s="850">
        <f t="shared" si="112"/>
        <v>8.390132764043567E+43</v>
      </c>
      <c r="IEL56" s="850">
        <f t="shared" si="112"/>
        <v>0</v>
      </c>
      <c r="IEM56" s="850">
        <f t="shared" si="112"/>
        <v>8.6418367469648745E+43</v>
      </c>
      <c r="IEN56" s="850">
        <f t="shared" si="112"/>
        <v>0</v>
      </c>
      <c r="IEO56" s="850">
        <f t="shared" si="112"/>
        <v>8.9010918493738208E+43</v>
      </c>
      <c r="IEP56" s="850">
        <f t="shared" si="112"/>
        <v>0</v>
      </c>
      <c r="IEQ56" s="850">
        <f t="shared" si="112"/>
        <v>9.1681246048550362E+43</v>
      </c>
      <c r="IER56" s="850">
        <f t="shared" si="112"/>
        <v>0</v>
      </c>
      <c r="IES56" s="850">
        <f t="shared" si="112"/>
        <v>9.4431683430006882E+43</v>
      </c>
      <c r="IET56" s="850">
        <f t="shared" si="112"/>
        <v>0</v>
      </c>
      <c r="IEU56" s="850">
        <f t="shared" si="112"/>
        <v>9.7264633932907081E+43</v>
      </c>
      <c r="IEV56" s="850">
        <f t="shared" si="112"/>
        <v>0</v>
      </c>
      <c r="IEW56" s="850">
        <f t="shared" si="112"/>
        <v>1.001825729508943E+44</v>
      </c>
      <c r="IEX56" s="850">
        <f t="shared" si="112"/>
        <v>0</v>
      </c>
      <c r="IEY56" s="850">
        <f t="shared" si="112"/>
        <v>1.0318805013942113E+44</v>
      </c>
      <c r="IEZ56" s="850">
        <f t="shared" si="112"/>
        <v>0</v>
      </c>
      <c r="IFA56" s="850">
        <f t="shared" si="112"/>
        <v>1.0628369164360377E+44</v>
      </c>
      <c r="IFB56" s="850">
        <f t="shared" si="112"/>
        <v>0</v>
      </c>
      <c r="IFC56" s="850">
        <f t="shared" si="112"/>
        <v>1.0947220239291188E+44</v>
      </c>
      <c r="IFD56" s="850">
        <f t="shared" si="112"/>
        <v>0</v>
      </c>
      <c r="IFE56" s="850">
        <f t="shared" si="112"/>
        <v>1.1275636846469924E+44</v>
      </c>
      <c r="IFF56" s="850">
        <f t="shared" si="112"/>
        <v>0</v>
      </c>
      <c r="IFG56" s="850">
        <f t="shared" si="112"/>
        <v>1.1613905951864023E+44</v>
      </c>
      <c r="IFH56" s="850">
        <f t="shared" si="112"/>
        <v>0</v>
      </c>
      <c r="IFI56" s="850">
        <f t="shared" si="112"/>
        <v>1.1962323130419944E+44</v>
      </c>
      <c r="IFJ56" s="850">
        <f t="shared" si="112"/>
        <v>0</v>
      </c>
      <c r="IFK56" s="850">
        <f t="shared" si="112"/>
        <v>1.2321192824332543E+44</v>
      </c>
      <c r="IFL56" s="850">
        <f t="shared" si="112"/>
        <v>0</v>
      </c>
      <c r="IFM56" s="850">
        <f t="shared" si="112"/>
        <v>1.269082860906252E+44</v>
      </c>
      <c r="IFN56" s="850">
        <f t="shared" si="112"/>
        <v>0</v>
      </c>
      <c r="IFO56" s="850">
        <f t="shared" si="112"/>
        <v>1.3071553467334396E+44</v>
      </c>
      <c r="IFP56" s="850">
        <f t="shared" si="112"/>
        <v>0</v>
      </c>
      <c r="IFQ56" s="850">
        <f t="shared" si="112"/>
        <v>1.3463700071354429E+44</v>
      </c>
      <c r="IFR56" s="850">
        <f t="shared" si="112"/>
        <v>0</v>
      </c>
      <c r="IFS56" s="850">
        <f t="shared" si="112"/>
        <v>1.3867611073495062E+44</v>
      </c>
      <c r="IFT56" s="850">
        <f t="shared" si="112"/>
        <v>0</v>
      </c>
      <c r="IFU56" s="850">
        <f t="shared" si="112"/>
        <v>1.4283639405699915E+44</v>
      </c>
      <c r="IFV56" s="850">
        <f t="shared" si="112"/>
        <v>0</v>
      </c>
      <c r="IFW56" s="850">
        <f t="shared" si="112"/>
        <v>1.4712148587870912E+44</v>
      </c>
      <c r="IFX56" s="850">
        <f t="shared" si="112"/>
        <v>0</v>
      </c>
      <c r="IFY56" s="850">
        <f t="shared" si="112"/>
        <v>1.515351304550704E+44</v>
      </c>
      <c r="IFZ56" s="850">
        <f t="shared" si="112"/>
        <v>0</v>
      </c>
      <c r="IGA56" s="850">
        <f t="shared" si="112"/>
        <v>1.5608118436872251E+44</v>
      </c>
      <c r="IGB56" s="850">
        <f t="shared" si="112"/>
        <v>0</v>
      </c>
      <c r="IGC56" s="850">
        <f t="shared" si="112"/>
        <v>1.6076361989978419E+44</v>
      </c>
      <c r="IGD56" s="850">
        <f t="shared" si="112"/>
        <v>0</v>
      </c>
      <c r="IGE56" s="850">
        <f t="shared" si="112"/>
        <v>1.6558652849677772E+44</v>
      </c>
      <c r="IGF56" s="850">
        <f t="shared" si="112"/>
        <v>0</v>
      </c>
      <c r="IGG56" s="850">
        <f t="shared" si="112"/>
        <v>1.7055412435168105E+44</v>
      </c>
      <c r="IGH56" s="850">
        <f t="shared" si="112"/>
        <v>0</v>
      </c>
      <c r="IGI56" s="850">
        <f t="shared" si="112"/>
        <v>1.7567074808223149E+44</v>
      </c>
      <c r="IGJ56" s="850">
        <f t="shared" si="112"/>
        <v>0</v>
      </c>
      <c r="IGK56" s="850">
        <f t="shared" si="112"/>
        <v>1.8094087052469843E+44</v>
      </c>
      <c r="IGL56" s="850">
        <f t="shared" si="112"/>
        <v>0</v>
      </c>
      <c r="IGM56" s="850">
        <f t="shared" si="112"/>
        <v>1.8636909664043939E+44</v>
      </c>
      <c r="IGN56" s="850">
        <f t="shared" si="112"/>
        <v>0</v>
      </c>
      <c r="IGO56" s="850">
        <f t="shared" si="112"/>
        <v>1.9196016953965256E+44</v>
      </c>
      <c r="IGP56" s="850">
        <f t="shared" ref="IGP56:IJA56" si="113">IGN56*$C$56</f>
        <v>0</v>
      </c>
      <c r="IGQ56" s="850">
        <f t="shared" si="113"/>
        <v>1.9771897462584214E+44</v>
      </c>
      <c r="IGR56" s="850">
        <f t="shared" si="113"/>
        <v>0</v>
      </c>
      <c r="IGS56" s="850">
        <f t="shared" si="113"/>
        <v>2.0365054386461742E+44</v>
      </c>
      <c r="IGT56" s="850">
        <f t="shared" si="113"/>
        <v>0</v>
      </c>
      <c r="IGU56" s="850">
        <f t="shared" si="113"/>
        <v>2.0976006018055595E+44</v>
      </c>
      <c r="IGV56" s="850">
        <f t="shared" si="113"/>
        <v>0</v>
      </c>
      <c r="IGW56" s="850">
        <f t="shared" si="113"/>
        <v>2.1605286198597265E+44</v>
      </c>
      <c r="IGX56" s="850">
        <f t="shared" si="113"/>
        <v>0</v>
      </c>
      <c r="IGY56" s="850">
        <f t="shared" si="113"/>
        <v>2.2253444784555184E+44</v>
      </c>
      <c r="IGZ56" s="850">
        <f t="shared" si="113"/>
        <v>0</v>
      </c>
      <c r="IHA56" s="850">
        <f t="shared" si="113"/>
        <v>2.2921048128091839E+44</v>
      </c>
      <c r="IHB56" s="850">
        <f t="shared" si="113"/>
        <v>0</v>
      </c>
      <c r="IHC56" s="850">
        <f t="shared" si="113"/>
        <v>2.3608679571934595E+44</v>
      </c>
      <c r="IHD56" s="850">
        <f t="shared" si="113"/>
        <v>0</v>
      </c>
      <c r="IHE56" s="850">
        <f t="shared" si="113"/>
        <v>2.4316939959092634E+44</v>
      </c>
      <c r="IHF56" s="850">
        <f t="shared" si="113"/>
        <v>0</v>
      </c>
      <c r="IHG56" s="850">
        <f t="shared" si="113"/>
        <v>2.5046448157865413E+44</v>
      </c>
      <c r="IHH56" s="850">
        <f t="shared" si="113"/>
        <v>0</v>
      </c>
      <c r="IHI56" s="850">
        <f t="shared" si="113"/>
        <v>2.5797841602601377E+44</v>
      </c>
      <c r="IHJ56" s="850">
        <f t="shared" si="113"/>
        <v>0</v>
      </c>
      <c r="IHK56" s="850">
        <f t="shared" si="113"/>
        <v>2.657177685067942E+44</v>
      </c>
      <c r="IHL56" s="850">
        <f t="shared" si="113"/>
        <v>0</v>
      </c>
      <c r="IHM56" s="850">
        <f t="shared" si="113"/>
        <v>2.7368930156199803E+44</v>
      </c>
      <c r="IHN56" s="850">
        <f t="shared" si="113"/>
        <v>0</v>
      </c>
      <c r="IHO56" s="850">
        <f t="shared" si="113"/>
        <v>2.8189998060885797E+44</v>
      </c>
      <c r="IHP56" s="850">
        <f t="shared" si="113"/>
        <v>0</v>
      </c>
      <c r="IHQ56" s="850">
        <f t="shared" si="113"/>
        <v>2.9035698002712372E+44</v>
      </c>
      <c r="IHR56" s="850">
        <f t="shared" si="113"/>
        <v>0</v>
      </c>
      <c r="IHS56" s="850">
        <f t="shared" si="113"/>
        <v>2.9906768942793745E+44</v>
      </c>
      <c r="IHT56" s="850">
        <f t="shared" si="113"/>
        <v>0</v>
      </c>
      <c r="IHU56" s="850">
        <f t="shared" si="113"/>
        <v>3.0803972011077557E+44</v>
      </c>
      <c r="IHV56" s="850">
        <f t="shared" si="113"/>
        <v>0</v>
      </c>
      <c r="IHW56" s="850">
        <f t="shared" si="113"/>
        <v>3.1728091171409884E+44</v>
      </c>
      <c r="IHX56" s="850">
        <f t="shared" si="113"/>
        <v>0</v>
      </c>
      <c r="IHY56" s="850">
        <f t="shared" si="113"/>
        <v>3.2679933906552182E+44</v>
      </c>
      <c r="IHZ56" s="850">
        <f t="shared" si="113"/>
        <v>0</v>
      </c>
      <c r="IIA56" s="850">
        <f t="shared" si="113"/>
        <v>3.3660331923748748E+44</v>
      </c>
      <c r="IIB56" s="850">
        <f t="shared" si="113"/>
        <v>0</v>
      </c>
      <c r="IIC56" s="850">
        <f t="shared" si="113"/>
        <v>3.4670141881461213E+44</v>
      </c>
      <c r="IID56" s="850">
        <f t="shared" si="113"/>
        <v>0</v>
      </c>
      <c r="IIE56" s="850">
        <f t="shared" si="113"/>
        <v>3.571024613790505E+44</v>
      </c>
      <c r="IIF56" s="850">
        <f t="shared" si="113"/>
        <v>0</v>
      </c>
      <c r="IIG56" s="850">
        <f t="shared" si="113"/>
        <v>3.6781553522042202E+44</v>
      </c>
      <c r="IIH56" s="850">
        <f t="shared" si="113"/>
        <v>0</v>
      </c>
      <c r="III56" s="850">
        <f t="shared" si="113"/>
        <v>3.7885000127703469E+44</v>
      </c>
      <c r="IIJ56" s="850">
        <f t="shared" si="113"/>
        <v>0</v>
      </c>
      <c r="IIK56" s="850">
        <f t="shared" si="113"/>
        <v>3.9021550131534574E+44</v>
      </c>
      <c r="IIL56" s="850">
        <f t="shared" si="113"/>
        <v>0</v>
      </c>
      <c r="IIM56" s="850">
        <f t="shared" si="113"/>
        <v>4.0192196635480616E+44</v>
      </c>
      <c r="IIN56" s="850">
        <f t="shared" si="113"/>
        <v>0</v>
      </c>
      <c r="IIO56" s="850">
        <f t="shared" si="113"/>
        <v>4.1397962534545038E+44</v>
      </c>
      <c r="IIP56" s="850">
        <f t="shared" si="113"/>
        <v>0</v>
      </c>
      <c r="IIQ56" s="850">
        <f t="shared" si="113"/>
        <v>4.2639901410581387E+44</v>
      </c>
      <c r="IIR56" s="850">
        <f t="shared" si="113"/>
        <v>0</v>
      </c>
      <c r="IIS56" s="850">
        <f t="shared" si="113"/>
        <v>4.3919098452898833E+44</v>
      </c>
      <c r="IIT56" s="850">
        <f t="shared" si="113"/>
        <v>0</v>
      </c>
      <c r="IIU56" s="850">
        <f t="shared" si="113"/>
        <v>4.5236671406485801E+44</v>
      </c>
      <c r="IIV56" s="850">
        <f t="shared" si="113"/>
        <v>0</v>
      </c>
      <c r="IIW56" s="850">
        <f t="shared" si="113"/>
        <v>4.6593771548680374E+44</v>
      </c>
      <c r="IIX56" s="850">
        <f t="shared" si="113"/>
        <v>0</v>
      </c>
      <c r="IIY56" s="850">
        <f t="shared" si="113"/>
        <v>4.7991584695140789E+44</v>
      </c>
      <c r="IIZ56" s="850">
        <f t="shared" si="113"/>
        <v>0</v>
      </c>
      <c r="IJA56" s="850">
        <f t="shared" si="113"/>
        <v>4.9431332235995011E+44</v>
      </c>
      <c r="IJB56" s="850">
        <f t="shared" ref="IJB56:ILM56" si="114">IIZ56*$C$56</f>
        <v>0</v>
      </c>
      <c r="IJC56" s="850">
        <f t="shared" si="114"/>
        <v>5.0914272203074866E+44</v>
      </c>
      <c r="IJD56" s="850">
        <f t="shared" si="114"/>
        <v>0</v>
      </c>
      <c r="IJE56" s="850">
        <f t="shared" si="114"/>
        <v>5.2441700369167113E+44</v>
      </c>
      <c r="IJF56" s="850">
        <f t="shared" si="114"/>
        <v>0</v>
      </c>
      <c r="IJG56" s="850">
        <f t="shared" si="114"/>
        <v>5.4014951380242125E+44</v>
      </c>
      <c r="IJH56" s="850">
        <f t="shared" si="114"/>
        <v>0</v>
      </c>
      <c r="IJI56" s="850">
        <f t="shared" si="114"/>
        <v>5.5635399921649394E+44</v>
      </c>
      <c r="IJJ56" s="850">
        <f t="shared" si="114"/>
        <v>0</v>
      </c>
      <c r="IJK56" s="850">
        <f t="shared" si="114"/>
        <v>5.7304461919298878E+44</v>
      </c>
      <c r="IJL56" s="850">
        <f t="shared" si="114"/>
        <v>0</v>
      </c>
      <c r="IJM56" s="850">
        <f t="shared" si="114"/>
        <v>5.902359577687785E+44</v>
      </c>
      <c r="IJN56" s="850">
        <f t="shared" si="114"/>
        <v>0</v>
      </c>
      <c r="IJO56" s="850">
        <f t="shared" si="114"/>
        <v>6.079430365018419E+44</v>
      </c>
      <c r="IJP56" s="850">
        <f t="shared" si="114"/>
        <v>0</v>
      </c>
      <c r="IJQ56" s="850">
        <f t="shared" si="114"/>
        <v>6.2618132759689718E+44</v>
      </c>
      <c r="IJR56" s="850">
        <f t="shared" si="114"/>
        <v>0</v>
      </c>
      <c r="IJS56" s="850">
        <f t="shared" si="114"/>
        <v>6.449667674248041E+44</v>
      </c>
      <c r="IJT56" s="850">
        <f t="shared" si="114"/>
        <v>0</v>
      </c>
      <c r="IJU56" s="850">
        <f t="shared" si="114"/>
        <v>6.6431577044754827E+44</v>
      </c>
      <c r="IJV56" s="850">
        <f t="shared" si="114"/>
        <v>0</v>
      </c>
      <c r="IJW56" s="850">
        <f t="shared" si="114"/>
        <v>6.8424524356097476E+44</v>
      </c>
      <c r="IJX56" s="850">
        <f t="shared" si="114"/>
        <v>0</v>
      </c>
      <c r="IJY56" s="850">
        <f t="shared" si="114"/>
        <v>7.0477260086780405E+44</v>
      </c>
      <c r="IJZ56" s="850">
        <f t="shared" si="114"/>
        <v>0</v>
      </c>
      <c r="IKA56" s="850">
        <f t="shared" si="114"/>
        <v>7.2591577889383813E+44</v>
      </c>
      <c r="IKB56" s="850">
        <f t="shared" si="114"/>
        <v>0</v>
      </c>
      <c r="IKC56" s="850">
        <f t="shared" si="114"/>
        <v>7.4769325226065324E+44</v>
      </c>
      <c r="IKD56" s="850">
        <f t="shared" si="114"/>
        <v>0</v>
      </c>
      <c r="IKE56" s="850">
        <f t="shared" si="114"/>
        <v>7.7012404982847292E+44</v>
      </c>
      <c r="IKF56" s="850">
        <f t="shared" si="114"/>
        <v>0</v>
      </c>
      <c r="IKG56" s="850">
        <f t="shared" si="114"/>
        <v>7.9322777132332718E+44</v>
      </c>
      <c r="IKH56" s="850">
        <f t="shared" si="114"/>
        <v>0</v>
      </c>
      <c r="IKI56" s="850">
        <f t="shared" si="114"/>
        <v>8.1702460446302703E+44</v>
      </c>
      <c r="IKJ56" s="850">
        <f t="shared" si="114"/>
        <v>0</v>
      </c>
      <c r="IKK56" s="850">
        <f t="shared" si="114"/>
        <v>8.415353425969178E+44</v>
      </c>
      <c r="IKL56" s="850">
        <f t="shared" si="114"/>
        <v>0</v>
      </c>
      <c r="IKM56" s="850">
        <f t="shared" si="114"/>
        <v>8.6678140287482535E+44</v>
      </c>
      <c r="IKN56" s="850">
        <f t="shared" si="114"/>
        <v>0</v>
      </c>
      <c r="IKO56" s="850">
        <f t="shared" si="114"/>
        <v>8.9278484496107018E+44</v>
      </c>
      <c r="IKP56" s="850">
        <f t="shared" si="114"/>
        <v>0</v>
      </c>
      <c r="IKQ56" s="850">
        <f t="shared" si="114"/>
        <v>9.1956839030990233E+44</v>
      </c>
      <c r="IKR56" s="850">
        <f t="shared" si="114"/>
        <v>0</v>
      </c>
      <c r="IKS56" s="850">
        <f t="shared" si="114"/>
        <v>9.4715544201919946E+44</v>
      </c>
      <c r="IKT56" s="850">
        <f t="shared" si="114"/>
        <v>0</v>
      </c>
      <c r="IKU56" s="850">
        <f t="shared" si="114"/>
        <v>9.7557010527977551E+44</v>
      </c>
      <c r="IKV56" s="850">
        <f t="shared" si="114"/>
        <v>0</v>
      </c>
      <c r="IKW56" s="850">
        <f t="shared" si="114"/>
        <v>1.0048372084381688E+45</v>
      </c>
      <c r="IKX56" s="850">
        <f t="shared" si="114"/>
        <v>0</v>
      </c>
      <c r="IKY56" s="850">
        <f t="shared" si="114"/>
        <v>1.0349823246913138E+45</v>
      </c>
      <c r="IKZ56" s="850">
        <f t="shared" si="114"/>
        <v>0</v>
      </c>
      <c r="ILA56" s="850">
        <f t="shared" si="114"/>
        <v>1.0660317944320533E+45</v>
      </c>
      <c r="ILB56" s="850">
        <f t="shared" si="114"/>
        <v>0</v>
      </c>
      <c r="ILC56" s="850">
        <f t="shared" si="114"/>
        <v>1.0980127482650149E+45</v>
      </c>
      <c r="ILD56" s="850">
        <f t="shared" si="114"/>
        <v>0</v>
      </c>
      <c r="ILE56" s="850">
        <f t="shared" si="114"/>
        <v>1.1309531307129653E+45</v>
      </c>
      <c r="ILF56" s="850">
        <f t="shared" si="114"/>
        <v>0</v>
      </c>
      <c r="ILG56" s="850">
        <f t="shared" si="114"/>
        <v>1.1648817246343543E+45</v>
      </c>
      <c r="ILH56" s="850">
        <f t="shared" si="114"/>
        <v>0</v>
      </c>
      <c r="ILI56" s="850">
        <f t="shared" si="114"/>
        <v>1.1998281763733849E+45</v>
      </c>
      <c r="ILJ56" s="850">
        <f t="shared" si="114"/>
        <v>0</v>
      </c>
      <c r="ILK56" s="850">
        <f t="shared" si="114"/>
        <v>1.2358230216645864E+45</v>
      </c>
      <c r="ILL56" s="850">
        <f t="shared" si="114"/>
        <v>0</v>
      </c>
      <c r="ILM56" s="850">
        <f t="shared" si="114"/>
        <v>1.272897712314524E+45</v>
      </c>
      <c r="ILN56" s="850">
        <f t="shared" ref="ILN56:INY56" si="115">ILL56*$C$56</f>
        <v>0</v>
      </c>
      <c r="ILO56" s="850">
        <f t="shared" si="115"/>
        <v>1.3110846436839598E+45</v>
      </c>
      <c r="ILP56" s="850">
        <f t="shared" si="115"/>
        <v>0</v>
      </c>
      <c r="ILQ56" s="850">
        <f t="shared" si="115"/>
        <v>1.3504171829944786E+45</v>
      </c>
      <c r="ILR56" s="850">
        <f t="shared" si="115"/>
        <v>0</v>
      </c>
      <c r="ILS56" s="850">
        <f t="shared" si="115"/>
        <v>1.3909296984843129E+45</v>
      </c>
      <c r="ILT56" s="850">
        <f t="shared" si="115"/>
        <v>0</v>
      </c>
      <c r="ILU56" s="850">
        <f t="shared" si="115"/>
        <v>1.4326575894388425E+45</v>
      </c>
      <c r="ILV56" s="850">
        <f t="shared" si="115"/>
        <v>0</v>
      </c>
      <c r="ILW56" s="850">
        <f t="shared" si="115"/>
        <v>1.4756373171220077E+45</v>
      </c>
      <c r="ILX56" s="850">
        <f t="shared" si="115"/>
        <v>0</v>
      </c>
      <c r="ILY56" s="850">
        <f t="shared" si="115"/>
        <v>1.519906436635668E+45</v>
      </c>
      <c r="ILZ56" s="850">
        <f t="shared" si="115"/>
        <v>0</v>
      </c>
      <c r="IMA56" s="850">
        <f t="shared" si="115"/>
        <v>1.5655036297347382E+45</v>
      </c>
      <c r="IMB56" s="850">
        <f t="shared" si="115"/>
        <v>0</v>
      </c>
      <c r="IMC56" s="850">
        <f t="shared" si="115"/>
        <v>1.6124687386267803E+45</v>
      </c>
      <c r="IMD56" s="850">
        <f t="shared" si="115"/>
        <v>0</v>
      </c>
      <c r="IME56" s="850">
        <f t="shared" si="115"/>
        <v>1.6608428007855838E+45</v>
      </c>
      <c r="IMF56" s="850">
        <f t="shared" si="115"/>
        <v>0</v>
      </c>
      <c r="IMG56" s="850">
        <f t="shared" si="115"/>
        <v>1.7106680848091514E+45</v>
      </c>
      <c r="IMH56" s="850">
        <f t="shared" si="115"/>
        <v>0</v>
      </c>
      <c r="IMI56" s="850">
        <f t="shared" si="115"/>
        <v>1.7619881273534259E+45</v>
      </c>
      <c r="IMJ56" s="850">
        <f t="shared" si="115"/>
        <v>0</v>
      </c>
      <c r="IMK56" s="850">
        <f t="shared" si="115"/>
        <v>1.8148477711740287E+45</v>
      </c>
      <c r="IML56" s="850">
        <f t="shared" si="115"/>
        <v>0</v>
      </c>
      <c r="IMM56" s="850">
        <f t="shared" si="115"/>
        <v>1.8692932043092497E+45</v>
      </c>
      <c r="IMN56" s="850">
        <f t="shared" si="115"/>
        <v>0</v>
      </c>
      <c r="IMO56" s="850">
        <f t="shared" si="115"/>
        <v>1.9253720004385273E+45</v>
      </c>
      <c r="IMP56" s="850">
        <f t="shared" si="115"/>
        <v>0</v>
      </c>
      <c r="IMQ56" s="850">
        <f t="shared" si="115"/>
        <v>1.9831331604516831E+45</v>
      </c>
      <c r="IMR56" s="850">
        <f t="shared" si="115"/>
        <v>0</v>
      </c>
      <c r="IMS56" s="850">
        <f t="shared" si="115"/>
        <v>2.0426271552652337E+45</v>
      </c>
      <c r="IMT56" s="850">
        <f t="shared" si="115"/>
        <v>0</v>
      </c>
      <c r="IMU56" s="850">
        <f t="shared" si="115"/>
        <v>2.1039059699231906E+45</v>
      </c>
      <c r="IMV56" s="850">
        <f t="shared" si="115"/>
        <v>0</v>
      </c>
      <c r="IMW56" s="850">
        <f t="shared" si="115"/>
        <v>2.1670231490208864E+45</v>
      </c>
      <c r="IMX56" s="850">
        <f t="shared" si="115"/>
        <v>0</v>
      </c>
      <c r="IMY56" s="850">
        <f t="shared" si="115"/>
        <v>2.2320338434915131E+45</v>
      </c>
      <c r="IMZ56" s="850">
        <f t="shared" si="115"/>
        <v>0</v>
      </c>
      <c r="INA56" s="850">
        <f t="shared" si="115"/>
        <v>2.2989948587962586E+45</v>
      </c>
      <c r="INB56" s="850">
        <f t="shared" si="115"/>
        <v>0</v>
      </c>
      <c r="INC56" s="850">
        <f t="shared" si="115"/>
        <v>2.3679647045601462E+45</v>
      </c>
      <c r="IND56" s="850">
        <f t="shared" si="115"/>
        <v>0</v>
      </c>
      <c r="INE56" s="850">
        <f t="shared" si="115"/>
        <v>2.4390036456969507E+45</v>
      </c>
      <c r="INF56" s="850">
        <f t="shared" si="115"/>
        <v>0</v>
      </c>
      <c r="ING56" s="850">
        <f t="shared" si="115"/>
        <v>2.5121737550678595E+45</v>
      </c>
      <c r="INH56" s="850">
        <f t="shared" si="115"/>
        <v>0</v>
      </c>
      <c r="INI56" s="850">
        <f t="shared" si="115"/>
        <v>2.5875389677198952E+45</v>
      </c>
      <c r="INJ56" s="850">
        <f t="shared" si="115"/>
        <v>0</v>
      </c>
      <c r="INK56" s="850">
        <f t="shared" si="115"/>
        <v>2.6651651367514921E+45</v>
      </c>
      <c r="INL56" s="850">
        <f t="shared" si="115"/>
        <v>0</v>
      </c>
      <c r="INM56" s="850">
        <f t="shared" si="115"/>
        <v>2.7451200908540369E+45</v>
      </c>
      <c r="INN56" s="850">
        <f t="shared" si="115"/>
        <v>0</v>
      </c>
      <c r="INO56" s="850">
        <f t="shared" si="115"/>
        <v>2.827473693579658E+45</v>
      </c>
      <c r="INP56" s="850">
        <f t="shared" si="115"/>
        <v>0</v>
      </c>
      <c r="INQ56" s="850">
        <f t="shared" si="115"/>
        <v>2.9122979043870475E+45</v>
      </c>
      <c r="INR56" s="850">
        <f t="shared" si="115"/>
        <v>0</v>
      </c>
      <c r="INS56" s="850">
        <f t="shared" si="115"/>
        <v>2.9996668415186587E+45</v>
      </c>
      <c r="INT56" s="850">
        <f t="shared" si="115"/>
        <v>0</v>
      </c>
      <c r="INU56" s="850">
        <f t="shared" si="115"/>
        <v>3.0896568467642187E+45</v>
      </c>
      <c r="INV56" s="850">
        <f t="shared" si="115"/>
        <v>0</v>
      </c>
      <c r="INW56" s="850">
        <f t="shared" si="115"/>
        <v>3.1823465521671452E+45</v>
      </c>
      <c r="INX56" s="850">
        <f t="shared" si="115"/>
        <v>0</v>
      </c>
      <c r="INY56" s="850">
        <f t="shared" si="115"/>
        <v>3.2778169487321599E+45</v>
      </c>
      <c r="INZ56" s="850">
        <f t="shared" ref="INZ56:IQK56" si="116">INX56*$C$56</f>
        <v>0</v>
      </c>
      <c r="IOA56" s="850">
        <f t="shared" si="116"/>
        <v>3.376151457194125E+45</v>
      </c>
      <c r="IOB56" s="850">
        <f t="shared" si="116"/>
        <v>0</v>
      </c>
      <c r="IOC56" s="850">
        <f t="shared" si="116"/>
        <v>3.4774360009099489E+45</v>
      </c>
      <c r="IOD56" s="850">
        <f t="shared" si="116"/>
        <v>0</v>
      </c>
      <c r="IOE56" s="850">
        <f t="shared" si="116"/>
        <v>3.5817590809372477E+45</v>
      </c>
      <c r="IOF56" s="850">
        <f t="shared" si="116"/>
        <v>0</v>
      </c>
      <c r="IOG56" s="850">
        <f t="shared" si="116"/>
        <v>3.689211853365365E+45</v>
      </c>
      <c r="IOH56" s="850">
        <f t="shared" si="116"/>
        <v>0</v>
      </c>
      <c r="IOI56" s="850">
        <f t="shared" si="116"/>
        <v>3.7998882089663258E+45</v>
      </c>
      <c r="IOJ56" s="850">
        <f t="shared" si="116"/>
        <v>0</v>
      </c>
      <c r="IOK56" s="850">
        <f t="shared" si="116"/>
        <v>3.9138848552353158E+45</v>
      </c>
      <c r="IOL56" s="850">
        <f t="shared" si="116"/>
        <v>0</v>
      </c>
      <c r="IOM56" s="850">
        <f t="shared" si="116"/>
        <v>4.0313014008923757E+45</v>
      </c>
      <c r="ION56" s="850">
        <f t="shared" si="116"/>
        <v>0</v>
      </c>
      <c r="IOO56" s="850">
        <f t="shared" si="116"/>
        <v>4.1522404429191473E+45</v>
      </c>
      <c r="IOP56" s="850">
        <f t="shared" si="116"/>
        <v>0</v>
      </c>
      <c r="IOQ56" s="850">
        <f t="shared" si="116"/>
        <v>4.2768076562067219E+45</v>
      </c>
      <c r="IOR56" s="850">
        <f t="shared" si="116"/>
        <v>0</v>
      </c>
      <c r="IOS56" s="850">
        <f t="shared" si="116"/>
        <v>4.4051118858929234E+45</v>
      </c>
      <c r="IOT56" s="850">
        <f t="shared" si="116"/>
        <v>0</v>
      </c>
      <c r="IOU56" s="850">
        <f t="shared" si="116"/>
        <v>4.5372652424697112E+45</v>
      </c>
      <c r="IOV56" s="850">
        <f t="shared" si="116"/>
        <v>0</v>
      </c>
      <c r="IOW56" s="850">
        <f t="shared" si="116"/>
        <v>4.6733831997438029E+45</v>
      </c>
      <c r="IOX56" s="850">
        <f t="shared" si="116"/>
        <v>0</v>
      </c>
      <c r="IOY56" s="850">
        <f t="shared" si="116"/>
        <v>4.8135846957361171E+45</v>
      </c>
      <c r="IOZ56" s="850">
        <f t="shared" si="116"/>
        <v>0</v>
      </c>
      <c r="IPA56" s="850">
        <f t="shared" si="116"/>
        <v>4.9579922366082005E+45</v>
      </c>
      <c r="IPB56" s="850">
        <f t="shared" si="116"/>
        <v>0</v>
      </c>
      <c r="IPC56" s="850">
        <f t="shared" si="116"/>
        <v>5.1067320037064468E+45</v>
      </c>
      <c r="IPD56" s="850">
        <f t="shared" si="116"/>
        <v>0</v>
      </c>
      <c r="IPE56" s="850">
        <f t="shared" si="116"/>
        <v>5.2599339638176403E+45</v>
      </c>
      <c r="IPF56" s="850">
        <f t="shared" si="116"/>
        <v>0</v>
      </c>
      <c r="IPG56" s="850">
        <f t="shared" si="116"/>
        <v>5.4177319827321697E+45</v>
      </c>
      <c r="IPH56" s="850">
        <f t="shared" si="116"/>
        <v>0</v>
      </c>
      <c r="IPI56" s="850">
        <f t="shared" si="116"/>
        <v>5.5802639422141351E+45</v>
      </c>
      <c r="IPJ56" s="850">
        <f t="shared" si="116"/>
        <v>0</v>
      </c>
      <c r="IPK56" s="850">
        <f t="shared" si="116"/>
        <v>5.7476718604805592E+45</v>
      </c>
      <c r="IPL56" s="850">
        <f t="shared" si="116"/>
        <v>0</v>
      </c>
      <c r="IPM56" s="850">
        <f t="shared" si="116"/>
        <v>5.9201020162949761E+45</v>
      </c>
      <c r="IPN56" s="850">
        <f t="shared" si="116"/>
        <v>0</v>
      </c>
      <c r="IPO56" s="850">
        <f t="shared" si="116"/>
        <v>6.0977050767838257E+45</v>
      </c>
      <c r="IPP56" s="850">
        <f t="shared" si="116"/>
        <v>0</v>
      </c>
      <c r="IPQ56" s="850">
        <f t="shared" si="116"/>
        <v>6.2806362290873411E+45</v>
      </c>
      <c r="IPR56" s="850">
        <f t="shared" si="116"/>
        <v>0</v>
      </c>
      <c r="IPS56" s="850">
        <f t="shared" si="116"/>
        <v>6.4690553159599618E+45</v>
      </c>
      <c r="IPT56" s="850">
        <f t="shared" si="116"/>
        <v>0</v>
      </c>
      <c r="IPU56" s="850">
        <f t="shared" si="116"/>
        <v>6.6631269754387604E+45</v>
      </c>
      <c r="IPV56" s="850">
        <f t="shared" si="116"/>
        <v>0</v>
      </c>
      <c r="IPW56" s="850">
        <f t="shared" si="116"/>
        <v>6.8630207847019233E+45</v>
      </c>
      <c r="IPX56" s="850">
        <f t="shared" si="116"/>
        <v>0</v>
      </c>
      <c r="IPY56" s="850">
        <f t="shared" si="116"/>
        <v>7.0689114082429806E+45</v>
      </c>
      <c r="IPZ56" s="850">
        <f t="shared" si="116"/>
        <v>0</v>
      </c>
      <c r="IQA56" s="850">
        <f t="shared" si="116"/>
        <v>7.2809787504902702E+45</v>
      </c>
      <c r="IQB56" s="850">
        <f t="shared" si="116"/>
        <v>0</v>
      </c>
      <c r="IQC56" s="850">
        <f t="shared" si="116"/>
        <v>7.4994081130049781E+45</v>
      </c>
      <c r="IQD56" s="850">
        <f t="shared" si="116"/>
        <v>0</v>
      </c>
      <c r="IQE56" s="850">
        <f t="shared" si="116"/>
        <v>7.7243903563951272E+45</v>
      </c>
      <c r="IQF56" s="850">
        <f t="shared" si="116"/>
        <v>0</v>
      </c>
      <c r="IQG56" s="850">
        <f t="shared" si="116"/>
        <v>7.9561220670869817E+45</v>
      </c>
      <c r="IQH56" s="850">
        <f t="shared" si="116"/>
        <v>0</v>
      </c>
      <c r="IQI56" s="850">
        <f t="shared" si="116"/>
        <v>8.194805729099591E+45</v>
      </c>
      <c r="IQJ56" s="850">
        <f t="shared" si="116"/>
        <v>0</v>
      </c>
      <c r="IQK56" s="850">
        <f t="shared" si="116"/>
        <v>8.4406499009725786E+45</v>
      </c>
      <c r="IQL56" s="850">
        <f t="shared" ref="IQL56:ISW56" si="117">IQJ56*$C$56</f>
        <v>0</v>
      </c>
      <c r="IQM56" s="850">
        <f t="shared" si="117"/>
        <v>8.6938693980017557E+45</v>
      </c>
      <c r="IQN56" s="850">
        <f t="shared" si="117"/>
        <v>0</v>
      </c>
      <c r="IQO56" s="850">
        <f t="shared" si="117"/>
        <v>8.954685479941809E+45</v>
      </c>
      <c r="IQP56" s="850">
        <f t="shared" si="117"/>
        <v>0</v>
      </c>
      <c r="IQQ56" s="850">
        <f t="shared" si="117"/>
        <v>9.2233260443400641E+45</v>
      </c>
      <c r="IQR56" s="850">
        <f t="shared" si="117"/>
        <v>0</v>
      </c>
      <c r="IQS56" s="850">
        <f t="shared" si="117"/>
        <v>9.5000258256702658E+45</v>
      </c>
      <c r="IQT56" s="850">
        <f t="shared" si="117"/>
        <v>0</v>
      </c>
      <c r="IQU56" s="850">
        <f t="shared" si="117"/>
        <v>9.7850266004403737E+45</v>
      </c>
      <c r="IQV56" s="850">
        <f t="shared" si="117"/>
        <v>0</v>
      </c>
      <c r="IQW56" s="850">
        <f t="shared" si="117"/>
        <v>1.0078577398453585E+46</v>
      </c>
      <c r="IQX56" s="850">
        <f t="shared" si="117"/>
        <v>0</v>
      </c>
      <c r="IQY56" s="850">
        <f t="shared" si="117"/>
        <v>1.0380934720407193E+46</v>
      </c>
      <c r="IQZ56" s="850">
        <f t="shared" si="117"/>
        <v>0</v>
      </c>
      <c r="IRA56" s="850">
        <f t="shared" si="117"/>
        <v>1.0692362762019409E+46</v>
      </c>
      <c r="IRB56" s="850">
        <f t="shared" si="117"/>
        <v>0</v>
      </c>
      <c r="IRC56" s="850">
        <f t="shared" si="117"/>
        <v>1.1013133644879991E+46</v>
      </c>
      <c r="IRD56" s="850">
        <f t="shared" si="117"/>
        <v>0</v>
      </c>
      <c r="IRE56" s="850">
        <f t="shared" si="117"/>
        <v>1.1343527654226392E+46</v>
      </c>
      <c r="IRF56" s="850">
        <f t="shared" si="117"/>
        <v>0</v>
      </c>
      <c r="IRG56" s="850">
        <f t="shared" si="117"/>
        <v>1.1683833483853183E+46</v>
      </c>
      <c r="IRH56" s="850">
        <f t="shared" si="117"/>
        <v>0</v>
      </c>
      <c r="IRI56" s="850">
        <f t="shared" si="117"/>
        <v>1.2034348488368779E+46</v>
      </c>
      <c r="IRJ56" s="850">
        <f t="shared" si="117"/>
        <v>0</v>
      </c>
      <c r="IRK56" s="850">
        <f t="shared" si="117"/>
        <v>1.2395378943019843E+46</v>
      </c>
      <c r="IRL56" s="850">
        <f t="shared" si="117"/>
        <v>0</v>
      </c>
      <c r="IRM56" s="850">
        <f t="shared" si="117"/>
        <v>1.276724031131044E+46</v>
      </c>
      <c r="IRN56" s="850">
        <f t="shared" si="117"/>
        <v>0</v>
      </c>
      <c r="IRO56" s="850">
        <f t="shared" si="117"/>
        <v>1.3150257520649752E+46</v>
      </c>
      <c r="IRP56" s="850">
        <f t="shared" si="117"/>
        <v>0</v>
      </c>
      <c r="IRQ56" s="850">
        <f t="shared" si="117"/>
        <v>1.3544765246269246E+46</v>
      </c>
      <c r="IRR56" s="850">
        <f t="shared" si="117"/>
        <v>0</v>
      </c>
      <c r="IRS56" s="850">
        <f t="shared" si="117"/>
        <v>1.3951108203657323E+46</v>
      </c>
      <c r="IRT56" s="850">
        <f t="shared" si="117"/>
        <v>0</v>
      </c>
      <c r="IRU56" s="850">
        <f t="shared" si="117"/>
        <v>1.4369641449767043E+46</v>
      </c>
      <c r="IRV56" s="850">
        <f t="shared" si="117"/>
        <v>0</v>
      </c>
      <c r="IRW56" s="850">
        <f t="shared" si="117"/>
        <v>1.4800730693260054E+46</v>
      </c>
      <c r="IRX56" s="850">
        <f t="shared" si="117"/>
        <v>0</v>
      </c>
      <c r="IRY56" s="850">
        <f t="shared" si="117"/>
        <v>1.5244752614057856E+46</v>
      </c>
      <c r="IRZ56" s="850">
        <f t="shared" si="117"/>
        <v>0</v>
      </c>
      <c r="ISA56" s="850">
        <f t="shared" si="117"/>
        <v>1.5702095192479591E+46</v>
      </c>
      <c r="ISB56" s="850">
        <f t="shared" si="117"/>
        <v>0</v>
      </c>
      <c r="ISC56" s="850">
        <f t="shared" si="117"/>
        <v>1.6173158048253978E+46</v>
      </c>
      <c r="ISD56" s="850">
        <f t="shared" si="117"/>
        <v>0</v>
      </c>
      <c r="ISE56" s="850">
        <f t="shared" si="117"/>
        <v>1.6658352789701598E+46</v>
      </c>
      <c r="ISF56" s="850">
        <f t="shared" si="117"/>
        <v>0</v>
      </c>
      <c r="ISG56" s="850">
        <f t="shared" si="117"/>
        <v>1.7158103373392647E+46</v>
      </c>
      <c r="ISH56" s="850">
        <f t="shared" si="117"/>
        <v>0</v>
      </c>
      <c r="ISI56" s="850">
        <f t="shared" si="117"/>
        <v>1.7672846474594426E+46</v>
      </c>
      <c r="ISJ56" s="850">
        <f t="shared" si="117"/>
        <v>0</v>
      </c>
      <c r="ISK56" s="850">
        <f t="shared" si="117"/>
        <v>1.8203031868832259E+46</v>
      </c>
      <c r="ISL56" s="850">
        <f t="shared" si="117"/>
        <v>0</v>
      </c>
      <c r="ISM56" s="850">
        <f t="shared" si="117"/>
        <v>1.8749122824897226E+46</v>
      </c>
      <c r="ISN56" s="850">
        <f t="shared" si="117"/>
        <v>0</v>
      </c>
      <c r="ISO56" s="850">
        <f t="shared" si="117"/>
        <v>1.9311596509644145E+46</v>
      </c>
      <c r="ISP56" s="850">
        <f t="shared" si="117"/>
        <v>0</v>
      </c>
      <c r="ISQ56" s="850">
        <f t="shared" si="117"/>
        <v>1.9890944404933469E+46</v>
      </c>
      <c r="ISR56" s="850">
        <f t="shared" si="117"/>
        <v>0</v>
      </c>
      <c r="ISS56" s="850">
        <f t="shared" si="117"/>
        <v>2.0487672737081474E+46</v>
      </c>
      <c r="IST56" s="850">
        <f t="shared" si="117"/>
        <v>0</v>
      </c>
      <c r="ISU56" s="850">
        <f t="shared" si="117"/>
        <v>2.1102302919193918E+46</v>
      </c>
      <c r="ISV56" s="850">
        <f t="shared" si="117"/>
        <v>0</v>
      </c>
      <c r="ISW56" s="850">
        <f t="shared" si="117"/>
        <v>2.1735372006769736E+46</v>
      </c>
      <c r="ISX56" s="850">
        <f t="shared" ref="ISX56:IVI56" si="118">ISV56*$C$56</f>
        <v>0</v>
      </c>
      <c r="ISY56" s="850">
        <f t="shared" si="118"/>
        <v>2.2387433166972828E+46</v>
      </c>
      <c r="ISZ56" s="850">
        <f t="shared" si="118"/>
        <v>0</v>
      </c>
      <c r="ITA56" s="850">
        <f t="shared" si="118"/>
        <v>2.3059056161982012E+46</v>
      </c>
      <c r="ITB56" s="850">
        <f t="shared" si="118"/>
        <v>0</v>
      </c>
      <c r="ITC56" s="850">
        <f t="shared" si="118"/>
        <v>2.3750827846841474E+46</v>
      </c>
      <c r="ITD56" s="850">
        <f t="shared" si="118"/>
        <v>0</v>
      </c>
      <c r="ITE56" s="850">
        <f t="shared" si="118"/>
        <v>2.4463352682246717E+46</v>
      </c>
      <c r="ITF56" s="850">
        <f t="shared" si="118"/>
        <v>0</v>
      </c>
      <c r="ITG56" s="850">
        <f t="shared" si="118"/>
        <v>2.5197253262714118E+46</v>
      </c>
      <c r="ITH56" s="850">
        <f t="shared" si="118"/>
        <v>0</v>
      </c>
      <c r="ITI56" s="850">
        <f t="shared" si="118"/>
        <v>2.595317086059554E+46</v>
      </c>
      <c r="ITJ56" s="850">
        <f t="shared" si="118"/>
        <v>0</v>
      </c>
      <c r="ITK56" s="850">
        <f t="shared" si="118"/>
        <v>2.673176598641341E+46</v>
      </c>
      <c r="ITL56" s="850">
        <f t="shared" si="118"/>
        <v>0</v>
      </c>
      <c r="ITM56" s="850">
        <f t="shared" si="118"/>
        <v>2.7533718966005814E+46</v>
      </c>
      <c r="ITN56" s="850">
        <f t="shared" si="118"/>
        <v>0</v>
      </c>
      <c r="ITO56" s="850">
        <f t="shared" si="118"/>
        <v>2.8359730534985988E+46</v>
      </c>
      <c r="ITP56" s="850">
        <f t="shared" si="118"/>
        <v>0</v>
      </c>
      <c r="ITQ56" s="850">
        <f t="shared" si="118"/>
        <v>2.921052245103557E+46</v>
      </c>
      <c r="ITR56" s="850">
        <f t="shared" si="118"/>
        <v>0</v>
      </c>
      <c r="ITS56" s="850">
        <f t="shared" si="118"/>
        <v>3.0086838124566639E+46</v>
      </c>
      <c r="ITT56" s="850">
        <f t="shared" si="118"/>
        <v>0</v>
      </c>
      <c r="ITU56" s="850">
        <f t="shared" si="118"/>
        <v>3.098944326830364E+46</v>
      </c>
      <c r="ITV56" s="850">
        <f t="shared" si="118"/>
        <v>0</v>
      </c>
      <c r="ITW56" s="850">
        <f t="shared" si="118"/>
        <v>3.1919126566352749E+46</v>
      </c>
      <c r="ITX56" s="850">
        <f t="shared" si="118"/>
        <v>0</v>
      </c>
      <c r="ITY56" s="850">
        <f t="shared" si="118"/>
        <v>3.2876700363343331E+46</v>
      </c>
      <c r="ITZ56" s="850">
        <f t="shared" si="118"/>
        <v>0</v>
      </c>
      <c r="IUA56" s="850">
        <f t="shared" si="118"/>
        <v>3.3863001374243634E+46</v>
      </c>
      <c r="IUB56" s="850">
        <f t="shared" si="118"/>
        <v>0</v>
      </c>
      <c r="IUC56" s="850">
        <f t="shared" si="118"/>
        <v>3.4878891415470946E+46</v>
      </c>
      <c r="IUD56" s="850">
        <f t="shared" si="118"/>
        <v>0</v>
      </c>
      <c r="IUE56" s="850">
        <f t="shared" si="118"/>
        <v>3.5925258157935077E+46</v>
      </c>
      <c r="IUF56" s="850">
        <f t="shared" si="118"/>
        <v>0</v>
      </c>
      <c r="IUG56" s="850">
        <f t="shared" si="118"/>
        <v>3.7003015902673129E+46</v>
      </c>
      <c r="IUH56" s="850">
        <f t="shared" si="118"/>
        <v>0</v>
      </c>
      <c r="IUI56" s="850">
        <f t="shared" si="118"/>
        <v>3.8113106379753325E+46</v>
      </c>
      <c r="IUJ56" s="850">
        <f t="shared" si="118"/>
        <v>0</v>
      </c>
      <c r="IUK56" s="850">
        <f t="shared" si="118"/>
        <v>3.9256499571145925E+46</v>
      </c>
      <c r="IUL56" s="850">
        <f t="shared" si="118"/>
        <v>0</v>
      </c>
      <c r="IUM56" s="850">
        <f t="shared" si="118"/>
        <v>4.0434194558280301E+46</v>
      </c>
      <c r="IUN56" s="850">
        <f t="shared" si="118"/>
        <v>0</v>
      </c>
      <c r="IUO56" s="850">
        <f t="shared" si="118"/>
        <v>4.1647220395028714E+46</v>
      </c>
      <c r="IUP56" s="850">
        <f t="shared" si="118"/>
        <v>0</v>
      </c>
      <c r="IUQ56" s="850">
        <f t="shared" si="118"/>
        <v>4.2896637006879575E+46</v>
      </c>
      <c r="IUR56" s="850">
        <f t="shared" si="118"/>
        <v>0</v>
      </c>
      <c r="IUS56" s="850">
        <f t="shared" si="118"/>
        <v>4.4183536117085966E+46</v>
      </c>
      <c r="IUT56" s="850">
        <f t="shared" si="118"/>
        <v>0</v>
      </c>
      <c r="IUU56" s="850">
        <f t="shared" si="118"/>
        <v>4.5509042200598546E+46</v>
      </c>
      <c r="IUV56" s="850">
        <f t="shared" si="118"/>
        <v>0</v>
      </c>
      <c r="IUW56" s="850">
        <f t="shared" si="118"/>
        <v>4.6874313466616505E+46</v>
      </c>
      <c r="IUX56" s="850">
        <f t="shared" si="118"/>
        <v>0</v>
      </c>
      <c r="IUY56" s="850">
        <f t="shared" si="118"/>
        <v>4.8280542870614999E+46</v>
      </c>
      <c r="IUZ56" s="850">
        <f t="shared" si="118"/>
        <v>0</v>
      </c>
      <c r="IVA56" s="850">
        <f t="shared" si="118"/>
        <v>4.9728959156733448E+46</v>
      </c>
      <c r="IVB56" s="850">
        <f t="shared" si="118"/>
        <v>0</v>
      </c>
      <c r="IVC56" s="850">
        <f t="shared" si="118"/>
        <v>5.1220827931435452E+46</v>
      </c>
      <c r="IVD56" s="850">
        <f t="shared" si="118"/>
        <v>0</v>
      </c>
      <c r="IVE56" s="850">
        <f t="shared" si="118"/>
        <v>5.2757452769378516E+46</v>
      </c>
      <c r="IVF56" s="850">
        <f t="shared" si="118"/>
        <v>0</v>
      </c>
      <c r="IVG56" s="850">
        <f t="shared" si="118"/>
        <v>5.4340176352459869E+46</v>
      </c>
      <c r="IVH56" s="850">
        <f t="shared" si="118"/>
        <v>0</v>
      </c>
      <c r="IVI56" s="850">
        <f t="shared" si="118"/>
        <v>5.5970381643033666E+46</v>
      </c>
      <c r="IVJ56" s="850">
        <f t="shared" ref="IVJ56:IXU56" si="119">IVH56*$C$56</f>
        <v>0</v>
      </c>
      <c r="IVK56" s="850">
        <f t="shared" si="119"/>
        <v>5.7649493092324677E+46</v>
      </c>
      <c r="IVL56" s="850">
        <f t="shared" si="119"/>
        <v>0</v>
      </c>
      <c r="IVM56" s="850">
        <f t="shared" si="119"/>
        <v>5.9378977885094418E+46</v>
      </c>
      <c r="IVN56" s="850">
        <f t="shared" si="119"/>
        <v>0</v>
      </c>
      <c r="IVO56" s="850">
        <f t="shared" si="119"/>
        <v>6.1160347221647255E+46</v>
      </c>
      <c r="IVP56" s="850">
        <f t="shared" si="119"/>
        <v>0</v>
      </c>
      <c r="IVQ56" s="850">
        <f t="shared" si="119"/>
        <v>6.2995157638296671E+46</v>
      </c>
      <c r="IVR56" s="850">
        <f t="shared" si="119"/>
        <v>0</v>
      </c>
      <c r="IVS56" s="850">
        <f t="shared" si="119"/>
        <v>6.4885012367445577E+46</v>
      </c>
      <c r="IVT56" s="850">
        <f t="shared" si="119"/>
        <v>0</v>
      </c>
      <c r="IVU56" s="850">
        <f t="shared" si="119"/>
        <v>6.6831562738468947E+46</v>
      </c>
      <c r="IVV56" s="850">
        <f t="shared" si="119"/>
        <v>0</v>
      </c>
      <c r="IVW56" s="850">
        <f t="shared" si="119"/>
        <v>6.8836509620623016E+46</v>
      </c>
      <c r="IVX56" s="850">
        <f t="shared" si="119"/>
        <v>0</v>
      </c>
      <c r="IVY56" s="850">
        <f t="shared" si="119"/>
        <v>7.0901604909241713E+46</v>
      </c>
      <c r="IVZ56" s="850">
        <f t="shared" si="119"/>
        <v>0</v>
      </c>
      <c r="IWA56" s="850">
        <f t="shared" si="119"/>
        <v>7.3028653056518963E+46</v>
      </c>
      <c r="IWB56" s="850">
        <f t="shared" si="119"/>
        <v>0</v>
      </c>
      <c r="IWC56" s="850">
        <f t="shared" si="119"/>
        <v>7.5219512648214534E+46</v>
      </c>
      <c r="IWD56" s="850">
        <f t="shared" si="119"/>
        <v>0</v>
      </c>
      <c r="IWE56" s="850">
        <f t="shared" si="119"/>
        <v>7.747609802766097E+46</v>
      </c>
      <c r="IWF56" s="850">
        <f t="shared" si="119"/>
        <v>0</v>
      </c>
      <c r="IWG56" s="850">
        <f t="shared" si="119"/>
        <v>7.9800380968490801E+46</v>
      </c>
      <c r="IWH56" s="850">
        <f t="shared" si="119"/>
        <v>0</v>
      </c>
      <c r="IWI56" s="850">
        <f t="shared" si="119"/>
        <v>8.2194392397545528E+46</v>
      </c>
      <c r="IWJ56" s="850">
        <f t="shared" si="119"/>
        <v>0</v>
      </c>
      <c r="IWK56" s="850">
        <f t="shared" si="119"/>
        <v>8.4660224169471898E+46</v>
      </c>
      <c r="IWL56" s="850">
        <f t="shared" si="119"/>
        <v>0</v>
      </c>
      <c r="IWM56" s="850">
        <f t="shared" si="119"/>
        <v>8.7200030894556058E+46</v>
      </c>
      <c r="IWN56" s="850">
        <f t="shared" si="119"/>
        <v>0</v>
      </c>
      <c r="IWO56" s="850">
        <f t="shared" si="119"/>
        <v>8.9816031821392742E+46</v>
      </c>
      <c r="IWP56" s="850">
        <f t="shared" si="119"/>
        <v>0</v>
      </c>
      <c r="IWQ56" s="850">
        <f t="shared" si="119"/>
        <v>9.2510512776034529E+46</v>
      </c>
      <c r="IWR56" s="850">
        <f t="shared" si="119"/>
        <v>0</v>
      </c>
      <c r="IWS56" s="850">
        <f t="shared" si="119"/>
        <v>9.5285828159315568E+46</v>
      </c>
      <c r="IWT56" s="850">
        <f t="shared" si="119"/>
        <v>0</v>
      </c>
      <c r="IWU56" s="850">
        <f t="shared" si="119"/>
        <v>9.8144403004095046E+46</v>
      </c>
      <c r="IWV56" s="850">
        <f t="shared" si="119"/>
        <v>0</v>
      </c>
      <c r="IWW56" s="850">
        <f t="shared" si="119"/>
        <v>1.0108873509421789E+47</v>
      </c>
      <c r="IWX56" s="850">
        <f t="shared" si="119"/>
        <v>0</v>
      </c>
      <c r="IWY56" s="850">
        <f t="shared" si="119"/>
        <v>1.0412139714704444E+47</v>
      </c>
      <c r="IWZ56" s="850">
        <f t="shared" si="119"/>
        <v>0</v>
      </c>
      <c r="IXA56" s="850">
        <f t="shared" si="119"/>
        <v>1.0724503906145577E+47</v>
      </c>
      <c r="IXB56" s="850">
        <f t="shared" si="119"/>
        <v>0</v>
      </c>
      <c r="IXC56" s="850">
        <f t="shared" si="119"/>
        <v>1.1046239023329944E+47</v>
      </c>
      <c r="IXD56" s="850">
        <f t="shared" si="119"/>
        <v>0</v>
      </c>
      <c r="IXE56" s="850">
        <f t="shared" si="119"/>
        <v>1.1377626194029842E+47</v>
      </c>
      <c r="IXF56" s="850">
        <f t="shared" si="119"/>
        <v>0</v>
      </c>
      <c r="IXG56" s="850">
        <f t="shared" si="119"/>
        <v>1.1718954979850738E+47</v>
      </c>
      <c r="IXH56" s="850">
        <f t="shared" si="119"/>
        <v>0</v>
      </c>
      <c r="IXI56" s="850">
        <f t="shared" si="119"/>
        <v>1.207052362924626E+47</v>
      </c>
      <c r="IXJ56" s="850">
        <f t="shared" si="119"/>
        <v>0</v>
      </c>
      <c r="IXK56" s="850">
        <f t="shared" si="119"/>
        <v>1.2432639338123648E+47</v>
      </c>
      <c r="IXL56" s="850">
        <f t="shared" si="119"/>
        <v>0</v>
      </c>
      <c r="IXM56" s="850">
        <f t="shared" si="119"/>
        <v>1.2805618518267359E+47</v>
      </c>
      <c r="IXN56" s="850">
        <f t="shared" si="119"/>
        <v>0</v>
      </c>
      <c r="IXO56" s="850">
        <f t="shared" si="119"/>
        <v>1.3189787073815381E+47</v>
      </c>
      <c r="IXP56" s="850">
        <f t="shared" si="119"/>
        <v>0</v>
      </c>
      <c r="IXQ56" s="850">
        <f t="shared" si="119"/>
        <v>1.3585480686029842E+47</v>
      </c>
      <c r="IXR56" s="850">
        <f t="shared" si="119"/>
        <v>0</v>
      </c>
      <c r="IXS56" s="850">
        <f t="shared" si="119"/>
        <v>1.3993045106610738E+47</v>
      </c>
      <c r="IXT56" s="850">
        <f t="shared" si="119"/>
        <v>0</v>
      </c>
      <c r="IXU56" s="850">
        <f t="shared" si="119"/>
        <v>1.4412836459809061E+47</v>
      </c>
      <c r="IXV56" s="850">
        <f t="shared" ref="IXV56:JAG56" si="120">IXT56*$C$56</f>
        <v>0</v>
      </c>
      <c r="IXW56" s="850">
        <f t="shared" si="120"/>
        <v>1.4845221553603334E+47</v>
      </c>
      <c r="IXX56" s="850">
        <f t="shared" si="120"/>
        <v>0</v>
      </c>
      <c r="IXY56" s="850">
        <f t="shared" si="120"/>
        <v>1.5290578200211435E+47</v>
      </c>
      <c r="IXZ56" s="850">
        <f t="shared" si="120"/>
        <v>0</v>
      </c>
      <c r="IYA56" s="850">
        <f t="shared" si="120"/>
        <v>1.5749295546217779E+47</v>
      </c>
      <c r="IYB56" s="850">
        <f t="shared" si="120"/>
        <v>0</v>
      </c>
      <c r="IYC56" s="850">
        <f t="shared" si="120"/>
        <v>1.6221774412604312E+47</v>
      </c>
      <c r="IYD56" s="850">
        <f t="shared" si="120"/>
        <v>0</v>
      </c>
      <c r="IYE56" s="850">
        <f t="shared" si="120"/>
        <v>1.6708427644982441E+47</v>
      </c>
      <c r="IYF56" s="850">
        <f t="shared" si="120"/>
        <v>0</v>
      </c>
      <c r="IYG56" s="850">
        <f t="shared" si="120"/>
        <v>1.7209680474331915E+47</v>
      </c>
      <c r="IYH56" s="850">
        <f t="shared" si="120"/>
        <v>0</v>
      </c>
      <c r="IYI56" s="850">
        <f t="shared" si="120"/>
        <v>1.7725970888561873E+47</v>
      </c>
      <c r="IYJ56" s="850">
        <f t="shared" si="120"/>
        <v>0</v>
      </c>
      <c r="IYK56" s="850">
        <f t="shared" si="120"/>
        <v>1.8257750015218729E+47</v>
      </c>
      <c r="IYL56" s="850">
        <f t="shared" si="120"/>
        <v>0</v>
      </c>
      <c r="IYM56" s="850">
        <f t="shared" si="120"/>
        <v>1.8805482515675291E+47</v>
      </c>
      <c r="IYN56" s="850">
        <f t="shared" si="120"/>
        <v>0</v>
      </c>
      <c r="IYO56" s="850">
        <f t="shared" si="120"/>
        <v>1.9369646991145548E+47</v>
      </c>
      <c r="IYP56" s="850">
        <f t="shared" si="120"/>
        <v>0</v>
      </c>
      <c r="IYQ56" s="850">
        <f t="shared" si="120"/>
        <v>1.9950736400879914E+47</v>
      </c>
      <c r="IYR56" s="850">
        <f t="shared" si="120"/>
        <v>0</v>
      </c>
      <c r="IYS56" s="850">
        <f t="shared" si="120"/>
        <v>2.054925849290631E+47</v>
      </c>
      <c r="IYT56" s="850">
        <f t="shared" si="120"/>
        <v>0</v>
      </c>
      <c r="IYU56" s="850">
        <f t="shared" si="120"/>
        <v>2.1165736247693499E+47</v>
      </c>
      <c r="IYV56" s="850">
        <f t="shared" si="120"/>
        <v>0</v>
      </c>
      <c r="IYW56" s="850">
        <f t="shared" si="120"/>
        <v>2.1800708335124302E+47</v>
      </c>
      <c r="IYX56" s="850">
        <f t="shared" si="120"/>
        <v>0</v>
      </c>
      <c r="IYY56" s="850">
        <f t="shared" si="120"/>
        <v>2.245472958517803E+47</v>
      </c>
      <c r="IYZ56" s="850">
        <f t="shared" si="120"/>
        <v>0</v>
      </c>
      <c r="IZA56" s="850">
        <f t="shared" si="120"/>
        <v>2.3128371472733374E+47</v>
      </c>
      <c r="IZB56" s="850">
        <f t="shared" si="120"/>
        <v>0</v>
      </c>
      <c r="IZC56" s="850">
        <f t="shared" si="120"/>
        <v>2.3822222616915375E+47</v>
      </c>
      <c r="IZD56" s="850">
        <f t="shared" si="120"/>
        <v>0</v>
      </c>
      <c r="IZE56" s="850">
        <f t="shared" si="120"/>
        <v>2.4536889295422838E+47</v>
      </c>
      <c r="IZF56" s="850">
        <f t="shared" si="120"/>
        <v>0</v>
      </c>
      <c r="IZG56" s="850">
        <f t="shared" si="120"/>
        <v>2.5272995974285524E+47</v>
      </c>
      <c r="IZH56" s="850">
        <f t="shared" si="120"/>
        <v>0</v>
      </c>
      <c r="IZI56" s="850">
        <f t="shared" si="120"/>
        <v>2.6031185853514092E+47</v>
      </c>
      <c r="IZJ56" s="850">
        <f t="shared" si="120"/>
        <v>0</v>
      </c>
      <c r="IZK56" s="850">
        <f t="shared" si="120"/>
        <v>2.6812121429119514E+47</v>
      </c>
      <c r="IZL56" s="850">
        <f t="shared" si="120"/>
        <v>0</v>
      </c>
      <c r="IZM56" s="850">
        <f t="shared" si="120"/>
        <v>2.7616485071993101E+47</v>
      </c>
      <c r="IZN56" s="850">
        <f t="shared" si="120"/>
        <v>0</v>
      </c>
      <c r="IZO56" s="850">
        <f t="shared" si="120"/>
        <v>2.8444979624152896E+47</v>
      </c>
      <c r="IZP56" s="850">
        <f t="shared" si="120"/>
        <v>0</v>
      </c>
      <c r="IZQ56" s="850">
        <f t="shared" si="120"/>
        <v>2.9298329012877483E+47</v>
      </c>
      <c r="IZR56" s="850">
        <f t="shared" si="120"/>
        <v>0</v>
      </c>
      <c r="IZS56" s="850">
        <f t="shared" si="120"/>
        <v>3.0177278883263809E+47</v>
      </c>
      <c r="IZT56" s="850">
        <f t="shared" si="120"/>
        <v>0</v>
      </c>
      <c r="IZU56" s="850">
        <f t="shared" si="120"/>
        <v>3.1082597249761723E+47</v>
      </c>
      <c r="IZV56" s="850">
        <f t="shared" si="120"/>
        <v>0</v>
      </c>
      <c r="IZW56" s="850">
        <f t="shared" si="120"/>
        <v>3.2015075167254576E+47</v>
      </c>
      <c r="IZX56" s="850">
        <f t="shared" si="120"/>
        <v>0</v>
      </c>
      <c r="IZY56" s="850">
        <f t="shared" si="120"/>
        <v>3.2975527422272216E+47</v>
      </c>
      <c r="IZZ56" s="850">
        <f t="shared" si="120"/>
        <v>0</v>
      </c>
      <c r="JAA56" s="850">
        <f t="shared" si="120"/>
        <v>3.3964793244940385E+47</v>
      </c>
      <c r="JAB56" s="850">
        <f t="shared" si="120"/>
        <v>0</v>
      </c>
      <c r="JAC56" s="850">
        <f t="shared" si="120"/>
        <v>3.4983737042288598E+47</v>
      </c>
      <c r="JAD56" s="850">
        <f t="shared" si="120"/>
        <v>0</v>
      </c>
      <c r="JAE56" s="850">
        <f t="shared" si="120"/>
        <v>3.6033249153557255E+47</v>
      </c>
      <c r="JAF56" s="850">
        <f t="shared" si="120"/>
        <v>0</v>
      </c>
      <c r="JAG56" s="850">
        <f t="shared" si="120"/>
        <v>3.7114246628163975E+47</v>
      </c>
      <c r="JAH56" s="850">
        <f t="shared" ref="JAH56:JCS56" si="121">JAF56*$C$56</f>
        <v>0</v>
      </c>
      <c r="JAI56" s="850">
        <f t="shared" si="121"/>
        <v>3.8227674027008897E+47</v>
      </c>
      <c r="JAJ56" s="850">
        <f t="shared" si="121"/>
        <v>0</v>
      </c>
      <c r="JAK56" s="850">
        <f t="shared" si="121"/>
        <v>3.9374504247819164E+47</v>
      </c>
      <c r="JAL56" s="850">
        <f t="shared" si="121"/>
        <v>0</v>
      </c>
      <c r="JAM56" s="850">
        <f t="shared" si="121"/>
        <v>4.0555739375253743E+47</v>
      </c>
      <c r="JAN56" s="850">
        <f t="shared" si="121"/>
        <v>0</v>
      </c>
      <c r="JAO56" s="850">
        <f t="shared" si="121"/>
        <v>4.1772411556511354E+47</v>
      </c>
      <c r="JAP56" s="850">
        <f t="shared" si="121"/>
        <v>0</v>
      </c>
      <c r="JAQ56" s="850">
        <f t="shared" si="121"/>
        <v>4.3025583903206694E+47</v>
      </c>
      <c r="JAR56" s="850">
        <f t="shared" si="121"/>
        <v>0</v>
      </c>
      <c r="JAS56" s="850">
        <f t="shared" si="121"/>
        <v>4.4316351420302896E+47</v>
      </c>
      <c r="JAT56" s="850">
        <f t="shared" si="121"/>
        <v>0</v>
      </c>
      <c r="JAU56" s="850">
        <f t="shared" si="121"/>
        <v>4.5645841962911987E+47</v>
      </c>
      <c r="JAV56" s="850">
        <f t="shared" si="121"/>
        <v>0</v>
      </c>
      <c r="JAW56" s="850">
        <f t="shared" si="121"/>
        <v>4.7015217221799346E+47</v>
      </c>
      <c r="JAX56" s="850">
        <f t="shared" si="121"/>
        <v>0</v>
      </c>
      <c r="JAY56" s="850">
        <f t="shared" si="121"/>
        <v>4.8425673738453327E+47</v>
      </c>
      <c r="JAZ56" s="850">
        <f t="shared" si="121"/>
        <v>0</v>
      </c>
      <c r="JBA56" s="850">
        <f t="shared" si="121"/>
        <v>4.987844395060693E+47</v>
      </c>
      <c r="JBB56" s="850">
        <f t="shared" si="121"/>
        <v>0</v>
      </c>
      <c r="JBC56" s="850">
        <f t="shared" si="121"/>
        <v>5.1374797269125143E+47</v>
      </c>
      <c r="JBD56" s="850">
        <f t="shared" si="121"/>
        <v>0</v>
      </c>
      <c r="JBE56" s="850">
        <f t="shared" si="121"/>
        <v>5.2916041187198898E+47</v>
      </c>
      <c r="JBF56" s="850">
        <f t="shared" si="121"/>
        <v>0</v>
      </c>
      <c r="JBG56" s="850">
        <f t="shared" si="121"/>
        <v>5.4503522422814866E+47</v>
      </c>
      <c r="JBH56" s="850">
        <f t="shared" si="121"/>
        <v>0</v>
      </c>
      <c r="JBI56" s="850">
        <f t="shared" si="121"/>
        <v>5.613862809549931E+47</v>
      </c>
      <c r="JBJ56" s="850">
        <f t="shared" si="121"/>
        <v>0</v>
      </c>
      <c r="JBK56" s="850">
        <f t="shared" si="121"/>
        <v>5.7822786938364289E+47</v>
      </c>
      <c r="JBL56" s="850">
        <f t="shared" si="121"/>
        <v>0</v>
      </c>
      <c r="JBM56" s="850">
        <f t="shared" si="121"/>
        <v>5.9557470546515223E+47</v>
      </c>
      <c r="JBN56" s="850">
        <f t="shared" si="121"/>
        <v>0</v>
      </c>
      <c r="JBO56" s="850">
        <f t="shared" si="121"/>
        <v>6.1344194662910684E+47</v>
      </c>
      <c r="JBP56" s="850">
        <f t="shared" si="121"/>
        <v>0</v>
      </c>
      <c r="JBQ56" s="850">
        <f t="shared" si="121"/>
        <v>6.3184520502798003E+47</v>
      </c>
      <c r="JBR56" s="850">
        <f t="shared" si="121"/>
        <v>0</v>
      </c>
      <c r="JBS56" s="850">
        <f t="shared" si="121"/>
        <v>6.5080056117881945E+47</v>
      </c>
      <c r="JBT56" s="850">
        <f t="shared" si="121"/>
        <v>0</v>
      </c>
      <c r="JBU56" s="850">
        <f t="shared" si="121"/>
        <v>6.7032457801418406E+47</v>
      </c>
      <c r="JBV56" s="850">
        <f t="shared" si="121"/>
        <v>0</v>
      </c>
      <c r="JBW56" s="850">
        <f t="shared" si="121"/>
        <v>6.9043431535460959E+47</v>
      </c>
      <c r="JBX56" s="850">
        <f t="shared" si="121"/>
        <v>0</v>
      </c>
      <c r="JBY56" s="850">
        <f t="shared" si="121"/>
        <v>7.1114734481524788E+47</v>
      </c>
      <c r="JBZ56" s="850">
        <f t="shared" si="121"/>
        <v>0</v>
      </c>
      <c r="JCA56" s="850">
        <f t="shared" si="121"/>
        <v>7.3248176515970532E+47</v>
      </c>
      <c r="JCB56" s="850">
        <f t="shared" si="121"/>
        <v>0</v>
      </c>
      <c r="JCC56" s="850">
        <f t="shared" si="121"/>
        <v>7.5445621811449652E+47</v>
      </c>
      <c r="JCD56" s="850">
        <f t="shared" si="121"/>
        <v>0</v>
      </c>
      <c r="JCE56" s="850">
        <f t="shared" si="121"/>
        <v>7.7708990465793138E+47</v>
      </c>
      <c r="JCF56" s="850">
        <f t="shared" si="121"/>
        <v>0</v>
      </c>
      <c r="JCG56" s="850">
        <f t="shared" si="121"/>
        <v>8.0040260179766927E+47</v>
      </c>
      <c r="JCH56" s="850">
        <f t="shared" si="121"/>
        <v>0</v>
      </c>
      <c r="JCI56" s="850">
        <f t="shared" si="121"/>
        <v>8.2441467985159934E+47</v>
      </c>
      <c r="JCJ56" s="850">
        <f t="shared" si="121"/>
        <v>0</v>
      </c>
      <c r="JCK56" s="850">
        <f t="shared" si="121"/>
        <v>8.4914712024714736E+47</v>
      </c>
      <c r="JCL56" s="850">
        <f t="shared" si="121"/>
        <v>0</v>
      </c>
      <c r="JCM56" s="850">
        <f t="shared" si="121"/>
        <v>8.7462153385456173E+47</v>
      </c>
      <c r="JCN56" s="850">
        <f t="shared" si="121"/>
        <v>0</v>
      </c>
      <c r="JCO56" s="850">
        <f t="shared" si="121"/>
        <v>9.008601798701986E+47</v>
      </c>
      <c r="JCP56" s="850">
        <f t="shared" si="121"/>
        <v>0</v>
      </c>
      <c r="JCQ56" s="850">
        <f t="shared" si="121"/>
        <v>9.278859852663045E+47</v>
      </c>
      <c r="JCR56" s="850">
        <f t="shared" si="121"/>
        <v>0</v>
      </c>
      <c r="JCS56" s="850">
        <f t="shared" si="121"/>
        <v>9.5572256482429373E+47</v>
      </c>
      <c r="JCT56" s="850">
        <f t="shared" ref="JCT56:JFE56" si="122">JCR56*$C$56</f>
        <v>0</v>
      </c>
      <c r="JCU56" s="850">
        <f t="shared" si="122"/>
        <v>9.8439424176902252E+47</v>
      </c>
      <c r="JCV56" s="850">
        <f t="shared" si="122"/>
        <v>0</v>
      </c>
      <c r="JCW56" s="850">
        <f t="shared" si="122"/>
        <v>1.0139260690220933E+48</v>
      </c>
      <c r="JCX56" s="850">
        <f t="shared" si="122"/>
        <v>0</v>
      </c>
      <c r="JCY56" s="850">
        <f t="shared" si="122"/>
        <v>1.0443438510927561E+48</v>
      </c>
      <c r="JCZ56" s="850">
        <f t="shared" si="122"/>
        <v>0</v>
      </c>
      <c r="JDA56" s="850">
        <f t="shared" si="122"/>
        <v>1.0756741666255389E+48</v>
      </c>
      <c r="JDB56" s="850">
        <f t="shared" si="122"/>
        <v>0</v>
      </c>
      <c r="JDC56" s="850">
        <f t="shared" si="122"/>
        <v>1.1079443916243051E+48</v>
      </c>
      <c r="JDD56" s="850">
        <f t="shared" si="122"/>
        <v>0</v>
      </c>
      <c r="JDE56" s="850">
        <f t="shared" si="122"/>
        <v>1.1411827233730342E+48</v>
      </c>
      <c r="JDF56" s="850">
        <f t="shared" si="122"/>
        <v>0</v>
      </c>
      <c r="JDG56" s="850">
        <f t="shared" si="122"/>
        <v>1.1754182050742252E+48</v>
      </c>
      <c r="JDH56" s="850">
        <f t="shared" si="122"/>
        <v>0</v>
      </c>
      <c r="JDI56" s="850">
        <f t="shared" si="122"/>
        <v>1.2106807512264521E+48</v>
      </c>
      <c r="JDJ56" s="850">
        <f t="shared" si="122"/>
        <v>0</v>
      </c>
      <c r="JDK56" s="850">
        <f t="shared" si="122"/>
        <v>1.2470011737632457E+48</v>
      </c>
      <c r="JDL56" s="850">
        <f t="shared" si="122"/>
        <v>0</v>
      </c>
      <c r="JDM56" s="850">
        <f t="shared" si="122"/>
        <v>1.2844112089761431E+48</v>
      </c>
      <c r="JDN56" s="850">
        <f t="shared" si="122"/>
        <v>0</v>
      </c>
      <c r="JDO56" s="850">
        <f t="shared" si="122"/>
        <v>1.3229435452454275E+48</v>
      </c>
      <c r="JDP56" s="850">
        <f t="shared" si="122"/>
        <v>0</v>
      </c>
      <c r="JDQ56" s="850">
        <f t="shared" si="122"/>
        <v>1.3626318516027903E+48</v>
      </c>
      <c r="JDR56" s="850">
        <f t="shared" si="122"/>
        <v>0</v>
      </c>
      <c r="JDS56" s="850">
        <f t="shared" si="122"/>
        <v>1.403510807150874E+48</v>
      </c>
      <c r="JDT56" s="850">
        <f t="shared" si="122"/>
        <v>0</v>
      </c>
      <c r="JDU56" s="850">
        <f t="shared" si="122"/>
        <v>1.4456161313654002E+48</v>
      </c>
      <c r="JDV56" s="850">
        <f t="shared" si="122"/>
        <v>0</v>
      </c>
      <c r="JDW56" s="850">
        <f t="shared" si="122"/>
        <v>1.4889846153063622E+48</v>
      </c>
      <c r="JDX56" s="850">
        <f t="shared" si="122"/>
        <v>0</v>
      </c>
      <c r="JDY56" s="850">
        <f t="shared" si="122"/>
        <v>1.5336541537655531E+48</v>
      </c>
      <c r="JDZ56" s="850">
        <f t="shared" si="122"/>
        <v>0</v>
      </c>
      <c r="JEA56" s="850">
        <f t="shared" si="122"/>
        <v>1.5796637783785196E+48</v>
      </c>
      <c r="JEB56" s="850">
        <f t="shared" si="122"/>
        <v>0</v>
      </c>
      <c r="JEC56" s="850">
        <f t="shared" si="122"/>
        <v>1.6270536917298754E+48</v>
      </c>
      <c r="JED56" s="850">
        <f t="shared" si="122"/>
        <v>0</v>
      </c>
      <c r="JEE56" s="850">
        <f t="shared" si="122"/>
        <v>1.6758653024817718E+48</v>
      </c>
      <c r="JEF56" s="850">
        <f t="shared" si="122"/>
        <v>0</v>
      </c>
      <c r="JEG56" s="850">
        <f t="shared" si="122"/>
        <v>1.7261412615562251E+48</v>
      </c>
      <c r="JEH56" s="850">
        <f t="shared" si="122"/>
        <v>0</v>
      </c>
      <c r="JEI56" s="850">
        <f t="shared" si="122"/>
        <v>1.777925499402912E+48</v>
      </c>
      <c r="JEJ56" s="850">
        <f t="shared" si="122"/>
        <v>0</v>
      </c>
      <c r="JEK56" s="850">
        <f t="shared" si="122"/>
        <v>1.8312632643849995E+48</v>
      </c>
      <c r="JEL56" s="850">
        <f t="shared" si="122"/>
        <v>0</v>
      </c>
      <c r="JEM56" s="850">
        <f t="shared" si="122"/>
        <v>1.8862011623165495E+48</v>
      </c>
      <c r="JEN56" s="850">
        <f t="shared" si="122"/>
        <v>0</v>
      </c>
      <c r="JEO56" s="850">
        <f t="shared" si="122"/>
        <v>1.9427871971860461E+48</v>
      </c>
      <c r="JEP56" s="850">
        <f t="shared" si="122"/>
        <v>0</v>
      </c>
      <c r="JEQ56" s="850">
        <f t="shared" si="122"/>
        <v>2.0010708131016274E+48</v>
      </c>
      <c r="JER56" s="850">
        <f t="shared" si="122"/>
        <v>0</v>
      </c>
      <c r="JES56" s="850">
        <f t="shared" si="122"/>
        <v>2.0611029374946764E+48</v>
      </c>
      <c r="JET56" s="850">
        <f t="shared" si="122"/>
        <v>0</v>
      </c>
      <c r="JEU56" s="850">
        <f t="shared" si="122"/>
        <v>2.1229360256195169E+48</v>
      </c>
      <c r="JEV56" s="850">
        <f t="shared" si="122"/>
        <v>0</v>
      </c>
      <c r="JEW56" s="850">
        <f t="shared" si="122"/>
        <v>2.1866241063881025E+48</v>
      </c>
      <c r="JEX56" s="850">
        <f t="shared" si="122"/>
        <v>0</v>
      </c>
      <c r="JEY56" s="850">
        <f t="shared" si="122"/>
        <v>2.2522228295797456E+48</v>
      </c>
      <c r="JEZ56" s="850">
        <f t="shared" si="122"/>
        <v>0</v>
      </c>
      <c r="JFA56" s="850">
        <f t="shared" si="122"/>
        <v>2.3197895144671381E+48</v>
      </c>
      <c r="JFB56" s="850">
        <f t="shared" si="122"/>
        <v>0</v>
      </c>
      <c r="JFC56" s="850">
        <f t="shared" si="122"/>
        <v>2.3893831999011523E+48</v>
      </c>
      <c r="JFD56" s="850">
        <f t="shared" si="122"/>
        <v>0</v>
      </c>
      <c r="JFE56" s="850">
        <f t="shared" si="122"/>
        <v>2.4610646958981868E+48</v>
      </c>
      <c r="JFF56" s="850">
        <f t="shared" ref="JFF56:JHQ56" si="123">JFD56*$C$56</f>
        <v>0</v>
      </c>
      <c r="JFG56" s="850">
        <f t="shared" si="123"/>
        <v>2.5348966367751324E+48</v>
      </c>
      <c r="JFH56" s="850">
        <f t="shared" si="123"/>
        <v>0</v>
      </c>
      <c r="JFI56" s="850">
        <f t="shared" si="123"/>
        <v>2.6109435358783864E+48</v>
      </c>
      <c r="JFJ56" s="850">
        <f t="shared" si="123"/>
        <v>0</v>
      </c>
      <c r="JFK56" s="850">
        <f t="shared" si="123"/>
        <v>2.6892718419547381E+48</v>
      </c>
      <c r="JFL56" s="850">
        <f t="shared" si="123"/>
        <v>0</v>
      </c>
      <c r="JFM56" s="850">
        <f t="shared" si="123"/>
        <v>2.7699499972133805E+48</v>
      </c>
      <c r="JFN56" s="850">
        <f t="shared" si="123"/>
        <v>0</v>
      </c>
      <c r="JFO56" s="850">
        <f t="shared" si="123"/>
        <v>2.8530484971297821E+48</v>
      </c>
      <c r="JFP56" s="850">
        <f t="shared" si="123"/>
        <v>0</v>
      </c>
      <c r="JFQ56" s="850">
        <f t="shared" si="123"/>
        <v>2.9386399520436759E+48</v>
      </c>
      <c r="JFR56" s="850">
        <f t="shared" si="123"/>
        <v>0</v>
      </c>
      <c r="JFS56" s="850">
        <f t="shared" si="123"/>
        <v>3.0267991506049862E+48</v>
      </c>
      <c r="JFT56" s="850">
        <f t="shared" si="123"/>
        <v>0</v>
      </c>
      <c r="JFU56" s="850">
        <f t="shared" si="123"/>
        <v>3.1176031251231359E+48</v>
      </c>
      <c r="JFV56" s="850">
        <f t="shared" si="123"/>
        <v>0</v>
      </c>
      <c r="JFW56" s="850">
        <f t="shared" si="123"/>
        <v>3.21113121887683E+48</v>
      </c>
      <c r="JFX56" s="850">
        <f t="shared" si="123"/>
        <v>0</v>
      </c>
      <c r="JFY56" s="850">
        <f t="shared" si="123"/>
        <v>3.3074651554431351E+48</v>
      </c>
      <c r="JFZ56" s="850">
        <f t="shared" si="123"/>
        <v>0</v>
      </c>
      <c r="JGA56" s="850">
        <f t="shared" si="123"/>
        <v>3.4066891101064294E+48</v>
      </c>
      <c r="JGB56" s="850">
        <f t="shared" si="123"/>
        <v>0</v>
      </c>
      <c r="JGC56" s="850">
        <f t="shared" si="123"/>
        <v>3.5088897834096222E+48</v>
      </c>
      <c r="JGD56" s="850">
        <f t="shared" si="123"/>
        <v>0</v>
      </c>
      <c r="JGE56" s="850">
        <f t="shared" si="123"/>
        <v>3.614156476911911E+48</v>
      </c>
      <c r="JGF56" s="850">
        <f t="shared" si="123"/>
        <v>0</v>
      </c>
      <c r="JGG56" s="850">
        <f t="shared" si="123"/>
        <v>3.7225811712192687E+48</v>
      </c>
      <c r="JGH56" s="850">
        <f t="shared" si="123"/>
        <v>0</v>
      </c>
      <c r="JGI56" s="850">
        <f t="shared" si="123"/>
        <v>3.8342586063558467E+48</v>
      </c>
      <c r="JGJ56" s="850">
        <f t="shared" si="123"/>
        <v>0</v>
      </c>
      <c r="JGK56" s="850">
        <f t="shared" si="123"/>
        <v>3.9492863645465223E+48</v>
      </c>
      <c r="JGL56" s="850">
        <f t="shared" si="123"/>
        <v>0</v>
      </c>
      <c r="JGM56" s="850">
        <f t="shared" si="123"/>
        <v>4.0677649554829183E+48</v>
      </c>
      <c r="JGN56" s="850">
        <f t="shared" si="123"/>
        <v>0</v>
      </c>
      <c r="JGO56" s="850">
        <f t="shared" si="123"/>
        <v>4.1897979041474061E+48</v>
      </c>
      <c r="JGP56" s="850">
        <f t="shared" si="123"/>
        <v>0</v>
      </c>
      <c r="JGQ56" s="850">
        <f t="shared" si="123"/>
        <v>4.3154918412718284E+48</v>
      </c>
      <c r="JGR56" s="850">
        <f t="shared" si="123"/>
        <v>0</v>
      </c>
      <c r="JGS56" s="850">
        <f t="shared" si="123"/>
        <v>4.4449565965099837E+48</v>
      </c>
      <c r="JGT56" s="850">
        <f t="shared" si="123"/>
        <v>0</v>
      </c>
      <c r="JGU56" s="850">
        <f t="shared" si="123"/>
        <v>4.5783052944052834E+48</v>
      </c>
      <c r="JGV56" s="850">
        <f t="shared" si="123"/>
        <v>0</v>
      </c>
      <c r="JGW56" s="850">
        <f t="shared" si="123"/>
        <v>4.7156544532374419E+48</v>
      </c>
      <c r="JGX56" s="850">
        <f t="shared" si="123"/>
        <v>0</v>
      </c>
      <c r="JGY56" s="850">
        <f t="shared" si="123"/>
        <v>4.857124086834565E+48</v>
      </c>
      <c r="JGZ56" s="850">
        <f t="shared" si="123"/>
        <v>0</v>
      </c>
      <c r="JHA56" s="850">
        <f t="shared" si="123"/>
        <v>5.0028378094396021E+48</v>
      </c>
      <c r="JHB56" s="850">
        <f t="shared" si="123"/>
        <v>0</v>
      </c>
      <c r="JHC56" s="850">
        <f t="shared" si="123"/>
        <v>5.1529229437227902E+48</v>
      </c>
      <c r="JHD56" s="850">
        <f t="shared" si="123"/>
        <v>0</v>
      </c>
      <c r="JHE56" s="850">
        <f t="shared" si="123"/>
        <v>5.307510632034474E+48</v>
      </c>
      <c r="JHF56" s="850">
        <f t="shared" si="123"/>
        <v>0</v>
      </c>
      <c r="JHG56" s="850">
        <f t="shared" si="123"/>
        <v>5.4667359509955085E+48</v>
      </c>
      <c r="JHH56" s="850">
        <f t="shared" si="123"/>
        <v>0</v>
      </c>
      <c r="JHI56" s="850">
        <f t="shared" si="123"/>
        <v>5.630738029525374E+48</v>
      </c>
      <c r="JHJ56" s="850">
        <f t="shared" si="123"/>
        <v>0</v>
      </c>
      <c r="JHK56" s="850">
        <f t="shared" si="123"/>
        <v>5.7996601704111355E+48</v>
      </c>
      <c r="JHL56" s="850">
        <f t="shared" si="123"/>
        <v>0</v>
      </c>
      <c r="JHM56" s="850">
        <f t="shared" si="123"/>
        <v>5.9736499755234703E+48</v>
      </c>
      <c r="JHN56" s="850">
        <f t="shared" si="123"/>
        <v>0</v>
      </c>
      <c r="JHO56" s="850">
        <f t="shared" si="123"/>
        <v>6.1528594747891747E+48</v>
      </c>
      <c r="JHP56" s="850">
        <f t="shared" si="123"/>
        <v>0</v>
      </c>
      <c r="JHQ56" s="850">
        <f t="shared" si="123"/>
        <v>6.3374452590328496E+48</v>
      </c>
      <c r="JHR56" s="850">
        <f t="shared" ref="JHR56:JKC56" si="124">JHP56*$C$56</f>
        <v>0</v>
      </c>
      <c r="JHS56" s="850">
        <f t="shared" si="124"/>
        <v>6.5275686168038358E+48</v>
      </c>
      <c r="JHT56" s="850">
        <f t="shared" si="124"/>
        <v>0</v>
      </c>
      <c r="JHU56" s="850">
        <f t="shared" si="124"/>
        <v>6.7233956753079515E+48</v>
      </c>
      <c r="JHV56" s="850">
        <f t="shared" si="124"/>
        <v>0</v>
      </c>
      <c r="JHW56" s="850">
        <f t="shared" si="124"/>
        <v>6.9250975455671904E+48</v>
      </c>
      <c r="JHX56" s="850">
        <f t="shared" si="124"/>
        <v>0</v>
      </c>
      <c r="JHY56" s="850">
        <f t="shared" si="124"/>
        <v>7.1328504719342063E+48</v>
      </c>
      <c r="JHZ56" s="850">
        <f t="shared" si="124"/>
        <v>0</v>
      </c>
      <c r="JIA56" s="850">
        <f t="shared" si="124"/>
        <v>7.3468359860922331E+48</v>
      </c>
      <c r="JIB56" s="850">
        <f t="shared" si="124"/>
        <v>0</v>
      </c>
      <c r="JIC56" s="850">
        <f t="shared" si="124"/>
        <v>7.5672410656749999E+48</v>
      </c>
      <c r="JID56" s="850">
        <f t="shared" si="124"/>
        <v>0</v>
      </c>
      <c r="JIE56" s="850">
        <f t="shared" si="124"/>
        <v>7.7942582976452498E+48</v>
      </c>
      <c r="JIF56" s="850">
        <f t="shared" si="124"/>
        <v>0</v>
      </c>
      <c r="JIG56" s="850">
        <f t="shared" si="124"/>
        <v>8.0280860465746073E+48</v>
      </c>
      <c r="JIH56" s="850">
        <f t="shared" si="124"/>
        <v>0</v>
      </c>
      <c r="JII56" s="850">
        <f t="shared" si="124"/>
        <v>8.2689286279718461E+48</v>
      </c>
      <c r="JIJ56" s="850">
        <f t="shared" si="124"/>
        <v>0</v>
      </c>
      <c r="JIK56" s="850">
        <f t="shared" si="124"/>
        <v>8.5169964868110014E+48</v>
      </c>
      <c r="JIL56" s="850">
        <f t="shared" si="124"/>
        <v>0</v>
      </c>
      <c r="JIM56" s="850">
        <f t="shared" si="124"/>
        <v>8.7725063814153323E+48</v>
      </c>
      <c r="JIN56" s="850">
        <f t="shared" si="124"/>
        <v>0</v>
      </c>
      <c r="JIO56" s="850">
        <f t="shared" si="124"/>
        <v>9.0356815728577925E+48</v>
      </c>
      <c r="JIP56" s="850">
        <f t="shared" si="124"/>
        <v>0</v>
      </c>
      <c r="JIQ56" s="850">
        <f t="shared" si="124"/>
        <v>9.3067520200435271E+48</v>
      </c>
      <c r="JIR56" s="850">
        <f t="shared" si="124"/>
        <v>0</v>
      </c>
      <c r="JIS56" s="850">
        <f t="shared" si="124"/>
        <v>9.5859545806448333E+48</v>
      </c>
      <c r="JIT56" s="850">
        <f t="shared" si="124"/>
        <v>0</v>
      </c>
      <c r="JIU56" s="850">
        <f t="shared" si="124"/>
        <v>9.8735332180641789E+48</v>
      </c>
      <c r="JIV56" s="850">
        <f t="shared" si="124"/>
        <v>0</v>
      </c>
      <c r="JIW56" s="850">
        <f t="shared" si="124"/>
        <v>1.0169739214606105E+49</v>
      </c>
      <c r="JIX56" s="850">
        <f t="shared" si="124"/>
        <v>0</v>
      </c>
      <c r="JIY56" s="850">
        <f t="shared" si="124"/>
        <v>1.0474831391044289E+49</v>
      </c>
      <c r="JIZ56" s="850">
        <f t="shared" si="124"/>
        <v>0</v>
      </c>
      <c r="JJA56" s="850">
        <f t="shared" si="124"/>
        <v>1.0789076332775617E+49</v>
      </c>
      <c r="JJB56" s="850">
        <f t="shared" si="124"/>
        <v>0</v>
      </c>
      <c r="JJC56" s="850">
        <f t="shared" si="124"/>
        <v>1.1112748622758886E+49</v>
      </c>
      <c r="JJD56" s="850">
        <f t="shared" si="124"/>
        <v>0</v>
      </c>
      <c r="JJE56" s="850">
        <f t="shared" si="124"/>
        <v>1.1446131081441652E+49</v>
      </c>
      <c r="JJF56" s="850">
        <f t="shared" si="124"/>
        <v>0</v>
      </c>
      <c r="JJG56" s="850">
        <f t="shared" si="124"/>
        <v>1.1789515013884901E+49</v>
      </c>
      <c r="JJH56" s="850">
        <f t="shared" si="124"/>
        <v>0</v>
      </c>
      <c r="JJI56" s="850">
        <f t="shared" si="124"/>
        <v>1.2143200464301448E+49</v>
      </c>
      <c r="JJJ56" s="850">
        <f t="shared" si="124"/>
        <v>0</v>
      </c>
      <c r="JJK56" s="850">
        <f t="shared" si="124"/>
        <v>1.2507496478230492E+49</v>
      </c>
      <c r="JJL56" s="850">
        <f t="shared" si="124"/>
        <v>0</v>
      </c>
      <c r="JJM56" s="850">
        <f t="shared" si="124"/>
        <v>1.2882721372577407E+49</v>
      </c>
      <c r="JJN56" s="850">
        <f t="shared" si="124"/>
        <v>0</v>
      </c>
      <c r="JJO56" s="850">
        <f t="shared" si="124"/>
        <v>1.326920301375473E+49</v>
      </c>
      <c r="JJP56" s="850">
        <f t="shared" si="124"/>
        <v>0</v>
      </c>
      <c r="JJQ56" s="850">
        <f t="shared" si="124"/>
        <v>1.3667279104167373E+49</v>
      </c>
      <c r="JJR56" s="850">
        <f t="shared" si="124"/>
        <v>0</v>
      </c>
      <c r="JJS56" s="850">
        <f t="shared" si="124"/>
        <v>1.4077297477292396E+49</v>
      </c>
      <c r="JJT56" s="850">
        <f t="shared" si="124"/>
        <v>0</v>
      </c>
      <c r="JJU56" s="850">
        <f t="shared" si="124"/>
        <v>1.4499616401611168E+49</v>
      </c>
      <c r="JJV56" s="850">
        <f t="shared" si="124"/>
        <v>0</v>
      </c>
      <c r="JJW56" s="850">
        <f t="shared" si="124"/>
        <v>1.4934604893659505E+49</v>
      </c>
      <c r="JJX56" s="850">
        <f t="shared" si="124"/>
        <v>0</v>
      </c>
      <c r="JJY56" s="850">
        <f t="shared" si="124"/>
        <v>1.538264304046929E+49</v>
      </c>
      <c r="JJZ56" s="850">
        <f t="shared" si="124"/>
        <v>0</v>
      </c>
      <c r="JKA56" s="850">
        <f t="shared" si="124"/>
        <v>1.5844122331683368E+49</v>
      </c>
      <c r="JKB56" s="850">
        <f t="shared" si="124"/>
        <v>0</v>
      </c>
      <c r="JKC56" s="850">
        <f t="shared" si="124"/>
        <v>1.6319446001633869E+49</v>
      </c>
      <c r="JKD56" s="850">
        <f t="shared" ref="JKD56:JMO56" si="125">JKB56*$C$56</f>
        <v>0</v>
      </c>
      <c r="JKE56" s="850">
        <f t="shared" si="125"/>
        <v>1.6809029381682884E+49</v>
      </c>
      <c r="JKF56" s="850">
        <f t="shared" si="125"/>
        <v>0</v>
      </c>
      <c r="JKG56" s="850">
        <f t="shared" si="125"/>
        <v>1.7313300263133371E+49</v>
      </c>
      <c r="JKH56" s="850">
        <f t="shared" si="125"/>
        <v>0</v>
      </c>
      <c r="JKI56" s="850">
        <f t="shared" si="125"/>
        <v>1.7832699271027373E+49</v>
      </c>
      <c r="JKJ56" s="850">
        <f t="shared" si="125"/>
        <v>0</v>
      </c>
      <c r="JKK56" s="850">
        <f t="shared" si="125"/>
        <v>1.8367680249158194E+49</v>
      </c>
      <c r="JKL56" s="850">
        <f t="shared" si="125"/>
        <v>0</v>
      </c>
      <c r="JKM56" s="850">
        <f t="shared" si="125"/>
        <v>1.891871065663294E+49</v>
      </c>
      <c r="JKN56" s="850">
        <f t="shared" si="125"/>
        <v>0</v>
      </c>
      <c r="JKO56" s="850">
        <f t="shared" si="125"/>
        <v>1.9486271976331929E+49</v>
      </c>
      <c r="JKP56" s="850">
        <f t="shared" si="125"/>
        <v>0</v>
      </c>
      <c r="JKQ56" s="850">
        <f t="shared" si="125"/>
        <v>2.0070860135621887E+49</v>
      </c>
      <c r="JKR56" s="850">
        <f t="shared" si="125"/>
        <v>0</v>
      </c>
      <c r="JKS56" s="850">
        <f t="shared" si="125"/>
        <v>2.0672985939690545E+49</v>
      </c>
      <c r="JKT56" s="850">
        <f t="shared" si="125"/>
        <v>0</v>
      </c>
      <c r="JKU56" s="850">
        <f t="shared" si="125"/>
        <v>2.1293175517881262E+49</v>
      </c>
      <c r="JKV56" s="850">
        <f t="shared" si="125"/>
        <v>0</v>
      </c>
      <c r="JKW56" s="850">
        <f t="shared" si="125"/>
        <v>2.1931970783417699E+49</v>
      </c>
      <c r="JKX56" s="850">
        <f t="shared" si="125"/>
        <v>0</v>
      </c>
      <c r="JKY56" s="850">
        <f t="shared" si="125"/>
        <v>2.258992990692023E+49</v>
      </c>
      <c r="JKZ56" s="850">
        <f t="shared" si="125"/>
        <v>0</v>
      </c>
      <c r="JLA56" s="850">
        <f t="shared" si="125"/>
        <v>2.3267627804127838E+49</v>
      </c>
      <c r="JLB56" s="850">
        <f t="shared" si="125"/>
        <v>0</v>
      </c>
      <c r="JLC56" s="850">
        <f t="shared" si="125"/>
        <v>2.3965656638251676E+49</v>
      </c>
      <c r="JLD56" s="850">
        <f t="shared" si="125"/>
        <v>0</v>
      </c>
      <c r="JLE56" s="850">
        <f t="shared" si="125"/>
        <v>2.4684626337399227E+49</v>
      </c>
      <c r="JLF56" s="850">
        <f t="shared" si="125"/>
        <v>0</v>
      </c>
      <c r="JLG56" s="850">
        <f t="shared" si="125"/>
        <v>2.5425165127521204E+49</v>
      </c>
      <c r="JLH56" s="850">
        <f t="shared" si="125"/>
        <v>0</v>
      </c>
      <c r="JLI56" s="850">
        <f t="shared" si="125"/>
        <v>2.6187920081346842E+49</v>
      </c>
      <c r="JLJ56" s="850">
        <f t="shared" si="125"/>
        <v>0</v>
      </c>
      <c r="JLK56" s="850">
        <f t="shared" si="125"/>
        <v>2.6973557683787247E+49</v>
      </c>
      <c r="JLL56" s="850">
        <f t="shared" si="125"/>
        <v>0</v>
      </c>
      <c r="JLM56" s="850">
        <f t="shared" si="125"/>
        <v>2.7782764414300865E+49</v>
      </c>
      <c r="JLN56" s="850">
        <f t="shared" si="125"/>
        <v>0</v>
      </c>
      <c r="JLO56" s="850">
        <f t="shared" si="125"/>
        <v>2.8616247346729894E+49</v>
      </c>
      <c r="JLP56" s="850">
        <f t="shared" si="125"/>
        <v>0</v>
      </c>
      <c r="JLQ56" s="850">
        <f t="shared" si="125"/>
        <v>2.9474734767131792E+49</v>
      </c>
      <c r="JLR56" s="850">
        <f t="shared" si="125"/>
        <v>0</v>
      </c>
      <c r="JLS56" s="850">
        <f t="shared" si="125"/>
        <v>3.0358976810145746E+49</v>
      </c>
      <c r="JLT56" s="850">
        <f t="shared" si="125"/>
        <v>0</v>
      </c>
      <c r="JLU56" s="850">
        <f t="shared" si="125"/>
        <v>3.1269746114450118E+49</v>
      </c>
      <c r="JLV56" s="850">
        <f t="shared" si="125"/>
        <v>0</v>
      </c>
      <c r="JLW56" s="850">
        <f t="shared" si="125"/>
        <v>3.2207838497883623E+49</v>
      </c>
      <c r="JLX56" s="850">
        <f t="shared" si="125"/>
        <v>0</v>
      </c>
      <c r="JLY56" s="850">
        <f t="shared" si="125"/>
        <v>3.317407365282013E+49</v>
      </c>
      <c r="JLZ56" s="850">
        <f t="shared" si="125"/>
        <v>0</v>
      </c>
      <c r="JMA56" s="850">
        <f t="shared" si="125"/>
        <v>3.4169295862404735E+49</v>
      </c>
      <c r="JMB56" s="850">
        <f t="shared" si="125"/>
        <v>0</v>
      </c>
      <c r="JMC56" s="850">
        <f t="shared" si="125"/>
        <v>3.519437473827688E+49</v>
      </c>
      <c r="JMD56" s="850">
        <f t="shared" si="125"/>
        <v>0</v>
      </c>
      <c r="JME56" s="850">
        <f t="shared" si="125"/>
        <v>3.625020598042519E+49</v>
      </c>
      <c r="JMF56" s="850">
        <f t="shared" si="125"/>
        <v>0</v>
      </c>
      <c r="JMG56" s="850">
        <f t="shared" si="125"/>
        <v>3.7337712159837948E+49</v>
      </c>
      <c r="JMH56" s="850">
        <f t="shared" si="125"/>
        <v>0</v>
      </c>
      <c r="JMI56" s="850">
        <f t="shared" si="125"/>
        <v>3.8457843524633087E+49</v>
      </c>
      <c r="JMJ56" s="850">
        <f t="shared" si="125"/>
        <v>0</v>
      </c>
      <c r="JMK56" s="850">
        <f t="shared" si="125"/>
        <v>3.961157883037208E+49</v>
      </c>
      <c r="JML56" s="850">
        <f t="shared" si="125"/>
        <v>0</v>
      </c>
      <c r="JMM56" s="850">
        <f t="shared" si="125"/>
        <v>4.0799926195283246E+49</v>
      </c>
      <c r="JMN56" s="850">
        <f t="shared" si="125"/>
        <v>0</v>
      </c>
      <c r="JMO56" s="850">
        <f t="shared" si="125"/>
        <v>4.2023923981141746E+49</v>
      </c>
      <c r="JMP56" s="850">
        <f t="shared" ref="JMP56:JPA56" si="126">JMN56*$C$56</f>
        <v>0</v>
      </c>
      <c r="JMQ56" s="850">
        <f t="shared" si="126"/>
        <v>4.3284641700575997E+49</v>
      </c>
      <c r="JMR56" s="850">
        <f t="shared" si="126"/>
        <v>0</v>
      </c>
      <c r="JMS56" s="850">
        <f t="shared" si="126"/>
        <v>4.4583180951593281E+49</v>
      </c>
      <c r="JMT56" s="850">
        <f t="shared" si="126"/>
        <v>0</v>
      </c>
      <c r="JMU56" s="850">
        <f t="shared" si="126"/>
        <v>4.5920676380141082E+49</v>
      </c>
      <c r="JMV56" s="850">
        <f t="shared" si="126"/>
        <v>0</v>
      </c>
      <c r="JMW56" s="850">
        <f t="shared" si="126"/>
        <v>4.729829667154532E+49</v>
      </c>
      <c r="JMX56" s="850">
        <f t="shared" si="126"/>
        <v>0</v>
      </c>
      <c r="JMY56" s="850">
        <f t="shared" si="126"/>
        <v>4.8717245571691686E+49</v>
      </c>
      <c r="JMZ56" s="850">
        <f t="shared" si="126"/>
        <v>0</v>
      </c>
      <c r="JNA56" s="850">
        <f t="shared" si="126"/>
        <v>5.0178762938842434E+49</v>
      </c>
      <c r="JNB56" s="850">
        <f t="shared" si="126"/>
        <v>0</v>
      </c>
      <c r="JNC56" s="850">
        <f t="shared" si="126"/>
        <v>5.168412582700771E+49</v>
      </c>
      <c r="JND56" s="850">
        <f t="shared" si="126"/>
        <v>0</v>
      </c>
      <c r="JNE56" s="850">
        <f t="shared" si="126"/>
        <v>5.3234649601817944E+49</v>
      </c>
      <c r="JNF56" s="850">
        <f t="shared" si="126"/>
        <v>0</v>
      </c>
      <c r="JNG56" s="850">
        <f t="shared" si="126"/>
        <v>5.4831689089872484E+49</v>
      </c>
      <c r="JNH56" s="850">
        <f t="shared" si="126"/>
        <v>0</v>
      </c>
      <c r="JNI56" s="850">
        <f t="shared" si="126"/>
        <v>5.6476639762568664E+49</v>
      </c>
      <c r="JNJ56" s="850">
        <f t="shared" si="126"/>
        <v>0</v>
      </c>
      <c r="JNK56" s="850">
        <f t="shared" si="126"/>
        <v>5.8170938955445727E+49</v>
      </c>
      <c r="JNL56" s="850">
        <f t="shared" si="126"/>
        <v>0</v>
      </c>
      <c r="JNM56" s="850">
        <f t="shared" si="126"/>
        <v>5.9916067124109095E+49</v>
      </c>
      <c r="JNN56" s="850">
        <f t="shared" si="126"/>
        <v>0</v>
      </c>
      <c r="JNO56" s="850">
        <f t="shared" si="126"/>
        <v>6.1713549137832368E+49</v>
      </c>
      <c r="JNP56" s="850">
        <f t="shared" si="126"/>
        <v>0</v>
      </c>
      <c r="JNQ56" s="850">
        <f t="shared" si="126"/>
        <v>6.3564955611967343E+49</v>
      </c>
      <c r="JNR56" s="850">
        <f t="shared" si="126"/>
        <v>0</v>
      </c>
      <c r="JNS56" s="850">
        <f t="shared" si="126"/>
        <v>6.5471904280326362E+49</v>
      </c>
      <c r="JNT56" s="850">
        <f t="shared" si="126"/>
        <v>0</v>
      </c>
      <c r="JNU56" s="850">
        <f t="shared" si="126"/>
        <v>6.7436061408736152E+49</v>
      </c>
      <c r="JNV56" s="850">
        <f t="shared" si="126"/>
        <v>0</v>
      </c>
      <c r="JNW56" s="850">
        <f t="shared" si="126"/>
        <v>6.9459143250998235E+49</v>
      </c>
      <c r="JNX56" s="850">
        <f t="shared" si="126"/>
        <v>0</v>
      </c>
      <c r="JNY56" s="850">
        <f t="shared" si="126"/>
        <v>7.1542917548528181E+49</v>
      </c>
      <c r="JNZ56" s="850">
        <f t="shared" si="126"/>
        <v>0</v>
      </c>
      <c r="JOA56" s="850">
        <f t="shared" si="126"/>
        <v>7.3689205074984024E+49</v>
      </c>
      <c r="JOB56" s="850">
        <f t="shared" si="126"/>
        <v>0</v>
      </c>
      <c r="JOC56" s="850">
        <f t="shared" si="126"/>
        <v>7.5899881227233551E+49</v>
      </c>
      <c r="JOD56" s="850">
        <f t="shared" si="126"/>
        <v>0</v>
      </c>
      <c r="JOE56" s="850">
        <f t="shared" si="126"/>
        <v>7.8176877664050562E+49</v>
      </c>
      <c r="JOF56" s="850">
        <f t="shared" si="126"/>
        <v>0</v>
      </c>
      <c r="JOG56" s="850">
        <f t="shared" si="126"/>
        <v>8.0522183993972079E+49</v>
      </c>
      <c r="JOH56" s="850">
        <f t="shared" si="126"/>
        <v>0</v>
      </c>
      <c r="JOI56" s="850">
        <f t="shared" si="126"/>
        <v>8.2937849513791241E+49</v>
      </c>
      <c r="JOJ56" s="850">
        <f t="shared" si="126"/>
        <v>0</v>
      </c>
      <c r="JOK56" s="850">
        <f t="shared" si="126"/>
        <v>8.5425984999204984E+49</v>
      </c>
      <c r="JOL56" s="850">
        <f t="shared" si="126"/>
        <v>0</v>
      </c>
      <c r="JOM56" s="850">
        <f t="shared" si="126"/>
        <v>8.7988764549181139E+49</v>
      </c>
      <c r="JON56" s="850">
        <f t="shared" si="126"/>
        <v>0</v>
      </c>
      <c r="JOO56" s="850">
        <f t="shared" si="126"/>
        <v>9.0628427485656573E+49</v>
      </c>
      <c r="JOP56" s="850">
        <f t="shared" si="126"/>
        <v>0</v>
      </c>
      <c r="JOQ56" s="850">
        <f t="shared" si="126"/>
        <v>9.3347280310226272E+49</v>
      </c>
      <c r="JOR56" s="850">
        <f t="shared" si="126"/>
        <v>0</v>
      </c>
      <c r="JOS56" s="850">
        <f t="shared" si="126"/>
        <v>9.6147698719533053E+49</v>
      </c>
      <c r="JOT56" s="850">
        <f t="shared" si="126"/>
        <v>0</v>
      </c>
      <c r="JOU56" s="850">
        <f t="shared" si="126"/>
        <v>9.9032129681119039E+49</v>
      </c>
      <c r="JOV56" s="850">
        <f t="shared" si="126"/>
        <v>0</v>
      </c>
      <c r="JOW56" s="850">
        <f t="shared" si="126"/>
        <v>1.020030935715526E+50</v>
      </c>
      <c r="JOX56" s="850">
        <f t="shared" si="126"/>
        <v>0</v>
      </c>
      <c r="JOY56" s="850">
        <f t="shared" si="126"/>
        <v>1.0506318637869919E+50</v>
      </c>
      <c r="JOZ56" s="850">
        <f t="shared" si="126"/>
        <v>0</v>
      </c>
      <c r="JPA56" s="850">
        <f t="shared" si="126"/>
        <v>1.0821508197006017E+50</v>
      </c>
      <c r="JPB56" s="850">
        <f t="shared" ref="JPB56:JRM56" si="127">JOZ56*$C$56</f>
        <v>0</v>
      </c>
      <c r="JPC56" s="850">
        <f t="shared" si="127"/>
        <v>1.1146153442916199E+50</v>
      </c>
      <c r="JPD56" s="850">
        <f t="shared" si="127"/>
        <v>0</v>
      </c>
      <c r="JPE56" s="850">
        <f t="shared" si="127"/>
        <v>1.1480538046203685E+50</v>
      </c>
      <c r="JPF56" s="850">
        <f t="shared" si="127"/>
        <v>0</v>
      </c>
      <c r="JPG56" s="850">
        <f t="shared" si="127"/>
        <v>1.1824954187589796E+50</v>
      </c>
      <c r="JPH56" s="850">
        <f t="shared" si="127"/>
        <v>0</v>
      </c>
      <c r="JPI56" s="850">
        <f t="shared" si="127"/>
        <v>1.217970281321749E+50</v>
      </c>
      <c r="JPJ56" s="850">
        <f t="shared" si="127"/>
        <v>0</v>
      </c>
      <c r="JPK56" s="850">
        <f t="shared" si="127"/>
        <v>1.2545093897614015E+50</v>
      </c>
      <c r="JPL56" s="850">
        <f t="shared" si="127"/>
        <v>0</v>
      </c>
      <c r="JPM56" s="850">
        <f t="shared" si="127"/>
        <v>1.2921446714542435E+50</v>
      </c>
      <c r="JPN56" s="850">
        <f t="shared" si="127"/>
        <v>0</v>
      </c>
      <c r="JPO56" s="850">
        <f t="shared" si="127"/>
        <v>1.3309090115978708E+50</v>
      </c>
      <c r="JPP56" s="850">
        <f t="shared" si="127"/>
        <v>0</v>
      </c>
      <c r="JPQ56" s="850">
        <f t="shared" si="127"/>
        <v>1.370836281945807E+50</v>
      </c>
      <c r="JPR56" s="850">
        <f t="shared" si="127"/>
        <v>0</v>
      </c>
      <c r="JPS56" s="850">
        <f t="shared" si="127"/>
        <v>1.4119613704041812E+50</v>
      </c>
      <c r="JPT56" s="850">
        <f t="shared" si="127"/>
        <v>0</v>
      </c>
      <c r="JPU56" s="850">
        <f t="shared" si="127"/>
        <v>1.4543202115163067E+50</v>
      </c>
      <c r="JPV56" s="850">
        <f t="shared" si="127"/>
        <v>0</v>
      </c>
      <c r="JPW56" s="850">
        <f t="shared" si="127"/>
        <v>1.497949817861796E+50</v>
      </c>
      <c r="JPX56" s="850">
        <f t="shared" si="127"/>
        <v>0</v>
      </c>
      <c r="JPY56" s="850">
        <f t="shared" si="127"/>
        <v>1.5428883123976499E+50</v>
      </c>
      <c r="JPZ56" s="850">
        <f t="shared" si="127"/>
        <v>0</v>
      </c>
      <c r="JQA56" s="850">
        <f t="shared" si="127"/>
        <v>1.5891749617695793E+50</v>
      </c>
      <c r="JQB56" s="850">
        <f t="shared" si="127"/>
        <v>0</v>
      </c>
      <c r="JQC56" s="850">
        <f t="shared" si="127"/>
        <v>1.6368502106226668E+50</v>
      </c>
      <c r="JQD56" s="850">
        <f t="shared" si="127"/>
        <v>0</v>
      </c>
      <c r="JQE56" s="850">
        <f t="shared" si="127"/>
        <v>1.6859557169413468E+50</v>
      </c>
      <c r="JQF56" s="850">
        <f t="shared" si="127"/>
        <v>0</v>
      </c>
      <c r="JQG56" s="850">
        <f t="shared" si="127"/>
        <v>1.7365343884495871E+50</v>
      </c>
      <c r="JQH56" s="850">
        <f t="shared" si="127"/>
        <v>0</v>
      </c>
      <c r="JQI56" s="850">
        <f t="shared" si="127"/>
        <v>1.7886304201030748E+50</v>
      </c>
      <c r="JQJ56" s="850">
        <f t="shared" si="127"/>
        <v>0</v>
      </c>
      <c r="JQK56" s="850">
        <f t="shared" si="127"/>
        <v>1.8422893327061672E+50</v>
      </c>
      <c r="JQL56" s="850">
        <f t="shared" si="127"/>
        <v>0</v>
      </c>
      <c r="JQM56" s="850">
        <f t="shared" si="127"/>
        <v>1.8975580126873524E+50</v>
      </c>
      <c r="JQN56" s="850">
        <f t="shared" si="127"/>
        <v>0</v>
      </c>
      <c r="JQO56" s="850">
        <f t="shared" si="127"/>
        <v>1.954484753067973E+50</v>
      </c>
      <c r="JQP56" s="850">
        <f t="shared" si="127"/>
        <v>0</v>
      </c>
      <c r="JQQ56" s="850">
        <f t="shared" si="127"/>
        <v>2.013119295660012E+50</v>
      </c>
      <c r="JQR56" s="850">
        <f t="shared" si="127"/>
        <v>0</v>
      </c>
      <c r="JQS56" s="850">
        <f t="shared" si="127"/>
        <v>2.0735128745298124E+50</v>
      </c>
      <c r="JQT56" s="850">
        <f t="shared" si="127"/>
        <v>0</v>
      </c>
      <c r="JQU56" s="850">
        <f t="shared" si="127"/>
        <v>2.1357182607657067E+50</v>
      </c>
      <c r="JQV56" s="850">
        <f t="shared" si="127"/>
        <v>0</v>
      </c>
      <c r="JQW56" s="850">
        <f t="shared" si="127"/>
        <v>2.199789808588678E+50</v>
      </c>
      <c r="JQX56" s="850">
        <f t="shared" si="127"/>
        <v>0</v>
      </c>
      <c r="JQY56" s="850">
        <f t="shared" si="127"/>
        <v>2.2657835028463383E+50</v>
      </c>
      <c r="JQZ56" s="850">
        <f t="shared" si="127"/>
        <v>0</v>
      </c>
      <c r="JRA56" s="850">
        <f t="shared" si="127"/>
        <v>2.3337570079317286E+50</v>
      </c>
      <c r="JRB56" s="850">
        <f t="shared" si="127"/>
        <v>0</v>
      </c>
      <c r="JRC56" s="850">
        <f t="shared" si="127"/>
        <v>2.4037697181696805E+50</v>
      </c>
      <c r="JRD56" s="850">
        <f t="shared" si="127"/>
        <v>0</v>
      </c>
      <c r="JRE56" s="850">
        <f t="shared" si="127"/>
        <v>2.4758828097147711E+50</v>
      </c>
      <c r="JRF56" s="850">
        <f t="shared" si="127"/>
        <v>0</v>
      </c>
      <c r="JRG56" s="850">
        <f t="shared" si="127"/>
        <v>2.5501592940062142E+50</v>
      </c>
      <c r="JRH56" s="850">
        <f t="shared" si="127"/>
        <v>0</v>
      </c>
      <c r="JRI56" s="850">
        <f t="shared" si="127"/>
        <v>2.6266640728264005E+50</v>
      </c>
      <c r="JRJ56" s="850">
        <f t="shared" si="127"/>
        <v>0</v>
      </c>
      <c r="JRK56" s="850">
        <f t="shared" si="127"/>
        <v>2.7054639950111927E+50</v>
      </c>
      <c r="JRL56" s="850">
        <f t="shared" si="127"/>
        <v>0</v>
      </c>
      <c r="JRM56" s="850">
        <f t="shared" si="127"/>
        <v>2.7866279148615284E+50</v>
      </c>
      <c r="JRN56" s="850">
        <f t="shared" ref="JRN56:JTY56" si="128">JRL56*$C$56</f>
        <v>0</v>
      </c>
      <c r="JRO56" s="850">
        <f t="shared" si="128"/>
        <v>2.8702267523073745E+50</v>
      </c>
      <c r="JRP56" s="850">
        <f t="shared" si="128"/>
        <v>0</v>
      </c>
      <c r="JRQ56" s="850">
        <f t="shared" si="128"/>
        <v>2.9563335548765959E+50</v>
      </c>
      <c r="JRR56" s="850">
        <f t="shared" si="128"/>
        <v>0</v>
      </c>
      <c r="JRS56" s="850">
        <f t="shared" si="128"/>
        <v>3.0450235615228937E+50</v>
      </c>
      <c r="JRT56" s="850">
        <f t="shared" si="128"/>
        <v>0</v>
      </c>
      <c r="JRU56" s="850">
        <f t="shared" si="128"/>
        <v>3.1363742683685808E+50</v>
      </c>
      <c r="JRV56" s="850">
        <f t="shared" si="128"/>
        <v>0</v>
      </c>
      <c r="JRW56" s="850">
        <f t="shared" si="128"/>
        <v>3.2304654964196384E+50</v>
      </c>
      <c r="JRX56" s="850">
        <f t="shared" si="128"/>
        <v>0</v>
      </c>
      <c r="JRY56" s="850">
        <f t="shared" si="128"/>
        <v>3.3273794613122278E+50</v>
      </c>
      <c r="JRZ56" s="850">
        <f t="shared" si="128"/>
        <v>0</v>
      </c>
      <c r="JSA56" s="850">
        <f t="shared" si="128"/>
        <v>3.4272008451515947E+50</v>
      </c>
      <c r="JSB56" s="850">
        <f t="shared" si="128"/>
        <v>0</v>
      </c>
      <c r="JSC56" s="850">
        <f t="shared" si="128"/>
        <v>3.5300168705061424E+50</v>
      </c>
      <c r="JSD56" s="850">
        <f t="shared" si="128"/>
        <v>0</v>
      </c>
      <c r="JSE56" s="850">
        <f t="shared" si="128"/>
        <v>3.6359173766213266E+50</v>
      </c>
      <c r="JSF56" s="850">
        <f t="shared" si="128"/>
        <v>0</v>
      </c>
      <c r="JSG56" s="850">
        <f t="shared" si="128"/>
        <v>3.7449948979199666E+50</v>
      </c>
      <c r="JSH56" s="850">
        <f t="shared" si="128"/>
        <v>0</v>
      </c>
      <c r="JSI56" s="850">
        <f t="shared" si="128"/>
        <v>3.8573447448575657E+50</v>
      </c>
      <c r="JSJ56" s="850">
        <f t="shared" si="128"/>
        <v>0</v>
      </c>
      <c r="JSK56" s="850">
        <f t="shared" si="128"/>
        <v>3.9730650872032926E+50</v>
      </c>
      <c r="JSL56" s="850">
        <f t="shared" si="128"/>
        <v>0</v>
      </c>
      <c r="JSM56" s="850">
        <f t="shared" si="128"/>
        <v>4.0922570398193916E+50</v>
      </c>
      <c r="JSN56" s="850">
        <f t="shared" si="128"/>
        <v>0</v>
      </c>
      <c r="JSO56" s="850">
        <f t="shared" si="128"/>
        <v>4.2150247510139736E+50</v>
      </c>
      <c r="JSP56" s="850">
        <f t="shared" si="128"/>
        <v>0</v>
      </c>
      <c r="JSQ56" s="850">
        <f t="shared" si="128"/>
        <v>4.3414754935443925E+50</v>
      </c>
      <c r="JSR56" s="850">
        <f t="shared" si="128"/>
        <v>0</v>
      </c>
      <c r="JSS56" s="850">
        <f t="shared" si="128"/>
        <v>4.471719758350724E+50</v>
      </c>
      <c r="JST56" s="850">
        <f t="shared" si="128"/>
        <v>0</v>
      </c>
      <c r="JSU56" s="850">
        <f t="shared" si="128"/>
        <v>4.605871351101246E+50</v>
      </c>
      <c r="JSV56" s="850">
        <f t="shared" si="128"/>
        <v>0</v>
      </c>
      <c r="JSW56" s="850">
        <f t="shared" si="128"/>
        <v>4.7440474916342832E+50</v>
      </c>
      <c r="JSX56" s="850">
        <f t="shared" si="128"/>
        <v>0</v>
      </c>
      <c r="JSY56" s="850">
        <f t="shared" si="128"/>
        <v>4.8863689163833122E+50</v>
      </c>
      <c r="JSZ56" s="850">
        <f t="shared" si="128"/>
        <v>0</v>
      </c>
      <c r="JTA56" s="850">
        <f t="shared" si="128"/>
        <v>5.0329599838748119E+50</v>
      </c>
      <c r="JTB56" s="850">
        <f t="shared" si="128"/>
        <v>0</v>
      </c>
      <c r="JTC56" s="850">
        <f t="shared" si="128"/>
        <v>5.1839487833910563E+50</v>
      </c>
      <c r="JTD56" s="850">
        <f t="shared" si="128"/>
        <v>0</v>
      </c>
      <c r="JTE56" s="850">
        <f t="shared" si="128"/>
        <v>5.3394672468927879E+50</v>
      </c>
      <c r="JTF56" s="850">
        <f t="shared" si="128"/>
        <v>0</v>
      </c>
      <c r="JTG56" s="850">
        <f t="shared" si="128"/>
        <v>5.4996512642995718E+50</v>
      </c>
      <c r="JTH56" s="850">
        <f t="shared" si="128"/>
        <v>0</v>
      </c>
      <c r="JTI56" s="850">
        <f t="shared" si="128"/>
        <v>5.6646408022285587E+50</v>
      </c>
      <c r="JTJ56" s="850">
        <f t="shared" si="128"/>
        <v>0</v>
      </c>
      <c r="JTK56" s="850">
        <f t="shared" si="128"/>
        <v>5.8345800262954154E+50</v>
      </c>
      <c r="JTL56" s="850">
        <f t="shared" si="128"/>
        <v>0</v>
      </c>
      <c r="JTM56" s="850">
        <f t="shared" si="128"/>
        <v>6.0096174270842781E+50</v>
      </c>
      <c r="JTN56" s="850">
        <f t="shared" si="128"/>
        <v>0</v>
      </c>
      <c r="JTO56" s="850">
        <f t="shared" si="128"/>
        <v>6.1899059498968069E+50</v>
      </c>
      <c r="JTP56" s="850">
        <f t="shared" si="128"/>
        <v>0</v>
      </c>
      <c r="JTQ56" s="850">
        <f t="shared" si="128"/>
        <v>6.3756031283937112E+50</v>
      </c>
      <c r="JTR56" s="850">
        <f t="shared" si="128"/>
        <v>0</v>
      </c>
      <c r="JTS56" s="850">
        <f t="shared" si="128"/>
        <v>6.5668712222455228E+50</v>
      </c>
      <c r="JTT56" s="850">
        <f t="shared" si="128"/>
        <v>0</v>
      </c>
      <c r="JTU56" s="850">
        <f t="shared" si="128"/>
        <v>6.763877358912889E+50</v>
      </c>
      <c r="JTV56" s="850">
        <f t="shared" si="128"/>
        <v>0</v>
      </c>
      <c r="JTW56" s="850">
        <f t="shared" si="128"/>
        <v>6.9667936796802755E+50</v>
      </c>
      <c r="JTX56" s="850">
        <f t="shared" si="128"/>
        <v>0</v>
      </c>
      <c r="JTY56" s="850">
        <f t="shared" si="128"/>
        <v>7.1757974900706841E+50</v>
      </c>
      <c r="JTZ56" s="850">
        <f t="shared" ref="JTZ56:JWK56" si="129">JTX56*$C$56</f>
        <v>0</v>
      </c>
      <c r="JUA56" s="850">
        <f t="shared" si="129"/>
        <v>7.3910714147728049E+50</v>
      </c>
      <c r="JUB56" s="850">
        <f t="shared" si="129"/>
        <v>0</v>
      </c>
      <c r="JUC56" s="850">
        <f t="shared" si="129"/>
        <v>7.6128035572159897E+50</v>
      </c>
      <c r="JUD56" s="850">
        <f t="shared" si="129"/>
        <v>0</v>
      </c>
      <c r="JUE56" s="850">
        <f t="shared" si="129"/>
        <v>7.8411876639324695E+50</v>
      </c>
      <c r="JUF56" s="850">
        <f t="shared" si="129"/>
        <v>0</v>
      </c>
      <c r="JUG56" s="850">
        <f t="shared" si="129"/>
        <v>8.0764232938504439E+50</v>
      </c>
      <c r="JUH56" s="850">
        <f t="shared" si="129"/>
        <v>0</v>
      </c>
      <c r="JUI56" s="850">
        <f t="shared" si="129"/>
        <v>8.3187159926659582E+50</v>
      </c>
      <c r="JUJ56" s="850">
        <f t="shared" si="129"/>
        <v>0</v>
      </c>
      <c r="JUK56" s="850">
        <f t="shared" si="129"/>
        <v>8.5682774724459364E+50</v>
      </c>
      <c r="JUL56" s="850">
        <f t="shared" si="129"/>
        <v>0</v>
      </c>
      <c r="JUM56" s="850">
        <f t="shared" si="129"/>
        <v>8.825325796619315E+50</v>
      </c>
      <c r="JUN56" s="850">
        <f t="shared" si="129"/>
        <v>0</v>
      </c>
      <c r="JUO56" s="850">
        <f t="shared" si="129"/>
        <v>9.0900855705178939E+50</v>
      </c>
      <c r="JUP56" s="850">
        <f t="shared" si="129"/>
        <v>0</v>
      </c>
      <c r="JUQ56" s="850">
        <f t="shared" si="129"/>
        <v>9.3627881376334303E+50</v>
      </c>
      <c r="JUR56" s="850">
        <f t="shared" si="129"/>
        <v>0</v>
      </c>
      <c r="JUS56" s="850">
        <f t="shared" si="129"/>
        <v>9.6436717817624339E+50</v>
      </c>
      <c r="JUT56" s="850">
        <f t="shared" si="129"/>
        <v>0</v>
      </c>
      <c r="JUU56" s="850">
        <f t="shared" si="129"/>
        <v>9.9329819352153065E+50</v>
      </c>
      <c r="JUV56" s="850">
        <f t="shared" si="129"/>
        <v>0</v>
      </c>
      <c r="JUW56" s="850">
        <f t="shared" si="129"/>
        <v>1.0230971393271766E+51</v>
      </c>
      <c r="JUX56" s="850">
        <f t="shared" si="129"/>
        <v>0</v>
      </c>
      <c r="JUY56" s="850">
        <f t="shared" si="129"/>
        <v>1.053790053506992E+51</v>
      </c>
      <c r="JUZ56" s="850">
        <f t="shared" si="129"/>
        <v>0</v>
      </c>
      <c r="JVA56" s="850">
        <f t="shared" si="129"/>
        <v>1.0854037551122018E+51</v>
      </c>
      <c r="JVB56" s="850">
        <f t="shared" si="129"/>
        <v>0</v>
      </c>
      <c r="JVC56" s="850">
        <f t="shared" si="129"/>
        <v>1.1179658677655679E+51</v>
      </c>
      <c r="JVD56" s="850">
        <f t="shared" si="129"/>
        <v>0</v>
      </c>
      <c r="JVE56" s="850">
        <f t="shared" si="129"/>
        <v>1.1515048437985349E+51</v>
      </c>
      <c r="JVF56" s="850">
        <f t="shared" si="129"/>
        <v>0</v>
      </c>
      <c r="JVG56" s="850">
        <f t="shared" si="129"/>
        <v>1.186049989112491E+51</v>
      </c>
      <c r="JVH56" s="850">
        <f t="shared" si="129"/>
        <v>0</v>
      </c>
      <c r="JVI56" s="850">
        <f t="shared" si="129"/>
        <v>1.2216314887858657E+51</v>
      </c>
      <c r="JVJ56" s="850">
        <f t="shared" si="129"/>
        <v>0</v>
      </c>
      <c r="JVK56" s="850">
        <f t="shared" si="129"/>
        <v>1.2582804334494418E+51</v>
      </c>
      <c r="JVL56" s="850">
        <f t="shared" si="129"/>
        <v>0</v>
      </c>
      <c r="JVM56" s="850">
        <f t="shared" si="129"/>
        <v>1.296028846452925E+51</v>
      </c>
      <c r="JVN56" s="850">
        <f t="shared" si="129"/>
        <v>0</v>
      </c>
      <c r="JVO56" s="850">
        <f t="shared" si="129"/>
        <v>1.3349097118465128E+51</v>
      </c>
      <c r="JVP56" s="850">
        <f t="shared" si="129"/>
        <v>0</v>
      </c>
      <c r="JVQ56" s="850">
        <f t="shared" si="129"/>
        <v>1.3749570032019082E+51</v>
      </c>
      <c r="JVR56" s="850">
        <f t="shared" si="129"/>
        <v>0</v>
      </c>
      <c r="JVS56" s="850">
        <f t="shared" si="129"/>
        <v>1.4162057132979656E+51</v>
      </c>
      <c r="JVT56" s="850">
        <f t="shared" si="129"/>
        <v>0</v>
      </c>
      <c r="JVU56" s="850">
        <f t="shared" si="129"/>
        <v>1.4586918846969046E+51</v>
      </c>
      <c r="JVV56" s="850">
        <f t="shared" si="129"/>
        <v>0</v>
      </c>
      <c r="JVW56" s="850">
        <f t="shared" si="129"/>
        <v>1.5024526412378117E+51</v>
      </c>
      <c r="JVX56" s="850">
        <f t="shared" si="129"/>
        <v>0</v>
      </c>
      <c r="JVY56" s="850">
        <f t="shared" si="129"/>
        <v>1.547526220474946E+51</v>
      </c>
      <c r="JVZ56" s="850">
        <f t="shared" si="129"/>
        <v>0</v>
      </c>
      <c r="JWA56" s="850">
        <f t="shared" si="129"/>
        <v>1.5939520070891945E+51</v>
      </c>
      <c r="JWB56" s="850">
        <f t="shared" si="129"/>
        <v>0</v>
      </c>
      <c r="JWC56" s="850">
        <f t="shared" si="129"/>
        <v>1.6417705673018704E+51</v>
      </c>
      <c r="JWD56" s="850">
        <f t="shared" si="129"/>
        <v>0</v>
      </c>
      <c r="JWE56" s="850">
        <f t="shared" si="129"/>
        <v>1.6910236843209264E+51</v>
      </c>
      <c r="JWF56" s="850">
        <f t="shared" si="129"/>
        <v>0</v>
      </c>
      <c r="JWG56" s="850">
        <f t="shared" si="129"/>
        <v>1.7417543948505541E+51</v>
      </c>
      <c r="JWH56" s="850">
        <f t="shared" si="129"/>
        <v>0</v>
      </c>
      <c r="JWI56" s="850">
        <f t="shared" si="129"/>
        <v>1.7940070266960708E+51</v>
      </c>
      <c r="JWJ56" s="850">
        <f t="shared" si="129"/>
        <v>0</v>
      </c>
      <c r="JWK56" s="850">
        <f t="shared" si="129"/>
        <v>1.8478272374969529E+51</v>
      </c>
      <c r="JWL56" s="850">
        <f t="shared" ref="JWL56:JYW56" si="130">JWJ56*$C$56</f>
        <v>0</v>
      </c>
      <c r="JWM56" s="850">
        <f t="shared" si="130"/>
        <v>1.9032620546218616E+51</v>
      </c>
      <c r="JWN56" s="850">
        <f t="shared" si="130"/>
        <v>0</v>
      </c>
      <c r="JWO56" s="850">
        <f t="shared" si="130"/>
        <v>1.9603599162605176E+51</v>
      </c>
      <c r="JWP56" s="850">
        <f t="shared" si="130"/>
        <v>0</v>
      </c>
      <c r="JWQ56" s="850">
        <f t="shared" si="130"/>
        <v>2.0191707137483332E+51</v>
      </c>
      <c r="JWR56" s="850">
        <f t="shared" si="130"/>
        <v>0</v>
      </c>
      <c r="JWS56" s="850">
        <f t="shared" si="130"/>
        <v>2.0797458351607834E+51</v>
      </c>
      <c r="JWT56" s="850">
        <f t="shared" si="130"/>
        <v>0</v>
      </c>
      <c r="JWU56" s="850">
        <f t="shared" si="130"/>
        <v>2.1421382102156069E+51</v>
      </c>
      <c r="JWV56" s="850">
        <f t="shared" si="130"/>
        <v>0</v>
      </c>
      <c r="JWW56" s="850">
        <f t="shared" si="130"/>
        <v>2.2064023565220751E+51</v>
      </c>
      <c r="JWX56" s="850">
        <f t="shared" si="130"/>
        <v>0</v>
      </c>
      <c r="JWY56" s="850">
        <f t="shared" si="130"/>
        <v>2.2725944272177374E+51</v>
      </c>
      <c r="JWZ56" s="850">
        <f t="shared" si="130"/>
        <v>0</v>
      </c>
      <c r="JXA56" s="850">
        <f t="shared" si="130"/>
        <v>2.3407722600342695E+51</v>
      </c>
      <c r="JXB56" s="850">
        <f t="shared" si="130"/>
        <v>0</v>
      </c>
      <c r="JXC56" s="850">
        <f t="shared" si="130"/>
        <v>2.4109954278352977E+51</v>
      </c>
      <c r="JXD56" s="850">
        <f t="shared" si="130"/>
        <v>0</v>
      </c>
      <c r="JXE56" s="850">
        <f t="shared" si="130"/>
        <v>2.4833252906703568E+51</v>
      </c>
      <c r="JXF56" s="850">
        <f t="shared" si="130"/>
        <v>0</v>
      </c>
      <c r="JXG56" s="850">
        <f t="shared" si="130"/>
        <v>2.5578250493904676E+51</v>
      </c>
      <c r="JXH56" s="850">
        <f t="shared" si="130"/>
        <v>0</v>
      </c>
      <c r="JXI56" s="850">
        <f t="shared" si="130"/>
        <v>2.6345598008721817E+51</v>
      </c>
      <c r="JXJ56" s="850">
        <f t="shared" si="130"/>
        <v>0</v>
      </c>
      <c r="JXK56" s="850">
        <f t="shared" si="130"/>
        <v>2.713596594898347E+51</v>
      </c>
      <c r="JXL56" s="850">
        <f t="shared" si="130"/>
        <v>0</v>
      </c>
      <c r="JXM56" s="850">
        <f t="shared" si="130"/>
        <v>2.7950044927452976E+51</v>
      </c>
      <c r="JXN56" s="850">
        <f t="shared" si="130"/>
        <v>0</v>
      </c>
      <c r="JXO56" s="850">
        <f t="shared" si="130"/>
        <v>2.8788546275276565E+51</v>
      </c>
      <c r="JXP56" s="850">
        <f t="shared" si="130"/>
        <v>0</v>
      </c>
      <c r="JXQ56" s="850">
        <f t="shared" si="130"/>
        <v>2.9652202663534865E+51</v>
      </c>
      <c r="JXR56" s="850">
        <f t="shared" si="130"/>
        <v>0</v>
      </c>
      <c r="JXS56" s="850">
        <f t="shared" si="130"/>
        <v>3.0541768743440913E+51</v>
      </c>
      <c r="JXT56" s="850">
        <f t="shared" si="130"/>
        <v>0</v>
      </c>
      <c r="JXU56" s="850">
        <f t="shared" si="130"/>
        <v>3.1458021805744138E+51</v>
      </c>
      <c r="JXV56" s="850">
        <f t="shared" si="130"/>
        <v>0</v>
      </c>
      <c r="JXW56" s="850">
        <f t="shared" si="130"/>
        <v>3.2401762459916463E+51</v>
      </c>
      <c r="JXX56" s="850">
        <f t="shared" si="130"/>
        <v>0</v>
      </c>
      <c r="JXY56" s="850">
        <f t="shared" si="130"/>
        <v>3.3373815333713957E+51</v>
      </c>
      <c r="JXZ56" s="850">
        <f t="shared" si="130"/>
        <v>0</v>
      </c>
      <c r="JYA56" s="850">
        <f t="shared" si="130"/>
        <v>3.4375029793725374E+51</v>
      </c>
      <c r="JYB56" s="850">
        <f t="shared" si="130"/>
        <v>0</v>
      </c>
      <c r="JYC56" s="850">
        <f t="shared" si="130"/>
        <v>3.5406280687537139E+51</v>
      </c>
      <c r="JYD56" s="850">
        <f t="shared" si="130"/>
        <v>0</v>
      </c>
      <c r="JYE56" s="850">
        <f t="shared" si="130"/>
        <v>3.6468469108163252E+51</v>
      </c>
      <c r="JYF56" s="850">
        <f t="shared" si="130"/>
        <v>0</v>
      </c>
      <c r="JYG56" s="850">
        <f t="shared" si="130"/>
        <v>3.7562523181408151E+51</v>
      </c>
      <c r="JYH56" s="850">
        <f t="shared" si="130"/>
        <v>0</v>
      </c>
      <c r="JYI56" s="850">
        <f t="shared" si="130"/>
        <v>3.8689398876850397E+51</v>
      </c>
      <c r="JYJ56" s="850">
        <f t="shared" si="130"/>
        <v>0</v>
      </c>
      <c r="JYK56" s="850">
        <f t="shared" si="130"/>
        <v>3.9850080843155912E+51</v>
      </c>
      <c r="JYL56" s="850">
        <f t="shared" si="130"/>
        <v>0</v>
      </c>
      <c r="JYM56" s="850">
        <f t="shared" si="130"/>
        <v>4.1045583268450587E+51</v>
      </c>
      <c r="JYN56" s="850">
        <f t="shared" si="130"/>
        <v>0</v>
      </c>
      <c r="JYO56" s="850">
        <f t="shared" si="130"/>
        <v>4.2276950766504106E+51</v>
      </c>
      <c r="JYP56" s="850">
        <f t="shared" si="130"/>
        <v>0</v>
      </c>
      <c r="JYQ56" s="850">
        <f t="shared" si="130"/>
        <v>4.3545259289499233E+51</v>
      </c>
      <c r="JYR56" s="850">
        <f t="shared" si="130"/>
        <v>0</v>
      </c>
      <c r="JYS56" s="850">
        <f t="shared" si="130"/>
        <v>4.4851617068184213E+51</v>
      </c>
      <c r="JYT56" s="850">
        <f t="shared" si="130"/>
        <v>0</v>
      </c>
      <c r="JYU56" s="850">
        <f t="shared" si="130"/>
        <v>4.619716558022974E+51</v>
      </c>
      <c r="JYV56" s="850">
        <f t="shared" si="130"/>
        <v>0</v>
      </c>
      <c r="JYW56" s="850">
        <f t="shared" si="130"/>
        <v>4.7583080547636634E+51</v>
      </c>
      <c r="JYX56" s="850">
        <f t="shared" ref="JYX56:KBI56" si="131">JYV56*$C$56</f>
        <v>0</v>
      </c>
      <c r="JYY56" s="850">
        <f t="shared" si="131"/>
        <v>4.9010572964065734E+51</v>
      </c>
      <c r="JYZ56" s="850">
        <f t="shared" si="131"/>
        <v>0</v>
      </c>
      <c r="JZA56" s="850">
        <f t="shared" si="131"/>
        <v>5.0480890152987708E+51</v>
      </c>
      <c r="JZB56" s="850">
        <f t="shared" si="131"/>
        <v>0</v>
      </c>
      <c r="JZC56" s="850">
        <f t="shared" si="131"/>
        <v>5.1995316857577339E+51</v>
      </c>
      <c r="JZD56" s="850">
        <f t="shared" si="131"/>
        <v>0</v>
      </c>
      <c r="JZE56" s="850">
        <f t="shared" si="131"/>
        <v>5.3555176363304662E+51</v>
      </c>
      <c r="JZF56" s="850">
        <f t="shared" si="131"/>
        <v>0</v>
      </c>
      <c r="JZG56" s="850">
        <f t="shared" si="131"/>
        <v>5.5161831654203803E+51</v>
      </c>
      <c r="JZH56" s="850">
        <f t="shared" si="131"/>
        <v>0</v>
      </c>
      <c r="JZI56" s="850">
        <f t="shared" si="131"/>
        <v>5.6816686603829916E+51</v>
      </c>
      <c r="JZJ56" s="850">
        <f t="shared" si="131"/>
        <v>0</v>
      </c>
      <c r="JZK56" s="850">
        <f t="shared" si="131"/>
        <v>5.8521187201944815E+51</v>
      </c>
      <c r="JZL56" s="850">
        <f t="shared" si="131"/>
        <v>0</v>
      </c>
      <c r="JZM56" s="850">
        <f t="shared" si="131"/>
        <v>6.0276822818003161E+51</v>
      </c>
      <c r="JZN56" s="850">
        <f t="shared" si="131"/>
        <v>0</v>
      </c>
      <c r="JZO56" s="850">
        <f t="shared" si="131"/>
        <v>6.2085127502543255E+51</v>
      </c>
      <c r="JZP56" s="850">
        <f t="shared" si="131"/>
        <v>0</v>
      </c>
      <c r="JZQ56" s="850">
        <f t="shared" si="131"/>
        <v>6.3947681327619561E+51</v>
      </c>
      <c r="JZR56" s="850">
        <f t="shared" si="131"/>
        <v>0</v>
      </c>
      <c r="JZS56" s="850">
        <f t="shared" si="131"/>
        <v>6.5866111767448143E+51</v>
      </c>
      <c r="JZT56" s="850">
        <f t="shared" si="131"/>
        <v>0</v>
      </c>
      <c r="JZU56" s="850">
        <f t="shared" si="131"/>
        <v>6.7842095120471585E+51</v>
      </c>
      <c r="JZV56" s="850">
        <f t="shared" si="131"/>
        <v>0</v>
      </c>
      <c r="JZW56" s="850">
        <f t="shared" si="131"/>
        <v>6.987735797408573E+51</v>
      </c>
      <c r="JZX56" s="850">
        <f t="shared" si="131"/>
        <v>0</v>
      </c>
      <c r="JZY56" s="850">
        <f t="shared" si="131"/>
        <v>7.1973678713308301E+51</v>
      </c>
      <c r="JZZ56" s="850">
        <f t="shared" si="131"/>
        <v>0</v>
      </c>
      <c r="KAA56" s="850">
        <f t="shared" si="131"/>
        <v>7.4132889074707549E+51</v>
      </c>
      <c r="KAB56" s="850">
        <f t="shared" si="131"/>
        <v>0</v>
      </c>
      <c r="KAC56" s="850">
        <f t="shared" si="131"/>
        <v>7.6356875746948779E+51</v>
      </c>
      <c r="KAD56" s="850">
        <f t="shared" si="131"/>
        <v>0</v>
      </c>
      <c r="KAE56" s="850">
        <f t="shared" si="131"/>
        <v>7.8647582019357242E+51</v>
      </c>
      <c r="KAF56" s="850">
        <f t="shared" si="131"/>
        <v>0</v>
      </c>
      <c r="KAG56" s="850">
        <f t="shared" si="131"/>
        <v>8.100700947993796E+51</v>
      </c>
      <c r="KAH56" s="850">
        <f t="shared" si="131"/>
        <v>0</v>
      </c>
      <c r="KAI56" s="850">
        <f t="shared" si="131"/>
        <v>8.3437219764336097E+51</v>
      </c>
      <c r="KAJ56" s="850">
        <f t="shared" si="131"/>
        <v>0</v>
      </c>
      <c r="KAK56" s="850">
        <f t="shared" si="131"/>
        <v>8.594033635726618E+51</v>
      </c>
      <c r="KAL56" s="850">
        <f t="shared" si="131"/>
        <v>0</v>
      </c>
      <c r="KAM56" s="850">
        <f t="shared" si="131"/>
        <v>8.851854644798417E+51</v>
      </c>
      <c r="KAN56" s="850">
        <f t="shared" si="131"/>
        <v>0</v>
      </c>
      <c r="KAO56" s="850">
        <f t="shared" si="131"/>
        <v>9.1174102841423697E+51</v>
      </c>
      <c r="KAP56" s="850">
        <f t="shared" si="131"/>
        <v>0</v>
      </c>
      <c r="KAQ56" s="850">
        <f t="shared" si="131"/>
        <v>9.3909325926666409E+51</v>
      </c>
      <c r="KAR56" s="850">
        <f t="shared" si="131"/>
        <v>0</v>
      </c>
      <c r="KAS56" s="850">
        <f t="shared" si="131"/>
        <v>9.6726605704466406E+51</v>
      </c>
      <c r="KAT56" s="850">
        <f t="shared" si="131"/>
        <v>0</v>
      </c>
      <c r="KAU56" s="850">
        <f t="shared" si="131"/>
        <v>9.9628403875600398E+51</v>
      </c>
      <c r="KAV56" s="850">
        <f t="shared" si="131"/>
        <v>0</v>
      </c>
      <c r="KAW56" s="850">
        <f t="shared" si="131"/>
        <v>1.0261725599186842E+52</v>
      </c>
      <c r="KAX56" s="850">
        <f t="shared" si="131"/>
        <v>0</v>
      </c>
      <c r="KAY56" s="850">
        <f t="shared" si="131"/>
        <v>1.0569577367162448E+52</v>
      </c>
      <c r="KAZ56" s="850">
        <f t="shared" si="131"/>
        <v>0</v>
      </c>
      <c r="KBA56" s="850">
        <f t="shared" si="131"/>
        <v>1.0886664688177322E+52</v>
      </c>
      <c r="KBB56" s="850">
        <f t="shared" si="131"/>
        <v>0</v>
      </c>
      <c r="KBC56" s="850">
        <f t="shared" si="131"/>
        <v>1.1213264628822642E+52</v>
      </c>
      <c r="KBD56" s="850">
        <f t="shared" si="131"/>
        <v>0</v>
      </c>
      <c r="KBE56" s="850">
        <f t="shared" si="131"/>
        <v>1.1549662567687322E+52</v>
      </c>
      <c r="KBF56" s="850">
        <f t="shared" si="131"/>
        <v>0</v>
      </c>
      <c r="KBG56" s="850">
        <f t="shared" si="131"/>
        <v>1.1896152444717942E+52</v>
      </c>
      <c r="KBH56" s="850">
        <f t="shared" si="131"/>
        <v>0</v>
      </c>
      <c r="KBI56" s="850">
        <f t="shared" si="131"/>
        <v>1.2253037018059481E+52</v>
      </c>
      <c r="KBJ56" s="850">
        <f t="shared" ref="KBJ56:KDU56" si="132">KBH56*$C$56</f>
        <v>0</v>
      </c>
      <c r="KBK56" s="850">
        <f t="shared" si="132"/>
        <v>1.2620628128601266E+52</v>
      </c>
      <c r="KBL56" s="850">
        <f t="shared" si="132"/>
        <v>0</v>
      </c>
      <c r="KBM56" s="850">
        <f t="shared" si="132"/>
        <v>1.2999246972459305E+52</v>
      </c>
      <c r="KBN56" s="850">
        <f t="shared" si="132"/>
        <v>0</v>
      </c>
      <c r="KBO56" s="850">
        <f t="shared" si="132"/>
        <v>1.3389224381633086E+52</v>
      </c>
      <c r="KBP56" s="850">
        <f t="shared" si="132"/>
        <v>0</v>
      </c>
      <c r="KBQ56" s="850">
        <f t="shared" si="132"/>
        <v>1.379090111308208E+52</v>
      </c>
      <c r="KBR56" s="850">
        <f t="shared" si="132"/>
        <v>0</v>
      </c>
      <c r="KBS56" s="850">
        <f t="shared" si="132"/>
        <v>1.4204628146474542E+52</v>
      </c>
      <c r="KBT56" s="850">
        <f t="shared" si="132"/>
        <v>0</v>
      </c>
      <c r="KBU56" s="850">
        <f t="shared" si="132"/>
        <v>1.4630766990868778E+52</v>
      </c>
      <c r="KBV56" s="850">
        <f t="shared" si="132"/>
        <v>0</v>
      </c>
      <c r="KBW56" s="850">
        <f t="shared" si="132"/>
        <v>1.5069690000594841E+52</v>
      </c>
      <c r="KBX56" s="850">
        <f t="shared" si="132"/>
        <v>0</v>
      </c>
      <c r="KBY56" s="850">
        <f t="shared" si="132"/>
        <v>1.5521780700612687E+52</v>
      </c>
      <c r="KBZ56" s="850">
        <f t="shared" si="132"/>
        <v>0</v>
      </c>
      <c r="KCA56" s="850">
        <f t="shared" si="132"/>
        <v>1.5987434121631068E+52</v>
      </c>
      <c r="KCB56" s="850">
        <f t="shared" si="132"/>
        <v>0</v>
      </c>
      <c r="KCC56" s="850">
        <f t="shared" si="132"/>
        <v>1.646705714528E+52</v>
      </c>
      <c r="KCD56" s="850">
        <f t="shared" si="132"/>
        <v>0</v>
      </c>
      <c r="KCE56" s="850">
        <f t="shared" si="132"/>
        <v>1.6961068859638402E+52</v>
      </c>
      <c r="KCF56" s="850">
        <f t="shared" si="132"/>
        <v>0</v>
      </c>
      <c r="KCG56" s="850">
        <f t="shared" si="132"/>
        <v>1.7469900925427555E+52</v>
      </c>
      <c r="KCH56" s="850">
        <f t="shared" si="132"/>
        <v>0</v>
      </c>
      <c r="KCI56" s="850">
        <f t="shared" si="132"/>
        <v>1.7993997953190383E+52</v>
      </c>
      <c r="KCJ56" s="850">
        <f t="shared" si="132"/>
        <v>0</v>
      </c>
      <c r="KCK56" s="850">
        <f t="shared" si="132"/>
        <v>1.8533817891786096E+52</v>
      </c>
      <c r="KCL56" s="850">
        <f t="shared" si="132"/>
        <v>0</v>
      </c>
      <c r="KCM56" s="850">
        <f t="shared" si="132"/>
        <v>1.908983242853968E+52</v>
      </c>
      <c r="KCN56" s="850">
        <f t="shared" si="132"/>
        <v>0</v>
      </c>
      <c r="KCO56" s="850">
        <f t="shared" si="132"/>
        <v>1.966252740139587E+52</v>
      </c>
      <c r="KCP56" s="850">
        <f t="shared" si="132"/>
        <v>0</v>
      </c>
      <c r="KCQ56" s="850">
        <f t="shared" si="132"/>
        <v>2.0252403223437746E+52</v>
      </c>
      <c r="KCR56" s="850">
        <f t="shared" si="132"/>
        <v>0</v>
      </c>
      <c r="KCS56" s="850">
        <f t="shared" si="132"/>
        <v>2.0859975320140878E+52</v>
      </c>
      <c r="KCT56" s="850">
        <f t="shared" si="132"/>
        <v>0</v>
      </c>
      <c r="KCU56" s="850">
        <f t="shared" si="132"/>
        <v>2.1485774579745104E+52</v>
      </c>
      <c r="KCV56" s="850">
        <f t="shared" si="132"/>
        <v>0</v>
      </c>
      <c r="KCW56" s="850">
        <f t="shared" si="132"/>
        <v>2.2130347817137457E+52</v>
      </c>
      <c r="KCX56" s="850">
        <f t="shared" si="132"/>
        <v>0</v>
      </c>
      <c r="KCY56" s="850">
        <f t="shared" si="132"/>
        <v>2.279425825165158E+52</v>
      </c>
      <c r="KCZ56" s="850">
        <f t="shared" si="132"/>
        <v>0</v>
      </c>
      <c r="KDA56" s="850">
        <f t="shared" si="132"/>
        <v>2.3478085999201127E+52</v>
      </c>
      <c r="KDB56" s="850">
        <f t="shared" si="132"/>
        <v>0</v>
      </c>
      <c r="KDC56" s="850">
        <f t="shared" si="132"/>
        <v>2.4182428579177159E+52</v>
      </c>
      <c r="KDD56" s="850">
        <f t="shared" si="132"/>
        <v>0</v>
      </c>
      <c r="KDE56" s="850">
        <f t="shared" si="132"/>
        <v>2.4907901436552476E+52</v>
      </c>
      <c r="KDF56" s="850">
        <f t="shared" si="132"/>
        <v>0</v>
      </c>
      <c r="KDG56" s="850">
        <f t="shared" si="132"/>
        <v>2.5655138479649052E+52</v>
      </c>
      <c r="KDH56" s="850">
        <f t="shared" si="132"/>
        <v>0</v>
      </c>
      <c r="KDI56" s="850">
        <f t="shared" si="132"/>
        <v>2.6424792634038525E+52</v>
      </c>
      <c r="KDJ56" s="850">
        <f t="shared" si="132"/>
        <v>0</v>
      </c>
      <c r="KDK56" s="850">
        <f t="shared" si="132"/>
        <v>2.7217536413059682E+52</v>
      </c>
      <c r="KDL56" s="850">
        <f t="shared" si="132"/>
        <v>0</v>
      </c>
      <c r="KDM56" s="850">
        <f t="shared" si="132"/>
        <v>2.8034062505451475E+52</v>
      </c>
      <c r="KDN56" s="850">
        <f t="shared" si="132"/>
        <v>0</v>
      </c>
      <c r="KDO56" s="850">
        <f t="shared" si="132"/>
        <v>2.8875084380615019E+52</v>
      </c>
      <c r="KDP56" s="850">
        <f t="shared" si="132"/>
        <v>0</v>
      </c>
      <c r="KDQ56" s="850">
        <f t="shared" si="132"/>
        <v>2.9741336912033468E+52</v>
      </c>
      <c r="KDR56" s="850">
        <f t="shared" si="132"/>
        <v>0</v>
      </c>
      <c r="KDS56" s="850">
        <f t="shared" si="132"/>
        <v>3.0633577019394472E+52</v>
      </c>
      <c r="KDT56" s="850">
        <f t="shared" si="132"/>
        <v>0</v>
      </c>
      <c r="KDU56" s="850">
        <f t="shared" si="132"/>
        <v>3.1552584329976308E+52</v>
      </c>
      <c r="KDV56" s="850">
        <f t="shared" ref="KDV56:KGG56" si="133">KDT56*$C$56</f>
        <v>0</v>
      </c>
      <c r="KDW56" s="850">
        <f t="shared" si="133"/>
        <v>3.2499161859875598E+52</v>
      </c>
      <c r="KDX56" s="850">
        <f t="shared" si="133"/>
        <v>0</v>
      </c>
      <c r="KDY56" s="850">
        <f t="shared" si="133"/>
        <v>3.3474136715671867E+52</v>
      </c>
      <c r="KDZ56" s="850">
        <f t="shared" si="133"/>
        <v>0</v>
      </c>
      <c r="KEA56" s="850">
        <f t="shared" si="133"/>
        <v>3.4478360817142023E+52</v>
      </c>
      <c r="KEB56" s="850">
        <f t="shared" si="133"/>
        <v>0</v>
      </c>
      <c r="KEC56" s="850">
        <f t="shared" si="133"/>
        <v>3.5512711641656282E+52</v>
      </c>
      <c r="KED56" s="850">
        <f t="shared" si="133"/>
        <v>0</v>
      </c>
      <c r="KEE56" s="850">
        <f t="shared" si="133"/>
        <v>3.6578092990905973E+52</v>
      </c>
      <c r="KEF56" s="850">
        <f t="shared" si="133"/>
        <v>0</v>
      </c>
      <c r="KEG56" s="850">
        <f t="shared" si="133"/>
        <v>3.7675435780633152E+52</v>
      </c>
      <c r="KEH56" s="850">
        <f t="shared" si="133"/>
        <v>0</v>
      </c>
      <c r="KEI56" s="850">
        <f t="shared" si="133"/>
        <v>3.880569885405215E+52</v>
      </c>
      <c r="KEJ56" s="850">
        <f t="shared" si="133"/>
        <v>0</v>
      </c>
      <c r="KEK56" s="850">
        <f t="shared" si="133"/>
        <v>3.9969869819673714E+52</v>
      </c>
      <c r="KEL56" s="850">
        <f t="shared" si="133"/>
        <v>0</v>
      </c>
      <c r="KEM56" s="850">
        <f t="shared" si="133"/>
        <v>4.1168965914263926E+52</v>
      </c>
      <c r="KEN56" s="850">
        <f t="shared" si="133"/>
        <v>0</v>
      </c>
      <c r="KEO56" s="850">
        <f t="shared" si="133"/>
        <v>4.2404034891691843E+52</v>
      </c>
      <c r="KEP56" s="850">
        <f t="shared" si="133"/>
        <v>0</v>
      </c>
      <c r="KEQ56" s="850">
        <f t="shared" si="133"/>
        <v>4.36761559384426E+52</v>
      </c>
      <c r="KER56" s="850">
        <f t="shared" si="133"/>
        <v>0</v>
      </c>
      <c r="KES56" s="850">
        <f t="shared" si="133"/>
        <v>4.4986440616595881E+52</v>
      </c>
      <c r="KET56" s="850">
        <f t="shared" si="133"/>
        <v>0</v>
      </c>
      <c r="KEU56" s="850">
        <f t="shared" si="133"/>
        <v>4.6336033835093759E+52</v>
      </c>
      <c r="KEV56" s="850">
        <f t="shared" si="133"/>
        <v>0</v>
      </c>
      <c r="KEW56" s="850">
        <f t="shared" si="133"/>
        <v>4.7726114850146573E+52</v>
      </c>
      <c r="KEX56" s="850">
        <f t="shared" si="133"/>
        <v>0</v>
      </c>
      <c r="KEY56" s="850">
        <f t="shared" si="133"/>
        <v>4.9157898295650974E+52</v>
      </c>
      <c r="KEZ56" s="850">
        <f t="shared" si="133"/>
        <v>0</v>
      </c>
      <c r="KFA56" s="850">
        <f t="shared" si="133"/>
        <v>5.06326352445205E+52</v>
      </c>
      <c r="KFB56" s="850">
        <f t="shared" si="133"/>
        <v>0</v>
      </c>
      <c r="KFC56" s="850">
        <f t="shared" si="133"/>
        <v>5.2151614301856112E+52</v>
      </c>
      <c r="KFD56" s="850">
        <f t="shared" si="133"/>
        <v>0</v>
      </c>
      <c r="KFE56" s="850">
        <f t="shared" si="133"/>
        <v>5.3716162730911793E+52</v>
      </c>
      <c r="KFF56" s="850">
        <f t="shared" si="133"/>
        <v>0</v>
      </c>
      <c r="KFG56" s="850">
        <f t="shared" si="133"/>
        <v>5.5327647612839146E+52</v>
      </c>
      <c r="KFH56" s="850">
        <f t="shared" si="133"/>
        <v>0</v>
      </c>
      <c r="KFI56" s="850">
        <f t="shared" si="133"/>
        <v>5.6987477041224324E+52</v>
      </c>
      <c r="KFJ56" s="850">
        <f t="shared" si="133"/>
        <v>0</v>
      </c>
      <c r="KFK56" s="850">
        <f t="shared" si="133"/>
        <v>5.8697101352461058E+52</v>
      </c>
      <c r="KFL56" s="850">
        <f t="shared" si="133"/>
        <v>0</v>
      </c>
      <c r="KFM56" s="850">
        <f t="shared" si="133"/>
        <v>6.045801439303489E+52</v>
      </c>
      <c r="KFN56" s="850">
        <f t="shared" si="133"/>
        <v>0</v>
      </c>
      <c r="KFO56" s="850">
        <f t="shared" si="133"/>
        <v>6.2271754824825935E+52</v>
      </c>
      <c r="KFP56" s="850">
        <f t="shared" si="133"/>
        <v>0</v>
      </c>
      <c r="KFQ56" s="850">
        <f t="shared" si="133"/>
        <v>6.4139907469570711E+52</v>
      </c>
      <c r="KFR56" s="850">
        <f t="shared" si="133"/>
        <v>0</v>
      </c>
      <c r="KFS56" s="850">
        <f t="shared" si="133"/>
        <v>6.6064104693657832E+52</v>
      </c>
      <c r="KFT56" s="850">
        <f t="shared" si="133"/>
        <v>0</v>
      </c>
      <c r="KFU56" s="850">
        <f t="shared" si="133"/>
        <v>6.804602783446757E+52</v>
      </c>
      <c r="KFV56" s="850">
        <f t="shared" si="133"/>
        <v>0</v>
      </c>
      <c r="KFW56" s="850">
        <f t="shared" si="133"/>
        <v>7.0087408669501601E+52</v>
      </c>
      <c r="KFX56" s="850">
        <f t="shared" si="133"/>
        <v>0</v>
      </c>
      <c r="KFY56" s="850">
        <f t="shared" si="133"/>
        <v>7.2190030929586647E+52</v>
      </c>
      <c r="KFZ56" s="850">
        <f t="shared" si="133"/>
        <v>0</v>
      </c>
      <c r="KGA56" s="850">
        <f t="shared" si="133"/>
        <v>7.4355731857474249E+52</v>
      </c>
      <c r="KGB56" s="850">
        <f t="shared" si="133"/>
        <v>0</v>
      </c>
      <c r="KGC56" s="850">
        <f t="shared" si="133"/>
        <v>7.6586403813198481E+52</v>
      </c>
      <c r="KGD56" s="850">
        <f t="shared" si="133"/>
        <v>0</v>
      </c>
      <c r="KGE56" s="850">
        <f t="shared" si="133"/>
        <v>7.8883995927594442E+52</v>
      </c>
      <c r="KGF56" s="850">
        <f t="shared" si="133"/>
        <v>0</v>
      </c>
      <c r="KGG56" s="850">
        <f t="shared" si="133"/>
        <v>8.1250515805422281E+52</v>
      </c>
      <c r="KGH56" s="850">
        <f t="shared" ref="KGH56:KIS56" si="134">KGF56*$C$56</f>
        <v>0</v>
      </c>
      <c r="KGI56" s="850">
        <f t="shared" si="134"/>
        <v>8.3688031279584949E+52</v>
      </c>
      <c r="KGJ56" s="850">
        <f t="shared" si="134"/>
        <v>0</v>
      </c>
      <c r="KGK56" s="850">
        <f t="shared" si="134"/>
        <v>8.6198672217972503E+52</v>
      </c>
      <c r="KGL56" s="850">
        <f t="shared" si="134"/>
        <v>0</v>
      </c>
      <c r="KGM56" s="850">
        <f t="shared" si="134"/>
        <v>8.8784632384511679E+52</v>
      </c>
      <c r="KGN56" s="850">
        <f t="shared" si="134"/>
        <v>0</v>
      </c>
      <c r="KGO56" s="850">
        <f t="shared" si="134"/>
        <v>9.1448171356047031E+52</v>
      </c>
      <c r="KGP56" s="850">
        <f t="shared" si="134"/>
        <v>0</v>
      </c>
      <c r="KGQ56" s="850">
        <f t="shared" si="134"/>
        <v>9.4191616496728449E+52</v>
      </c>
      <c r="KGR56" s="850">
        <f t="shared" si="134"/>
        <v>0</v>
      </c>
      <c r="KGS56" s="850">
        <f t="shared" si="134"/>
        <v>9.7017364991630315E+52</v>
      </c>
      <c r="KGT56" s="850">
        <f t="shared" si="134"/>
        <v>0</v>
      </c>
      <c r="KGU56" s="850">
        <f t="shared" si="134"/>
        <v>9.9927885941379236E+52</v>
      </c>
      <c r="KGV56" s="850">
        <f t="shared" si="134"/>
        <v>0</v>
      </c>
      <c r="KGW56" s="850">
        <f t="shared" si="134"/>
        <v>1.0292572251962061E+53</v>
      </c>
      <c r="KGX56" s="850">
        <f t="shared" si="134"/>
        <v>0</v>
      </c>
      <c r="KGY56" s="850">
        <f t="shared" si="134"/>
        <v>1.0601349419520924E+53</v>
      </c>
      <c r="KGZ56" s="850">
        <f t="shared" si="134"/>
        <v>0</v>
      </c>
      <c r="KHA56" s="850">
        <f t="shared" si="134"/>
        <v>1.0919389902106552E+53</v>
      </c>
      <c r="KHB56" s="850">
        <f t="shared" si="134"/>
        <v>0</v>
      </c>
      <c r="KHC56" s="850">
        <f t="shared" si="134"/>
        <v>1.1246971599169748E+53</v>
      </c>
      <c r="KHD56" s="850">
        <f t="shared" si="134"/>
        <v>0</v>
      </c>
      <c r="KHE56" s="850">
        <f t="shared" si="134"/>
        <v>1.158438074714484E+53</v>
      </c>
      <c r="KHF56" s="850">
        <f t="shared" si="134"/>
        <v>0</v>
      </c>
      <c r="KHG56" s="850">
        <f t="shared" si="134"/>
        <v>1.1931912169559186E+53</v>
      </c>
      <c r="KHH56" s="850">
        <f t="shared" si="134"/>
        <v>0</v>
      </c>
      <c r="KHI56" s="850">
        <f t="shared" si="134"/>
        <v>1.2289869534645961E+53</v>
      </c>
      <c r="KHJ56" s="850">
        <f t="shared" si="134"/>
        <v>0</v>
      </c>
      <c r="KHK56" s="850">
        <f t="shared" si="134"/>
        <v>1.2658565620685339E+53</v>
      </c>
      <c r="KHL56" s="850">
        <f t="shared" si="134"/>
        <v>0</v>
      </c>
      <c r="KHM56" s="850">
        <f t="shared" si="134"/>
        <v>1.3038322589305899E+53</v>
      </c>
      <c r="KHN56" s="850">
        <f t="shared" si="134"/>
        <v>0</v>
      </c>
      <c r="KHO56" s="850">
        <f t="shared" si="134"/>
        <v>1.3429472266985078E+53</v>
      </c>
      <c r="KHP56" s="850">
        <f t="shared" si="134"/>
        <v>0</v>
      </c>
      <c r="KHQ56" s="850">
        <f t="shared" si="134"/>
        <v>1.3832356434994631E+53</v>
      </c>
      <c r="KHR56" s="850">
        <f t="shared" si="134"/>
        <v>0</v>
      </c>
      <c r="KHS56" s="850">
        <f t="shared" si="134"/>
        <v>1.424732712804447E+53</v>
      </c>
      <c r="KHT56" s="850">
        <f t="shared" si="134"/>
        <v>0</v>
      </c>
      <c r="KHU56" s="850">
        <f t="shared" si="134"/>
        <v>1.4674746941885804E+53</v>
      </c>
      <c r="KHV56" s="850">
        <f t="shared" si="134"/>
        <v>0</v>
      </c>
      <c r="KHW56" s="850">
        <f t="shared" si="134"/>
        <v>1.5114989350142379E+53</v>
      </c>
      <c r="KHX56" s="850">
        <f t="shared" si="134"/>
        <v>0</v>
      </c>
      <c r="KHY56" s="850">
        <f t="shared" si="134"/>
        <v>1.5568439030646651E+53</v>
      </c>
      <c r="KHZ56" s="850">
        <f t="shared" si="134"/>
        <v>0</v>
      </c>
      <c r="KIA56" s="850">
        <f t="shared" si="134"/>
        <v>1.603549220156605E+53</v>
      </c>
      <c r="KIB56" s="850">
        <f t="shared" si="134"/>
        <v>0</v>
      </c>
      <c r="KIC56" s="850">
        <f t="shared" si="134"/>
        <v>1.6516556967613032E+53</v>
      </c>
      <c r="KID56" s="850">
        <f t="shared" si="134"/>
        <v>0</v>
      </c>
      <c r="KIE56" s="850">
        <f t="shared" si="134"/>
        <v>1.7012053676641424E+53</v>
      </c>
      <c r="KIF56" s="850">
        <f t="shared" si="134"/>
        <v>0</v>
      </c>
      <c r="KIG56" s="850">
        <f t="shared" si="134"/>
        <v>1.7522415286940666E+53</v>
      </c>
      <c r="KIH56" s="850">
        <f t="shared" si="134"/>
        <v>0</v>
      </c>
      <c r="KII56" s="850">
        <f t="shared" si="134"/>
        <v>1.8048087745548886E+53</v>
      </c>
      <c r="KIJ56" s="850">
        <f t="shared" si="134"/>
        <v>0</v>
      </c>
      <c r="KIK56" s="850">
        <f t="shared" si="134"/>
        <v>1.8589530377915352E+53</v>
      </c>
      <c r="KIL56" s="850">
        <f t="shared" si="134"/>
        <v>0</v>
      </c>
      <c r="KIM56" s="850">
        <f t="shared" si="134"/>
        <v>1.9147216289252814E+53</v>
      </c>
      <c r="KIN56" s="850">
        <f t="shared" si="134"/>
        <v>0</v>
      </c>
      <c r="KIO56" s="850">
        <f t="shared" si="134"/>
        <v>1.9721632777930398E+53</v>
      </c>
      <c r="KIP56" s="850">
        <f t="shared" si="134"/>
        <v>0</v>
      </c>
      <c r="KIQ56" s="850">
        <f t="shared" si="134"/>
        <v>2.031328176126831E+53</v>
      </c>
      <c r="KIR56" s="850">
        <f t="shared" si="134"/>
        <v>0</v>
      </c>
      <c r="KIS56" s="850">
        <f t="shared" si="134"/>
        <v>2.092268021410636E+53</v>
      </c>
      <c r="KIT56" s="850">
        <f t="shared" ref="KIT56:KLE56" si="135">KIR56*$C$56</f>
        <v>0</v>
      </c>
      <c r="KIU56" s="850">
        <f t="shared" si="135"/>
        <v>2.1550360620529552E+53</v>
      </c>
      <c r="KIV56" s="850">
        <f t="shared" si="135"/>
        <v>0</v>
      </c>
      <c r="KIW56" s="850">
        <f t="shared" si="135"/>
        <v>2.2196871439145441E+53</v>
      </c>
      <c r="KIX56" s="850">
        <f t="shared" si="135"/>
        <v>0</v>
      </c>
      <c r="KIY56" s="850">
        <f t="shared" si="135"/>
        <v>2.2862777582319803E+53</v>
      </c>
      <c r="KIZ56" s="850">
        <f t="shared" si="135"/>
        <v>0</v>
      </c>
      <c r="KJA56" s="850">
        <f t="shared" si="135"/>
        <v>2.3548660909789397E+53</v>
      </c>
      <c r="KJB56" s="850">
        <f t="shared" si="135"/>
        <v>0</v>
      </c>
      <c r="KJC56" s="850">
        <f t="shared" si="135"/>
        <v>2.4255120737083081E+53</v>
      </c>
      <c r="KJD56" s="850">
        <f t="shared" si="135"/>
        <v>0</v>
      </c>
      <c r="KJE56" s="850">
        <f t="shared" si="135"/>
        <v>2.4982774359195573E+53</v>
      </c>
      <c r="KJF56" s="850">
        <f t="shared" si="135"/>
        <v>0</v>
      </c>
      <c r="KJG56" s="850">
        <f t="shared" si="135"/>
        <v>2.5732257589971441E+53</v>
      </c>
      <c r="KJH56" s="850">
        <f t="shared" si="135"/>
        <v>0</v>
      </c>
      <c r="KJI56" s="850">
        <f t="shared" si="135"/>
        <v>2.6504225317670584E+53</v>
      </c>
      <c r="KJJ56" s="850">
        <f t="shared" si="135"/>
        <v>0</v>
      </c>
      <c r="KJK56" s="850">
        <f t="shared" si="135"/>
        <v>2.7299352077200702E+53</v>
      </c>
      <c r="KJL56" s="850">
        <f t="shared" si="135"/>
        <v>0</v>
      </c>
      <c r="KJM56" s="850">
        <f t="shared" si="135"/>
        <v>2.8118332639516724E+53</v>
      </c>
      <c r="KJN56" s="850">
        <f t="shared" si="135"/>
        <v>0</v>
      </c>
      <c r="KJO56" s="850">
        <f t="shared" si="135"/>
        <v>2.8961882618702226E+53</v>
      </c>
      <c r="KJP56" s="850">
        <f t="shared" si="135"/>
        <v>0</v>
      </c>
      <c r="KJQ56" s="850">
        <f t="shared" si="135"/>
        <v>2.9830739097263293E+53</v>
      </c>
      <c r="KJR56" s="850">
        <f t="shared" si="135"/>
        <v>0</v>
      </c>
      <c r="KJS56" s="850">
        <f t="shared" si="135"/>
        <v>3.072566127018119E+53</v>
      </c>
      <c r="KJT56" s="850">
        <f t="shared" si="135"/>
        <v>0</v>
      </c>
      <c r="KJU56" s="850">
        <f t="shared" si="135"/>
        <v>3.1647431108286627E+53</v>
      </c>
      <c r="KJV56" s="850">
        <f t="shared" si="135"/>
        <v>0</v>
      </c>
      <c r="KJW56" s="850">
        <f t="shared" si="135"/>
        <v>3.2596854041535227E+53</v>
      </c>
      <c r="KJX56" s="850">
        <f t="shared" si="135"/>
        <v>0</v>
      </c>
      <c r="KJY56" s="850">
        <f t="shared" si="135"/>
        <v>3.3574759662781284E+53</v>
      </c>
      <c r="KJZ56" s="850">
        <f t="shared" si="135"/>
        <v>0</v>
      </c>
      <c r="KKA56" s="850">
        <f t="shared" si="135"/>
        <v>3.4582002452664725E+53</v>
      </c>
      <c r="KKB56" s="850">
        <f t="shared" si="135"/>
        <v>0</v>
      </c>
      <c r="KKC56" s="850">
        <f t="shared" si="135"/>
        <v>3.5619462526244665E+53</v>
      </c>
      <c r="KKD56" s="850">
        <f t="shared" si="135"/>
        <v>0</v>
      </c>
      <c r="KKE56" s="850">
        <f t="shared" si="135"/>
        <v>3.6688046402032007E+53</v>
      </c>
      <c r="KKF56" s="850">
        <f t="shared" si="135"/>
        <v>0</v>
      </c>
      <c r="KKG56" s="850">
        <f t="shared" si="135"/>
        <v>3.778868779409297E+53</v>
      </c>
      <c r="KKH56" s="850">
        <f t="shared" si="135"/>
        <v>0</v>
      </c>
      <c r="KKI56" s="850">
        <f t="shared" si="135"/>
        <v>3.8922348427915761E+53</v>
      </c>
      <c r="KKJ56" s="850">
        <f t="shared" si="135"/>
        <v>0</v>
      </c>
      <c r="KKK56" s="850">
        <f t="shared" si="135"/>
        <v>4.0090018880753232E+53</v>
      </c>
      <c r="KKL56" s="850">
        <f t="shared" si="135"/>
        <v>0</v>
      </c>
      <c r="KKM56" s="850">
        <f t="shared" si="135"/>
        <v>4.1292719447175831E+53</v>
      </c>
      <c r="KKN56" s="850">
        <f t="shared" si="135"/>
        <v>0</v>
      </c>
      <c r="KKO56" s="850">
        <f t="shared" si="135"/>
        <v>4.2531501030591111E+53</v>
      </c>
      <c r="KKP56" s="850">
        <f t="shared" si="135"/>
        <v>0</v>
      </c>
      <c r="KKQ56" s="850">
        <f t="shared" si="135"/>
        <v>4.3807446061508849E+53</v>
      </c>
      <c r="KKR56" s="850">
        <f t="shared" si="135"/>
        <v>0</v>
      </c>
      <c r="KKS56" s="850">
        <f t="shared" si="135"/>
        <v>4.5121669443354113E+53</v>
      </c>
      <c r="KKT56" s="850">
        <f t="shared" si="135"/>
        <v>0</v>
      </c>
      <c r="KKU56" s="850">
        <f t="shared" si="135"/>
        <v>4.6475319526654735E+53</v>
      </c>
      <c r="KKV56" s="850">
        <f t="shared" si="135"/>
        <v>0</v>
      </c>
      <c r="KKW56" s="850">
        <f t="shared" si="135"/>
        <v>4.7869579112454376E+53</v>
      </c>
      <c r="KKX56" s="850">
        <f t="shared" si="135"/>
        <v>0</v>
      </c>
      <c r="KKY56" s="850">
        <f t="shared" si="135"/>
        <v>4.9305666485828006E+53</v>
      </c>
      <c r="KKZ56" s="850">
        <f t="shared" si="135"/>
        <v>0</v>
      </c>
      <c r="KLA56" s="850">
        <f t="shared" si="135"/>
        <v>5.0784836480402848E+53</v>
      </c>
      <c r="KLB56" s="850">
        <f t="shared" si="135"/>
        <v>0</v>
      </c>
      <c r="KLC56" s="850">
        <f t="shared" si="135"/>
        <v>5.2308381574814937E+53</v>
      </c>
      <c r="KLD56" s="850">
        <f t="shared" si="135"/>
        <v>0</v>
      </c>
      <c r="KLE56" s="850">
        <f t="shared" si="135"/>
        <v>5.3877633022059388E+53</v>
      </c>
      <c r="KLF56" s="850">
        <f t="shared" ref="KLF56:KNQ56" si="136">KLD56*$C$56</f>
        <v>0</v>
      </c>
      <c r="KLG56" s="850">
        <f t="shared" si="136"/>
        <v>5.5493962012721174E+53</v>
      </c>
      <c r="KLH56" s="850">
        <f t="shared" si="136"/>
        <v>0</v>
      </c>
      <c r="KLI56" s="850">
        <f t="shared" si="136"/>
        <v>5.7158780873102809E+53</v>
      </c>
      <c r="KLJ56" s="850">
        <f t="shared" si="136"/>
        <v>0</v>
      </c>
      <c r="KLK56" s="850">
        <f t="shared" si="136"/>
        <v>5.8873544299295892E+53</v>
      </c>
      <c r="KLL56" s="850">
        <f t="shared" si="136"/>
        <v>0</v>
      </c>
      <c r="KLM56" s="850">
        <f t="shared" si="136"/>
        <v>6.0639750628274768E+53</v>
      </c>
      <c r="KLN56" s="850">
        <f t="shared" si="136"/>
        <v>0</v>
      </c>
      <c r="KLO56" s="850">
        <f t="shared" si="136"/>
        <v>6.2458943147123014E+53</v>
      </c>
      <c r="KLP56" s="850">
        <f t="shared" si="136"/>
        <v>0</v>
      </c>
      <c r="KLQ56" s="850">
        <f t="shared" si="136"/>
        <v>6.4332711441536708E+53</v>
      </c>
      <c r="KLR56" s="850">
        <f t="shared" si="136"/>
        <v>0</v>
      </c>
      <c r="KLS56" s="850">
        <f t="shared" si="136"/>
        <v>6.6262692784782807E+53</v>
      </c>
      <c r="KLT56" s="850">
        <f t="shared" si="136"/>
        <v>0</v>
      </c>
      <c r="KLU56" s="850">
        <f t="shared" si="136"/>
        <v>6.8250573568326293E+53</v>
      </c>
      <c r="KLV56" s="850">
        <f t="shared" si="136"/>
        <v>0</v>
      </c>
      <c r="KLW56" s="850">
        <f t="shared" si="136"/>
        <v>7.0298090775376086E+53</v>
      </c>
      <c r="KLX56" s="850">
        <f t="shared" si="136"/>
        <v>0</v>
      </c>
      <c r="KLY56" s="850">
        <f t="shared" si="136"/>
        <v>7.240703349863737E+53</v>
      </c>
      <c r="KLZ56" s="850">
        <f t="shared" si="136"/>
        <v>0</v>
      </c>
      <c r="KMA56" s="850">
        <f t="shared" si="136"/>
        <v>7.457924450359649E+53</v>
      </c>
      <c r="KMB56" s="850">
        <f t="shared" si="136"/>
        <v>0</v>
      </c>
      <c r="KMC56" s="850">
        <f t="shared" si="136"/>
        <v>7.6816621838704381E+53</v>
      </c>
      <c r="KMD56" s="850">
        <f t="shared" si="136"/>
        <v>0</v>
      </c>
      <c r="KME56" s="850">
        <f t="shared" si="136"/>
        <v>7.9121120493865522E+53</v>
      </c>
      <c r="KMF56" s="850">
        <f t="shared" si="136"/>
        <v>0</v>
      </c>
      <c r="KMG56" s="850">
        <f t="shared" si="136"/>
        <v>8.1494754108681494E+53</v>
      </c>
      <c r="KMH56" s="850">
        <f t="shared" si="136"/>
        <v>0</v>
      </c>
      <c r="KMI56" s="850">
        <f t="shared" si="136"/>
        <v>8.3939596731941943E+53</v>
      </c>
      <c r="KMJ56" s="850">
        <f t="shared" si="136"/>
        <v>0</v>
      </c>
      <c r="KMK56" s="850">
        <f t="shared" si="136"/>
        <v>8.64577846339002E+53</v>
      </c>
      <c r="KML56" s="850">
        <f t="shared" si="136"/>
        <v>0</v>
      </c>
      <c r="KMM56" s="850">
        <f t="shared" si="136"/>
        <v>8.9051518172917215E+53</v>
      </c>
      <c r="KMN56" s="850">
        <f t="shared" si="136"/>
        <v>0</v>
      </c>
      <c r="KMO56" s="850">
        <f t="shared" si="136"/>
        <v>9.1723063718104737E+53</v>
      </c>
      <c r="KMP56" s="850">
        <f t="shared" si="136"/>
        <v>0</v>
      </c>
      <c r="KMQ56" s="850">
        <f t="shared" si="136"/>
        <v>9.4474755629647874E+53</v>
      </c>
      <c r="KMR56" s="850">
        <f t="shared" si="136"/>
        <v>0</v>
      </c>
      <c r="KMS56" s="850">
        <f t="shared" si="136"/>
        <v>9.7308998298537314E+53</v>
      </c>
      <c r="KMT56" s="850">
        <f t="shared" si="136"/>
        <v>0</v>
      </c>
      <c r="KMU56" s="850">
        <f t="shared" si="136"/>
        <v>1.0022826824749343E+54</v>
      </c>
      <c r="KMV56" s="850">
        <f t="shared" si="136"/>
        <v>0</v>
      </c>
      <c r="KMW56" s="850">
        <f t="shared" si="136"/>
        <v>1.0323511629491823E+54</v>
      </c>
      <c r="KMX56" s="850">
        <f t="shared" si="136"/>
        <v>0</v>
      </c>
      <c r="KMY56" s="850">
        <f t="shared" si="136"/>
        <v>1.0633216978376579E+54</v>
      </c>
      <c r="KMZ56" s="850">
        <f t="shared" si="136"/>
        <v>0</v>
      </c>
      <c r="KNA56" s="850">
        <f t="shared" si="136"/>
        <v>1.0952213487727877E+54</v>
      </c>
      <c r="KNB56" s="850">
        <f t="shared" si="136"/>
        <v>0</v>
      </c>
      <c r="KNC56" s="850">
        <f t="shared" si="136"/>
        <v>1.1280779892359714E+54</v>
      </c>
      <c r="KND56" s="850">
        <f t="shared" si="136"/>
        <v>0</v>
      </c>
      <c r="KNE56" s="850">
        <f t="shared" si="136"/>
        <v>1.1619203289130506E+54</v>
      </c>
      <c r="KNF56" s="850">
        <f t="shared" si="136"/>
        <v>0</v>
      </c>
      <c r="KNG56" s="850">
        <f t="shared" si="136"/>
        <v>1.1967779387804422E+54</v>
      </c>
      <c r="KNH56" s="850">
        <f t="shared" si="136"/>
        <v>0</v>
      </c>
      <c r="KNI56" s="850">
        <f t="shared" si="136"/>
        <v>1.2326812769438555E+54</v>
      </c>
      <c r="KNJ56" s="850">
        <f t="shared" si="136"/>
        <v>0</v>
      </c>
      <c r="KNK56" s="850">
        <f t="shared" si="136"/>
        <v>1.2696617152521712E+54</v>
      </c>
      <c r="KNL56" s="850">
        <f t="shared" si="136"/>
        <v>0</v>
      </c>
      <c r="KNM56" s="850">
        <f t="shared" si="136"/>
        <v>1.3077515667097364E+54</v>
      </c>
      <c r="KNN56" s="850">
        <f t="shared" si="136"/>
        <v>0</v>
      </c>
      <c r="KNO56" s="850">
        <f t="shared" si="136"/>
        <v>1.3469841137110285E+54</v>
      </c>
      <c r="KNP56" s="850">
        <f t="shared" si="136"/>
        <v>0</v>
      </c>
      <c r="KNQ56" s="850">
        <f t="shared" si="136"/>
        <v>1.3873936371223594E+54</v>
      </c>
      <c r="KNR56" s="850">
        <f t="shared" ref="KNR56:KQC56" si="137">KNP56*$C$56</f>
        <v>0</v>
      </c>
      <c r="KNS56" s="850">
        <f t="shared" si="137"/>
        <v>1.4290154462360302E+54</v>
      </c>
      <c r="KNT56" s="850">
        <f t="shared" si="137"/>
        <v>0</v>
      </c>
      <c r="KNU56" s="850">
        <f t="shared" si="137"/>
        <v>1.4718859096231112E+54</v>
      </c>
      <c r="KNV56" s="850">
        <f t="shared" si="137"/>
        <v>0</v>
      </c>
      <c r="KNW56" s="850">
        <f t="shared" si="137"/>
        <v>1.5160424869118046E+54</v>
      </c>
      <c r="KNX56" s="850">
        <f t="shared" si="137"/>
        <v>0</v>
      </c>
      <c r="KNY56" s="850">
        <f t="shared" si="137"/>
        <v>1.5615237615191587E+54</v>
      </c>
      <c r="KNZ56" s="850">
        <f t="shared" si="137"/>
        <v>0</v>
      </c>
      <c r="KOA56" s="850">
        <f t="shared" si="137"/>
        <v>1.6083694743647337E+54</v>
      </c>
      <c r="KOB56" s="850">
        <f t="shared" si="137"/>
        <v>0</v>
      </c>
      <c r="KOC56" s="850">
        <f t="shared" si="137"/>
        <v>1.6566205585956758E+54</v>
      </c>
      <c r="KOD56" s="850">
        <f t="shared" si="137"/>
        <v>0</v>
      </c>
      <c r="KOE56" s="850">
        <f t="shared" si="137"/>
        <v>1.7063191753535461E+54</v>
      </c>
      <c r="KOF56" s="850">
        <f t="shared" si="137"/>
        <v>0</v>
      </c>
      <c r="KOG56" s="850">
        <f t="shared" si="137"/>
        <v>1.7575087506141525E+54</v>
      </c>
      <c r="KOH56" s="850">
        <f t="shared" si="137"/>
        <v>0</v>
      </c>
      <c r="KOI56" s="850">
        <f t="shared" si="137"/>
        <v>1.8102340131325773E+54</v>
      </c>
      <c r="KOJ56" s="850">
        <f t="shared" si="137"/>
        <v>0</v>
      </c>
      <c r="KOK56" s="850">
        <f t="shared" si="137"/>
        <v>1.8645410335265547E+54</v>
      </c>
      <c r="KOL56" s="850">
        <f t="shared" si="137"/>
        <v>0</v>
      </c>
      <c r="KOM56" s="850">
        <f t="shared" si="137"/>
        <v>1.9204772645323513E+54</v>
      </c>
      <c r="KON56" s="850">
        <f t="shared" si="137"/>
        <v>0</v>
      </c>
      <c r="KOO56" s="850">
        <f t="shared" si="137"/>
        <v>1.978091582468322E+54</v>
      </c>
      <c r="KOP56" s="850">
        <f t="shared" si="137"/>
        <v>0</v>
      </c>
      <c r="KOQ56" s="850">
        <f t="shared" si="137"/>
        <v>2.0374343299423719E+54</v>
      </c>
      <c r="KOR56" s="850">
        <f t="shared" si="137"/>
        <v>0</v>
      </c>
      <c r="KOS56" s="850">
        <f t="shared" si="137"/>
        <v>2.0985573598406431E+54</v>
      </c>
      <c r="KOT56" s="850">
        <f t="shared" si="137"/>
        <v>0</v>
      </c>
      <c r="KOU56" s="850">
        <f t="shared" si="137"/>
        <v>2.1615140806358625E+54</v>
      </c>
      <c r="KOV56" s="850">
        <f t="shared" si="137"/>
        <v>0</v>
      </c>
      <c r="KOW56" s="850">
        <f t="shared" si="137"/>
        <v>2.2263595030549385E+54</v>
      </c>
      <c r="KOX56" s="850">
        <f t="shared" si="137"/>
        <v>0</v>
      </c>
      <c r="KOY56" s="850">
        <f t="shared" si="137"/>
        <v>2.2931502881465868E+54</v>
      </c>
      <c r="KOZ56" s="850">
        <f t="shared" si="137"/>
        <v>0</v>
      </c>
      <c r="KPA56" s="850">
        <f t="shared" si="137"/>
        <v>2.3619447967909844E+54</v>
      </c>
      <c r="KPB56" s="850">
        <f t="shared" si="137"/>
        <v>0</v>
      </c>
      <c r="KPC56" s="850">
        <f t="shared" si="137"/>
        <v>2.4328031406947142E+54</v>
      </c>
      <c r="KPD56" s="850">
        <f t="shared" si="137"/>
        <v>0</v>
      </c>
      <c r="KPE56" s="850">
        <f t="shared" si="137"/>
        <v>2.5057872349155557E+54</v>
      </c>
      <c r="KPF56" s="850">
        <f t="shared" si="137"/>
        <v>0</v>
      </c>
      <c r="KPG56" s="850">
        <f t="shared" si="137"/>
        <v>2.5809608519630225E+54</v>
      </c>
      <c r="KPH56" s="850">
        <f t="shared" si="137"/>
        <v>0</v>
      </c>
      <c r="KPI56" s="850">
        <f t="shared" si="137"/>
        <v>2.6583896775219132E+54</v>
      </c>
      <c r="KPJ56" s="850">
        <f t="shared" si="137"/>
        <v>0</v>
      </c>
      <c r="KPK56" s="850">
        <f t="shared" si="137"/>
        <v>2.7381413678475706E+54</v>
      </c>
      <c r="KPL56" s="850">
        <f t="shared" si="137"/>
        <v>0</v>
      </c>
      <c r="KPM56" s="850">
        <f t="shared" si="137"/>
        <v>2.8202856088829977E+54</v>
      </c>
      <c r="KPN56" s="850">
        <f t="shared" si="137"/>
        <v>0</v>
      </c>
      <c r="KPO56" s="850">
        <f t="shared" si="137"/>
        <v>2.9048941771494876E+54</v>
      </c>
      <c r="KPP56" s="850">
        <f t="shared" si="137"/>
        <v>0</v>
      </c>
      <c r="KPQ56" s="850">
        <f t="shared" si="137"/>
        <v>2.9920410024639724E+54</v>
      </c>
      <c r="KPR56" s="850">
        <f t="shared" si="137"/>
        <v>0</v>
      </c>
      <c r="KPS56" s="850">
        <f t="shared" si="137"/>
        <v>3.0818022325378919E+54</v>
      </c>
      <c r="KPT56" s="850">
        <f t="shared" si="137"/>
        <v>0</v>
      </c>
      <c r="KPU56" s="850">
        <f t="shared" si="137"/>
        <v>3.1742562995140289E+54</v>
      </c>
      <c r="KPV56" s="850">
        <f t="shared" si="137"/>
        <v>0</v>
      </c>
      <c r="KPW56" s="850">
        <f t="shared" si="137"/>
        <v>3.2694839884994497E+54</v>
      </c>
      <c r="KPX56" s="850">
        <f t="shared" si="137"/>
        <v>0</v>
      </c>
      <c r="KPY56" s="850">
        <f t="shared" si="137"/>
        <v>3.3675685081544337E+54</v>
      </c>
      <c r="KPZ56" s="850">
        <f t="shared" si="137"/>
        <v>0</v>
      </c>
      <c r="KQA56" s="850">
        <f t="shared" si="137"/>
        <v>3.468595563399067E+54</v>
      </c>
      <c r="KQB56" s="850">
        <f t="shared" si="137"/>
        <v>0</v>
      </c>
      <c r="KQC56" s="850">
        <f t="shared" si="137"/>
        <v>3.572653430301039E+54</v>
      </c>
      <c r="KQD56" s="850">
        <f t="shared" ref="KQD56:KSO56" si="138">KQB56*$C$56</f>
        <v>0</v>
      </c>
      <c r="KQE56" s="850">
        <f t="shared" si="138"/>
        <v>3.6798330332100704E+54</v>
      </c>
      <c r="KQF56" s="850">
        <f t="shared" si="138"/>
        <v>0</v>
      </c>
      <c r="KQG56" s="850">
        <f t="shared" si="138"/>
        <v>3.7902280242063724E+54</v>
      </c>
      <c r="KQH56" s="850">
        <f t="shared" si="138"/>
        <v>0</v>
      </c>
      <c r="KQI56" s="850">
        <f t="shared" si="138"/>
        <v>3.9039348649325635E+54</v>
      </c>
      <c r="KQJ56" s="850">
        <f t="shared" si="138"/>
        <v>0</v>
      </c>
      <c r="KQK56" s="850">
        <f t="shared" si="138"/>
        <v>4.0210529108805404E+54</v>
      </c>
      <c r="KQL56" s="850">
        <f t="shared" si="138"/>
        <v>0</v>
      </c>
      <c r="KQM56" s="850">
        <f t="shared" si="138"/>
        <v>4.1416844982069569E+54</v>
      </c>
      <c r="KQN56" s="850">
        <f t="shared" si="138"/>
        <v>0</v>
      </c>
      <c r="KQO56" s="850">
        <f t="shared" si="138"/>
        <v>4.265935033153166E+54</v>
      </c>
      <c r="KQP56" s="850">
        <f t="shared" si="138"/>
        <v>0</v>
      </c>
      <c r="KQQ56" s="850">
        <f t="shared" si="138"/>
        <v>4.3939130841477608E+54</v>
      </c>
      <c r="KQR56" s="850">
        <f t="shared" si="138"/>
        <v>0</v>
      </c>
      <c r="KQS56" s="850">
        <f t="shared" si="138"/>
        <v>4.5257304766721939E+54</v>
      </c>
      <c r="KQT56" s="850">
        <f t="shared" si="138"/>
        <v>0</v>
      </c>
      <c r="KQU56" s="850">
        <f t="shared" si="138"/>
        <v>4.6615023909723599E+54</v>
      </c>
      <c r="KQV56" s="850">
        <f t="shared" si="138"/>
        <v>0</v>
      </c>
      <c r="KQW56" s="850">
        <f t="shared" si="138"/>
        <v>4.8013474627015311E+54</v>
      </c>
      <c r="KQX56" s="850">
        <f t="shared" si="138"/>
        <v>0</v>
      </c>
      <c r="KQY56" s="850">
        <f t="shared" si="138"/>
        <v>4.9453878865825774E+54</v>
      </c>
      <c r="KQZ56" s="850">
        <f t="shared" si="138"/>
        <v>0</v>
      </c>
      <c r="KRA56" s="850">
        <f t="shared" si="138"/>
        <v>5.0937495231800549E+54</v>
      </c>
      <c r="KRB56" s="850">
        <f t="shared" si="138"/>
        <v>0</v>
      </c>
      <c r="KRC56" s="850">
        <f t="shared" si="138"/>
        <v>5.246562008875457E+54</v>
      </c>
      <c r="KRD56" s="850">
        <f t="shared" si="138"/>
        <v>0</v>
      </c>
      <c r="KRE56" s="850">
        <f t="shared" si="138"/>
        <v>5.4039588691417211E+54</v>
      </c>
      <c r="KRF56" s="850">
        <f t="shared" si="138"/>
        <v>0</v>
      </c>
      <c r="KRG56" s="850">
        <f t="shared" si="138"/>
        <v>5.5660776352159732E+54</v>
      </c>
      <c r="KRH56" s="850">
        <f t="shared" si="138"/>
        <v>0</v>
      </c>
      <c r="KRI56" s="850">
        <f t="shared" si="138"/>
        <v>5.7330599642724527E+54</v>
      </c>
      <c r="KRJ56" s="850">
        <f t="shared" si="138"/>
        <v>0</v>
      </c>
      <c r="KRK56" s="850">
        <f t="shared" si="138"/>
        <v>5.9050517632006266E+54</v>
      </c>
      <c r="KRL56" s="850">
        <f t="shared" si="138"/>
        <v>0</v>
      </c>
      <c r="KRM56" s="850">
        <f t="shared" si="138"/>
        <v>6.0822033160966453E+54</v>
      </c>
      <c r="KRN56" s="850">
        <f t="shared" si="138"/>
        <v>0</v>
      </c>
      <c r="KRO56" s="850">
        <f t="shared" si="138"/>
        <v>6.2646694155795452E+54</v>
      </c>
      <c r="KRP56" s="850">
        <f t="shared" si="138"/>
        <v>0</v>
      </c>
      <c r="KRQ56" s="850">
        <f t="shared" si="138"/>
        <v>6.452609498046932E+54</v>
      </c>
      <c r="KRR56" s="850">
        <f t="shared" si="138"/>
        <v>0</v>
      </c>
      <c r="KRS56" s="850">
        <f t="shared" si="138"/>
        <v>6.6461877829883405E+54</v>
      </c>
      <c r="KRT56" s="850">
        <f t="shared" si="138"/>
        <v>0</v>
      </c>
      <c r="KRU56" s="850">
        <f t="shared" si="138"/>
        <v>6.8455734164779903E+54</v>
      </c>
      <c r="KRV56" s="850">
        <f t="shared" si="138"/>
        <v>0</v>
      </c>
      <c r="KRW56" s="850">
        <f t="shared" si="138"/>
        <v>7.0509406189723304E+54</v>
      </c>
      <c r="KRX56" s="850">
        <f t="shared" si="138"/>
        <v>0</v>
      </c>
      <c r="KRY56" s="850">
        <f t="shared" si="138"/>
        <v>7.2624688375415006E+54</v>
      </c>
      <c r="KRZ56" s="850">
        <f t="shared" si="138"/>
        <v>0</v>
      </c>
      <c r="KSA56" s="850">
        <f t="shared" si="138"/>
        <v>7.4803429026677461E+54</v>
      </c>
      <c r="KSB56" s="850">
        <f t="shared" si="138"/>
        <v>0</v>
      </c>
      <c r="KSC56" s="850">
        <f t="shared" si="138"/>
        <v>7.7047531897477783E+54</v>
      </c>
      <c r="KSD56" s="850">
        <f t="shared" si="138"/>
        <v>0</v>
      </c>
      <c r="KSE56" s="850">
        <f t="shared" si="138"/>
        <v>7.9358957854402121E+54</v>
      </c>
      <c r="KSF56" s="850">
        <f t="shared" si="138"/>
        <v>0</v>
      </c>
      <c r="KSG56" s="850">
        <f t="shared" si="138"/>
        <v>8.1739726590034183E+54</v>
      </c>
      <c r="KSH56" s="850">
        <f t="shared" si="138"/>
        <v>0</v>
      </c>
      <c r="KSI56" s="850">
        <f t="shared" si="138"/>
        <v>8.4191918387735207E+54</v>
      </c>
      <c r="KSJ56" s="850">
        <f t="shared" si="138"/>
        <v>0</v>
      </c>
      <c r="KSK56" s="850">
        <f t="shared" si="138"/>
        <v>8.6717675939367272E+54</v>
      </c>
      <c r="KSL56" s="850">
        <f t="shared" si="138"/>
        <v>0</v>
      </c>
      <c r="KSM56" s="850">
        <f t="shared" si="138"/>
        <v>8.9319206217548296E+54</v>
      </c>
      <c r="KSN56" s="850">
        <f t="shared" si="138"/>
        <v>0</v>
      </c>
      <c r="KSO56" s="850">
        <f t="shared" si="138"/>
        <v>9.1998782404074751E+54</v>
      </c>
      <c r="KSP56" s="850">
        <f t="shared" ref="KSP56:KVA56" si="139">KSN56*$C$56</f>
        <v>0</v>
      </c>
      <c r="KSQ56" s="850">
        <f t="shared" si="139"/>
        <v>9.4758745876196998E+54</v>
      </c>
      <c r="KSR56" s="850">
        <f t="shared" si="139"/>
        <v>0</v>
      </c>
      <c r="KSS56" s="850">
        <f t="shared" si="139"/>
        <v>9.7601508252482918E+54</v>
      </c>
      <c r="KST56" s="850">
        <f t="shared" si="139"/>
        <v>0</v>
      </c>
      <c r="KSU56" s="850">
        <f t="shared" si="139"/>
        <v>1.005295535000574E+55</v>
      </c>
      <c r="KSV56" s="850">
        <f t="shared" si="139"/>
        <v>0</v>
      </c>
      <c r="KSW56" s="850">
        <f t="shared" si="139"/>
        <v>1.0354544010505912E+55</v>
      </c>
      <c r="KSX56" s="850">
        <f t="shared" si="139"/>
        <v>0</v>
      </c>
      <c r="KSY56" s="850">
        <f t="shared" si="139"/>
        <v>1.066518033082109E+55</v>
      </c>
      <c r="KSZ56" s="850">
        <f t="shared" si="139"/>
        <v>0</v>
      </c>
      <c r="KTA56" s="850">
        <f t="shared" si="139"/>
        <v>1.0985135740745723E+55</v>
      </c>
      <c r="KTB56" s="850">
        <f t="shared" si="139"/>
        <v>0</v>
      </c>
      <c r="KTC56" s="850">
        <f t="shared" si="139"/>
        <v>1.1314689812968095E+55</v>
      </c>
      <c r="KTD56" s="850">
        <f t="shared" si="139"/>
        <v>0</v>
      </c>
      <c r="KTE56" s="850">
        <f t="shared" si="139"/>
        <v>1.1654130507357138E+55</v>
      </c>
      <c r="KTF56" s="850">
        <f t="shared" si="139"/>
        <v>0</v>
      </c>
      <c r="KTG56" s="850">
        <f t="shared" si="139"/>
        <v>1.2003754422577852E+55</v>
      </c>
      <c r="KTH56" s="850">
        <f t="shared" si="139"/>
        <v>0</v>
      </c>
      <c r="KTI56" s="850">
        <f t="shared" si="139"/>
        <v>1.2363867055255189E+55</v>
      </c>
      <c r="KTJ56" s="850">
        <f t="shared" si="139"/>
        <v>0</v>
      </c>
      <c r="KTK56" s="850">
        <f t="shared" si="139"/>
        <v>1.2734783066912844E+55</v>
      </c>
      <c r="KTL56" s="850">
        <f t="shared" si="139"/>
        <v>0</v>
      </c>
      <c r="KTM56" s="850">
        <f t="shared" si="139"/>
        <v>1.3116826558920229E+55</v>
      </c>
      <c r="KTN56" s="850">
        <f t="shared" si="139"/>
        <v>0</v>
      </c>
      <c r="KTO56" s="850">
        <f t="shared" si="139"/>
        <v>1.3510331355687836E+55</v>
      </c>
      <c r="KTP56" s="850">
        <f t="shared" si="139"/>
        <v>0</v>
      </c>
      <c r="KTQ56" s="850">
        <f t="shared" si="139"/>
        <v>1.3915641296358471E+55</v>
      </c>
      <c r="KTR56" s="850">
        <f t="shared" si="139"/>
        <v>0</v>
      </c>
      <c r="KTS56" s="850">
        <f t="shared" si="139"/>
        <v>1.4333110535249227E+55</v>
      </c>
      <c r="KTT56" s="850">
        <f t="shared" si="139"/>
        <v>0</v>
      </c>
      <c r="KTU56" s="850">
        <f t="shared" si="139"/>
        <v>1.4763103851306703E+55</v>
      </c>
      <c r="KTV56" s="850">
        <f t="shared" si="139"/>
        <v>0</v>
      </c>
      <c r="KTW56" s="850">
        <f t="shared" si="139"/>
        <v>1.5205996966845904E+55</v>
      </c>
      <c r="KTX56" s="850">
        <f t="shared" si="139"/>
        <v>0</v>
      </c>
      <c r="KTY56" s="850">
        <f t="shared" si="139"/>
        <v>1.5662176875851282E+55</v>
      </c>
      <c r="KTZ56" s="850">
        <f t="shared" si="139"/>
        <v>0</v>
      </c>
      <c r="KUA56" s="850">
        <f t="shared" si="139"/>
        <v>1.613204218212682E+55</v>
      </c>
      <c r="KUB56" s="850">
        <f t="shared" si="139"/>
        <v>0</v>
      </c>
      <c r="KUC56" s="850">
        <f t="shared" si="139"/>
        <v>1.6616003447590624E+55</v>
      </c>
      <c r="KUD56" s="850">
        <f t="shared" si="139"/>
        <v>0</v>
      </c>
      <c r="KUE56" s="850">
        <f t="shared" si="139"/>
        <v>1.7114483551018342E+55</v>
      </c>
      <c r="KUF56" s="850">
        <f t="shared" si="139"/>
        <v>0</v>
      </c>
      <c r="KUG56" s="850">
        <f t="shared" si="139"/>
        <v>1.7627918057548893E+55</v>
      </c>
      <c r="KUH56" s="850">
        <f t="shared" si="139"/>
        <v>0</v>
      </c>
      <c r="KUI56" s="850">
        <f t="shared" si="139"/>
        <v>1.815675559927536E+55</v>
      </c>
      <c r="KUJ56" s="850">
        <f t="shared" si="139"/>
        <v>0</v>
      </c>
      <c r="KUK56" s="850">
        <f t="shared" si="139"/>
        <v>1.8701458267253622E+55</v>
      </c>
      <c r="KUL56" s="850">
        <f t="shared" si="139"/>
        <v>0</v>
      </c>
      <c r="KUM56" s="850">
        <f t="shared" si="139"/>
        <v>1.9262502015271233E+55</v>
      </c>
      <c r="KUN56" s="850">
        <f t="shared" si="139"/>
        <v>0</v>
      </c>
      <c r="KUO56" s="850">
        <f t="shared" si="139"/>
        <v>1.984037707572937E+55</v>
      </c>
      <c r="KUP56" s="850">
        <f t="shared" si="139"/>
        <v>0</v>
      </c>
      <c r="KUQ56" s="850">
        <f t="shared" si="139"/>
        <v>2.0435588388001252E+55</v>
      </c>
      <c r="KUR56" s="850">
        <f t="shared" si="139"/>
        <v>0</v>
      </c>
      <c r="KUS56" s="850">
        <f t="shared" si="139"/>
        <v>2.1048656039641291E+55</v>
      </c>
      <c r="KUT56" s="850">
        <f t="shared" si="139"/>
        <v>0</v>
      </c>
      <c r="KUU56" s="850">
        <f t="shared" si="139"/>
        <v>2.168011572083053E+55</v>
      </c>
      <c r="KUV56" s="850">
        <f t="shared" si="139"/>
        <v>0</v>
      </c>
      <c r="KUW56" s="850">
        <f t="shared" si="139"/>
        <v>2.2330519192455447E+55</v>
      </c>
      <c r="KUX56" s="850">
        <f t="shared" si="139"/>
        <v>0</v>
      </c>
      <c r="KUY56" s="850">
        <f t="shared" si="139"/>
        <v>2.3000434768229111E+55</v>
      </c>
      <c r="KUZ56" s="850">
        <f t="shared" si="139"/>
        <v>0</v>
      </c>
      <c r="KVA56" s="850">
        <f t="shared" si="139"/>
        <v>2.3690447811275985E+55</v>
      </c>
      <c r="KVB56" s="850">
        <f t="shared" ref="KVB56:KXM56" si="140">KUZ56*$C$56</f>
        <v>0</v>
      </c>
      <c r="KVC56" s="850">
        <f t="shared" si="140"/>
        <v>2.4401161245614264E+55</v>
      </c>
      <c r="KVD56" s="850">
        <f t="shared" si="140"/>
        <v>0</v>
      </c>
      <c r="KVE56" s="850">
        <f t="shared" si="140"/>
        <v>2.5133196082982694E+55</v>
      </c>
      <c r="KVF56" s="850">
        <f t="shared" si="140"/>
        <v>0</v>
      </c>
      <c r="KVG56" s="850">
        <f t="shared" si="140"/>
        <v>2.5887191965472176E+55</v>
      </c>
      <c r="KVH56" s="850">
        <f t="shared" si="140"/>
        <v>0</v>
      </c>
      <c r="KVI56" s="850">
        <f t="shared" si="140"/>
        <v>2.6663807724436341E+55</v>
      </c>
      <c r="KVJ56" s="850">
        <f t="shared" si="140"/>
        <v>0</v>
      </c>
      <c r="KVK56" s="850">
        <f t="shared" si="140"/>
        <v>2.7463721956169435E+55</v>
      </c>
      <c r="KVL56" s="850">
        <f t="shared" si="140"/>
        <v>0</v>
      </c>
      <c r="KVM56" s="850">
        <f t="shared" si="140"/>
        <v>2.8287633614854517E+55</v>
      </c>
      <c r="KVN56" s="850">
        <f t="shared" si="140"/>
        <v>0</v>
      </c>
      <c r="KVO56" s="850">
        <f t="shared" si="140"/>
        <v>2.9136262623300151E+55</v>
      </c>
      <c r="KVP56" s="850">
        <f t="shared" si="140"/>
        <v>0</v>
      </c>
      <c r="KVQ56" s="850">
        <f t="shared" si="140"/>
        <v>3.0010350501999155E+55</v>
      </c>
      <c r="KVR56" s="850">
        <f t="shared" si="140"/>
        <v>0</v>
      </c>
      <c r="KVS56" s="850">
        <f t="shared" si="140"/>
        <v>3.0910661017059131E+55</v>
      </c>
      <c r="KVT56" s="850">
        <f t="shared" si="140"/>
        <v>0</v>
      </c>
      <c r="KVU56" s="850">
        <f t="shared" si="140"/>
        <v>3.1837980847570904E+55</v>
      </c>
      <c r="KVV56" s="850">
        <f t="shared" si="140"/>
        <v>0</v>
      </c>
      <c r="KVW56" s="850">
        <f t="shared" si="140"/>
        <v>3.2793120272998032E+55</v>
      </c>
      <c r="KVX56" s="850">
        <f t="shared" si="140"/>
        <v>0</v>
      </c>
      <c r="KVY56" s="850">
        <f t="shared" si="140"/>
        <v>3.3776913881187972E+55</v>
      </c>
      <c r="KVZ56" s="850">
        <f t="shared" si="140"/>
        <v>0</v>
      </c>
      <c r="KWA56" s="850">
        <f t="shared" si="140"/>
        <v>3.4790221297623609E+55</v>
      </c>
      <c r="KWB56" s="850">
        <f t="shared" si="140"/>
        <v>0</v>
      </c>
      <c r="KWC56" s="850">
        <f t="shared" si="140"/>
        <v>3.583392793655232E+55</v>
      </c>
      <c r="KWD56" s="850">
        <f t="shared" si="140"/>
        <v>0</v>
      </c>
      <c r="KWE56" s="850">
        <f t="shared" si="140"/>
        <v>3.6908945774648889E+55</v>
      </c>
      <c r="KWF56" s="850">
        <f t="shared" si="140"/>
        <v>0</v>
      </c>
      <c r="KWG56" s="850">
        <f t="shared" si="140"/>
        <v>3.8016214147888359E+55</v>
      </c>
      <c r="KWH56" s="850">
        <f t="shared" si="140"/>
        <v>0</v>
      </c>
      <c r="KWI56" s="850">
        <f t="shared" si="140"/>
        <v>3.9156700572325013E+55</v>
      </c>
      <c r="KWJ56" s="850">
        <f t="shared" si="140"/>
        <v>0</v>
      </c>
      <c r="KWK56" s="850">
        <f t="shared" si="140"/>
        <v>4.0331401589494764E+55</v>
      </c>
      <c r="KWL56" s="850">
        <f t="shared" si="140"/>
        <v>0</v>
      </c>
      <c r="KWM56" s="850">
        <f t="shared" si="140"/>
        <v>4.1541343637179607E+55</v>
      </c>
      <c r="KWN56" s="850">
        <f t="shared" si="140"/>
        <v>0</v>
      </c>
      <c r="KWO56" s="850">
        <f t="shared" si="140"/>
        <v>4.2787583946294995E+55</v>
      </c>
      <c r="KWP56" s="850">
        <f t="shared" si="140"/>
        <v>0</v>
      </c>
      <c r="KWQ56" s="850">
        <f t="shared" si="140"/>
        <v>4.4071211464683845E+55</v>
      </c>
      <c r="KWR56" s="850">
        <f t="shared" si="140"/>
        <v>0</v>
      </c>
      <c r="KWS56" s="850">
        <f t="shared" si="140"/>
        <v>4.5393347808624363E+55</v>
      </c>
      <c r="KWT56" s="850">
        <f t="shared" si="140"/>
        <v>0</v>
      </c>
      <c r="KWU56" s="850">
        <f t="shared" si="140"/>
        <v>4.6755148242883095E+55</v>
      </c>
      <c r="KWV56" s="850">
        <f t="shared" si="140"/>
        <v>0</v>
      </c>
      <c r="KWW56" s="850">
        <f t="shared" si="140"/>
        <v>4.8157802690169588E+55</v>
      </c>
      <c r="KWX56" s="850">
        <f t="shared" si="140"/>
        <v>0</v>
      </c>
      <c r="KWY56" s="850">
        <f t="shared" si="140"/>
        <v>4.9602536770874675E+55</v>
      </c>
      <c r="KWZ56" s="850">
        <f t="shared" si="140"/>
        <v>0</v>
      </c>
      <c r="KXA56" s="850">
        <f t="shared" si="140"/>
        <v>5.1090612874000911E+55</v>
      </c>
      <c r="KXB56" s="850">
        <f t="shared" si="140"/>
        <v>0</v>
      </c>
      <c r="KXC56" s="850">
        <f t="shared" si="140"/>
        <v>5.262333126022094E+55</v>
      </c>
      <c r="KXD56" s="850">
        <f t="shared" si="140"/>
        <v>0</v>
      </c>
      <c r="KXE56" s="850">
        <f t="shared" si="140"/>
        <v>5.4202031198027573E+55</v>
      </c>
      <c r="KXF56" s="850">
        <f t="shared" si="140"/>
        <v>0</v>
      </c>
      <c r="KXG56" s="850">
        <f t="shared" si="140"/>
        <v>5.5828092133968407E+55</v>
      </c>
      <c r="KXH56" s="850">
        <f t="shared" si="140"/>
        <v>0</v>
      </c>
      <c r="KXI56" s="850">
        <f t="shared" si="140"/>
        <v>5.7502934897987458E+55</v>
      </c>
      <c r="KXJ56" s="850">
        <f t="shared" si="140"/>
        <v>0</v>
      </c>
      <c r="KXK56" s="850">
        <f t="shared" si="140"/>
        <v>5.9228022944927089E+55</v>
      </c>
      <c r="KXL56" s="850">
        <f t="shared" si="140"/>
        <v>0</v>
      </c>
      <c r="KXM56" s="850">
        <f t="shared" si="140"/>
        <v>6.1004863633274901E+55</v>
      </c>
      <c r="KXN56" s="850">
        <f t="shared" ref="KXN56:KZY56" si="141">KXL56*$C$56</f>
        <v>0</v>
      </c>
      <c r="KXO56" s="850">
        <f t="shared" si="141"/>
        <v>6.283500954227315E+55</v>
      </c>
      <c r="KXP56" s="850">
        <f t="shared" si="141"/>
        <v>0</v>
      </c>
      <c r="KXQ56" s="850">
        <f t="shared" si="141"/>
        <v>6.4720059828541345E+55</v>
      </c>
      <c r="KXR56" s="850">
        <f t="shared" si="141"/>
        <v>0</v>
      </c>
      <c r="KXS56" s="850">
        <f t="shared" si="141"/>
        <v>6.6661661623397584E+55</v>
      </c>
      <c r="KXT56" s="850">
        <f t="shared" si="141"/>
        <v>0</v>
      </c>
      <c r="KXU56" s="850">
        <f t="shared" si="141"/>
        <v>6.8661511472099509E+55</v>
      </c>
      <c r="KXV56" s="850">
        <f t="shared" si="141"/>
        <v>0</v>
      </c>
      <c r="KXW56" s="850">
        <f t="shared" si="141"/>
        <v>7.0721356816262496E+55</v>
      </c>
      <c r="KXX56" s="850">
        <f t="shared" si="141"/>
        <v>0</v>
      </c>
      <c r="KXY56" s="850">
        <f t="shared" si="141"/>
        <v>7.2842997520750371E+55</v>
      </c>
      <c r="KXZ56" s="850">
        <f t="shared" si="141"/>
        <v>0</v>
      </c>
      <c r="KYA56" s="850">
        <f t="shared" si="141"/>
        <v>7.5028287446372881E+55</v>
      </c>
      <c r="KYB56" s="850">
        <f t="shared" si="141"/>
        <v>0</v>
      </c>
      <c r="KYC56" s="850">
        <f t="shared" si="141"/>
        <v>7.7279136069764067E+55</v>
      </c>
      <c r="KYD56" s="850">
        <f t="shared" si="141"/>
        <v>0</v>
      </c>
      <c r="KYE56" s="850">
        <f t="shared" si="141"/>
        <v>7.9597510151856989E+55</v>
      </c>
      <c r="KYF56" s="850">
        <f t="shared" si="141"/>
        <v>0</v>
      </c>
      <c r="KYG56" s="850">
        <f t="shared" si="141"/>
        <v>8.19854354564127E+55</v>
      </c>
      <c r="KYH56" s="850">
        <f t="shared" si="141"/>
        <v>0</v>
      </c>
      <c r="KYI56" s="850">
        <f t="shared" si="141"/>
        <v>8.4444998520105084E+55</v>
      </c>
      <c r="KYJ56" s="850">
        <f t="shared" si="141"/>
        <v>0</v>
      </c>
      <c r="KYK56" s="850">
        <f t="shared" si="141"/>
        <v>8.6978348475708242E+55</v>
      </c>
      <c r="KYL56" s="850">
        <f t="shared" si="141"/>
        <v>0</v>
      </c>
      <c r="KYM56" s="850">
        <f t="shared" si="141"/>
        <v>8.9587698929979492E+55</v>
      </c>
      <c r="KYN56" s="850">
        <f t="shared" si="141"/>
        <v>0</v>
      </c>
      <c r="KYO56" s="850">
        <f t="shared" si="141"/>
        <v>9.2275329897878875E+55</v>
      </c>
      <c r="KYP56" s="850">
        <f t="shared" si="141"/>
        <v>0</v>
      </c>
      <c r="KYQ56" s="850">
        <f t="shared" si="141"/>
        <v>9.5043589794815243E+55</v>
      </c>
      <c r="KYR56" s="850">
        <f t="shared" si="141"/>
        <v>0</v>
      </c>
      <c r="KYS56" s="850">
        <f t="shared" si="141"/>
        <v>9.7894897488659707E+55</v>
      </c>
      <c r="KYT56" s="850">
        <f t="shared" si="141"/>
        <v>0</v>
      </c>
      <c r="KYU56" s="850">
        <f t="shared" si="141"/>
        <v>1.0083174441331949E+56</v>
      </c>
      <c r="KYV56" s="850">
        <f t="shared" si="141"/>
        <v>0</v>
      </c>
      <c r="KYW56" s="850">
        <f t="shared" si="141"/>
        <v>1.0385669674571907E+56</v>
      </c>
      <c r="KYX56" s="850">
        <f t="shared" si="141"/>
        <v>0</v>
      </c>
      <c r="KYY56" s="850">
        <f t="shared" si="141"/>
        <v>1.0697239764809064E+56</v>
      </c>
      <c r="KYZ56" s="850">
        <f t="shared" si="141"/>
        <v>0</v>
      </c>
      <c r="KZA56" s="850">
        <f t="shared" si="141"/>
        <v>1.1018156957753336E+56</v>
      </c>
      <c r="KZB56" s="850">
        <f t="shared" si="141"/>
        <v>0</v>
      </c>
      <c r="KZC56" s="850">
        <f t="shared" si="141"/>
        <v>1.1348701666485936E+56</v>
      </c>
      <c r="KZD56" s="850">
        <f t="shared" si="141"/>
        <v>0</v>
      </c>
      <c r="KZE56" s="850">
        <f t="shared" si="141"/>
        <v>1.1689162716480514E+56</v>
      </c>
      <c r="KZF56" s="850">
        <f t="shared" si="141"/>
        <v>0</v>
      </c>
      <c r="KZG56" s="850">
        <f t="shared" si="141"/>
        <v>1.203983759797493E+56</v>
      </c>
      <c r="KZH56" s="850">
        <f t="shared" si="141"/>
        <v>0</v>
      </c>
      <c r="KZI56" s="850">
        <f t="shared" si="141"/>
        <v>1.2401032725914178E+56</v>
      </c>
      <c r="KZJ56" s="850">
        <f t="shared" si="141"/>
        <v>0</v>
      </c>
      <c r="KZK56" s="850">
        <f t="shared" si="141"/>
        <v>1.2773063707691603E+56</v>
      </c>
      <c r="KZL56" s="850">
        <f t="shared" si="141"/>
        <v>0</v>
      </c>
      <c r="KZM56" s="850">
        <f t="shared" si="141"/>
        <v>1.3156255618922353E+56</v>
      </c>
      <c r="KZN56" s="850">
        <f t="shared" si="141"/>
        <v>0</v>
      </c>
      <c r="KZO56" s="850">
        <f t="shared" si="141"/>
        <v>1.3550943287490023E+56</v>
      </c>
      <c r="KZP56" s="850">
        <f t="shared" si="141"/>
        <v>0</v>
      </c>
      <c r="KZQ56" s="850">
        <f t="shared" si="141"/>
        <v>1.3957471586114724E+56</v>
      </c>
      <c r="KZR56" s="850">
        <f t="shared" si="141"/>
        <v>0</v>
      </c>
      <c r="KZS56" s="850">
        <f t="shared" si="141"/>
        <v>1.4376195733698166E+56</v>
      </c>
      <c r="KZT56" s="850">
        <f t="shared" si="141"/>
        <v>0</v>
      </c>
      <c r="KZU56" s="850">
        <f t="shared" si="141"/>
        <v>1.4807481605709111E+56</v>
      </c>
      <c r="KZV56" s="850">
        <f t="shared" si="141"/>
        <v>0</v>
      </c>
      <c r="KZW56" s="850">
        <f t="shared" si="141"/>
        <v>1.5251706053880385E+56</v>
      </c>
      <c r="KZX56" s="850">
        <f t="shared" si="141"/>
        <v>0</v>
      </c>
      <c r="KZY56" s="850">
        <f t="shared" si="141"/>
        <v>1.5709257235496798E+56</v>
      </c>
      <c r="KZZ56" s="850">
        <f t="shared" ref="KZZ56:LCK56" si="142">KZX56*$C$56</f>
        <v>0</v>
      </c>
      <c r="LAA56" s="850">
        <f t="shared" si="142"/>
        <v>1.6180534952561701E+56</v>
      </c>
      <c r="LAB56" s="850">
        <f t="shared" si="142"/>
        <v>0</v>
      </c>
      <c r="LAC56" s="850">
        <f t="shared" si="142"/>
        <v>1.6665951001138553E+56</v>
      </c>
      <c r="LAD56" s="850">
        <f t="shared" si="142"/>
        <v>0</v>
      </c>
      <c r="LAE56" s="850">
        <f t="shared" si="142"/>
        <v>1.7165929531172711E+56</v>
      </c>
      <c r="LAF56" s="850">
        <f t="shared" si="142"/>
        <v>0</v>
      </c>
      <c r="LAG56" s="850">
        <f t="shared" si="142"/>
        <v>1.7680907417107893E+56</v>
      </c>
      <c r="LAH56" s="850">
        <f t="shared" si="142"/>
        <v>0</v>
      </c>
      <c r="LAI56" s="850">
        <f t="shared" si="142"/>
        <v>1.8211334639621131E+56</v>
      </c>
      <c r="LAJ56" s="850">
        <f t="shared" si="142"/>
        <v>0</v>
      </c>
      <c r="LAK56" s="850">
        <f t="shared" si="142"/>
        <v>1.8757674678809765E+56</v>
      </c>
      <c r="LAL56" s="850">
        <f t="shared" si="142"/>
        <v>0</v>
      </c>
      <c r="LAM56" s="850">
        <f t="shared" si="142"/>
        <v>1.9320404919174059E+56</v>
      </c>
      <c r="LAN56" s="850">
        <f t="shared" si="142"/>
        <v>0</v>
      </c>
      <c r="LAO56" s="850">
        <f t="shared" si="142"/>
        <v>1.9900017066749282E+56</v>
      </c>
      <c r="LAP56" s="850">
        <f t="shared" si="142"/>
        <v>0</v>
      </c>
      <c r="LAQ56" s="850">
        <f t="shared" si="142"/>
        <v>2.049701757875176E+56</v>
      </c>
      <c r="LAR56" s="850">
        <f t="shared" si="142"/>
        <v>0</v>
      </c>
      <c r="LAS56" s="850">
        <f t="shared" si="142"/>
        <v>2.1111928106114312E+56</v>
      </c>
      <c r="LAT56" s="850">
        <f t="shared" si="142"/>
        <v>0</v>
      </c>
      <c r="LAU56" s="850">
        <f t="shared" si="142"/>
        <v>2.1745285949297744E+56</v>
      </c>
      <c r="LAV56" s="850">
        <f t="shared" si="142"/>
        <v>0</v>
      </c>
      <c r="LAW56" s="850">
        <f t="shared" si="142"/>
        <v>2.2397644527776678E+56</v>
      </c>
      <c r="LAX56" s="850">
        <f t="shared" si="142"/>
        <v>0</v>
      </c>
      <c r="LAY56" s="850">
        <f t="shared" si="142"/>
        <v>2.306957386360998E+56</v>
      </c>
      <c r="LAZ56" s="850">
        <f t="shared" si="142"/>
        <v>0</v>
      </c>
      <c r="LBA56" s="850">
        <f t="shared" si="142"/>
        <v>2.3761661079518281E+56</v>
      </c>
      <c r="LBB56" s="850">
        <f t="shared" si="142"/>
        <v>0</v>
      </c>
      <c r="LBC56" s="850">
        <f t="shared" si="142"/>
        <v>2.4474510911903828E+56</v>
      </c>
      <c r="LBD56" s="850">
        <f t="shared" si="142"/>
        <v>0</v>
      </c>
      <c r="LBE56" s="850">
        <f t="shared" si="142"/>
        <v>2.5208746239260942E+56</v>
      </c>
      <c r="LBF56" s="850">
        <f t="shared" si="142"/>
        <v>0</v>
      </c>
      <c r="LBG56" s="850">
        <f t="shared" si="142"/>
        <v>2.5965008626438771E+56</v>
      </c>
      <c r="LBH56" s="850">
        <f t="shared" si="142"/>
        <v>0</v>
      </c>
      <c r="LBI56" s="850">
        <f t="shared" si="142"/>
        <v>2.6743958885231936E+56</v>
      </c>
      <c r="LBJ56" s="850">
        <f t="shared" si="142"/>
        <v>0</v>
      </c>
      <c r="LBK56" s="850">
        <f t="shared" si="142"/>
        <v>2.7546277651788897E+56</v>
      </c>
      <c r="LBL56" s="850">
        <f t="shared" si="142"/>
        <v>0</v>
      </c>
      <c r="LBM56" s="850">
        <f t="shared" si="142"/>
        <v>2.8372665981342566E+56</v>
      </c>
      <c r="LBN56" s="850">
        <f t="shared" si="142"/>
        <v>0</v>
      </c>
      <c r="LBO56" s="850">
        <f t="shared" si="142"/>
        <v>2.9223845960782846E+56</v>
      </c>
      <c r="LBP56" s="850">
        <f t="shared" si="142"/>
        <v>0</v>
      </c>
      <c r="LBQ56" s="850">
        <f t="shared" si="142"/>
        <v>3.0100561339606331E+56</v>
      </c>
      <c r="LBR56" s="850">
        <f t="shared" si="142"/>
        <v>0</v>
      </c>
      <c r="LBS56" s="850">
        <f t="shared" si="142"/>
        <v>3.1003578179794522E+56</v>
      </c>
      <c r="LBT56" s="850">
        <f t="shared" si="142"/>
        <v>0</v>
      </c>
      <c r="LBU56" s="850">
        <f t="shared" si="142"/>
        <v>3.193368552518836E+56</v>
      </c>
      <c r="LBV56" s="850">
        <f t="shared" si="142"/>
        <v>0</v>
      </c>
      <c r="LBW56" s="850">
        <f t="shared" si="142"/>
        <v>3.289169609094401E+56</v>
      </c>
      <c r="LBX56" s="850">
        <f t="shared" si="142"/>
        <v>0</v>
      </c>
      <c r="LBY56" s="850">
        <f t="shared" si="142"/>
        <v>3.3878446973672332E+56</v>
      </c>
      <c r="LBZ56" s="850">
        <f t="shared" si="142"/>
        <v>0</v>
      </c>
      <c r="LCA56" s="850">
        <f t="shared" si="142"/>
        <v>3.4894800382882503E+56</v>
      </c>
      <c r="LCB56" s="850">
        <f t="shared" si="142"/>
        <v>0</v>
      </c>
      <c r="LCC56" s="850">
        <f t="shared" si="142"/>
        <v>3.594164439436898E+56</v>
      </c>
      <c r="LCD56" s="850">
        <f t="shared" si="142"/>
        <v>0</v>
      </c>
      <c r="LCE56" s="850">
        <f t="shared" si="142"/>
        <v>3.7019893726200049E+56</v>
      </c>
      <c r="LCF56" s="850">
        <f t="shared" si="142"/>
        <v>0</v>
      </c>
      <c r="LCG56" s="850">
        <f t="shared" si="142"/>
        <v>3.8130490537986053E+56</v>
      </c>
      <c r="LCH56" s="850">
        <f t="shared" si="142"/>
        <v>0</v>
      </c>
      <c r="LCI56" s="850">
        <f t="shared" si="142"/>
        <v>3.9274405254125637E+56</v>
      </c>
      <c r="LCJ56" s="850">
        <f t="shared" si="142"/>
        <v>0</v>
      </c>
      <c r="LCK56" s="850">
        <f t="shared" si="142"/>
        <v>4.0452637411749405E+56</v>
      </c>
      <c r="LCL56" s="850">
        <f t="shared" ref="LCL56:LEW56" si="143">LCJ56*$C$56</f>
        <v>0</v>
      </c>
      <c r="LCM56" s="850">
        <f t="shared" si="143"/>
        <v>4.166621653410189E+56</v>
      </c>
      <c r="LCN56" s="850">
        <f t="shared" si="143"/>
        <v>0</v>
      </c>
      <c r="LCO56" s="850">
        <f t="shared" si="143"/>
        <v>4.2916203030124947E+56</v>
      </c>
      <c r="LCP56" s="850">
        <f t="shared" si="143"/>
        <v>0</v>
      </c>
      <c r="LCQ56" s="850">
        <f t="shared" si="143"/>
        <v>4.4203689121028697E+56</v>
      </c>
      <c r="LCR56" s="850">
        <f t="shared" si="143"/>
        <v>0</v>
      </c>
      <c r="LCS56" s="850">
        <f t="shared" si="143"/>
        <v>4.5529799794659561E+56</v>
      </c>
      <c r="LCT56" s="850">
        <f t="shared" si="143"/>
        <v>0</v>
      </c>
      <c r="LCU56" s="850">
        <f t="shared" si="143"/>
        <v>4.6895693788499346E+56</v>
      </c>
      <c r="LCV56" s="850">
        <f t="shared" si="143"/>
        <v>0</v>
      </c>
      <c r="LCW56" s="850">
        <f t="shared" si="143"/>
        <v>4.8302564602154331E+56</v>
      </c>
      <c r="LCX56" s="850">
        <f t="shared" si="143"/>
        <v>0</v>
      </c>
      <c r="LCY56" s="850">
        <f t="shared" si="143"/>
        <v>4.9751641540218961E+56</v>
      </c>
      <c r="LCZ56" s="850">
        <f t="shared" si="143"/>
        <v>0</v>
      </c>
      <c r="LDA56" s="850">
        <f t="shared" si="143"/>
        <v>5.124419078642553E+56</v>
      </c>
      <c r="LDB56" s="850">
        <f t="shared" si="143"/>
        <v>0</v>
      </c>
      <c r="LDC56" s="850">
        <f t="shared" si="143"/>
        <v>5.2781516510018299E+56</v>
      </c>
      <c r="LDD56" s="850">
        <f t="shared" si="143"/>
        <v>0</v>
      </c>
      <c r="LDE56" s="850">
        <f t="shared" si="143"/>
        <v>5.4364962005318852E+56</v>
      </c>
      <c r="LDF56" s="850">
        <f t="shared" si="143"/>
        <v>0</v>
      </c>
      <c r="LDG56" s="850">
        <f t="shared" si="143"/>
        <v>5.5995910865478418E+56</v>
      </c>
      <c r="LDH56" s="850">
        <f t="shared" si="143"/>
        <v>0</v>
      </c>
      <c r="LDI56" s="850">
        <f t="shared" si="143"/>
        <v>5.7675788191442772E+56</v>
      </c>
      <c r="LDJ56" s="850">
        <f t="shared" si="143"/>
        <v>0</v>
      </c>
      <c r="LDK56" s="850">
        <f t="shared" si="143"/>
        <v>5.9406061837186061E+56</v>
      </c>
      <c r="LDL56" s="850">
        <f t="shared" si="143"/>
        <v>0</v>
      </c>
      <c r="LDM56" s="850">
        <f t="shared" si="143"/>
        <v>6.1188243692301644E+56</v>
      </c>
      <c r="LDN56" s="850">
        <f t="shared" si="143"/>
        <v>0</v>
      </c>
      <c r="LDO56" s="850">
        <f t="shared" si="143"/>
        <v>6.3023891003070698E+56</v>
      </c>
      <c r="LDP56" s="850">
        <f t="shared" si="143"/>
        <v>0</v>
      </c>
      <c r="LDQ56" s="850">
        <f t="shared" si="143"/>
        <v>6.4914607733162821E+56</v>
      </c>
      <c r="LDR56" s="850">
        <f t="shared" si="143"/>
        <v>0</v>
      </c>
      <c r="LDS56" s="850">
        <f t="shared" si="143"/>
        <v>6.6862045965157703E+56</v>
      </c>
      <c r="LDT56" s="850">
        <f t="shared" si="143"/>
        <v>0</v>
      </c>
      <c r="LDU56" s="850">
        <f t="shared" si="143"/>
        <v>6.8867907344112432E+56</v>
      </c>
      <c r="LDV56" s="850">
        <f t="shared" si="143"/>
        <v>0</v>
      </c>
      <c r="LDW56" s="850">
        <f t="shared" si="143"/>
        <v>7.093394456443581E+56</v>
      </c>
      <c r="LDX56" s="850">
        <f t="shared" si="143"/>
        <v>0</v>
      </c>
      <c r="LDY56" s="850">
        <f t="shared" si="143"/>
        <v>7.3061962901368882E+56</v>
      </c>
      <c r="LDZ56" s="850">
        <f t="shared" si="143"/>
        <v>0</v>
      </c>
      <c r="LEA56" s="850">
        <f t="shared" si="143"/>
        <v>7.5253821788409953E+56</v>
      </c>
      <c r="LEB56" s="850">
        <f t="shared" si="143"/>
        <v>0</v>
      </c>
      <c r="LEC56" s="850">
        <f t="shared" si="143"/>
        <v>7.7511436442062253E+56</v>
      </c>
      <c r="LED56" s="850">
        <f t="shared" si="143"/>
        <v>0</v>
      </c>
      <c r="LEE56" s="850">
        <f t="shared" si="143"/>
        <v>7.983677953532412E+56</v>
      </c>
      <c r="LEF56" s="850">
        <f t="shared" si="143"/>
        <v>0</v>
      </c>
      <c r="LEG56" s="850">
        <f t="shared" si="143"/>
        <v>8.2231882921383849E+56</v>
      </c>
      <c r="LEH56" s="850">
        <f t="shared" si="143"/>
        <v>0</v>
      </c>
      <c r="LEI56" s="850">
        <f t="shared" si="143"/>
        <v>8.469883940902537E+56</v>
      </c>
      <c r="LEJ56" s="850">
        <f t="shared" si="143"/>
        <v>0</v>
      </c>
      <c r="LEK56" s="850">
        <f t="shared" si="143"/>
        <v>8.7239804591296132E+56</v>
      </c>
      <c r="LEL56" s="850">
        <f t="shared" si="143"/>
        <v>0</v>
      </c>
      <c r="LEM56" s="850">
        <f t="shared" si="143"/>
        <v>8.985699872903502E+56</v>
      </c>
      <c r="LEN56" s="850">
        <f t="shared" si="143"/>
        <v>0</v>
      </c>
      <c r="LEO56" s="850">
        <f t="shared" si="143"/>
        <v>9.2552708690906068E+56</v>
      </c>
      <c r="LEP56" s="850">
        <f t="shared" si="143"/>
        <v>0</v>
      </c>
      <c r="LEQ56" s="850">
        <f t="shared" si="143"/>
        <v>9.5329289951633259E+56</v>
      </c>
      <c r="LER56" s="850">
        <f t="shared" si="143"/>
        <v>0</v>
      </c>
      <c r="LES56" s="850">
        <f t="shared" si="143"/>
        <v>9.8189168650182268E+56</v>
      </c>
      <c r="LET56" s="850">
        <f t="shared" si="143"/>
        <v>0</v>
      </c>
      <c r="LEU56" s="850">
        <f t="shared" si="143"/>
        <v>1.0113484370968774E+57</v>
      </c>
      <c r="LEV56" s="850">
        <f t="shared" si="143"/>
        <v>0</v>
      </c>
      <c r="LEW56" s="850">
        <f t="shared" si="143"/>
        <v>1.0416888902097837E+57</v>
      </c>
      <c r="LEX56" s="850">
        <f t="shared" ref="LEX56:LHI56" si="144">LEV56*$C$56</f>
        <v>0</v>
      </c>
      <c r="LEY56" s="850">
        <f t="shared" si="144"/>
        <v>1.0729395569160772E+57</v>
      </c>
      <c r="LEZ56" s="850">
        <f t="shared" si="144"/>
        <v>0</v>
      </c>
      <c r="LFA56" s="850">
        <f t="shared" si="144"/>
        <v>1.1051277436235595E+57</v>
      </c>
      <c r="LFB56" s="850">
        <f t="shared" si="144"/>
        <v>0</v>
      </c>
      <c r="LFC56" s="850">
        <f t="shared" si="144"/>
        <v>1.1382815759322663E+57</v>
      </c>
      <c r="LFD56" s="850">
        <f t="shared" si="144"/>
        <v>0</v>
      </c>
      <c r="LFE56" s="850">
        <f t="shared" si="144"/>
        <v>1.1724300232102344E+57</v>
      </c>
      <c r="LFF56" s="850">
        <f t="shared" si="144"/>
        <v>0</v>
      </c>
      <c r="LFG56" s="850">
        <f t="shared" si="144"/>
        <v>1.2076029239065415E+57</v>
      </c>
      <c r="LFH56" s="850">
        <f t="shared" si="144"/>
        <v>0</v>
      </c>
      <c r="LFI56" s="850">
        <f t="shared" si="144"/>
        <v>1.2438310116237378E+57</v>
      </c>
      <c r="LFJ56" s="850">
        <f t="shared" si="144"/>
        <v>0</v>
      </c>
      <c r="LFK56" s="850">
        <f t="shared" si="144"/>
        <v>1.28114594197245E+57</v>
      </c>
      <c r="LFL56" s="850">
        <f t="shared" si="144"/>
        <v>0</v>
      </c>
      <c r="LFM56" s="850">
        <f t="shared" si="144"/>
        <v>1.3195803202316234E+57</v>
      </c>
      <c r="LFN56" s="850">
        <f t="shared" si="144"/>
        <v>0</v>
      </c>
      <c r="LFO56" s="850">
        <f t="shared" si="144"/>
        <v>1.3591677298385721E+57</v>
      </c>
      <c r="LFP56" s="850">
        <f t="shared" si="144"/>
        <v>0</v>
      </c>
      <c r="LFQ56" s="850">
        <f t="shared" si="144"/>
        <v>1.3999427617337293E+57</v>
      </c>
      <c r="LFR56" s="850">
        <f t="shared" si="144"/>
        <v>0</v>
      </c>
      <c r="LFS56" s="850">
        <f t="shared" si="144"/>
        <v>1.4419410445857413E+57</v>
      </c>
      <c r="LFT56" s="850">
        <f t="shared" si="144"/>
        <v>0</v>
      </c>
      <c r="LFU56" s="850">
        <f t="shared" si="144"/>
        <v>1.4851992759233136E+57</v>
      </c>
      <c r="LFV56" s="850">
        <f t="shared" si="144"/>
        <v>0</v>
      </c>
      <c r="LFW56" s="850">
        <f t="shared" si="144"/>
        <v>1.529755254201013E+57</v>
      </c>
      <c r="LFX56" s="850">
        <f t="shared" si="144"/>
        <v>0</v>
      </c>
      <c r="LFY56" s="850">
        <f t="shared" si="144"/>
        <v>1.5756479118270435E+57</v>
      </c>
      <c r="LFZ56" s="850">
        <f t="shared" si="144"/>
        <v>0</v>
      </c>
      <c r="LGA56" s="850">
        <f t="shared" si="144"/>
        <v>1.6229173491818549E+57</v>
      </c>
      <c r="LGB56" s="850">
        <f t="shared" si="144"/>
        <v>0</v>
      </c>
      <c r="LGC56" s="850">
        <f t="shared" si="144"/>
        <v>1.6716048696573106E+57</v>
      </c>
      <c r="LGD56" s="850">
        <f t="shared" si="144"/>
        <v>0</v>
      </c>
      <c r="LGE56" s="850">
        <f t="shared" si="144"/>
        <v>1.7217530157470299E+57</v>
      </c>
      <c r="LGF56" s="850">
        <f t="shared" si="144"/>
        <v>0</v>
      </c>
      <c r="LGG56" s="850">
        <f t="shared" si="144"/>
        <v>1.7734056062194409E+57</v>
      </c>
      <c r="LGH56" s="850">
        <f t="shared" si="144"/>
        <v>0</v>
      </c>
      <c r="LGI56" s="850">
        <f t="shared" si="144"/>
        <v>1.8266077744060242E+57</v>
      </c>
      <c r="LGJ56" s="850">
        <f t="shared" si="144"/>
        <v>0</v>
      </c>
      <c r="LGK56" s="850">
        <f t="shared" si="144"/>
        <v>1.8814060076382051E+57</v>
      </c>
      <c r="LGL56" s="850">
        <f t="shared" si="144"/>
        <v>0</v>
      </c>
      <c r="LGM56" s="850">
        <f t="shared" si="144"/>
        <v>1.9378481878673513E+57</v>
      </c>
      <c r="LGN56" s="850">
        <f t="shared" si="144"/>
        <v>0</v>
      </c>
      <c r="LGO56" s="850">
        <f t="shared" si="144"/>
        <v>1.995983633503372E+57</v>
      </c>
      <c r="LGP56" s="850">
        <f t="shared" si="144"/>
        <v>0</v>
      </c>
      <c r="LGQ56" s="850">
        <f t="shared" si="144"/>
        <v>2.0558631425084733E+57</v>
      </c>
      <c r="LGR56" s="850">
        <f t="shared" si="144"/>
        <v>0</v>
      </c>
      <c r="LGS56" s="850">
        <f t="shared" si="144"/>
        <v>2.1175390367837275E+57</v>
      </c>
      <c r="LGT56" s="850">
        <f t="shared" si="144"/>
        <v>0</v>
      </c>
      <c r="LGU56" s="850">
        <f t="shared" si="144"/>
        <v>2.1810652078872393E+57</v>
      </c>
      <c r="LGV56" s="850">
        <f t="shared" si="144"/>
        <v>0</v>
      </c>
      <c r="LGW56" s="850">
        <f t="shared" si="144"/>
        <v>2.2464971641238563E+57</v>
      </c>
      <c r="LGX56" s="850">
        <f t="shared" si="144"/>
        <v>0</v>
      </c>
      <c r="LGY56" s="850">
        <f t="shared" si="144"/>
        <v>2.3138920790475722E+57</v>
      </c>
      <c r="LGZ56" s="850">
        <f t="shared" si="144"/>
        <v>0</v>
      </c>
      <c r="LHA56" s="850">
        <f t="shared" si="144"/>
        <v>2.3833088414189996E+57</v>
      </c>
      <c r="LHB56" s="850">
        <f t="shared" si="144"/>
        <v>0</v>
      </c>
      <c r="LHC56" s="850">
        <f t="shared" si="144"/>
        <v>2.4548081066615696E+57</v>
      </c>
      <c r="LHD56" s="850">
        <f t="shared" si="144"/>
        <v>0</v>
      </c>
      <c r="LHE56" s="850">
        <f t="shared" si="144"/>
        <v>2.5284523498614167E+57</v>
      </c>
      <c r="LHF56" s="850">
        <f t="shared" si="144"/>
        <v>0</v>
      </c>
      <c r="LHG56" s="850">
        <f t="shared" si="144"/>
        <v>2.6043059203572592E+57</v>
      </c>
      <c r="LHH56" s="850">
        <f t="shared" si="144"/>
        <v>0</v>
      </c>
      <c r="LHI56" s="850">
        <f t="shared" si="144"/>
        <v>2.6824350979679771E+57</v>
      </c>
      <c r="LHJ56" s="850">
        <f t="shared" ref="LHJ56:LJU56" si="145">LHH56*$C$56</f>
        <v>0</v>
      </c>
      <c r="LHK56" s="850">
        <f t="shared" si="145"/>
        <v>2.7629081509070164E+57</v>
      </c>
      <c r="LHL56" s="850">
        <f t="shared" si="145"/>
        <v>0</v>
      </c>
      <c r="LHM56" s="850">
        <f t="shared" si="145"/>
        <v>2.8457953954342269E+57</v>
      </c>
      <c r="LHN56" s="850">
        <f t="shared" si="145"/>
        <v>0</v>
      </c>
      <c r="LHO56" s="850">
        <f t="shared" si="145"/>
        <v>2.9311692572972538E+57</v>
      </c>
      <c r="LHP56" s="850">
        <f t="shared" si="145"/>
        <v>0</v>
      </c>
      <c r="LHQ56" s="850">
        <f t="shared" si="145"/>
        <v>3.0191043350161714E+57</v>
      </c>
      <c r="LHR56" s="850">
        <f t="shared" si="145"/>
        <v>0</v>
      </c>
      <c r="LHS56" s="850">
        <f t="shared" si="145"/>
        <v>3.1096774650666567E+57</v>
      </c>
      <c r="LHT56" s="850">
        <f t="shared" si="145"/>
        <v>0</v>
      </c>
      <c r="LHU56" s="850">
        <f t="shared" si="145"/>
        <v>3.2029677890186566E+57</v>
      </c>
      <c r="LHV56" s="850">
        <f t="shared" si="145"/>
        <v>0</v>
      </c>
      <c r="LHW56" s="850">
        <f t="shared" si="145"/>
        <v>3.2990568226892162E+57</v>
      </c>
      <c r="LHX56" s="850">
        <f t="shared" si="145"/>
        <v>0</v>
      </c>
      <c r="LHY56" s="850">
        <f t="shared" si="145"/>
        <v>3.3980285273698929E+57</v>
      </c>
      <c r="LHZ56" s="850">
        <f t="shared" si="145"/>
        <v>0</v>
      </c>
      <c r="LIA56" s="850">
        <f t="shared" si="145"/>
        <v>3.4999693831909897E+57</v>
      </c>
      <c r="LIB56" s="850">
        <f t="shared" si="145"/>
        <v>0</v>
      </c>
      <c r="LIC56" s="850">
        <f t="shared" si="145"/>
        <v>3.6049684646867195E+57</v>
      </c>
      <c r="LID56" s="850">
        <f t="shared" si="145"/>
        <v>0</v>
      </c>
      <c r="LIE56" s="850">
        <f t="shared" si="145"/>
        <v>3.7131175186273208E+57</v>
      </c>
      <c r="LIF56" s="850">
        <f t="shared" si="145"/>
        <v>0</v>
      </c>
      <c r="LIG56" s="850">
        <f t="shared" si="145"/>
        <v>3.8245110441861409E+57</v>
      </c>
      <c r="LIH56" s="850">
        <f t="shared" si="145"/>
        <v>0</v>
      </c>
      <c r="LII56" s="850">
        <f t="shared" si="145"/>
        <v>3.9392463755117255E+57</v>
      </c>
      <c r="LIJ56" s="850">
        <f t="shared" si="145"/>
        <v>0</v>
      </c>
      <c r="LIK56" s="850">
        <f t="shared" si="145"/>
        <v>4.0574237667770775E+57</v>
      </c>
      <c r="LIL56" s="850">
        <f t="shared" si="145"/>
        <v>0</v>
      </c>
      <c r="LIM56" s="850">
        <f t="shared" si="145"/>
        <v>4.1791464797803899E+57</v>
      </c>
      <c r="LIN56" s="850">
        <f t="shared" si="145"/>
        <v>0</v>
      </c>
      <c r="LIO56" s="850">
        <f t="shared" si="145"/>
        <v>4.3045208741738015E+57</v>
      </c>
      <c r="LIP56" s="850">
        <f t="shared" si="145"/>
        <v>0</v>
      </c>
      <c r="LIQ56" s="850">
        <f t="shared" si="145"/>
        <v>4.433656500399016E+57</v>
      </c>
      <c r="LIR56" s="850">
        <f t="shared" si="145"/>
        <v>0</v>
      </c>
      <c r="LIS56" s="850">
        <f t="shared" si="145"/>
        <v>4.5666661954109867E+57</v>
      </c>
      <c r="LIT56" s="850">
        <f t="shared" si="145"/>
        <v>0</v>
      </c>
      <c r="LIU56" s="850">
        <f t="shared" si="145"/>
        <v>4.7036661812733165E+57</v>
      </c>
      <c r="LIV56" s="850">
        <f t="shared" si="145"/>
        <v>0</v>
      </c>
      <c r="LIW56" s="850">
        <f t="shared" si="145"/>
        <v>4.844776166711516E+57</v>
      </c>
      <c r="LIX56" s="850">
        <f t="shared" si="145"/>
        <v>0</v>
      </c>
      <c r="LIY56" s="850">
        <f t="shared" si="145"/>
        <v>4.9901194517128614E+57</v>
      </c>
      <c r="LIZ56" s="850">
        <f t="shared" si="145"/>
        <v>0</v>
      </c>
      <c r="LJA56" s="850">
        <f t="shared" si="145"/>
        <v>5.1398230352642477E+57</v>
      </c>
      <c r="LJB56" s="850">
        <f t="shared" si="145"/>
        <v>0</v>
      </c>
      <c r="LJC56" s="850">
        <f t="shared" si="145"/>
        <v>5.2940177263221754E+57</v>
      </c>
      <c r="LJD56" s="850">
        <f t="shared" si="145"/>
        <v>0</v>
      </c>
      <c r="LJE56" s="850">
        <f t="shared" si="145"/>
        <v>5.4528382581118411E+57</v>
      </c>
      <c r="LJF56" s="850">
        <f t="shared" si="145"/>
        <v>0</v>
      </c>
      <c r="LJG56" s="850">
        <f t="shared" si="145"/>
        <v>5.6164234058551965E+57</v>
      </c>
      <c r="LJH56" s="850">
        <f t="shared" si="145"/>
        <v>0</v>
      </c>
      <c r="LJI56" s="850">
        <f t="shared" si="145"/>
        <v>5.7849161080308526E+57</v>
      </c>
      <c r="LJJ56" s="850">
        <f t="shared" si="145"/>
        <v>0</v>
      </c>
      <c r="LJK56" s="850">
        <f t="shared" si="145"/>
        <v>5.9584635912717784E+57</v>
      </c>
      <c r="LJL56" s="850">
        <f t="shared" si="145"/>
        <v>0</v>
      </c>
      <c r="LJM56" s="850">
        <f t="shared" si="145"/>
        <v>6.1372174990099316E+57</v>
      </c>
      <c r="LJN56" s="850">
        <f t="shared" si="145"/>
        <v>0</v>
      </c>
      <c r="LJO56" s="850">
        <f t="shared" si="145"/>
        <v>6.3213340239802302E+57</v>
      </c>
      <c r="LJP56" s="850">
        <f t="shared" si="145"/>
        <v>0</v>
      </c>
      <c r="LJQ56" s="850">
        <f t="shared" si="145"/>
        <v>6.5109740446996367E+57</v>
      </c>
      <c r="LJR56" s="850">
        <f t="shared" si="145"/>
        <v>0</v>
      </c>
      <c r="LJS56" s="850">
        <f t="shared" si="145"/>
        <v>6.706303266040626E+57</v>
      </c>
      <c r="LJT56" s="850">
        <f t="shared" si="145"/>
        <v>0</v>
      </c>
      <c r="LJU56" s="850">
        <f t="shared" si="145"/>
        <v>6.9074923640218445E+57</v>
      </c>
      <c r="LJV56" s="850">
        <f t="shared" ref="LJV56:LMG56" si="146">LJT56*$C$56</f>
        <v>0</v>
      </c>
      <c r="LJW56" s="850">
        <f t="shared" si="146"/>
        <v>7.1147171349424994E+57</v>
      </c>
      <c r="LJX56" s="850">
        <f t="shared" si="146"/>
        <v>0</v>
      </c>
      <c r="LJY56" s="850">
        <f t="shared" si="146"/>
        <v>7.3281586489907745E+57</v>
      </c>
      <c r="LJZ56" s="850">
        <f t="shared" si="146"/>
        <v>0</v>
      </c>
      <c r="LKA56" s="850">
        <f t="shared" si="146"/>
        <v>7.5480034084604972E+57</v>
      </c>
      <c r="LKB56" s="850">
        <f t="shared" si="146"/>
        <v>0</v>
      </c>
      <c r="LKC56" s="850">
        <f t="shared" si="146"/>
        <v>7.7744435107143127E+57</v>
      </c>
      <c r="LKD56" s="850">
        <f t="shared" si="146"/>
        <v>0</v>
      </c>
      <c r="LKE56" s="850">
        <f t="shared" si="146"/>
        <v>8.0076768160357421E+57</v>
      </c>
      <c r="LKF56" s="850">
        <f t="shared" si="146"/>
        <v>0</v>
      </c>
      <c r="LKG56" s="850">
        <f t="shared" si="146"/>
        <v>8.2479071205168141E+57</v>
      </c>
      <c r="LKH56" s="850">
        <f t="shared" si="146"/>
        <v>0</v>
      </c>
      <c r="LKI56" s="850">
        <f t="shared" si="146"/>
        <v>8.495344334132319E+57</v>
      </c>
      <c r="LKJ56" s="850">
        <f t="shared" si="146"/>
        <v>0</v>
      </c>
      <c r="LKK56" s="850">
        <f t="shared" si="146"/>
        <v>8.7502046641562884E+57</v>
      </c>
      <c r="LKL56" s="850">
        <f t="shared" si="146"/>
        <v>0</v>
      </c>
      <c r="LKM56" s="850">
        <f t="shared" si="146"/>
        <v>9.0127108040809777E+57</v>
      </c>
      <c r="LKN56" s="850">
        <f t="shared" si="146"/>
        <v>0</v>
      </c>
      <c r="LKO56" s="850">
        <f t="shared" si="146"/>
        <v>9.2830921282034072E+57</v>
      </c>
      <c r="LKP56" s="850">
        <f t="shared" si="146"/>
        <v>0</v>
      </c>
      <c r="LKQ56" s="850">
        <f t="shared" si="146"/>
        <v>9.5615848920495096E+57</v>
      </c>
      <c r="LKR56" s="850">
        <f t="shared" si="146"/>
        <v>0</v>
      </c>
      <c r="LKS56" s="850">
        <f t="shared" si="146"/>
        <v>9.8484324388109952E+57</v>
      </c>
      <c r="LKT56" s="850">
        <f t="shared" si="146"/>
        <v>0</v>
      </c>
      <c r="LKU56" s="850">
        <f t="shared" si="146"/>
        <v>1.0143885411975325E+58</v>
      </c>
      <c r="LKV56" s="850">
        <f t="shared" si="146"/>
        <v>0</v>
      </c>
      <c r="LKW56" s="850">
        <f t="shared" si="146"/>
        <v>1.0448201974334585E+58</v>
      </c>
      <c r="LKX56" s="850">
        <f t="shared" si="146"/>
        <v>0</v>
      </c>
      <c r="LKY56" s="850">
        <f t="shared" si="146"/>
        <v>1.0761648033564623E+58</v>
      </c>
      <c r="LKZ56" s="850">
        <f t="shared" si="146"/>
        <v>0</v>
      </c>
      <c r="LLA56" s="850">
        <f t="shared" si="146"/>
        <v>1.1084497474571561E+58</v>
      </c>
      <c r="LLB56" s="850">
        <f t="shared" si="146"/>
        <v>0</v>
      </c>
      <c r="LLC56" s="850">
        <f t="shared" si="146"/>
        <v>1.1417032398808707E+58</v>
      </c>
      <c r="LLD56" s="850">
        <f t="shared" si="146"/>
        <v>0</v>
      </c>
      <c r="LLE56" s="850">
        <f t="shared" si="146"/>
        <v>1.1759543370772969E+58</v>
      </c>
      <c r="LLF56" s="850">
        <f t="shared" si="146"/>
        <v>0</v>
      </c>
      <c r="LLG56" s="850">
        <f t="shared" si="146"/>
        <v>1.2112329671896158E+58</v>
      </c>
      <c r="LLH56" s="850">
        <f t="shared" si="146"/>
        <v>0</v>
      </c>
      <c r="LLI56" s="850">
        <f t="shared" si="146"/>
        <v>1.2475699562053043E+58</v>
      </c>
      <c r="LLJ56" s="850">
        <f t="shared" si="146"/>
        <v>0</v>
      </c>
      <c r="LLK56" s="850">
        <f t="shared" si="146"/>
        <v>1.2849970548914634E+58</v>
      </c>
      <c r="LLL56" s="850">
        <f t="shared" si="146"/>
        <v>0</v>
      </c>
      <c r="LLM56" s="850">
        <f t="shared" si="146"/>
        <v>1.3235469665382075E+58</v>
      </c>
      <c r="LLN56" s="850">
        <f t="shared" si="146"/>
        <v>0</v>
      </c>
      <c r="LLO56" s="850">
        <f t="shared" si="146"/>
        <v>1.3632533755343536E+58</v>
      </c>
      <c r="LLP56" s="850">
        <f t="shared" si="146"/>
        <v>0</v>
      </c>
      <c r="LLQ56" s="850">
        <f t="shared" si="146"/>
        <v>1.4041509768003843E+58</v>
      </c>
      <c r="LLR56" s="850">
        <f t="shared" si="146"/>
        <v>0</v>
      </c>
      <c r="LLS56" s="850">
        <f t="shared" si="146"/>
        <v>1.4462755061043958E+58</v>
      </c>
      <c r="LLT56" s="850">
        <f t="shared" si="146"/>
        <v>0</v>
      </c>
      <c r="LLU56" s="850">
        <f t="shared" si="146"/>
        <v>1.4896637712875277E+58</v>
      </c>
      <c r="LLV56" s="850">
        <f t="shared" si="146"/>
        <v>0</v>
      </c>
      <c r="LLW56" s="850">
        <f t="shared" si="146"/>
        <v>1.5343536844261537E+58</v>
      </c>
      <c r="LLX56" s="850">
        <f t="shared" si="146"/>
        <v>0</v>
      </c>
      <c r="LLY56" s="850">
        <f t="shared" si="146"/>
        <v>1.5803842949589384E+58</v>
      </c>
      <c r="LLZ56" s="850">
        <f t="shared" si="146"/>
        <v>0</v>
      </c>
      <c r="LMA56" s="850">
        <f t="shared" si="146"/>
        <v>1.6277958238077067E+58</v>
      </c>
      <c r="LMB56" s="850">
        <f t="shared" si="146"/>
        <v>0</v>
      </c>
      <c r="LMC56" s="850">
        <f t="shared" si="146"/>
        <v>1.6766296985219379E+58</v>
      </c>
      <c r="LMD56" s="850">
        <f t="shared" si="146"/>
        <v>0</v>
      </c>
      <c r="LME56" s="850">
        <f t="shared" si="146"/>
        <v>1.726928589477596E+58</v>
      </c>
      <c r="LMF56" s="850">
        <f t="shared" si="146"/>
        <v>0</v>
      </c>
      <c r="LMG56" s="850">
        <f t="shared" si="146"/>
        <v>1.778736447161924E+58</v>
      </c>
      <c r="LMH56" s="850">
        <f t="shared" ref="LMH56:LOS56" si="147">LMF56*$C$56</f>
        <v>0</v>
      </c>
      <c r="LMI56" s="850">
        <f t="shared" si="147"/>
        <v>1.8320985405767817E+58</v>
      </c>
      <c r="LMJ56" s="850">
        <f t="shared" si="147"/>
        <v>0</v>
      </c>
      <c r="LMK56" s="850">
        <f t="shared" si="147"/>
        <v>1.8870614967940851E+58</v>
      </c>
      <c r="LML56" s="850">
        <f t="shared" si="147"/>
        <v>0</v>
      </c>
      <c r="LMM56" s="850">
        <f t="shared" si="147"/>
        <v>1.9436733416979078E+58</v>
      </c>
      <c r="LMN56" s="850">
        <f t="shared" si="147"/>
        <v>0</v>
      </c>
      <c r="LMO56" s="850">
        <f t="shared" si="147"/>
        <v>2.0019835419488451E+58</v>
      </c>
      <c r="LMP56" s="850">
        <f t="shared" si="147"/>
        <v>0</v>
      </c>
      <c r="LMQ56" s="850">
        <f t="shared" si="147"/>
        <v>2.0620430482073104E+58</v>
      </c>
      <c r="LMR56" s="850">
        <f t="shared" si="147"/>
        <v>0</v>
      </c>
      <c r="LMS56" s="850">
        <f t="shared" si="147"/>
        <v>2.1239043396535297E+58</v>
      </c>
      <c r="LMT56" s="850">
        <f t="shared" si="147"/>
        <v>0</v>
      </c>
      <c r="LMU56" s="850">
        <f t="shared" si="147"/>
        <v>2.1876214698431357E+58</v>
      </c>
      <c r="LMV56" s="850">
        <f t="shared" si="147"/>
        <v>0</v>
      </c>
      <c r="LMW56" s="850">
        <f t="shared" si="147"/>
        <v>2.2532501139384297E+58</v>
      </c>
      <c r="LMX56" s="850">
        <f t="shared" si="147"/>
        <v>0</v>
      </c>
      <c r="LMY56" s="850">
        <f t="shared" si="147"/>
        <v>2.3208476173565826E+58</v>
      </c>
      <c r="LMZ56" s="850">
        <f t="shared" si="147"/>
        <v>0</v>
      </c>
      <c r="LNA56" s="850">
        <f t="shared" si="147"/>
        <v>2.3904730458772802E+58</v>
      </c>
      <c r="LNB56" s="850">
        <f t="shared" si="147"/>
        <v>0</v>
      </c>
      <c r="LNC56" s="850">
        <f t="shared" si="147"/>
        <v>2.4621872372535988E+58</v>
      </c>
      <c r="LND56" s="850">
        <f t="shared" si="147"/>
        <v>0</v>
      </c>
      <c r="LNE56" s="850">
        <f t="shared" si="147"/>
        <v>2.5360528543712071E+58</v>
      </c>
      <c r="LNF56" s="850">
        <f t="shared" si="147"/>
        <v>0</v>
      </c>
      <c r="LNG56" s="850">
        <f t="shared" si="147"/>
        <v>2.6121344400023435E+58</v>
      </c>
      <c r="LNH56" s="850">
        <f t="shared" si="147"/>
        <v>0</v>
      </c>
      <c r="LNI56" s="850">
        <f t="shared" si="147"/>
        <v>2.6904984732024141E+58</v>
      </c>
      <c r="LNJ56" s="850">
        <f t="shared" si="147"/>
        <v>0</v>
      </c>
      <c r="LNK56" s="850">
        <f t="shared" si="147"/>
        <v>2.7712134273984868E+58</v>
      </c>
      <c r="LNL56" s="850">
        <f t="shared" si="147"/>
        <v>0</v>
      </c>
      <c r="LNM56" s="850">
        <f t="shared" si="147"/>
        <v>2.8543498302204415E+58</v>
      </c>
      <c r="LNN56" s="850">
        <f t="shared" si="147"/>
        <v>0</v>
      </c>
      <c r="LNO56" s="850">
        <f t="shared" si="147"/>
        <v>2.9399803251270546E+58</v>
      </c>
      <c r="LNP56" s="850">
        <f t="shared" si="147"/>
        <v>0</v>
      </c>
      <c r="LNQ56" s="850">
        <f t="shared" si="147"/>
        <v>3.0281797348808664E+58</v>
      </c>
      <c r="LNR56" s="850">
        <f t="shared" si="147"/>
        <v>0</v>
      </c>
      <c r="LNS56" s="850">
        <f t="shared" si="147"/>
        <v>3.1190251269272926E+58</v>
      </c>
      <c r="LNT56" s="850">
        <f t="shared" si="147"/>
        <v>0</v>
      </c>
      <c r="LNU56" s="850">
        <f t="shared" si="147"/>
        <v>3.2125958807351112E+58</v>
      </c>
      <c r="LNV56" s="850">
        <f t="shared" si="147"/>
        <v>0</v>
      </c>
      <c r="LNW56" s="850">
        <f t="shared" si="147"/>
        <v>3.3089737571571644E+58</v>
      </c>
      <c r="LNX56" s="850">
        <f t="shared" si="147"/>
        <v>0</v>
      </c>
      <c r="LNY56" s="850">
        <f t="shared" si="147"/>
        <v>3.4082429698718797E+58</v>
      </c>
      <c r="LNZ56" s="850">
        <f t="shared" si="147"/>
        <v>0</v>
      </c>
      <c r="LOA56" s="850">
        <f t="shared" si="147"/>
        <v>3.510490258968036E+58</v>
      </c>
      <c r="LOB56" s="850">
        <f t="shared" si="147"/>
        <v>0</v>
      </c>
      <c r="LOC56" s="850">
        <f t="shared" si="147"/>
        <v>3.6158049667370772E+58</v>
      </c>
      <c r="LOD56" s="850">
        <f t="shared" si="147"/>
        <v>0</v>
      </c>
      <c r="LOE56" s="850">
        <f t="shared" si="147"/>
        <v>3.7242791157391896E+58</v>
      </c>
      <c r="LOF56" s="850">
        <f t="shared" si="147"/>
        <v>0</v>
      </c>
      <c r="LOG56" s="850">
        <f t="shared" si="147"/>
        <v>3.8360074892113654E+58</v>
      </c>
      <c r="LOH56" s="850">
        <f t="shared" si="147"/>
        <v>0</v>
      </c>
      <c r="LOI56" s="850">
        <f t="shared" si="147"/>
        <v>3.9510877138877065E+58</v>
      </c>
      <c r="LOJ56" s="850">
        <f t="shared" si="147"/>
        <v>0</v>
      </c>
      <c r="LOK56" s="850">
        <f t="shared" si="147"/>
        <v>4.0696203453043376E+58</v>
      </c>
      <c r="LOL56" s="850">
        <f t="shared" si="147"/>
        <v>0</v>
      </c>
      <c r="LOM56" s="850">
        <f t="shared" si="147"/>
        <v>4.1917089556634677E+58</v>
      </c>
      <c r="LON56" s="850">
        <f t="shared" si="147"/>
        <v>0</v>
      </c>
      <c r="LOO56" s="850">
        <f t="shared" si="147"/>
        <v>4.317460224333372E+58</v>
      </c>
      <c r="LOP56" s="850">
        <f t="shared" si="147"/>
        <v>0</v>
      </c>
      <c r="LOQ56" s="850">
        <f t="shared" si="147"/>
        <v>4.4469840310633735E+58</v>
      </c>
      <c r="LOR56" s="850">
        <f t="shared" si="147"/>
        <v>0</v>
      </c>
      <c r="LOS56" s="850">
        <f t="shared" si="147"/>
        <v>4.5803935519952747E+58</v>
      </c>
      <c r="LOT56" s="850">
        <f t="shared" ref="LOT56:LRE56" si="148">LOR56*$C$56</f>
        <v>0</v>
      </c>
      <c r="LOU56" s="850">
        <f t="shared" si="148"/>
        <v>4.717805358555133E+58</v>
      </c>
      <c r="LOV56" s="850">
        <f t="shared" si="148"/>
        <v>0</v>
      </c>
      <c r="LOW56" s="850">
        <f t="shared" si="148"/>
        <v>4.8593395193117873E+58</v>
      </c>
      <c r="LOX56" s="850">
        <f t="shared" si="148"/>
        <v>0</v>
      </c>
      <c r="LOY56" s="850">
        <f t="shared" si="148"/>
        <v>5.005119704891141E+58</v>
      </c>
      <c r="LOZ56" s="850">
        <f t="shared" si="148"/>
        <v>0</v>
      </c>
      <c r="LPA56" s="850">
        <f t="shared" si="148"/>
        <v>5.1552732960378751E+58</v>
      </c>
      <c r="LPB56" s="850">
        <f t="shared" si="148"/>
        <v>0</v>
      </c>
      <c r="LPC56" s="850">
        <f t="shared" si="148"/>
        <v>5.3099314949190112E+58</v>
      </c>
      <c r="LPD56" s="850">
        <f t="shared" si="148"/>
        <v>0</v>
      </c>
      <c r="LPE56" s="850">
        <f t="shared" si="148"/>
        <v>5.4692294397665818E+58</v>
      </c>
      <c r="LPF56" s="850">
        <f t="shared" si="148"/>
        <v>0</v>
      </c>
      <c r="LPG56" s="850">
        <f t="shared" si="148"/>
        <v>5.6333063229595794E+58</v>
      </c>
      <c r="LPH56" s="850">
        <f t="shared" si="148"/>
        <v>0</v>
      </c>
      <c r="LPI56" s="850">
        <f t="shared" si="148"/>
        <v>5.8023055126483666E+58</v>
      </c>
      <c r="LPJ56" s="850">
        <f t="shared" si="148"/>
        <v>0</v>
      </c>
      <c r="LPK56" s="850">
        <f t="shared" si="148"/>
        <v>5.9763746780278182E+58</v>
      </c>
      <c r="LPL56" s="850">
        <f t="shared" si="148"/>
        <v>0</v>
      </c>
      <c r="LPM56" s="850">
        <f t="shared" si="148"/>
        <v>6.1556659183686527E+58</v>
      </c>
      <c r="LPN56" s="850">
        <f t="shared" si="148"/>
        <v>0</v>
      </c>
      <c r="LPO56" s="850">
        <f t="shared" si="148"/>
        <v>6.3403358959197124E+58</v>
      </c>
      <c r="LPP56" s="850">
        <f t="shared" si="148"/>
        <v>0</v>
      </c>
      <c r="LPQ56" s="850">
        <f t="shared" si="148"/>
        <v>6.5305459727973044E+58</v>
      </c>
      <c r="LPR56" s="850">
        <f t="shared" si="148"/>
        <v>0</v>
      </c>
      <c r="LPS56" s="850">
        <f t="shared" si="148"/>
        <v>6.7264623519812237E+58</v>
      </c>
      <c r="LPT56" s="850">
        <f t="shared" si="148"/>
        <v>0</v>
      </c>
      <c r="LPU56" s="850">
        <f t="shared" si="148"/>
        <v>6.9282562225406607E+58</v>
      </c>
      <c r="LPV56" s="850">
        <f t="shared" si="148"/>
        <v>0</v>
      </c>
      <c r="LPW56" s="850">
        <f t="shared" si="148"/>
        <v>7.1361039092168809E+58</v>
      </c>
      <c r="LPX56" s="850">
        <f t="shared" si="148"/>
        <v>0</v>
      </c>
      <c r="LPY56" s="850">
        <f t="shared" si="148"/>
        <v>7.350187026493388E+58</v>
      </c>
      <c r="LPZ56" s="850">
        <f t="shared" si="148"/>
        <v>0</v>
      </c>
      <c r="LQA56" s="850">
        <f t="shared" si="148"/>
        <v>7.5706926372881893E+58</v>
      </c>
      <c r="LQB56" s="850">
        <f t="shared" si="148"/>
        <v>0</v>
      </c>
      <c r="LQC56" s="850">
        <f t="shared" si="148"/>
        <v>7.7978134164068349E+58</v>
      </c>
      <c r="LQD56" s="850">
        <f t="shared" si="148"/>
        <v>0</v>
      </c>
      <c r="LQE56" s="850">
        <f t="shared" si="148"/>
        <v>8.0317478188990398E+58</v>
      </c>
      <c r="LQF56" s="850">
        <f t="shared" si="148"/>
        <v>0</v>
      </c>
      <c r="LQG56" s="850">
        <f t="shared" si="148"/>
        <v>8.2727002534660115E+58</v>
      </c>
      <c r="LQH56" s="850">
        <f t="shared" si="148"/>
        <v>0</v>
      </c>
      <c r="LQI56" s="850">
        <f t="shared" si="148"/>
        <v>8.5208812610699921E+58</v>
      </c>
      <c r="LQJ56" s="850">
        <f t="shared" si="148"/>
        <v>0</v>
      </c>
      <c r="LQK56" s="850">
        <f t="shared" si="148"/>
        <v>8.7765076989020923E+58</v>
      </c>
      <c r="LQL56" s="850">
        <f t="shared" si="148"/>
        <v>0</v>
      </c>
      <c r="LQM56" s="850">
        <f t="shared" si="148"/>
        <v>9.0398029298691555E+58</v>
      </c>
      <c r="LQN56" s="850">
        <f t="shared" si="148"/>
        <v>0</v>
      </c>
      <c r="LQO56" s="850">
        <f t="shared" si="148"/>
        <v>9.3109970177652303E+58</v>
      </c>
      <c r="LQP56" s="850">
        <f t="shared" si="148"/>
        <v>0</v>
      </c>
      <c r="LQQ56" s="850">
        <f t="shared" si="148"/>
        <v>9.5903269282981878E+58</v>
      </c>
      <c r="LQR56" s="850">
        <f t="shared" si="148"/>
        <v>0</v>
      </c>
      <c r="LQS56" s="850">
        <f t="shared" si="148"/>
        <v>9.8780367361471334E+58</v>
      </c>
      <c r="LQT56" s="850">
        <f t="shared" si="148"/>
        <v>0</v>
      </c>
      <c r="LQU56" s="850">
        <f t="shared" si="148"/>
        <v>1.0174377838231547E+59</v>
      </c>
      <c r="LQV56" s="850">
        <f t="shared" si="148"/>
        <v>0</v>
      </c>
      <c r="LQW56" s="850">
        <f t="shared" si="148"/>
        <v>1.0479609173378495E+59</v>
      </c>
      <c r="LQX56" s="850">
        <f t="shared" si="148"/>
        <v>0</v>
      </c>
      <c r="LQY56" s="850">
        <f t="shared" si="148"/>
        <v>1.079399744857985E+59</v>
      </c>
      <c r="LQZ56" s="850">
        <f t="shared" si="148"/>
        <v>0</v>
      </c>
      <c r="LRA56" s="850">
        <f t="shared" si="148"/>
        <v>1.1117817372037246E+59</v>
      </c>
      <c r="LRB56" s="850">
        <f t="shared" si="148"/>
        <v>0</v>
      </c>
      <c r="LRC56" s="850">
        <f t="shared" si="148"/>
        <v>1.1451351893198363E+59</v>
      </c>
      <c r="LRD56" s="850">
        <f t="shared" si="148"/>
        <v>0</v>
      </c>
      <c r="LRE56" s="850">
        <f t="shared" si="148"/>
        <v>1.1794892449994315E+59</v>
      </c>
      <c r="LRF56" s="850">
        <f t="shared" ref="LRF56:LTQ56" si="149">LRD56*$C$56</f>
        <v>0</v>
      </c>
      <c r="LRG56" s="850">
        <f t="shared" si="149"/>
        <v>1.2148739223494145E+59</v>
      </c>
      <c r="LRH56" s="850">
        <f t="shared" si="149"/>
        <v>0</v>
      </c>
      <c r="LRI56" s="850">
        <f t="shared" si="149"/>
        <v>1.2513201400198969E+59</v>
      </c>
      <c r="LRJ56" s="850">
        <f t="shared" si="149"/>
        <v>0</v>
      </c>
      <c r="LRK56" s="850">
        <f t="shared" si="149"/>
        <v>1.2888597442204937E+59</v>
      </c>
      <c r="LRL56" s="850">
        <f t="shared" si="149"/>
        <v>0</v>
      </c>
      <c r="LRM56" s="850">
        <f t="shared" si="149"/>
        <v>1.3275255365471087E+59</v>
      </c>
      <c r="LRN56" s="850">
        <f t="shared" si="149"/>
        <v>0</v>
      </c>
      <c r="LRO56" s="850">
        <f t="shared" si="149"/>
        <v>1.367351302643522E+59</v>
      </c>
      <c r="LRP56" s="850">
        <f t="shared" si="149"/>
        <v>0</v>
      </c>
      <c r="LRQ56" s="850">
        <f t="shared" si="149"/>
        <v>1.4083718417228277E+59</v>
      </c>
      <c r="LRR56" s="850">
        <f t="shared" si="149"/>
        <v>0</v>
      </c>
      <c r="LRS56" s="850">
        <f t="shared" si="149"/>
        <v>1.4506229969745125E+59</v>
      </c>
      <c r="LRT56" s="850">
        <f t="shared" si="149"/>
        <v>0</v>
      </c>
      <c r="LRU56" s="850">
        <f t="shared" si="149"/>
        <v>1.4941416868837478E+59</v>
      </c>
      <c r="LRV56" s="850">
        <f t="shared" si="149"/>
        <v>0</v>
      </c>
      <c r="LRW56" s="850">
        <f t="shared" si="149"/>
        <v>1.5389659374902602E+59</v>
      </c>
      <c r="LRX56" s="850">
        <f t="shared" si="149"/>
        <v>0</v>
      </c>
      <c r="LRY56" s="850">
        <f t="shared" si="149"/>
        <v>1.585134915614968E+59</v>
      </c>
      <c r="LRZ56" s="850">
        <f t="shared" si="149"/>
        <v>0</v>
      </c>
      <c r="LSA56" s="850">
        <f t="shared" si="149"/>
        <v>1.6326889630834171E+59</v>
      </c>
      <c r="LSB56" s="850">
        <f t="shared" si="149"/>
        <v>0</v>
      </c>
      <c r="LSC56" s="850">
        <f t="shared" si="149"/>
        <v>1.6816696319759197E+59</v>
      </c>
      <c r="LSD56" s="850">
        <f t="shared" si="149"/>
        <v>0</v>
      </c>
      <c r="LSE56" s="850">
        <f t="shared" si="149"/>
        <v>1.7321197209351974E+59</v>
      </c>
      <c r="LSF56" s="850">
        <f t="shared" si="149"/>
        <v>0</v>
      </c>
      <c r="LSG56" s="850">
        <f t="shared" si="149"/>
        <v>1.7840833125632535E+59</v>
      </c>
      <c r="LSH56" s="850">
        <f t="shared" si="149"/>
        <v>0</v>
      </c>
      <c r="LSI56" s="850">
        <f t="shared" si="149"/>
        <v>1.8376058119401512E+59</v>
      </c>
      <c r="LSJ56" s="850">
        <f t="shared" si="149"/>
        <v>0</v>
      </c>
      <c r="LSK56" s="850">
        <f t="shared" si="149"/>
        <v>1.8927339862983558E+59</v>
      </c>
      <c r="LSL56" s="850">
        <f t="shared" si="149"/>
        <v>0</v>
      </c>
      <c r="LSM56" s="850">
        <f t="shared" si="149"/>
        <v>1.9495160058873066E+59</v>
      </c>
      <c r="LSN56" s="850">
        <f t="shared" si="149"/>
        <v>0</v>
      </c>
      <c r="LSO56" s="850">
        <f t="shared" si="149"/>
        <v>2.0080014860639257E+59</v>
      </c>
      <c r="LSP56" s="850">
        <f t="shared" si="149"/>
        <v>0</v>
      </c>
      <c r="LSQ56" s="850">
        <f t="shared" si="149"/>
        <v>2.0682415306458434E+59</v>
      </c>
      <c r="LSR56" s="850">
        <f t="shared" si="149"/>
        <v>0</v>
      </c>
      <c r="LSS56" s="850">
        <f t="shared" si="149"/>
        <v>2.1302887765652187E+59</v>
      </c>
      <c r="LST56" s="850">
        <f t="shared" si="149"/>
        <v>0</v>
      </c>
      <c r="LSU56" s="850">
        <f t="shared" si="149"/>
        <v>2.1941974398621752E+59</v>
      </c>
      <c r="LSV56" s="850">
        <f t="shared" si="149"/>
        <v>0</v>
      </c>
      <c r="LSW56" s="850">
        <f t="shared" si="149"/>
        <v>2.2600233630580405E+59</v>
      </c>
      <c r="LSX56" s="850">
        <f t="shared" si="149"/>
        <v>0</v>
      </c>
      <c r="LSY56" s="850">
        <f t="shared" si="149"/>
        <v>2.3278240639497816E+59</v>
      </c>
      <c r="LSZ56" s="850">
        <f t="shared" si="149"/>
        <v>0</v>
      </c>
      <c r="LTA56" s="850">
        <f t="shared" si="149"/>
        <v>2.3976587858682751E+59</v>
      </c>
      <c r="LTB56" s="850">
        <f t="shared" si="149"/>
        <v>0</v>
      </c>
      <c r="LTC56" s="850">
        <f t="shared" si="149"/>
        <v>2.4695885494443235E+59</v>
      </c>
      <c r="LTD56" s="850">
        <f t="shared" si="149"/>
        <v>0</v>
      </c>
      <c r="LTE56" s="850">
        <f t="shared" si="149"/>
        <v>2.5436762059276531E+59</v>
      </c>
      <c r="LTF56" s="850">
        <f t="shared" si="149"/>
        <v>0</v>
      </c>
      <c r="LTG56" s="850">
        <f t="shared" si="149"/>
        <v>2.6199864921054828E+59</v>
      </c>
      <c r="LTH56" s="850">
        <f t="shared" si="149"/>
        <v>0</v>
      </c>
      <c r="LTI56" s="850">
        <f t="shared" si="149"/>
        <v>2.6985860868686475E+59</v>
      </c>
      <c r="LTJ56" s="850">
        <f t="shared" si="149"/>
        <v>0</v>
      </c>
      <c r="LTK56" s="850">
        <f t="shared" si="149"/>
        <v>2.7795436694747069E+59</v>
      </c>
      <c r="LTL56" s="850">
        <f t="shared" si="149"/>
        <v>0</v>
      </c>
      <c r="LTM56" s="850">
        <f t="shared" si="149"/>
        <v>2.8629299795589484E+59</v>
      </c>
      <c r="LTN56" s="850">
        <f t="shared" si="149"/>
        <v>0</v>
      </c>
      <c r="LTO56" s="850">
        <f t="shared" si="149"/>
        <v>2.948817878945717E+59</v>
      </c>
      <c r="LTP56" s="850">
        <f t="shared" si="149"/>
        <v>0</v>
      </c>
      <c r="LTQ56" s="850">
        <f t="shared" si="149"/>
        <v>3.0372824153140887E+59</v>
      </c>
      <c r="LTR56" s="850">
        <f t="shared" ref="LTR56:LWC56" si="150">LTP56*$C$56</f>
        <v>0</v>
      </c>
      <c r="LTS56" s="850">
        <f t="shared" si="150"/>
        <v>3.1284008877735116E+59</v>
      </c>
      <c r="LTT56" s="850">
        <f t="shared" si="150"/>
        <v>0</v>
      </c>
      <c r="LTU56" s="850">
        <f t="shared" si="150"/>
        <v>3.222252914406717E+59</v>
      </c>
      <c r="LTV56" s="850">
        <f t="shared" si="150"/>
        <v>0</v>
      </c>
      <c r="LTW56" s="850">
        <f t="shared" si="150"/>
        <v>3.3189205018389188E+59</v>
      </c>
      <c r="LTX56" s="850">
        <f t="shared" si="150"/>
        <v>0</v>
      </c>
      <c r="LTY56" s="850">
        <f t="shared" si="150"/>
        <v>3.4184881168940867E+59</v>
      </c>
      <c r="LTZ56" s="850">
        <f t="shared" si="150"/>
        <v>0</v>
      </c>
      <c r="LUA56" s="850">
        <f t="shared" si="150"/>
        <v>3.5210427604009096E+59</v>
      </c>
      <c r="LUB56" s="850">
        <f t="shared" si="150"/>
        <v>0</v>
      </c>
      <c r="LUC56" s="850">
        <f t="shared" si="150"/>
        <v>3.6266740432129369E+59</v>
      </c>
      <c r="LUD56" s="850">
        <f t="shared" si="150"/>
        <v>0</v>
      </c>
      <c r="LUE56" s="850">
        <f t="shared" si="150"/>
        <v>3.7354742645093249E+59</v>
      </c>
      <c r="LUF56" s="850">
        <f t="shared" si="150"/>
        <v>0</v>
      </c>
      <c r="LUG56" s="850">
        <f t="shared" si="150"/>
        <v>3.8475384924446046E+59</v>
      </c>
      <c r="LUH56" s="850">
        <f t="shared" si="150"/>
        <v>0</v>
      </c>
      <c r="LUI56" s="850">
        <f t="shared" si="150"/>
        <v>3.9629646472179428E+59</v>
      </c>
      <c r="LUJ56" s="850">
        <f t="shared" si="150"/>
        <v>0</v>
      </c>
      <c r="LUK56" s="850">
        <f t="shared" si="150"/>
        <v>4.0818535866344811E+59</v>
      </c>
      <c r="LUL56" s="850">
        <f t="shared" si="150"/>
        <v>0</v>
      </c>
      <c r="LUM56" s="850">
        <f t="shared" si="150"/>
        <v>4.204309194233516E+59</v>
      </c>
      <c r="LUN56" s="850">
        <f t="shared" si="150"/>
        <v>0</v>
      </c>
      <c r="LUO56" s="850">
        <f t="shared" si="150"/>
        <v>4.3304384700605212E+59</v>
      </c>
      <c r="LUP56" s="850">
        <f t="shared" si="150"/>
        <v>0</v>
      </c>
      <c r="LUQ56" s="850">
        <f t="shared" si="150"/>
        <v>4.4603516241623368E+59</v>
      </c>
      <c r="LUR56" s="850">
        <f t="shared" si="150"/>
        <v>0</v>
      </c>
      <c r="LUS56" s="850">
        <f t="shared" si="150"/>
        <v>4.5941621728872067E+59</v>
      </c>
      <c r="LUT56" s="850">
        <f t="shared" si="150"/>
        <v>0</v>
      </c>
      <c r="LUU56" s="850">
        <f t="shared" si="150"/>
        <v>4.7319870380738227E+59</v>
      </c>
      <c r="LUV56" s="850">
        <f t="shared" si="150"/>
        <v>0</v>
      </c>
      <c r="LUW56" s="850">
        <f t="shared" si="150"/>
        <v>4.8739466492160375E+59</v>
      </c>
      <c r="LUX56" s="850">
        <f t="shared" si="150"/>
        <v>0</v>
      </c>
      <c r="LUY56" s="850">
        <f t="shared" si="150"/>
        <v>5.0201650486925191E+59</v>
      </c>
      <c r="LUZ56" s="850">
        <f t="shared" si="150"/>
        <v>0</v>
      </c>
      <c r="LVA56" s="850">
        <f t="shared" si="150"/>
        <v>5.1707700001532949E+59</v>
      </c>
      <c r="LVB56" s="850">
        <f t="shared" si="150"/>
        <v>0</v>
      </c>
      <c r="LVC56" s="850">
        <f t="shared" si="150"/>
        <v>5.3258931001578942E+59</v>
      </c>
      <c r="LVD56" s="850">
        <f t="shared" si="150"/>
        <v>0</v>
      </c>
      <c r="LVE56" s="850">
        <f t="shared" si="150"/>
        <v>5.4856698931626314E+59</v>
      </c>
      <c r="LVF56" s="850">
        <f t="shared" si="150"/>
        <v>0</v>
      </c>
      <c r="LVG56" s="850">
        <f t="shared" si="150"/>
        <v>5.6502399899575101E+59</v>
      </c>
      <c r="LVH56" s="850">
        <f t="shared" si="150"/>
        <v>0</v>
      </c>
      <c r="LVI56" s="850">
        <f t="shared" si="150"/>
        <v>5.8197471896562353E+59</v>
      </c>
      <c r="LVJ56" s="850">
        <f t="shared" si="150"/>
        <v>0</v>
      </c>
      <c r="LVK56" s="850">
        <f t="shared" si="150"/>
        <v>5.9943396053459225E+59</v>
      </c>
      <c r="LVL56" s="850">
        <f t="shared" si="150"/>
        <v>0</v>
      </c>
      <c r="LVM56" s="850">
        <f t="shared" si="150"/>
        <v>6.1741697935063001E+59</v>
      </c>
      <c r="LVN56" s="850">
        <f t="shared" si="150"/>
        <v>0</v>
      </c>
      <c r="LVO56" s="850">
        <f t="shared" si="150"/>
        <v>6.3593948873114889E+59</v>
      </c>
      <c r="LVP56" s="850">
        <f t="shared" si="150"/>
        <v>0</v>
      </c>
      <c r="LVQ56" s="850">
        <f t="shared" si="150"/>
        <v>6.5501767339308341E+59</v>
      </c>
      <c r="LVR56" s="850">
        <f t="shared" si="150"/>
        <v>0</v>
      </c>
      <c r="LVS56" s="850">
        <f t="shared" si="150"/>
        <v>6.746682035948759E+59</v>
      </c>
      <c r="LVT56" s="850">
        <f t="shared" si="150"/>
        <v>0</v>
      </c>
      <c r="LVU56" s="850">
        <f t="shared" si="150"/>
        <v>6.9490824970272219E+59</v>
      </c>
      <c r="LVV56" s="850">
        <f t="shared" si="150"/>
        <v>0</v>
      </c>
      <c r="LVW56" s="850">
        <f t="shared" si="150"/>
        <v>7.1575549719380385E+59</v>
      </c>
      <c r="LVX56" s="850">
        <f t="shared" si="150"/>
        <v>0</v>
      </c>
      <c r="LVY56" s="850">
        <f t="shared" si="150"/>
        <v>7.37228162109618E+59</v>
      </c>
      <c r="LVZ56" s="850">
        <f t="shared" si="150"/>
        <v>0</v>
      </c>
      <c r="LWA56" s="850">
        <f t="shared" si="150"/>
        <v>7.5934500697290658E+59</v>
      </c>
      <c r="LWB56" s="850">
        <f t="shared" si="150"/>
        <v>0</v>
      </c>
      <c r="LWC56" s="850">
        <f t="shared" si="150"/>
        <v>7.8212535718209383E+59</v>
      </c>
      <c r="LWD56" s="850">
        <f t="shared" ref="LWD56:LYO56" si="151">LWB56*$C$56</f>
        <v>0</v>
      </c>
      <c r="LWE56" s="850">
        <f t="shared" si="151"/>
        <v>8.0558911789755673E+59</v>
      </c>
      <c r="LWF56" s="850">
        <f t="shared" si="151"/>
        <v>0</v>
      </c>
      <c r="LWG56" s="850">
        <f t="shared" si="151"/>
        <v>8.297567914344835E+59</v>
      </c>
      <c r="LWH56" s="850">
        <f t="shared" si="151"/>
        <v>0</v>
      </c>
      <c r="LWI56" s="850">
        <f t="shared" si="151"/>
        <v>8.5464949517751809E+59</v>
      </c>
      <c r="LWJ56" s="850">
        <f t="shared" si="151"/>
        <v>0</v>
      </c>
      <c r="LWK56" s="850">
        <f t="shared" si="151"/>
        <v>8.8028898003284357E+59</v>
      </c>
      <c r="LWL56" s="850">
        <f t="shared" si="151"/>
        <v>0</v>
      </c>
      <c r="LWM56" s="850">
        <f t="shared" si="151"/>
        <v>9.0669764943382888E+59</v>
      </c>
      <c r="LWN56" s="850">
        <f t="shared" si="151"/>
        <v>0</v>
      </c>
      <c r="LWO56" s="850">
        <f t="shared" si="151"/>
        <v>9.3389857891684383E+59</v>
      </c>
      <c r="LWP56" s="850">
        <f t="shared" si="151"/>
        <v>0</v>
      </c>
      <c r="LWQ56" s="850">
        <f t="shared" si="151"/>
        <v>9.619155362843491E+59</v>
      </c>
      <c r="LWR56" s="850">
        <f t="shared" si="151"/>
        <v>0</v>
      </c>
      <c r="LWS56" s="850">
        <f t="shared" si="151"/>
        <v>9.9077300237287958E+59</v>
      </c>
      <c r="LWT56" s="850">
        <f t="shared" si="151"/>
        <v>0</v>
      </c>
      <c r="LWU56" s="850">
        <f t="shared" si="151"/>
        <v>1.0204961924440661E+60</v>
      </c>
      <c r="LWV56" s="850">
        <f t="shared" si="151"/>
        <v>0</v>
      </c>
      <c r="LWW56" s="850">
        <f t="shared" si="151"/>
        <v>1.051111078217388E+60</v>
      </c>
      <c r="LWX56" s="850">
        <f t="shared" si="151"/>
        <v>0</v>
      </c>
      <c r="LWY56" s="850">
        <f t="shared" si="151"/>
        <v>1.0826444105639098E+60</v>
      </c>
      <c r="LWZ56" s="850">
        <f t="shared" si="151"/>
        <v>0</v>
      </c>
      <c r="LXA56" s="850">
        <f t="shared" si="151"/>
        <v>1.1151237428808272E+60</v>
      </c>
      <c r="LXB56" s="850">
        <f t="shared" si="151"/>
        <v>0</v>
      </c>
      <c r="LXC56" s="850">
        <f t="shared" si="151"/>
        <v>1.1485774551672521E+60</v>
      </c>
      <c r="LXD56" s="850">
        <f t="shared" si="151"/>
        <v>0</v>
      </c>
      <c r="LXE56" s="850">
        <f t="shared" si="151"/>
        <v>1.1830347788222696E+60</v>
      </c>
      <c r="LXF56" s="850">
        <f t="shared" si="151"/>
        <v>0</v>
      </c>
      <c r="LXG56" s="850">
        <f t="shared" si="151"/>
        <v>1.2185258221869378E+60</v>
      </c>
      <c r="LXH56" s="850">
        <f t="shared" si="151"/>
        <v>0</v>
      </c>
      <c r="LXI56" s="850">
        <f t="shared" si="151"/>
        <v>1.2550815968525459E+60</v>
      </c>
      <c r="LXJ56" s="850">
        <f t="shared" si="151"/>
        <v>0</v>
      </c>
      <c r="LXK56" s="850">
        <f t="shared" si="151"/>
        <v>1.2927340447581224E+60</v>
      </c>
      <c r="LXL56" s="850">
        <f t="shared" si="151"/>
        <v>0</v>
      </c>
      <c r="LXM56" s="850">
        <f t="shared" si="151"/>
        <v>1.3315160661008661E+60</v>
      </c>
      <c r="LXN56" s="850">
        <f t="shared" si="151"/>
        <v>0</v>
      </c>
      <c r="LXO56" s="850">
        <f t="shared" si="151"/>
        <v>1.3714615480838921E+60</v>
      </c>
      <c r="LXP56" s="850">
        <f t="shared" si="151"/>
        <v>0</v>
      </c>
      <c r="LXQ56" s="850">
        <f t="shared" si="151"/>
        <v>1.412605394526409E+60</v>
      </c>
      <c r="LXR56" s="850">
        <f t="shared" si="151"/>
        <v>0</v>
      </c>
      <c r="LXS56" s="850">
        <f t="shared" si="151"/>
        <v>1.4549835563622012E+60</v>
      </c>
      <c r="LXT56" s="850">
        <f t="shared" si="151"/>
        <v>0</v>
      </c>
      <c r="LXU56" s="850">
        <f t="shared" si="151"/>
        <v>1.4986330630530673E+60</v>
      </c>
      <c r="LXV56" s="850">
        <f t="shared" si="151"/>
        <v>0</v>
      </c>
      <c r="LXW56" s="850">
        <f t="shared" si="151"/>
        <v>1.5435920549446593E+60</v>
      </c>
      <c r="LXX56" s="850">
        <f t="shared" si="151"/>
        <v>0</v>
      </c>
      <c r="LXY56" s="850">
        <f t="shared" si="151"/>
        <v>1.5898998165929991E+60</v>
      </c>
      <c r="LXZ56" s="850">
        <f t="shared" si="151"/>
        <v>0</v>
      </c>
      <c r="LYA56" s="850">
        <f t="shared" si="151"/>
        <v>1.6375968110907892E+60</v>
      </c>
      <c r="LYB56" s="850">
        <f t="shared" si="151"/>
        <v>0</v>
      </c>
      <c r="LYC56" s="850">
        <f t="shared" si="151"/>
        <v>1.6867247154235131E+60</v>
      </c>
      <c r="LYD56" s="850">
        <f t="shared" si="151"/>
        <v>0</v>
      </c>
      <c r="LYE56" s="850">
        <f t="shared" si="151"/>
        <v>1.7373264568862185E+60</v>
      </c>
      <c r="LYF56" s="850">
        <f t="shared" si="151"/>
        <v>0</v>
      </c>
      <c r="LYG56" s="850">
        <f t="shared" si="151"/>
        <v>1.7894462505928051E+60</v>
      </c>
      <c r="LYH56" s="850">
        <f t="shared" si="151"/>
        <v>0</v>
      </c>
      <c r="LYI56" s="850">
        <f t="shared" si="151"/>
        <v>1.8431296381105892E+60</v>
      </c>
      <c r="LYJ56" s="850">
        <f t="shared" si="151"/>
        <v>0</v>
      </c>
      <c r="LYK56" s="850">
        <f t="shared" si="151"/>
        <v>1.8984235272539071E+60</v>
      </c>
      <c r="LYL56" s="850">
        <f t="shared" si="151"/>
        <v>0</v>
      </c>
      <c r="LYM56" s="850">
        <f t="shared" si="151"/>
        <v>1.9553762330715242E+60</v>
      </c>
      <c r="LYN56" s="850">
        <f t="shared" si="151"/>
        <v>0</v>
      </c>
      <c r="LYO56" s="850">
        <f t="shared" si="151"/>
        <v>2.0140375200636698E+60</v>
      </c>
      <c r="LYP56" s="850">
        <f t="shared" ref="LYP56:MBA56" si="152">LYN56*$C$56</f>
        <v>0</v>
      </c>
      <c r="LYQ56" s="850">
        <f t="shared" si="152"/>
        <v>2.0744586456655799E+60</v>
      </c>
      <c r="LYR56" s="850">
        <f t="shared" si="152"/>
        <v>0</v>
      </c>
      <c r="LYS56" s="850">
        <f t="shared" si="152"/>
        <v>2.1366924050355473E+60</v>
      </c>
      <c r="LYT56" s="850">
        <f t="shared" si="152"/>
        <v>0</v>
      </c>
      <c r="LYU56" s="850">
        <f t="shared" si="152"/>
        <v>2.2007931771866138E+60</v>
      </c>
      <c r="LYV56" s="850">
        <f t="shared" si="152"/>
        <v>0</v>
      </c>
      <c r="LYW56" s="850">
        <f t="shared" si="152"/>
        <v>2.2668169725022122E+60</v>
      </c>
      <c r="LYX56" s="850">
        <f t="shared" si="152"/>
        <v>0</v>
      </c>
      <c r="LYY56" s="850">
        <f t="shared" si="152"/>
        <v>2.3348214816772786E+60</v>
      </c>
      <c r="LYZ56" s="850">
        <f t="shared" si="152"/>
        <v>0</v>
      </c>
      <c r="LZA56" s="850">
        <f t="shared" si="152"/>
        <v>2.404866126127597E+60</v>
      </c>
      <c r="LZB56" s="850">
        <f t="shared" si="152"/>
        <v>0</v>
      </c>
      <c r="LZC56" s="850">
        <f t="shared" si="152"/>
        <v>2.4770121099114251E+60</v>
      </c>
      <c r="LZD56" s="850">
        <f t="shared" si="152"/>
        <v>0</v>
      </c>
      <c r="LZE56" s="850">
        <f t="shared" si="152"/>
        <v>2.5513224732087678E+60</v>
      </c>
      <c r="LZF56" s="850">
        <f t="shared" si="152"/>
        <v>0</v>
      </c>
      <c r="LZG56" s="850">
        <f t="shared" si="152"/>
        <v>2.627862147405031E+60</v>
      </c>
      <c r="LZH56" s="850">
        <f t="shared" si="152"/>
        <v>0</v>
      </c>
      <c r="LZI56" s="850">
        <f t="shared" si="152"/>
        <v>2.7066980118271819E+60</v>
      </c>
      <c r="LZJ56" s="850">
        <f t="shared" si="152"/>
        <v>0</v>
      </c>
      <c r="LZK56" s="850">
        <f t="shared" si="152"/>
        <v>2.7878989521819973E+60</v>
      </c>
      <c r="LZL56" s="850">
        <f t="shared" si="152"/>
        <v>0</v>
      </c>
      <c r="LZM56" s="850">
        <f t="shared" si="152"/>
        <v>2.8715359207474573E+60</v>
      </c>
      <c r="LZN56" s="850">
        <f t="shared" si="152"/>
        <v>0</v>
      </c>
      <c r="LZO56" s="850">
        <f t="shared" si="152"/>
        <v>2.9576819983698811E+60</v>
      </c>
      <c r="LZP56" s="850">
        <f t="shared" si="152"/>
        <v>0</v>
      </c>
      <c r="LZQ56" s="850">
        <f t="shared" si="152"/>
        <v>3.0464124583209775E+60</v>
      </c>
      <c r="LZR56" s="850">
        <f t="shared" si="152"/>
        <v>0</v>
      </c>
      <c r="LZS56" s="850">
        <f t="shared" si="152"/>
        <v>3.1378048320706069E+60</v>
      </c>
      <c r="LZT56" s="850">
        <f t="shared" si="152"/>
        <v>0</v>
      </c>
      <c r="LZU56" s="850">
        <f t="shared" si="152"/>
        <v>3.2319389770327252E+60</v>
      </c>
      <c r="LZV56" s="850">
        <f t="shared" si="152"/>
        <v>0</v>
      </c>
      <c r="LZW56" s="850">
        <f t="shared" si="152"/>
        <v>3.3288971463437067E+60</v>
      </c>
      <c r="LZX56" s="850">
        <f t="shared" si="152"/>
        <v>0</v>
      </c>
      <c r="LZY56" s="850">
        <f t="shared" si="152"/>
        <v>3.4287640607340178E+60</v>
      </c>
      <c r="LZZ56" s="850">
        <f t="shared" si="152"/>
        <v>0</v>
      </c>
      <c r="MAA56" s="850">
        <f t="shared" si="152"/>
        <v>3.5316269825560383E+60</v>
      </c>
      <c r="MAB56" s="850">
        <f t="shared" si="152"/>
        <v>0</v>
      </c>
      <c r="MAC56" s="850">
        <f t="shared" si="152"/>
        <v>3.6375757920327195E+60</v>
      </c>
      <c r="MAD56" s="850">
        <f t="shared" si="152"/>
        <v>0</v>
      </c>
      <c r="MAE56" s="850">
        <f t="shared" si="152"/>
        <v>3.7467030657937015E+60</v>
      </c>
      <c r="MAF56" s="850">
        <f t="shared" si="152"/>
        <v>0</v>
      </c>
      <c r="MAG56" s="850">
        <f t="shared" si="152"/>
        <v>3.8591041577675126E+60</v>
      </c>
      <c r="MAH56" s="850">
        <f t="shared" si="152"/>
        <v>0</v>
      </c>
      <c r="MAI56" s="850">
        <f t="shared" si="152"/>
        <v>3.974877282500538E+60</v>
      </c>
      <c r="MAJ56" s="850">
        <f t="shared" si="152"/>
        <v>0</v>
      </c>
      <c r="MAK56" s="850">
        <f t="shared" si="152"/>
        <v>4.094123600975554E+60</v>
      </c>
      <c r="MAL56" s="850">
        <f t="shared" si="152"/>
        <v>0</v>
      </c>
      <c r="MAM56" s="850">
        <f t="shared" si="152"/>
        <v>4.2169473090048206E+60</v>
      </c>
      <c r="MAN56" s="850">
        <f t="shared" si="152"/>
        <v>0</v>
      </c>
      <c r="MAO56" s="850">
        <f t="shared" si="152"/>
        <v>4.3434557282749654E+60</v>
      </c>
      <c r="MAP56" s="850">
        <f t="shared" si="152"/>
        <v>0</v>
      </c>
      <c r="MAQ56" s="850">
        <f t="shared" si="152"/>
        <v>4.4737594001232143E+60</v>
      </c>
      <c r="MAR56" s="850">
        <f t="shared" si="152"/>
        <v>0</v>
      </c>
      <c r="MAS56" s="850">
        <f t="shared" si="152"/>
        <v>4.6079721821269105E+60</v>
      </c>
      <c r="MAT56" s="850">
        <f t="shared" si="152"/>
        <v>0</v>
      </c>
      <c r="MAU56" s="850">
        <f t="shared" si="152"/>
        <v>4.7462113475907182E+60</v>
      </c>
      <c r="MAV56" s="850">
        <f t="shared" si="152"/>
        <v>0</v>
      </c>
      <c r="MAW56" s="850">
        <f t="shared" si="152"/>
        <v>4.8885976880184399E+60</v>
      </c>
      <c r="MAX56" s="850">
        <f t="shared" si="152"/>
        <v>0</v>
      </c>
      <c r="MAY56" s="850">
        <f t="shared" si="152"/>
        <v>5.0352556186589933E+60</v>
      </c>
      <c r="MAZ56" s="850">
        <f t="shared" si="152"/>
        <v>0</v>
      </c>
      <c r="MBA56" s="850">
        <f t="shared" si="152"/>
        <v>5.1863132872187633E+60</v>
      </c>
      <c r="MBB56" s="850">
        <f t="shared" ref="MBB56:MDM56" si="153">MAZ56*$C$56</f>
        <v>0</v>
      </c>
      <c r="MBC56" s="850">
        <f t="shared" si="153"/>
        <v>5.3419026858353267E+60</v>
      </c>
      <c r="MBD56" s="850">
        <f t="shared" si="153"/>
        <v>0</v>
      </c>
      <c r="MBE56" s="850">
        <f t="shared" si="153"/>
        <v>5.5021597664103866E+60</v>
      </c>
      <c r="MBF56" s="850">
        <f t="shared" si="153"/>
        <v>0</v>
      </c>
      <c r="MBG56" s="850">
        <f t="shared" si="153"/>
        <v>5.6672245594026982E+60</v>
      </c>
      <c r="MBH56" s="850">
        <f t="shared" si="153"/>
        <v>0</v>
      </c>
      <c r="MBI56" s="850">
        <f t="shared" si="153"/>
        <v>5.8372412961847794E+60</v>
      </c>
      <c r="MBJ56" s="850">
        <f t="shared" si="153"/>
        <v>0</v>
      </c>
      <c r="MBK56" s="850">
        <f t="shared" si="153"/>
        <v>6.0123585350703227E+60</v>
      </c>
      <c r="MBL56" s="850">
        <f t="shared" si="153"/>
        <v>0</v>
      </c>
      <c r="MBM56" s="850">
        <f t="shared" si="153"/>
        <v>6.1927292911224327E+60</v>
      </c>
      <c r="MBN56" s="850">
        <f t="shared" si="153"/>
        <v>0</v>
      </c>
      <c r="MBO56" s="850">
        <f t="shared" si="153"/>
        <v>6.3785111698561062E+60</v>
      </c>
      <c r="MBP56" s="850">
        <f t="shared" si="153"/>
        <v>0</v>
      </c>
      <c r="MBQ56" s="850">
        <f t="shared" si="153"/>
        <v>6.5698665049517896E+60</v>
      </c>
      <c r="MBR56" s="850">
        <f t="shared" si="153"/>
        <v>0</v>
      </c>
      <c r="MBS56" s="850">
        <f t="shared" si="153"/>
        <v>6.7669625001003434E+60</v>
      </c>
      <c r="MBT56" s="850">
        <f t="shared" si="153"/>
        <v>0</v>
      </c>
      <c r="MBU56" s="850">
        <f t="shared" si="153"/>
        <v>6.9699713751033544E+60</v>
      </c>
      <c r="MBV56" s="850">
        <f t="shared" si="153"/>
        <v>0</v>
      </c>
      <c r="MBW56" s="850">
        <f t="shared" si="153"/>
        <v>7.1790705163564551E+60</v>
      </c>
      <c r="MBX56" s="850">
        <f t="shared" si="153"/>
        <v>0</v>
      </c>
      <c r="MBY56" s="850">
        <f t="shared" si="153"/>
        <v>7.3944426318471486E+60</v>
      </c>
      <c r="MBZ56" s="850">
        <f t="shared" si="153"/>
        <v>0</v>
      </c>
      <c r="MCA56" s="850">
        <f t="shared" si="153"/>
        <v>7.6162759108025637E+60</v>
      </c>
      <c r="MCB56" s="850">
        <f t="shared" si="153"/>
        <v>0</v>
      </c>
      <c r="MCC56" s="850">
        <f t="shared" si="153"/>
        <v>7.8447641881266407E+60</v>
      </c>
      <c r="MCD56" s="850">
        <f t="shared" si="153"/>
        <v>0</v>
      </c>
      <c r="MCE56" s="850">
        <f t="shared" si="153"/>
        <v>8.0801071137704403E+60</v>
      </c>
      <c r="MCF56" s="850">
        <f t="shared" si="153"/>
        <v>0</v>
      </c>
      <c r="MCG56" s="850">
        <f t="shared" si="153"/>
        <v>8.3225103271835532E+60</v>
      </c>
      <c r="MCH56" s="850">
        <f t="shared" si="153"/>
        <v>0</v>
      </c>
      <c r="MCI56" s="850">
        <f t="shared" si="153"/>
        <v>8.5721856369990596E+60</v>
      </c>
      <c r="MCJ56" s="850">
        <f t="shared" si="153"/>
        <v>0</v>
      </c>
      <c r="MCK56" s="850">
        <f t="shared" si="153"/>
        <v>8.829351206109032E+60</v>
      </c>
      <c r="MCL56" s="850">
        <f t="shared" si="153"/>
        <v>0</v>
      </c>
      <c r="MCM56" s="850">
        <f t="shared" si="153"/>
        <v>9.0942317422923032E+60</v>
      </c>
      <c r="MCN56" s="850">
        <f t="shared" si="153"/>
        <v>0</v>
      </c>
      <c r="MCO56" s="850">
        <f t="shared" si="153"/>
        <v>9.3670586945610721E+60</v>
      </c>
      <c r="MCP56" s="850">
        <f t="shared" si="153"/>
        <v>0</v>
      </c>
      <c r="MCQ56" s="850">
        <f t="shared" si="153"/>
        <v>9.6480704553979045E+60</v>
      </c>
      <c r="MCR56" s="850">
        <f t="shared" si="153"/>
        <v>0</v>
      </c>
      <c r="MCS56" s="850">
        <f t="shared" si="153"/>
        <v>9.9375125690598418E+60</v>
      </c>
      <c r="MCT56" s="850">
        <f t="shared" si="153"/>
        <v>0</v>
      </c>
      <c r="MCU56" s="850">
        <f t="shared" si="153"/>
        <v>1.0235637946131637E+61</v>
      </c>
      <c r="MCV56" s="850">
        <f t="shared" si="153"/>
        <v>0</v>
      </c>
      <c r="MCW56" s="850">
        <f t="shared" si="153"/>
        <v>1.0542707084515587E+61</v>
      </c>
      <c r="MCX56" s="850">
        <f t="shared" si="153"/>
        <v>0</v>
      </c>
      <c r="MCY56" s="850">
        <f t="shared" si="153"/>
        <v>1.0858988297051055E+61</v>
      </c>
      <c r="MCZ56" s="850">
        <f t="shared" si="153"/>
        <v>0</v>
      </c>
      <c r="MDA56" s="850">
        <f t="shared" si="153"/>
        <v>1.1184757945962587E+61</v>
      </c>
      <c r="MDB56" s="850">
        <f t="shared" si="153"/>
        <v>0</v>
      </c>
      <c r="MDC56" s="850">
        <f t="shared" si="153"/>
        <v>1.1520300684341465E+61</v>
      </c>
      <c r="MDD56" s="850">
        <f t="shared" si="153"/>
        <v>0</v>
      </c>
      <c r="MDE56" s="850">
        <f t="shared" si="153"/>
        <v>1.186590970487171E+61</v>
      </c>
      <c r="MDF56" s="850">
        <f t="shared" si="153"/>
        <v>0</v>
      </c>
      <c r="MDG56" s="850">
        <f t="shared" si="153"/>
        <v>1.2221886996017861E+61</v>
      </c>
      <c r="MDH56" s="850">
        <f t="shared" si="153"/>
        <v>0</v>
      </c>
      <c r="MDI56" s="850">
        <f t="shared" si="153"/>
        <v>1.2588543605898396E+61</v>
      </c>
      <c r="MDJ56" s="850">
        <f t="shared" si="153"/>
        <v>0</v>
      </c>
      <c r="MDK56" s="850">
        <f t="shared" si="153"/>
        <v>1.2966199914075348E+61</v>
      </c>
      <c r="MDL56" s="850">
        <f t="shared" si="153"/>
        <v>0</v>
      </c>
      <c r="MDM56" s="850">
        <f t="shared" si="153"/>
        <v>1.3355185911497609E+61</v>
      </c>
      <c r="MDN56" s="850">
        <f t="shared" ref="MDN56:MFY56" si="154">MDL56*$C$56</f>
        <v>0</v>
      </c>
      <c r="MDO56" s="850">
        <f t="shared" si="154"/>
        <v>1.3755841488842537E+61</v>
      </c>
      <c r="MDP56" s="850">
        <f t="shared" si="154"/>
        <v>0</v>
      </c>
      <c r="MDQ56" s="850">
        <f t="shared" si="154"/>
        <v>1.4168516733507813E+61</v>
      </c>
      <c r="MDR56" s="850">
        <f t="shared" si="154"/>
        <v>0</v>
      </c>
      <c r="MDS56" s="850">
        <f t="shared" si="154"/>
        <v>1.4593572235513047E+61</v>
      </c>
      <c r="MDT56" s="850">
        <f t="shared" si="154"/>
        <v>0</v>
      </c>
      <c r="MDU56" s="850">
        <f t="shared" si="154"/>
        <v>1.5031379402578438E+61</v>
      </c>
      <c r="MDV56" s="850">
        <f t="shared" si="154"/>
        <v>0</v>
      </c>
      <c r="MDW56" s="850">
        <f t="shared" si="154"/>
        <v>1.5482320784655793E+61</v>
      </c>
      <c r="MDX56" s="850">
        <f t="shared" si="154"/>
        <v>0</v>
      </c>
      <c r="MDY56" s="850">
        <f t="shared" si="154"/>
        <v>1.5946790408195468E+61</v>
      </c>
      <c r="MDZ56" s="850">
        <f t="shared" si="154"/>
        <v>0</v>
      </c>
      <c r="MEA56" s="850">
        <f t="shared" si="154"/>
        <v>1.6425194120441331E+61</v>
      </c>
      <c r="MEB56" s="850">
        <f t="shared" si="154"/>
        <v>0</v>
      </c>
      <c r="MEC56" s="850">
        <f t="shared" si="154"/>
        <v>1.6917949944054572E+61</v>
      </c>
      <c r="MED56" s="850">
        <f t="shared" si="154"/>
        <v>0</v>
      </c>
      <c r="MEE56" s="850">
        <f t="shared" si="154"/>
        <v>1.742548844237621E+61</v>
      </c>
      <c r="MEF56" s="850">
        <f t="shared" si="154"/>
        <v>0</v>
      </c>
      <c r="MEG56" s="850">
        <f t="shared" si="154"/>
        <v>1.7948253095647496E+61</v>
      </c>
      <c r="MEH56" s="850">
        <f t="shared" si="154"/>
        <v>0</v>
      </c>
      <c r="MEI56" s="850">
        <f t="shared" si="154"/>
        <v>1.8486700688516921E+61</v>
      </c>
      <c r="MEJ56" s="850">
        <f t="shared" si="154"/>
        <v>0</v>
      </c>
      <c r="MEK56" s="850">
        <f t="shared" si="154"/>
        <v>1.9041301709172429E+61</v>
      </c>
      <c r="MEL56" s="850">
        <f t="shared" si="154"/>
        <v>0</v>
      </c>
      <c r="MEM56" s="850">
        <f t="shared" si="154"/>
        <v>1.9612540760447602E+61</v>
      </c>
      <c r="MEN56" s="850">
        <f t="shared" si="154"/>
        <v>0</v>
      </c>
      <c r="MEO56" s="850">
        <f t="shared" si="154"/>
        <v>2.0200916983261029E+61</v>
      </c>
      <c r="MEP56" s="850">
        <f t="shared" si="154"/>
        <v>0</v>
      </c>
      <c r="MEQ56" s="850">
        <f t="shared" si="154"/>
        <v>2.080694449275886E+61</v>
      </c>
      <c r="MER56" s="850">
        <f t="shared" si="154"/>
        <v>0</v>
      </c>
      <c r="MES56" s="850">
        <f t="shared" si="154"/>
        <v>2.1431152827541625E+61</v>
      </c>
      <c r="MET56" s="850">
        <f t="shared" si="154"/>
        <v>0</v>
      </c>
      <c r="MEU56" s="850">
        <f t="shared" si="154"/>
        <v>2.2074087412367873E+61</v>
      </c>
      <c r="MEV56" s="850">
        <f t="shared" si="154"/>
        <v>0</v>
      </c>
      <c r="MEW56" s="850">
        <f t="shared" si="154"/>
        <v>2.2736310034738911E+61</v>
      </c>
      <c r="MEX56" s="850">
        <f t="shared" si="154"/>
        <v>0</v>
      </c>
      <c r="MEY56" s="850">
        <f t="shared" si="154"/>
        <v>2.3418399335781077E+61</v>
      </c>
      <c r="MEZ56" s="850">
        <f t="shared" si="154"/>
        <v>0</v>
      </c>
      <c r="MFA56" s="850">
        <f t="shared" si="154"/>
        <v>2.412095131585451E+61</v>
      </c>
      <c r="MFB56" s="850">
        <f t="shared" si="154"/>
        <v>0</v>
      </c>
      <c r="MFC56" s="850">
        <f t="shared" si="154"/>
        <v>2.4844579855330146E+61</v>
      </c>
      <c r="MFD56" s="850">
        <f t="shared" si="154"/>
        <v>0</v>
      </c>
      <c r="MFE56" s="850">
        <f t="shared" si="154"/>
        <v>2.5589917250990052E+61</v>
      </c>
      <c r="MFF56" s="850">
        <f t="shared" si="154"/>
        <v>0</v>
      </c>
      <c r="MFG56" s="850">
        <f t="shared" si="154"/>
        <v>2.6357614768519753E+61</v>
      </c>
      <c r="MFH56" s="850">
        <f t="shared" si="154"/>
        <v>0</v>
      </c>
      <c r="MFI56" s="850">
        <f t="shared" si="154"/>
        <v>2.7148343211575348E+61</v>
      </c>
      <c r="MFJ56" s="850">
        <f t="shared" si="154"/>
        <v>0</v>
      </c>
      <c r="MFK56" s="850">
        <f t="shared" si="154"/>
        <v>2.7962793507922611E+61</v>
      </c>
      <c r="MFL56" s="850">
        <f t="shared" si="154"/>
        <v>0</v>
      </c>
      <c r="MFM56" s="850">
        <f t="shared" si="154"/>
        <v>2.8801677313160292E+61</v>
      </c>
      <c r="MFN56" s="850">
        <f t="shared" si="154"/>
        <v>0</v>
      </c>
      <c r="MFO56" s="850">
        <f t="shared" si="154"/>
        <v>2.9665727632555099E+61</v>
      </c>
      <c r="MFP56" s="850">
        <f t="shared" si="154"/>
        <v>0</v>
      </c>
      <c r="MFQ56" s="850">
        <f t="shared" si="154"/>
        <v>3.0555699461531755E+61</v>
      </c>
      <c r="MFR56" s="850">
        <f t="shared" si="154"/>
        <v>0</v>
      </c>
      <c r="MFS56" s="850">
        <f t="shared" si="154"/>
        <v>3.147237044537771E+61</v>
      </c>
      <c r="MFT56" s="850">
        <f t="shared" si="154"/>
        <v>0</v>
      </c>
      <c r="MFU56" s="850">
        <f t="shared" si="154"/>
        <v>3.2416541558739042E+61</v>
      </c>
      <c r="MFV56" s="850">
        <f t="shared" si="154"/>
        <v>0</v>
      </c>
      <c r="MFW56" s="850">
        <f t="shared" si="154"/>
        <v>3.3389037805501214E+61</v>
      </c>
      <c r="MFX56" s="850">
        <f t="shared" si="154"/>
        <v>0</v>
      </c>
      <c r="MFY56" s="850">
        <f t="shared" si="154"/>
        <v>3.4390708939666254E+61</v>
      </c>
      <c r="MFZ56" s="850">
        <f t="shared" ref="MFZ56:MIK56" si="155">MFX56*$C$56</f>
        <v>0</v>
      </c>
      <c r="MGA56" s="850">
        <f t="shared" si="155"/>
        <v>3.542243020785624E+61</v>
      </c>
      <c r="MGB56" s="850">
        <f t="shared" si="155"/>
        <v>0</v>
      </c>
      <c r="MGC56" s="850">
        <f t="shared" si="155"/>
        <v>3.6485103114091931E+61</v>
      </c>
      <c r="MGD56" s="850">
        <f t="shared" si="155"/>
        <v>0</v>
      </c>
      <c r="MGE56" s="850">
        <f t="shared" si="155"/>
        <v>3.7579656207514688E+61</v>
      </c>
      <c r="MGF56" s="850">
        <f t="shared" si="155"/>
        <v>0</v>
      </c>
      <c r="MGG56" s="850">
        <f t="shared" si="155"/>
        <v>3.8707045893740132E+61</v>
      </c>
      <c r="MGH56" s="850">
        <f t="shared" si="155"/>
        <v>0</v>
      </c>
      <c r="MGI56" s="850">
        <f t="shared" si="155"/>
        <v>3.9868257270552336E+61</v>
      </c>
      <c r="MGJ56" s="850">
        <f t="shared" si="155"/>
        <v>0</v>
      </c>
      <c r="MGK56" s="850">
        <f t="shared" si="155"/>
        <v>4.1064304988668907E+61</v>
      </c>
      <c r="MGL56" s="850">
        <f t="shared" si="155"/>
        <v>0</v>
      </c>
      <c r="MGM56" s="850">
        <f t="shared" si="155"/>
        <v>4.2296234138328976E+61</v>
      </c>
      <c r="MGN56" s="850">
        <f t="shared" si="155"/>
        <v>0</v>
      </c>
      <c r="MGO56" s="850">
        <f t="shared" si="155"/>
        <v>4.3565121162478849E+61</v>
      </c>
      <c r="MGP56" s="850">
        <f t="shared" si="155"/>
        <v>0</v>
      </c>
      <c r="MGQ56" s="850">
        <f t="shared" si="155"/>
        <v>4.4872074797353213E+61</v>
      </c>
      <c r="MGR56" s="850">
        <f t="shared" si="155"/>
        <v>0</v>
      </c>
      <c r="MGS56" s="850">
        <f t="shared" si="155"/>
        <v>4.6218237041273811E+61</v>
      </c>
      <c r="MGT56" s="850">
        <f t="shared" si="155"/>
        <v>0</v>
      </c>
      <c r="MGU56" s="850">
        <f t="shared" si="155"/>
        <v>4.7604784152512024E+61</v>
      </c>
      <c r="MGV56" s="850">
        <f t="shared" si="155"/>
        <v>0</v>
      </c>
      <c r="MGW56" s="850">
        <f t="shared" si="155"/>
        <v>4.9032927677087387E+61</v>
      </c>
      <c r="MGX56" s="850">
        <f t="shared" si="155"/>
        <v>0</v>
      </c>
      <c r="MGY56" s="850">
        <f t="shared" si="155"/>
        <v>5.0503915507400012E+61</v>
      </c>
      <c r="MGZ56" s="850">
        <f t="shared" si="155"/>
        <v>0</v>
      </c>
      <c r="MHA56" s="850">
        <f t="shared" si="155"/>
        <v>5.2019032972622011E+61</v>
      </c>
      <c r="MHB56" s="850">
        <f t="shared" si="155"/>
        <v>0</v>
      </c>
      <c r="MHC56" s="850">
        <f t="shared" si="155"/>
        <v>5.3579603961800673E+61</v>
      </c>
      <c r="MHD56" s="850">
        <f t="shared" si="155"/>
        <v>0</v>
      </c>
      <c r="MHE56" s="850">
        <f t="shared" si="155"/>
        <v>5.5186992080654694E+61</v>
      </c>
      <c r="MHF56" s="850">
        <f t="shared" si="155"/>
        <v>0</v>
      </c>
      <c r="MHG56" s="850">
        <f t="shared" si="155"/>
        <v>5.6842601843074339E+61</v>
      </c>
      <c r="MHH56" s="850">
        <f t="shared" si="155"/>
        <v>0</v>
      </c>
      <c r="MHI56" s="850">
        <f t="shared" si="155"/>
        <v>5.8547879898366566E+61</v>
      </c>
      <c r="MHJ56" s="850">
        <f t="shared" si="155"/>
        <v>0</v>
      </c>
      <c r="MHK56" s="850">
        <f t="shared" si="155"/>
        <v>6.0304316295317564E+61</v>
      </c>
      <c r="MHL56" s="850">
        <f t="shared" si="155"/>
        <v>0</v>
      </c>
      <c r="MHM56" s="850">
        <f t="shared" si="155"/>
        <v>6.2113445784177093E+61</v>
      </c>
      <c r="MHN56" s="850">
        <f t="shared" si="155"/>
        <v>0</v>
      </c>
      <c r="MHO56" s="850">
        <f t="shared" si="155"/>
        <v>6.3976849157702406E+61</v>
      </c>
      <c r="MHP56" s="850">
        <f t="shared" si="155"/>
        <v>0</v>
      </c>
      <c r="MHQ56" s="850">
        <f t="shared" si="155"/>
        <v>6.5896154632433477E+61</v>
      </c>
      <c r="MHR56" s="850">
        <f t="shared" si="155"/>
        <v>0</v>
      </c>
      <c r="MHS56" s="850">
        <f t="shared" si="155"/>
        <v>6.7873039271406482E+61</v>
      </c>
      <c r="MHT56" s="850">
        <f t="shared" si="155"/>
        <v>0</v>
      </c>
      <c r="MHU56" s="850">
        <f t="shared" si="155"/>
        <v>6.9909230449548678E+61</v>
      </c>
      <c r="MHV56" s="850">
        <f t="shared" si="155"/>
        <v>0</v>
      </c>
      <c r="MHW56" s="850">
        <f t="shared" si="155"/>
        <v>7.2006507363035135E+61</v>
      </c>
      <c r="MHX56" s="850">
        <f t="shared" si="155"/>
        <v>0</v>
      </c>
      <c r="MHY56" s="850">
        <f t="shared" si="155"/>
        <v>7.4166702583926193E+61</v>
      </c>
      <c r="MHZ56" s="850">
        <f t="shared" si="155"/>
        <v>0</v>
      </c>
      <c r="MIA56" s="850">
        <f t="shared" si="155"/>
        <v>7.6391703661443978E+61</v>
      </c>
      <c r="MIB56" s="850">
        <f t="shared" si="155"/>
        <v>0</v>
      </c>
      <c r="MIC56" s="850">
        <f t="shared" si="155"/>
        <v>7.8683454771287301E+61</v>
      </c>
      <c r="MID56" s="850">
        <f t="shared" si="155"/>
        <v>0</v>
      </c>
      <c r="MIE56" s="850">
        <f t="shared" si="155"/>
        <v>8.1043958414425918E+61</v>
      </c>
      <c r="MIF56" s="850">
        <f t="shared" si="155"/>
        <v>0</v>
      </c>
      <c r="MIG56" s="850">
        <f t="shared" si="155"/>
        <v>8.3475277166858704E+61</v>
      </c>
      <c r="MIH56" s="850">
        <f t="shared" si="155"/>
        <v>0</v>
      </c>
      <c r="MII56" s="850">
        <f t="shared" si="155"/>
        <v>8.5979535481864462E+61</v>
      </c>
      <c r="MIJ56" s="850">
        <f t="shared" si="155"/>
        <v>0</v>
      </c>
      <c r="MIK56" s="850">
        <f t="shared" si="155"/>
        <v>8.8558921546320404E+61</v>
      </c>
      <c r="MIL56" s="850">
        <f t="shared" ref="MIL56:MKW56" si="156">MIJ56*$C$56</f>
        <v>0</v>
      </c>
      <c r="MIM56" s="850">
        <f t="shared" si="156"/>
        <v>9.1215689192710023E+61</v>
      </c>
      <c r="MIN56" s="850">
        <f t="shared" si="156"/>
        <v>0</v>
      </c>
      <c r="MIO56" s="850">
        <f t="shared" si="156"/>
        <v>9.395215986849133E+61</v>
      </c>
      <c r="MIP56" s="850">
        <f t="shared" si="156"/>
        <v>0</v>
      </c>
      <c r="MIQ56" s="850">
        <f t="shared" si="156"/>
        <v>9.6770724664546074E+61</v>
      </c>
      <c r="MIR56" s="850">
        <f t="shared" si="156"/>
        <v>0</v>
      </c>
      <c r="MIS56" s="850">
        <f t="shared" si="156"/>
        <v>9.9673846404482459E+61</v>
      </c>
      <c r="MIT56" s="850">
        <f t="shared" si="156"/>
        <v>0</v>
      </c>
      <c r="MIU56" s="850">
        <f t="shared" si="156"/>
        <v>1.0266406179661694E+62</v>
      </c>
      <c r="MIV56" s="850">
        <f t="shared" si="156"/>
        <v>0</v>
      </c>
      <c r="MIW56" s="850">
        <f t="shared" si="156"/>
        <v>1.0574398365051546E+62</v>
      </c>
      <c r="MIX56" s="850">
        <f t="shared" si="156"/>
        <v>0</v>
      </c>
      <c r="MIY56" s="850">
        <f t="shared" si="156"/>
        <v>1.0891630316003092E+62</v>
      </c>
      <c r="MIZ56" s="850">
        <f t="shared" si="156"/>
        <v>0</v>
      </c>
      <c r="MJA56" s="850">
        <f t="shared" si="156"/>
        <v>1.1218379225483185E+62</v>
      </c>
      <c r="MJB56" s="850">
        <f t="shared" si="156"/>
        <v>0</v>
      </c>
      <c r="MJC56" s="850">
        <f t="shared" si="156"/>
        <v>1.155493060224768E+62</v>
      </c>
      <c r="MJD56" s="850">
        <f t="shared" si="156"/>
        <v>0</v>
      </c>
      <c r="MJE56" s="850">
        <f t="shared" si="156"/>
        <v>1.1901578520315111E+62</v>
      </c>
      <c r="MJF56" s="850">
        <f t="shared" si="156"/>
        <v>0</v>
      </c>
      <c r="MJG56" s="850">
        <f t="shared" si="156"/>
        <v>1.2258625875924565E+62</v>
      </c>
      <c r="MJH56" s="850">
        <f t="shared" si="156"/>
        <v>0</v>
      </c>
      <c r="MJI56" s="850">
        <f t="shared" si="156"/>
        <v>1.2626384652202303E+62</v>
      </c>
      <c r="MJJ56" s="850">
        <f t="shared" si="156"/>
        <v>0</v>
      </c>
      <c r="MJK56" s="850">
        <f t="shared" si="156"/>
        <v>1.3005176191768371E+62</v>
      </c>
      <c r="MJL56" s="850">
        <f t="shared" si="156"/>
        <v>0</v>
      </c>
      <c r="MJM56" s="850">
        <f t="shared" si="156"/>
        <v>1.3395331477521423E+62</v>
      </c>
      <c r="MJN56" s="850">
        <f t="shared" si="156"/>
        <v>0</v>
      </c>
      <c r="MJO56" s="850">
        <f t="shared" si="156"/>
        <v>1.3797191421847066E+62</v>
      </c>
      <c r="MJP56" s="850">
        <f t="shared" si="156"/>
        <v>0</v>
      </c>
      <c r="MJQ56" s="850">
        <f t="shared" si="156"/>
        <v>1.4211107164502479E+62</v>
      </c>
      <c r="MJR56" s="850">
        <f t="shared" si="156"/>
        <v>0</v>
      </c>
      <c r="MJS56" s="850">
        <f t="shared" si="156"/>
        <v>1.4637440379437555E+62</v>
      </c>
      <c r="MJT56" s="850">
        <f t="shared" si="156"/>
        <v>0</v>
      </c>
      <c r="MJU56" s="850">
        <f t="shared" si="156"/>
        <v>1.5076563590820681E+62</v>
      </c>
      <c r="MJV56" s="850">
        <f t="shared" si="156"/>
        <v>0</v>
      </c>
      <c r="MJW56" s="850">
        <f t="shared" si="156"/>
        <v>1.5528860498545303E+62</v>
      </c>
      <c r="MJX56" s="850">
        <f t="shared" si="156"/>
        <v>0</v>
      </c>
      <c r="MJY56" s="850">
        <f t="shared" si="156"/>
        <v>1.5994726313501663E+62</v>
      </c>
      <c r="MJZ56" s="850">
        <f t="shared" si="156"/>
        <v>0</v>
      </c>
      <c r="MKA56" s="850">
        <f t="shared" si="156"/>
        <v>1.6474568102906713E+62</v>
      </c>
      <c r="MKB56" s="850">
        <f t="shared" si="156"/>
        <v>0</v>
      </c>
      <c r="MKC56" s="850">
        <f t="shared" si="156"/>
        <v>1.6968805145993915E+62</v>
      </c>
      <c r="MKD56" s="850">
        <f t="shared" si="156"/>
        <v>0</v>
      </c>
      <c r="MKE56" s="850">
        <f t="shared" si="156"/>
        <v>1.7477869300373733E+62</v>
      </c>
      <c r="MKF56" s="850">
        <f t="shared" si="156"/>
        <v>0</v>
      </c>
      <c r="MKG56" s="850">
        <f t="shared" si="156"/>
        <v>1.8002205379384946E+62</v>
      </c>
      <c r="MKH56" s="850">
        <f t="shared" si="156"/>
        <v>0</v>
      </c>
      <c r="MKI56" s="850">
        <f t="shared" si="156"/>
        <v>1.8542271540766495E+62</v>
      </c>
      <c r="MKJ56" s="850">
        <f t="shared" si="156"/>
        <v>0</v>
      </c>
      <c r="MKK56" s="850">
        <f t="shared" si="156"/>
        <v>1.9098539686989492E+62</v>
      </c>
      <c r="MKL56" s="850">
        <f t="shared" si="156"/>
        <v>0</v>
      </c>
      <c r="MKM56" s="850">
        <f t="shared" si="156"/>
        <v>1.9671495877599177E+62</v>
      </c>
      <c r="MKN56" s="850">
        <f t="shared" si="156"/>
        <v>0</v>
      </c>
      <c r="MKO56" s="850">
        <f t="shared" si="156"/>
        <v>2.0261640753927153E+62</v>
      </c>
      <c r="MKP56" s="850">
        <f t="shared" si="156"/>
        <v>0</v>
      </c>
      <c r="MKQ56" s="850">
        <f t="shared" si="156"/>
        <v>2.0869489976544966E+62</v>
      </c>
      <c r="MKR56" s="850">
        <f t="shared" si="156"/>
        <v>0</v>
      </c>
      <c r="MKS56" s="850">
        <f t="shared" si="156"/>
        <v>2.1495574675841317E+62</v>
      </c>
      <c r="MKT56" s="850">
        <f t="shared" si="156"/>
        <v>0</v>
      </c>
      <c r="MKU56" s="850">
        <f t="shared" si="156"/>
        <v>2.2140441916116559E+62</v>
      </c>
      <c r="MKV56" s="850">
        <f t="shared" si="156"/>
        <v>0</v>
      </c>
      <c r="MKW56" s="850">
        <f t="shared" si="156"/>
        <v>2.2804655173600055E+62</v>
      </c>
      <c r="MKX56" s="850">
        <f t="shared" ref="MKX56:MNI56" si="157">MKV56*$C$56</f>
        <v>0</v>
      </c>
      <c r="MKY56" s="850">
        <f t="shared" si="157"/>
        <v>2.3488794828808056E+62</v>
      </c>
      <c r="MKZ56" s="850">
        <f t="shared" si="157"/>
        <v>0</v>
      </c>
      <c r="MLA56" s="850">
        <f t="shared" si="157"/>
        <v>2.4193458673672299E+62</v>
      </c>
      <c r="MLB56" s="850">
        <f t="shared" si="157"/>
        <v>0</v>
      </c>
      <c r="MLC56" s="850">
        <f t="shared" si="157"/>
        <v>2.4919262433882467E+62</v>
      </c>
      <c r="MLD56" s="850">
        <f t="shared" si="157"/>
        <v>0</v>
      </c>
      <c r="MLE56" s="850">
        <f t="shared" si="157"/>
        <v>2.566684030689894E+62</v>
      </c>
      <c r="MLF56" s="850">
        <f t="shared" si="157"/>
        <v>0</v>
      </c>
      <c r="MLG56" s="850">
        <f t="shared" si="157"/>
        <v>2.6436845516105908E+62</v>
      </c>
      <c r="MLH56" s="850">
        <f t="shared" si="157"/>
        <v>0</v>
      </c>
      <c r="MLI56" s="850">
        <f t="shared" si="157"/>
        <v>2.7229950881589084E+62</v>
      </c>
      <c r="MLJ56" s="850">
        <f t="shared" si="157"/>
        <v>0</v>
      </c>
      <c r="MLK56" s="850">
        <f t="shared" si="157"/>
        <v>2.8046849408036759E+62</v>
      </c>
      <c r="MLL56" s="850">
        <f t="shared" si="157"/>
        <v>0</v>
      </c>
      <c r="MLM56" s="850">
        <f t="shared" si="157"/>
        <v>2.8888254890277861E+62</v>
      </c>
      <c r="MLN56" s="850">
        <f t="shared" si="157"/>
        <v>0</v>
      </c>
      <c r="MLO56" s="850">
        <f t="shared" si="157"/>
        <v>2.9754902536986198E+62</v>
      </c>
      <c r="MLP56" s="850">
        <f t="shared" si="157"/>
        <v>0</v>
      </c>
      <c r="MLQ56" s="850">
        <f t="shared" si="157"/>
        <v>3.0647549613095786E+62</v>
      </c>
      <c r="MLR56" s="850">
        <f t="shared" si="157"/>
        <v>0</v>
      </c>
      <c r="MLS56" s="850">
        <f t="shared" si="157"/>
        <v>3.1566976101488659E+62</v>
      </c>
      <c r="MLT56" s="850">
        <f t="shared" si="157"/>
        <v>0</v>
      </c>
      <c r="MLU56" s="850">
        <f t="shared" si="157"/>
        <v>3.2513985384533319E+62</v>
      </c>
      <c r="MLV56" s="850">
        <f t="shared" si="157"/>
        <v>0</v>
      </c>
      <c r="MLW56" s="850">
        <f t="shared" si="157"/>
        <v>3.3489404946069317E+62</v>
      </c>
      <c r="MLX56" s="850">
        <f t="shared" si="157"/>
        <v>0</v>
      </c>
      <c r="MLY56" s="850">
        <f t="shared" si="157"/>
        <v>3.4494087094451398E+62</v>
      </c>
      <c r="MLZ56" s="850">
        <f t="shared" si="157"/>
        <v>0</v>
      </c>
      <c r="MMA56" s="850">
        <f t="shared" si="157"/>
        <v>3.552890970728494E+62</v>
      </c>
      <c r="MMB56" s="850">
        <f t="shared" si="157"/>
        <v>0</v>
      </c>
      <c r="MMC56" s="850">
        <f t="shared" si="157"/>
        <v>3.6594776998503488E+62</v>
      </c>
      <c r="MMD56" s="850">
        <f t="shared" si="157"/>
        <v>0</v>
      </c>
      <c r="MME56" s="850">
        <f t="shared" si="157"/>
        <v>3.7692620308458594E+62</v>
      </c>
      <c r="MMF56" s="850">
        <f t="shared" si="157"/>
        <v>0</v>
      </c>
      <c r="MMG56" s="850">
        <f t="shared" si="157"/>
        <v>3.8823398917712351E+62</v>
      </c>
      <c r="MMH56" s="850">
        <f t="shared" si="157"/>
        <v>0</v>
      </c>
      <c r="MMI56" s="850">
        <f t="shared" si="157"/>
        <v>3.9988100885243724E+62</v>
      </c>
      <c r="MMJ56" s="850">
        <f t="shared" si="157"/>
        <v>0</v>
      </c>
      <c r="MMK56" s="850">
        <f t="shared" si="157"/>
        <v>4.1187743911801035E+62</v>
      </c>
      <c r="MML56" s="850">
        <f t="shared" si="157"/>
        <v>0</v>
      </c>
      <c r="MMM56" s="850">
        <f t="shared" si="157"/>
        <v>4.2423376229155065E+62</v>
      </c>
      <c r="MMN56" s="850">
        <f t="shared" si="157"/>
        <v>0</v>
      </c>
      <c r="MMO56" s="850">
        <f t="shared" si="157"/>
        <v>4.3696077516029713E+62</v>
      </c>
      <c r="MMP56" s="850">
        <f t="shared" si="157"/>
        <v>0</v>
      </c>
      <c r="MMQ56" s="850">
        <f t="shared" si="157"/>
        <v>4.500695984151061E+62</v>
      </c>
      <c r="MMR56" s="850">
        <f t="shared" si="157"/>
        <v>0</v>
      </c>
      <c r="MMS56" s="850">
        <f t="shared" si="157"/>
        <v>4.6357168636755931E+62</v>
      </c>
      <c r="MMT56" s="850">
        <f t="shared" si="157"/>
        <v>0</v>
      </c>
      <c r="MMU56" s="850">
        <f t="shared" si="157"/>
        <v>4.7747883695858612E+62</v>
      </c>
      <c r="MMV56" s="850">
        <f t="shared" si="157"/>
        <v>0</v>
      </c>
      <c r="MMW56" s="850">
        <f t="shared" si="157"/>
        <v>4.9180320206734374E+62</v>
      </c>
      <c r="MMX56" s="850">
        <f t="shared" si="157"/>
        <v>0</v>
      </c>
      <c r="MMY56" s="850">
        <f t="shared" si="157"/>
        <v>5.0655729812936407E+62</v>
      </c>
      <c r="MMZ56" s="850">
        <f t="shared" si="157"/>
        <v>0</v>
      </c>
      <c r="MNA56" s="850">
        <f t="shared" si="157"/>
        <v>5.2175401707324501E+62</v>
      </c>
      <c r="MNB56" s="850">
        <f t="shared" si="157"/>
        <v>0</v>
      </c>
      <c r="MNC56" s="850">
        <f t="shared" si="157"/>
        <v>5.3740663758544236E+62</v>
      </c>
      <c r="MND56" s="850">
        <f t="shared" si="157"/>
        <v>0</v>
      </c>
      <c r="MNE56" s="850">
        <f t="shared" si="157"/>
        <v>5.5352883671300561E+62</v>
      </c>
      <c r="MNF56" s="850">
        <f t="shared" si="157"/>
        <v>0</v>
      </c>
      <c r="MNG56" s="850">
        <f t="shared" si="157"/>
        <v>5.7013470181439584E+62</v>
      </c>
      <c r="MNH56" s="850">
        <f t="shared" si="157"/>
        <v>0</v>
      </c>
      <c r="MNI56" s="850">
        <f t="shared" si="157"/>
        <v>5.8723874286882773E+62</v>
      </c>
      <c r="MNJ56" s="850">
        <f t="shared" ref="MNJ56:MPU56" si="158">MNH56*$C$56</f>
        <v>0</v>
      </c>
      <c r="MNK56" s="850">
        <f t="shared" si="158"/>
        <v>6.0485590515489261E+62</v>
      </c>
      <c r="MNL56" s="850">
        <f t="shared" si="158"/>
        <v>0</v>
      </c>
      <c r="MNM56" s="850">
        <f t="shared" si="158"/>
        <v>6.2300158230953937E+62</v>
      </c>
      <c r="MNN56" s="850">
        <f t="shared" si="158"/>
        <v>0</v>
      </c>
      <c r="MNO56" s="850">
        <f t="shared" si="158"/>
        <v>6.4169162977882561E+62</v>
      </c>
      <c r="MNP56" s="850">
        <f t="shared" si="158"/>
        <v>0</v>
      </c>
      <c r="MNQ56" s="850">
        <f t="shared" si="158"/>
        <v>6.6094237867219037E+62</v>
      </c>
      <c r="MNR56" s="850">
        <f t="shared" si="158"/>
        <v>0</v>
      </c>
      <c r="MNS56" s="850">
        <f t="shared" si="158"/>
        <v>6.8077065003235611E+62</v>
      </c>
      <c r="MNT56" s="850">
        <f t="shared" si="158"/>
        <v>0</v>
      </c>
      <c r="MNU56" s="850">
        <f t="shared" si="158"/>
        <v>7.011937695333268E+62</v>
      </c>
      <c r="MNV56" s="850">
        <f t="shared" si="158"/>
        <v>0</v>
      </c>
      <c r="MNW56" s="850">
        <f t="shared" si="158"/>
        <v>7.2222958261932663E+62</v>
      </c>
      <c r="MNX56" s="850">
        <f t="shared" si="158"/>
        <v>0</v>
      </c>
      <c r="MNY56" s="850">
        <f t="shared" si="158"/>
        <v>7.4389647009790645E+62</v>
      </c>
      <c r="MNZ56" s="850">
        <f t="shared" si="158"/>
        <v>0</v>
      </c>
      <c r="MOA56" s="850">
        <f t="shared" si="158"/>
        <v>7.662133642008437E+62</v>
      </c>
      <c r="MOB56" s="850">
        <f t="shared" si="158"/>
        <v>0</v>
      </c>
      <c r="MOC56" s="850">
        <f t="shared" si="158"/>
        <v>7.8919976512686904E+62</v>
      </c>
      <c r="MOD56" s="850">
        <f t="shared" si="158"/>
        <v>0</v>
      </c>
      <c r="MOE56" s="850">
        <f t="shared" si="158"/>
        <v>8.1287575808067515E+62</v>
      </c>
      <c r="MOF56" s="850">
        <f t="shared" si="158"/>
        <v>0</v>
      </c>
      <c r="MOG56" s="850">
        <f t="shared" si="158"/>
        <v>8.3726203082309547E+62</v>
      </c>
      <c r="MOH56" s="850">
        <f t="shared" si="158"/>
        <v>0</v>
      </c>
      <c r="MOI56" s="850">
        <f t="shared" si="158"/>
        <v>8.6237989174778839E+62</v>
      </c>
      <c r="MOJ56" s="850">
        <f t="shared" si="158"/>
        <v>0</v>
      </c>
      <c r="MOK56" s="850">
        <f t="shared" si="158"/>
        <v>8.8825128850022213E+62</v>
      </c>
      <c r="MOL56" s="850">
        <f t="shared" si="158"/>
        <v>0</v>
      </c>
      <c r="MOM56" s="850">
        <f t="shared" si="158"/>
        <v>9.1489882715522878E+62</v>
      </c>
      <c r="MON56" s="850">
        <f t="shared" si="158"/>
        <v>0</v>
      </c>
      <c r="MOO56" s="850">
        <f t="shared" si="158"/>
        <v>9.4234579196988575E+62</v>
      </c>
      <c r="MOP56" s="850">
        <f t="shared" si="158"/>
        <v>0</v>
      </c>
      <c r="MOQ56" s="850">
        <f t="shared" si="158"/>
        <v>9.7061616572898229E+62</v>
      </c>
      <c r="MOR56" s="850">
        <f t="shared" si="158"/>
        <v>0</v>
      </c>
      <c r="MOS56" s="850">
        <f t="shared" si="158"/>
        <v>9.9973465070085174E+62</v>
      </c>
      <c r="MOT56" s="850">
        <f t="shared" si="158"/>
        <v>0</v>
      </c>
      <c r="MOU56" s="850">
        <f t="shared" si="158"/>
        <v>1.0297266902218774E+63</v>
      </c>
      <c r="MOV56" s="850">
        <f t="shared" si="158"/>
        <v>0</v>
      </c>
      <c r="MOW56" s="850">
        <f t="shared" si="158"/>
        <v>1.0606184909285337E+63</v>
      </c>
      <c r="MOX56" s="850">
        <f t="shared" si="158"/>
        <v>0</v>
      </c>
      <c r="MOY56" s="850">
        <f t="shared" si="158"/>
        <v>1.0924370456563898E+63</v>
      </c>
      <c r="MOZ56" s="850">
        <f t="shared" si="158"/>
        <v>0</v>
      </c>
      <c r="MPA56" s="850">
        <f t="shared" si="158"/>
        <v>1.1252101570260816E+63</v>
      </c>
      <c r="MPB56" s="850">
        <f t="shared" si="158"/>
        <v>0</v>
      </c>
      <c r="MPC56" s="850">
        <f t="shared" si="158"/>
        <v>1.158966461736864E+63</v>
      </c>
      <c r="MPD56" s="850">
        <f t="shared" si="158"/>
        <v>0</v>
      </c>
      <c r="MPE56" s="850">
        <f t="shared" si="158"/>
        <v>1.1937354555889699E+63</v>
      </c>
      <c r="MPF56" s="850">
        <f t="shared" si="158"/>
        <v>0</v>
      </c>
      <c r="MPG56" s="850">
        <f t="shared" si="158"/>
        <v>1.2295475192566391E+63</v>
      </c>
      <c r="MPH56" s="850">
        <f t="shared" si="158"/>
        <v>0</v>
      </c>
      <c r="MPI56" s="850">
        <f t="shared" si="158"/>
        <v>1.2664339448343383E+63</v>
      </c>
      <c r="MPJ56" s="850">
        <f t="shared" si="158"/>
        <v>0</v>
      </c>
      <c r="MPK56" s="850">
        <f t="shared" si="158"/>
        <v>1.3044269631793684E+63</v>
      </c>
      <c r="MPL56" s="850">
        <f t="shared" si="158"/>
        <v>0</v>
      </c>
      <c r="MPM56" s="850">
        <f t="shared" si="158"/>
        <v>1.3435597720747495E+63</v>
      </c>
      <c r="MPN56" s="850">
        <f t="shared" si="158"/>
        <v>0</v>
      </c>
      <c r="MPO56" s="850">
        <f t="shared" si="158"/>
        <v>1.3838665652369921E+63</v>
      </c>
      <c r="MPP56" s="850">
        <f t="shared" si="158"/>
        <v>0</v>
      </c>
      <c r="MPQ56" s="850">
        <f t="shared" si="158"/>
        <v>1.4253825621941018E+63</v>
      </c>
      <c r="MPR56" s="850">
        <f t="shared" si="158"/>
        <v>0</v>
      </c>
      <c r="MPS56" s="850">
        <f t="shared" si="158"/>
        <v>1.4681440390599249E+63</v>
      </c>
      <c r="MPT56" s="850">
        <f t="shared" si="158"/>
        <v>0</v>
      </c>
      <c r="MPU56" s="850">
        <f t="shared" si="158"/>
        <v>1.5121883602317228E+63</v>
      </c>
      <c r="MPV56" s="850">
        <f t="shared" ref="MPV56:MSG56" si="159">MPT56*$C$56</f>
        <v>0</v>
      </c>
      <c r="MPW56" s="850">
        <f t="shared" si="159"/>
        <v>1.5575540110386745E+63</v>
      </c>
      <c r="MPX56" s="850">
        <f t="shared" si="159"/>
        <v>0</v>
      </c>
      <c r="MPY56" s="850">
        <f t="shared" si="159"/>
        <v>1.6042806313698347E+63</v>
      </c>
      <c r="MPZ56" s="850">
        <f t="shared" si="159"/>
        <v>0</v>
      </c>
      <c r="MQA56" s="850">
        <f t="shared" si="159"/>
        <v>1.6524090503109298E+63</v>
      </c>
      <c r="MQB56" s="850">
        <f t="shared" si="159"/>
        <v>0</v>
      </c>
      <c r="MQC56" s="850">
        <f t="shared" si="159"/>
        <v>1.7019813218202577E+63</v>
      </c>
      <c r="MQD56" s="850">
        <f t="shared" si="159"/>
        <v>0</v>
      </c>
      <c r="MQE56" s="850">
        <f t="shared" si="159"/>
        <v>1.7530407614748655E+63</v>
      </c>
      <c r="MQF56" s="850">
        <f t="shared" si="159"/>
        <v>0</v>
      </c>
      <c r="MQG56" s="850">
        <f t="shared" si="159"/>
        <v>1.8056319843191116E+63</v>
      </c>
      <c r="MQH56" s="850">
        <f t="shared" si="159"/>
        <v>0</v>
      </c>
      <c r="MQI56" s="850">
        <f t="shared" si="159"/>
        <v>1.8598009438486848E+63</v>
      </c>
      <c r="MQJ56" s="850">
        <f t="shared" si="159"/>
        <v>0</v>
      </c>
      <c r="MQK56" s="850">
        <f t="shared" si="159"/>
        <v>1.9155949721641456E+63</v>
      </c>
      <c r="MQL56" s="850">
        <f t="shared" si="159"/>
        <v>0</v>
      </c>
      <c r="MQM56" s="850">
        <f t="shared" si="159"/>
        <v>1.9730628213290699E+63</v>
      </c>
      <c r="MQN56" s="850">
        <f t="shared" si="159"/>
        <v>0</v>
      </c>
      <c r="MQO56" s="850">
        <f t="shared" si="159"/>
        <v>2.0322547059689422E+63</v>
      </c>
      <c r="MQP56" s="850">
        <f t="shared" si="159"/>
        <v>0</v>
      </c>
      <c r="MQQ56" s="850">
        <f t="shared" si="159"/>
        <v>2.0932223471480105E+63</v>
      </c>
      <c r="MQR56" s="850">
        <f t="shared" si="159"/>
        <v>0</v>
      </c>
      <c r="MQS56" s="850">
        <f t="shared" si="159"/>
        <v>2.1560190175624509E+63</v>
      </c>
      <c r="MQT56" s="850">
        <f t="shared" si="159"/>
        <v>0</v>
      </c>
      <c r="MQU56" s="850">
        <f t="shared" si="159"/>
        <v>2.2206995880893246E+63</v>
      </c>
      <c r="MQV56" s="850">
        <f t="shared" si="159"/>
        <v>0</v>
      </c>
      <c r="MQW56" s="850">
        <f t="shared" si="159"/>
        <v>2.2873205757320044E+63</v>
      </c>
      <c r="MQX56" s="850">
        <f t="shared" si="159"/>
        <v>0</v>
      </c>
      <c r="MQY56" s="850">
        <f t="shared" si="159"/>
        <v>2.3559401930039646E+63</v>
      </c>
      <c r="MQZ56" s="850">
        <f t="shared" si="159"/>
        <v>0</v>
      </c>
      <c r="MRA56" s="850">
        <f t="shared" si="159"/>
        <v>2.4266183987940836E+63</v>
      </c>
      <c r="MRB56" s="850">
        <f t="shared" si="159"/>
        <v>0</v>
      </c>
      <c r="MRC56" s="850">
        <f t="shared" si="159"/>
        <v>2.4994169507579061E+63</v>
      </c>
      <c r="MRD56" s="850">
        <f t="shared" si="159"/>
        <v>0</v>
      </c>
      <c r="MRE56" s="850">
        <f t="shared" si="159"/>
        <v>2.5743994592806435E+63</v>
      </c>
      <c r="MRF56" s="850">
        <f t="shared" si="159"/>
        <v>0</v>
      </c>
      <c r="MRG56" s="850">
        <f t="shared" si="159"/>
        <v>2.6516314430590628E+63</v>
      </c>
      <c r="MRH56" s="850">
        <f t="shared" si="159"/>
        <v>0</v>
      </c>
      <c r="MRI56" s="850">
        <f t="shared" si="159"/>
        <v>2.7311803863508347E+63</v>
      </c>
      <c r="MRJ56" s="850">
        <f t="shared" si="159"/>
        <v>0</v>
      </c>
      <c r="MRK56" s="850">
        <f t="shared" si="159"/>
        <v>2.8131157979413596E+63</v>
      </c>
      <c r="MRL56" s="850">
        <f t="shared" si="159"/>
        <v>0</v>
      </c>
      <c r="MRM56" s="850">
        <f t="shared" si="159"/>
        <v>2.8975092718796006E+63</v>
      </c>
      <c r="MRN56" s="850">
        <f t="shared" si="159"/>
        <v>0</v>
      </c>
      <c r="MRO56" s="850">
        <f t="shared" si="159"/>
        <v>2.9844345500359885E+63</v>
      </c>
      <c r="MRP56" s="850">
        <f t="shared" si="159"/>
        <v>0</v>
      </c>
      <c r="MRQ56" s="850">
        <f t="shared" si="159"/>
        <v>3.0739675865370683E+63</v>
      </c>
      <c r="MRR56" s="850">
        <f t="shared" si="159"/>
        <v>0</v>
      </c>
      <c r="MRS56" s="850">
        <f t="shared" si="159"/>
        <v>3.1661866141331806E+63</v>
      </c>
      <c r="MRT56" s="850">
        <f t="shared" si="159"/>
        <v>0</v>
      </c>
      <c r="MRU56" s="850">
        <f t="shared" si="159"/>
        <v>3.2611722125571763E+63</v>
      </c>
      <c r="MRV56" s="850">
        <f t="shared" si="159"/>
        <v>0</v>
      </c>
      <c r="MRW56" s="850">
        <f t="shared" si="159"/>
        <v>3.3590073789338917E+63</v>
      </c>
      <c r="MRX56" s="850">
        <f t="shared" si="159"/>
        <v>0</v>
      </c>
      <c r="MRY56" s="850">
        <f t="shared" si="159"/>
        <v>3.4597776003019083E+63</v>
      </c>
      <c r="MRZ56" s="850">
        <f t="shared" si="159"/>
        <v>0</v>
      </c>
      <c r="MSA56" s="850">
        <f t="shared" si="159"/>
        <v>3.5635709283109659E+63</v>
      </c>
      <c r="MSB56" s="850">
        <f t="shared" si="159"/>
        <v>0</v>
      </c>
      <c r="MSC56" s="850">
        <f t="shared" si="159"/>
        <v>3.6704780561602952E+63</v>
      </c>
      <c r="MSD56" s="850">
        <f t="shared" si="159"/>
        <v>0</v>
      </c>
      <c r="MSE56" s="850">
        <f t="shared" si="159"/>
        <v>3.7805923978451041E+63</v>
      </c>
      <c r="MSF56" s="850">
        <f t="shared" si="159"/>
        <v>0</v>
      </c>
      <c r="MSG56" s="850">
        <f t="shared" si="159"/>
        <v>3.8940101697804576E+63</v>
      </c>
      <c r="MSH56" s="850">
        <f t="shared" ref="MSH56:MUS56" si="160">MSF56*$C$56</f>
        <v>0</v>
      </c>
      <c r="MSI56" s="850">
        <f t="shared" si="160"/>
        <v>4.0108304748738717E+63</v>
      </c>
      <c r="MSJ56" s="850">
        <f t="shared" si="160"/>
        <v>0</v>
      </c>
      <c r="MSK56" s="850">
        <f t="shared" si="160"/>
        <v>4.1311553891200878E+63</v>
      </c>
      <c r="MSL56" s="850">
        <f t="shared" si="160"/>
        <v>0</v>
      </c>
      <c r="MSM56" s="850">
        <f t="shared" si="160"/>
        <v>4.2550900507936908E+63</v>
      </c>
      <c r="MSN56" s="850">
        <f t="shared" si="160"/>
        <v>0</v>
      </c>
      <c r="MSO56" s="850">
        <f t="shared" si="160"/>
        <v>4.3827427523175015E+63</v>
      </c>
      <c r="MSP56" s="850">
        <f t="shared" si="160"/>
        <v>0</v>
      </c>
      <c r="MSQ56" s="850">
        <f t="shared" si="160"/>
        <v>4.5142250348870268E+63</v>
      </c>
      <c r="MSR56" s="850">
        <f t="shared" si="160"/>
        <v>0</v>
      </c>
      <c r="MSS56" s="850">
        <f t="shared" si="160"/>
        <v>4.6496517859336374E+63</v>
      </c>
      <c r="MST56" s="850">
        <f t="shared" si="160"/>
        <v>0</v>
      </c>
      <c r="MSU56" s="850">
        <f t="shared" si="160"/>
        <v>4.7891413395116469E+63</v>
      </c>
      <c r="MSV56" s="850">
        <f t="shared" si="160"/>
        <v>0</v>
      </c>
      <c r="MSW56" s="850">
        <f t="shared" si="160"/>
        <v>4.9328155796969967E+63</v>
      </c>
      <c r="MSX56" s="850">
        <f t="shared" si="160"/>
        <v>0</v>
      </c>
      <c r="MSY56" s="850">
        <f t="shared" si="160"/>
        <v>5.0808000470879064E+63</v>
      </c>
      <c r="MSZ56" s="850">
        <f t="shared" si="160"/>
        <v>0</v>
      </c>
      <c r="MTA56" s="850">
        <f t="shared" si="160"/>
        <v>5.2332240485005439E+63</v>
      </c>
      <c r="MTB56" s="850">
        <f t="shared" si="160"/>
        <v>0</v>
      </c>
      <c r="MTC56" s="850">
        <f t="shared" si="160"/>
        <v>5.3902207699555604E+63</v>
      </c>
      <c r="MTD56" s="850">
        <f t="shared" si="160"/>
        <v>0</v>
      </c>
      <c r="MTE56" s="850">
        <f t="shared" si="160"/>
        <v>5.5519273930542275E+63</v>
      </c>
      <c r="MTF56" s="850">
        <f t="shared" si="160"/>
        <v>0</v>
      </c>
      <c r="MTG56" s="850">
        <f t="shared" si="160"/>
        <v>5.7184852148458548E+63</v>
      </c>
      <c r="MTH56" s="850">
        <f t="shared" si="160"/>
        <v>0</v>
      </c>
      <c r="MTI56" s="850">
        <f t="shared" si="160"/>
        <v>5.8900397712912309E+63</v>
      </c>
      <c r="MTJ56" s="850">
        <f t="shared" si="160"/>
        <v>0</v>
      </c>
      <c r="MTK56" s="850">
        <f t="shared" si="160"/>
        <v>6.0667409644299682E+63</v>
      </c>
      <c r="MTL56" s="850">
        <f t="shared" si="160"/>
        <v>0</v>
      </c>
      <c r="MTM56" s="850">
        <f t="shared" si="160"/>
        <v>6.2487431933628677E+63</v>
      </c>
      <c r="MTN56" s="850">
        <f t="shared" si="160"/>
        <v>0</v>
      </c>
      <c r="MTO56" s="850">
        <f t="shared" si="160"/>
        <v>6.4362054891637538E+63</v>
      </c>
      <c r="MTP56" s="850">
        <f t="shared" si="160"/>
        <v>0</v>
      </c>
      <c r="MTQ56" s="850">
        <f t="shared" si="160"/>
        <v>6.6292916538386662E+63</v>
      </c>
      <c r="MTR56" s="850">
        <f t="shared" si="160"/>
        <v>0</v>
      </c>
      <c r="MTS56" s="850">
        <f t="shared" si="160"/>
        <v>6.8281704034538257E+63</v>
      </c>
      <c r="MTT56" s="850">
        <f t="shared" si="160"/>
        <v>0</v>
      </c>
      <c r="MTU56" s="850">
        <f t="shared" si="160"/>
        <v>7.0330155155574407E+63</v>
      </c>
      <c r="MTV56" s="850">
        <f t="shared" si="160"/>
        <v>0</v>
      </c>
      <c r="MTW56" s="850">
        <f t="shared" si="160"/>
        <v>7.2440059810241635E+63</v>
      </c>
      <c r="MTX56" s="850">
        <f t="shared" si="160"/>
        <v>0</v>
      </c>
      <c r="MTY56" s="850">
        <f t="shared" si="160"/>
        <v>7.4613261604548893E+63</v>
      </c>
      <c r="MTZ56" s="850">
        <f t="shared" si="160"/>
        <v>0</v>
      </c>
      <c r="MUA56" s="850">
        <f t="shared" si="160"/>
        <v>7.6851659452685363E+63</v>
      </c>
      <c r="MUB56" s="850">
        <f t="shared" si="160"/>
        <v>0</v>
      </c>
      <c r="MUC56" s="850">
        <f t="shared" si="160"/>
        <v>7.9157209236265932E+63</v>
      </c>
      <c r="MUD56" s="850">
        <f t="shared" si="160"/>
        <v>0</v>
      </c>
      <c r="MUE56" s="850">
        <f t="shared" si="160"/>
        <v>8.1531925513353909E+63</v>
      </c>
      <c r="MUF56" s="850">
        <f t="shared" si="160"/>
        <v>0</v>
      </c>
      <c r="MUG56" s="850">
        <f t="shared" si="160"/>
        <v>8.3977883278754532E+63</v>
      </c>
      <c r="MUH56" s="850">
        <f t="shared" si="160"/>
        <v>0</v>
      </c>
      <c r="MUI56" s="850">
        <f t="shared" si="160"/>
        <v>8.6497219777117168E+63</v>
      </c>
      <c r="MUJ56" s="850">
        <f t="shared" si="160"/>
        <v>0</v>
      </c>
      <c r="MUK56" s="850">
        <f t="shared" si="160"/>
        <v>8.909213637043068E+63</v>
      </c>
      <c r="MUL56" s="850">
        <f t="shared" si="160"/>
        <v>0</v>
      </c>
      <c r="MUM56" s="850">
        <f t="shared" si="160"/>
        <v>9.176490046154361E+63</v>
      </c>
      <c r="MUN56" s="850">
        <f t="shared" si="160"/>
        <v>0</v>
      </c>
      <c r="MUO56" s="850">
        <f t="shared" si="160"/>
        <v>9.451784747538992E+63</v>
      </c>
      <c r="MUP56" s="850">
        <f t="shared" si="160"/>
        <v>0</v>
      </c>
      <c r="MUQ56" s="850">
        <f t="shared" si="160"/>
        <v>9.7353382899651618E+63</v>
      </c>
      <c r="MUR56" s="850">
        <f t="shared" si="160"/>
        <v>0</v>
      </c>
      <c r="MUS56" s="850">
        <f t="shared" si="160"/>
        <v>1.0027398438664117E+64</v>
      </c>
      <c r="MUT56" s="850">
        <f t="shared" ref="MUT56:MXE56" si="161">MUR56*$C$56</f>
        <v>0</v>
      </c>
      <c r="MUU56" s="850">
        <f t="shared" si="161"/>
        <v>1.0328220391824041E+64</v>
      </c>
      <c r="MUV56" s="850">
        <f t="shared" si="161"/>
        <v>0</v>
      </c>
      <c r="MUW56" s="850">
        <f t="shared" si="161"/>
        <v>1.0638067003578762E+64</v>
      </c>
      <c r="MUX56" s="850">
        <f t="shared" si="161"/>
        <v>0</v>
      </c>
      <c r="MUY56" s="850">
        <f t="shared" si="161"/>
        <v>1.0957209013686126E+64</v>
      </c>
      <c r="MUZ56" s="850">
        <f t="shared" si="161"/>
        <v>0</v>
      </c>
      <c r="MVA56" s="850">
        <f t="shared" si="161"/>
        <v>1.1285925284096709E+64</v>
      </c>
      <c r="MVB56" s="850">
        <f t="shared" si="161"/>
        <v>0</v>
      </c>
      <c r="MVC56" s="850">
        <f t="shared" si="161"/>
        <v>1.1624503042619611E+64</v>
      </c>
      <c r="MVD56" s="850">
        <f t="shared" si="161"/>
        <v>0</v>
      </c>
      <c r="MVE56" s="850">
        <f t="shared" si="161"/>
        <v>1.1973238133898199E+64</v>
      </c>
      <c r="MVF56" s="850">
        <f t="shared" si="161"/>
        <v>0</v>
      </c>
      <c r="MVG56" s="850">
        <f t="shared" si="161"/>
        <v>1.2332435277915146E+64</v>
      </c>
      <c r="MVH56" s="850">
        <f t="shared" si="161"/>
        <v>0</v>
      </c>
      <c r="MVI56" s="850">
        <f t="shared" si="161"/>
        <v>1.2702408336252601E+64</v>
      </c>
      <c r="MVJ56" s="850">
        <f t="shared" si="161"/>
        <v>0</v>
      </c>
      <c r="MVK56" s="850">
        <f t="shared" si="161"/>
        <v>1.3083480586340179E+64</v>
      </c>
      <c r="MVL56" s="850">
        <f t="shared" si="161"/>
        <v>0</v>
      </c>
      <c r="MVM56" s="850">
        <f t="shared" si="161"/>
        <v>1.3475985003930386E+64</v>
      </c>
      <c r="MVN56" s="850">
        <f t="shared" si="161"/>
        <v>0</v>
      </c>
      <c r="MVO56" s="850">
        <f t="shared" si="161"/>
        <v>1.3880264554048297E+64</v>
      </c>
      <c r="MVP56" s="850">
        <f t="shared" si="161"/>
        <v>0</v>
      </c>
      <c r="MVQ56" s="850">
        <f t="shared" si="161"/>
        <v>1.4296672490669746E+64</v>
      </c>
      <c r="MVR56" s="850">
        <f t="shared" si="161"/>
        <v>0</v>
      </c>
      <c r="MVS56" s="850">
        <f t="shared" si="161"/>
        <v>1.4725572665389839E+64</v>
      </c>
      <c r="MVT56" s="850">
        <f t="shared" si="161"/>
        <v>0</v>
      </c>
      <c r="MVU56" s="850">
        <f t="shared" si="161"/>
        <v>1.5167339845351536E+64</v>
      </c>
      <c r="MVV56" s="850">
        <f t="shared" si="161"/>
        <v>0</v>
      </c>
      <c r="MVW56" s="850">
        <f t="shared" si="161"/>
        <v>1.5622360040712081E+64</v>
      </c>
      <c r="MVX56" s="850">
        <f t="shared" si="161"/>
        <v>0</v>
      </c>
      <c r="MVY56" s="850">
        <f t="shared" si="161"/>
        <v>1.6091030841933444E+64</v>
      </c>
      <c r="MVZ56" s="850">
        <f t="shared" si="161"/>
        <v>0</v>
      </c>
      <c r="MWA56" s="850">
        <f t="shared" si="161"/>
        <v>1.6573761767191446E+64</v>
      </c>
      <c r="MWB56" s="850">
        <f t="shared" si="161"/>
        <v>0</v>
      </c>
      <c r="MWC56" s="850">
        <f t="shared" si="161"/>
        <v>1.7070974620207189E+64</v>
      </c>
      <c r="MWD56" s="850">
        <f t="shared" si="161"/>
        <v>0</v>
      </c>
      <c r="MWE56" s="850">
        <f t="shared" si="161"/>
        <v>1.7583103858813404E+64</v>
      </c>
      <c r="MWF56" s="850">
        <f t="shared" si="161"/>
        <v>0</v>
      </c>
      <c r="MWG56" s="850">
        <f t="shared" si="161"/>
        <v>1.8110596974577807E+64</v>
      </c>
      <c r="MWH56" s="850">
        <f t="shared" si="161"/>
        <v>0</v>
      </c>
      <c r="MWI56" s="850">
        <f t="shared" si="161"/>
        <v>1.8653914883815142E+64</v>
      </c>
      <c r="MWJ56" s="850">
        <f t="shared" si="161"/>
        <v>0</v>
      </c>
      <c r="MWK56" s="850">
        <f t="shared" si="161"/>
        <v>1.9213532330329597E+64</v>
      </c>
      <c r="MWL56" s="850">
        <f t="shared" si="161"/>
        <v>0</v>
      </c>
      <c r="MWM56" s="850">
        <f t="shared" si="161"/>
        <v>1.9789938300239487E+64</v>
      </c>
      <c r="MWN56" s="850">
        <f t="shared" si="161"/>
        <v>0</v>
      </c>
      <c r="MWO56" s="850">
        <f t="shared" si="161"/>
        <v>2.0383636449246671E+64</v>
      </c>
      <c r="MWP56" s="850">
        <f t="shared" si="161"/>
        <v>0</v>
      </c>
      <c r="MWQ56" s="850">
        <f t="shared" si="161"/>
        <v>2.0995145542724073E+64</v>
      </c>
      <c r="MWR56" s="850">
        <f t="shared" si="161"/>
        <v>0</v>
      </c>
      <c r="MWS56" s="850">
        <f t="shared" si="161"/>
        <v>2.1624999909005796E+64</v>
      </c>
      <c r="MWT56" s="850">
        <f t="shared" si="161"/>
        <v>0</v>
      </c>
      <c r="MWU56" s="850">
        <f t="shared" si="161"/>
        <v>2.2273749906275971E+64</v>
      </c>
      <c r="MWV56" s="850">
        <f t="shared" si="161"/>
        <v>0</v>
      </c>
      <c r="MWW56" s="850">
        <f t="shared" si="161"/>
        <v>2.2941962403464251E+64</v>
      </c>
      <c r="MWX56" s="850">
        <f t="shared" si="161"/>
        <v>0</v>
      </c>
      <c r="MWY56" s="850">
        <f t="shared" si="161"/>
        <v>2.3630221275568178E+64</v>
      </c>
      <c r="MWZ56" s="850">
        <f t="shared" si="161"/>
        <v>0</v>
      </c>
      <c r="MXA56" s="850">
        <f t="shared" si="161"/>
        <v>2.4339127913835225E+64</v>
      </c>
      <c r="MXB56" s="850">
        <f t="shared" si="161"/>
        <v>0</v>
      </c>
      <c r="MXC56" s="850">
        <f t="shared" si="161"/>
        <v>2.5069301751250283E+64</v>
      </c>
      <c r="MXD56" s="850">
        <f t="shared" si="161"/>
        <v>0</v>
      </c>
      <c r="MXE56" s="850">
        <f t="shared" si="161"/>
        <v>2.5821380803787792E+64</v>
      </c>
      <c r="MXF56" s="850">
        <f t="shared" ref="MXF56:MZQ56" si="162">MXD56*$C$56</f>
        <v>0</v>
      </c>
      <c r="MXG56" s="850">
        <f t="shared" si="162"/>
        <v>2.6596022227901426E+64</v>
      </c>
      <c r="MXH56" s="850">
        <f t="shared" si="162"/>
        <v>0</v>
      </c>
      <c r="MXI56" s="850">
        <f t="shared" si="162"/>
        <v>2.7393902894738469E+64</v>
      </c>
      <c r="MXJ56" s="850">
        <f t="shared" si="162"/>
        <v>0</v>
      </c>
      <c r="MXK56" s="850">
        <f t="shared" si="162"/>
        <v>2.8215719981580623E+64</v>
      </c>
      <c r="MXL56" s="850">
        <f t="shared" si="162"/>
        <v>0</v>
      </c>
      <c r="MXM56" s="850">
        <f t="shared" si="162"/>
        <v>2.9062191581028043E+64</v>
      </c>
      <c r="MXN56" s="850">
        <f t="shared" si="162"/>
        <v>0</v>
      </c>
      <c r="MXO56" s="850">
        <f t="shared" si="162"/>
        <v>2.9934057328458886E+64</v>
      </c>
      <c r="MXP56" s="850">
        <f t="shared" si="162"/>
        <v>0</v>
      </c>
      <c r="MXQ56" s="850">
        <f t="shared" si="162"/>
        <v>3.0832079048312654E+64</v>
      </c>
      <c r="MXR56" s="850">
        <f t="shared" si="162"/>
        <v>0</v>
      </c>
      <c r="MXS56" s="850">
        <f t="shared" si="162"/>
        <v>3.1757041419762035E+64</v>
      </c>
      <c r="MXT56" s="850">
        <f t="shared" si="162"/>
        <v>0</v>
      </c>
      <c r="MXU56" s="850">
        <f t="shared" si="162"/>
        <v>3.2709752662354895E+64</v>
      </c>
      <c r="MXV56" s="850">
        <f t="shared" si="162"/>
        <v>0</v>
      </c>
      <c r="MXW56" s="850">
        <f t="shared" si="162"/>
        <v>3.3691045242225543E+64</v>
      </c>
      <c r="MXX56" s="850">
        <f t="shared" si="162"/>
        <v>0</v>
      </c>
      <c r="MXY56" s="850">
        <f t="shared" si="162"/>
        <v>3.470177659949231E+64</v>
      </c>
      <c r="MXZ56" s="850">
        <f t="shared" si="162"/>
        <v>0</v>
      </c>
      <c r="MYA56" s="850">
        <f t="shared" si="162"/>
        <v>3.5742829897477078E+64</v>
      </c>
      <c r="MYB56" s="850">
        <f t="shared" si="162"/>
        <v>0</v>
      </c>
      <c r="MYC56" s="850">
        <f t="shared" si="162"/>
        <v>3.6815114794401392E+64</v>
      </c>
      <c r="MYD56" s="850">
        <f t="shared" si="162"/>
        <v>0</v>
      </c>
      <c r="MYE56" s="850">
        <f t="shared" si="162"/>
        <v>3.7919568238233436E+64</v>
      </c>
      <c r="MYF56" s="850">
        <f t="shared" si="162"/>
        <v>0</v>
      </c>
      <c r="MYG56" s="850">
        <f t="shared" si="162"/>
        <v>3.905715528538044E+64</v>
      </c>
      <c r="MYH56" s="850">
        <f t="shared" si="162"/>
        <v>0</v>
      </c>
      <c r="MYI56" s="850">
        <f t="shared" si="162"/>
        <v>4.0228869943941853E+64</v>
      </c>
      <c r="MYJ56" s="850">
        <f t="shared" si="162"/>
        <v>0</v>
      </c>
      <c r="MYK56" s="850">
        <f t="shared" si="162"/>
        <v>4.1435736042260107E+64</v>
      </c>
      <c r="MYL56" s="850">
        <f t="shared" si="162"/>
        <v>0</v>
      </c>
      <c r="MYM56" s="850">
        <f t="shared" si="162"/>
        <v>4.2678808123527909E+64</v>
      </c>
      <c r="MYN56" s="850">
        <f t="shared" si="162"/>
        <v>0</v>
      </c>
      <c r="MYO56" s="850">
        <f t="shared" si="162"/>
        <v>4.3959172367233745E+64</v>
      </c>
      <c r="MYP56" s="850">
        <f t="shared" si="162"/>
        <v>0</v>
      </c>
      <c r="MYQ56" s="850">
        <f t="shared" si="162"/>
        <v>4.5277947538250761E+64</v>
      </c>
      <c r="MYR56" s="850">
        <f t="shared" si="162"/>
        <v>0</v>
      </c>
      <c r="MYS56" s="850">
        <f t="shared" si="162"/>
        <v>4.6636285964398286E+64</v>
      </c>
      <c r="MYT56" s="850">
        <f t="shared" si="162"/>
        <v>0</v>
      </c>
      <c r="MYU56" s="850">
        <f t="shared" si="162"/>
        <v>4.8035374543330238E+64</v>
      </c>
      <c r="MYV56" s="850">
        <f t="shared" si="162"/>
        <v>0</v>
      </c>
      <c r="MYW56" s="850">
        <f t="shared" si="162"/>
        <v>4.9476435779630144E+64</v>
      </c>
      <c r="MYX56" s="850">
        <f t="shared" si="162"/>
        <v>0</v>
      </c>
      <c r="MYY56" s="850">
        <f t="shared" si="162"/>
        <v>5.0960728853019051E+64</v>
      </c>
      <c r="MYZ56" s="850">
        <f t="shared" si="162"/>
        <v>0</v>
      </c>
      <c r="MZA56" s="850">
        <f t="shared" si="162"/>
        <v>5.2489550718609623E+64</v>
      </c>
      <c r="MZB56" s="850">
        <f t="shared" si="162"/>
        <v>0</v>
      </c>
      <c r="MZC56" s="850">
        <f t="shared" si="162"/>
        <v>5.4064237240167918E+64</v>
      </c>
      <c r="MZD56" s="850">
        <f t="shared" si="162"/>
        <v>0</v>
      </c>
      <c r="MZE56" s="850">
        <f t="shared" si="162"/>
        <v>5.5686164357372954E+64</v>
      </c>
      <c r="MZF56" s="850">
        <f t="shared" si="162"/>
        <v>0</v>
      </c>
      <c r="MZG56" s="850">
        <f t="shared" si="162"/>
        <v>5.7356749288094142E+64</v>
      </c>
      <c r="MZH56" s="850">
        <f t="shared" si="162"/>
        <v>0</v>
      </c>
      <c r="MZI56" s="850">
        <f t="shared" si="162"/>
        <v>5.9077451766736969E+64</v>
      </c>
      <c r="MZJ56" s="850">
        <f t="shared" si="162"/>
        <v>0</v>
      </c>
      <c r="MZK56" s="850">
        <f t="shared" si="162"/>
        <v>6.0849775319739077E+64</v>
      </c>
      <c r="MZL56" s="850">
        <f t="shared" si="162"/>
        <v>0</v>
      </c>
      <c r="MZM56" s="850">
        <f t="shared" si="162"/>
        <v>6.2675268579331248E+64</v>
      </c>
      <c r="MZN56" s="850">
        <f t="shared" si="162"/>
        <v>0</v>
      </c>
      <c r="MZO56" s="850">
        <f t="shared" si="162"/>
        <v>6.4555526636711182E+64</v>
      </c>
      <c r="MZP56" s="850">
        <f t="shared" si="162"/>
        <v>0</v>
      </c>
      <c r="MZQ56" s="850">
        <f t="shared" si="162"/>
        <v>6.6492192435812521E+64</v>
      </c>
      <c r="MZR56" s="850">
        <f t="shared" ref="MZR56:NCC56" si="163">MZP56*$C$56</f>
        <v>0</v>
      </c>
      <c r="MZS56" s="850">
        <f t="shared" si="163"/>
        <v>6.8486958208886897E+64</v>
      </c>
      <c r="MZT56" s="850">
        <f t="shared" si="163"/>
        <v>0</v>
      </c>
      <c r="MZU56" s="850">
        <f t="shared" si="163"/>
        <v>7.0541566955153504E+64</v>
      </c>
      <c r="MZV56" s="850">
        <f t="shared" si="163"/>
        <v>0</v>
      </c>
      <c r="MZW56" s="850">
        <f t="shared" si="163"/>
        <v>7.2657813963808115E+64</v>
      </c>
      <c r="MZX56" s="850">
        <f t="shared" si="163"/>
        <v>0</v>
      </c>
      <c r="MZY56" s="850">
        <f t="shared" si="163"/>
        <v>7.483754838272236E+64</v>
      </c>
      <c r="MZZ56" s="850">
        <f t="shared" si="163"/>
        <v>0</v>
      </c>
      <c r="NAA56" s="850">
        <f t="shared" si="163"/>
        <v>7.7082674834204027E+64</v>
      </c>
      <c r="NAB56" s="850">
        <f t="shared" si="163"/>
        <v>0</v>
      </c>
      <c r="NAC56" s="850">
        <f t="shared" si="163"/>
        <v>7.9395155079230155E+64</v>
      </c>
      <c r="NAD56" s="850">
        <f t="shared" si="163"/>
        <v>0</v>
      </c>
      <c r="NAE56" s="850">
        <f t="shared" si="163"/>
        <v>8.177700973160706E+64</v>
      </c>
      <c r="NAF56" s="850">
        <f t="shared" si="163"/>
        <v>0</v>
      </c>
      <c r="NAG56" s="850">
        <f t="shared" si="163"/>
        <v>8.423032002355527E+64</v>
      </c>
      <c r="NAH56" s="850">
        <f t="shared" si="163"/>
        <v>0</v>
      </c>
      <c r="NAI56" s="850">
        <f t="shared" si="163"/>
        <v>8.6757229624261936E+64</v>
      </c>
      <c r="NAJ56" s="850">
        <f t="shared" si="163"/>
        <v>0</v>
      </c>
      <c r="NAK56" s="850">
        <f t="shared" si="163"/>
        <v>8.9359946512989796E+64</v>
      </c>
      <c r="NAL56" s="850">
        <f t="shared" si="163"/>
        <v>0</v>
      </c>
      <c r="NAM56" s="850">
        <f t="shared" si="163"/>
        <v>9.2040744908379496E+64</v>
      </c>
      <c r="NAN56" s="850">
        <f t="shared" si="163"/>
        <v>0</v>
      </c>
      <c r="NAO56" s="850">
        <f t="shared" si="163"/>
        <v>9.480196725563088E+64</v>
      </c>
      <c r="NAP56" s="850">
        <f t="shared" si="163"/>
        <v>0</v>
      </c>
      <c r="NAQ56" s="850">
        <f t="shared" si="163"/>
        <v>9.7646026273299813E+64</v>
      </c>
      <c r="NAR56" s="850">
        <f t="shared" si="163"/>
        <v>0</v>
      </c>
      <c r="NAS56" s="850">
        <f t="shared" si="163"/>
        <v>1.0057540706149881E+65</v>
      </c>
      <c r="NAT56" s="850">
        <f t="shared" si="163"/>
        <v>0</v>
      </c>
      <c r="NAU56" s="850">
        <f t="shared" si="163"/>
        <v>1.0359266927334377E+65</v>
      </c>
      <c r="NAV56" s="850">
        <f t="shared" si="163"/>
        <v>0</v>
      </c>
      <c r="NAW56" s="850">
        <f t="shared" si="163"/>
        <v>1.0670044935154409E+65</v>
      </c>
      <c r="NAX56" s="850">
        <f t="shared" si="163"/>
        <v>0</v>
      </c>
      <c r="NAY56" s="850">
        <f t="shared" si="163"/>
        <v>1.0990146283209042E+65</v>
      </c>
      <c r="NAZ56" s="850">
        <f t="shared" si="163"/>
        <v>0</v>
      </c>
      <c r="NBA56" s="850">
        <f t="shared" si="163"/>
        <v>1.1319850671705314E+65</v>
      </c>
      <c r="NBB56" s="850">
        <f t="shared" si="163"/>
        <v>0</v>
      </c>
      <c r="NBC56" s="850">
        <f t="shared" si="163"/>
        <v>1.1659446191856475E+65</v>
      </c>
      <c r="NBD56" s="850">
        <f t="shared" si="163"/>
        <v>0</v>
      </c>
      <c r="NBE56" s="850">
        <f t="shared" si="163"/>
        <v>1.200922957761217E+65</v>
      </c>
      <c r="NBF56" s="850">
        <f t="shared" si="163"/>
        <v>0</v>
      </c>
      <c r="NBG56" s="850">
        <f t="shared" si="163"/>
        <v>1.2369506464940536E+65</v>
      </c>
      <c r="NBH56" s="850">
        <f t="shared" si="163"/>
        <v>0</v>
      </c>
      <c r="NBI56" s="850">
        <f t="shared" si="163"/>
        <v>1.2740591658888753E+65</v>
      </c>
      <c r="NBJ56" s="850">
        <f t="shared" si="163"/>
        <v>0</v>
      </c>
      <c r="NBK56" s="850">
        <f t="shared" si="163"/>
        <v>1.3122809408655416E+65</v>
      </c>
      <c r="NBL56" s="850">
        <f t="shared" si="163"/>
        <v>0</v>
      </c>
      <c r="NBM56" s="850">
        <f t="shared" si="163"/>
        <v>1.3516493690915078E+65</v>
      </c>
      <c r="NBN56" s="850">
        <f t="shared" si="163"/>
        <v>0</v>
      </c>
      <c r="NBO56" s="850">
        <f t="shared" si="163"/>
        <v>1.3921988501642531E+65</v>
      </c>
      <c r="NBP56" s="850">
        <f t="shared" si="163"/>
        <v>0</v>
      </c>
      <c r="NBQ56" s="850">
        <f t="shared" si="163"/>
        <v>1.4339648156691808E+65</v>
      </c>
      <c r="NBR56" s="850">
        <f t="shared" si="163"/>
        <v>0</v>
      </c>
      <c r="NBS56" s="850">
        <f t="shared" si="163"/>
        <v>1.4769837601392564E+65</v>
      </c>
      <c r="NBT56" s="850">
        <f t="shared" si="163"/>
        <v>0</v>
      </c>
      <c r="NBU56" s="850">
        <f t="shared" si="163"/>
        <v>1.5212932729434341E+65</v>
      </c>
      <c r="NBV56" s="850">
        <f t="shared" si="163"/>
        <v>0</v>
      </c>
      <c r="NBW56" s="850">
        <f t="shared" si="163"/>
        <v>1.5669320711317372E+65</v>
      </c>
      <c r="NBX56" s="850">
        <f t="shared" si="163"/>
        <v>0</v>
      </c>
      <c r="NBY56" s="850">
        <f t="shared" si="163"/>
        <v>1.6139400332656893E+65</v>
      </c>
      <c r="NBZ56" s="850">
        <f t="shared" si="163"/>
        <v>0</v>
      </c>
      <c r="NCA56" s="850">
        <f t="shared" si="163"/>
        <v>1.6623582342636601E+65</v>
      </c>
      <c r="NCB56" s="850">
        <f t="shared" si="163"/>
        <v>0</v>
      </c>
      <c r="NCC56" s="850">
        <f t="shared" si="163"/>
        <v>1.7122289812915698E+65</v>
      </c>
      <c r="NCD56" s="850">
        <f t="shared" ref="NCD56:NEO56" si="164">NCB56*$C$56</f>
        <v>0</v>
      </c>
      <c r="NCE56" s="850">
        <f t="shared" si="164"/>
        <v>1.7635958507303171E+65</v>
      </c>
      <c r="NCF56" s="850">
        <f t="shared" si="164"/>
        <v>0</v>
      </c>
      <c r="NCG56" s="850">
        <f t="shared" si="164"/>
        <v>1.8165037262522266E+65</v>
      </c>
      <c r="NCH56" s="850">
        <f t="shared" si="164"/>
        <v>0</v>
      </c>
      <c r="NCI56" s="850">
        <f t="shared" si="164"/>
        <v>1.8709988380397936E+65</v>
      </c>
      <c r="NCJ56" s="850">
        <f t="shared" si="164"/>
        <v>0</v>
      </c>
      <c r="NCK56" s="850">
        <f t="shared" si="164"/>
        <v>1.9271288031809874E+65</v>
      </c>
      <c r="NCL56" s="850">
        <f t="shared" si="164"/>
        <v>0</v>
      </c>
      <c r="NCM56" s="850">
        <f t="shared" si="164"/>
        <v>1.9849426672764171E+65</v>
      </c>
      <c r="NCN56" s="850">
        <f t="shared" si="164"/>
        <v>0</v>
      </c>
      <c r="NCO56" s="850">
        <f t="shared" si="164"/>
        <v>2.0444909472947097E+65</v>
      </c>
      <c r="NCP56" s="850">
        <f t="shared" si="164"/>
        <v>0</v>
      </c>
      <c r="NCQ56" s="850">
        <f t="shared" si="164"/>
        <v>2.105825675713551E+65</v>
      </c>
      <c r="NCR56" s="850">
        <f t="shared" si="164"/>
        <v>0</v>
      </c>
      <c r="NCS56" s="850">
        <f t="shared" si="164"/>
        <v>2.1690004459849578E+65</v>
      </c>
      <c r="NCT56" s="850">
        <f t="shared" si="164"/>
        <v>0</v>
      </c>
      <c r="NCU56" s="850">
        <f t="shared" si="164"/>
        <v>2.2340704593645066E+65</v>
      </c>
      <c r="NCV56" s="850">
        <f t="shared" si="164"/>
        <v>0</v>
      </c>
      <c r="NCW56" s="850">
        <f t="shared" si="164"/>
        <v>2.3010925731454418E+65</v>
      </c>
      <c r="NCX56" s="850">
        <f t="shared" si="164"/>
        <v>0</v>
      </c>
      <c r="NCY56" s="850">
        <f t="shared" si="164"/>
        <v>2.370125350339805E+65</v>
      </c>
      <c r="NCZ56" s="850">
        <f t="shared" si="164"/>
        <v>0</v>
      </c>
      <c r="NDA56" s="850">
        <f t="shared" si="164"/>
        <v>2.441229110849999E+65</v>
      </c>
      <c r="NDB56" s="850">
        <f t="shared" si="164"/>
        <v>0</v>
      </c>
      <c r="NDC56" s="850">
        <f t="shared" si="164"/>
        <v>2.514465984175499E+65</v>
      </c>
      <c r="NDD56" s="850">
        <f t="shared" si="164"/>
        <v>0</v>
      </c>
      <c r="NDE56" s="850">
        <f t="shared" si="164"/>
        <v>2.5898999637007643E+65</v>
      </c>
      <c r="NDF56" s="850">
        <f t="shared" si="164"/>
        <v>0</v>
      </c>
      <c r="NDG56" s="850">
        <f t="shared" si="164"/>
        <v>2.6675969626117872E+65</v>
      </c>
      <c r="NDH56" s="850">
        <f t="shared" si="164"/>
        <v>0</v>
      </c>
      <c r="NDI56" s="850">
        <f t="shared" si="164"/>
        <v>2.7476248714901408E+65</v>
      </c>
      <c r="NDJ56" s="850">
        <f t="shared" si="164"/>
        <v>0</v>
      </c>
      <c r="NDK56" s="850">
        <f t="shared" si="164"/>
        <v>2.8300536176348451E+65</v>
      </c>
      <c r="NDL56" s="850">
        <f t="shared" si="164"/>
        <v>0</v>
      </c>
      <c r="NDM56" s="850">
        <f t="shared" si="164"/>
        <v>2.9149552261638904E+65</v>
      </c>
      <c r="NDN56" s="850">
        <f t="shared" si="164"/>
        <v>0</v>
      </c>
      <c r="NDO56" s="850">
        <f t="shared" si="164"/>
        <v>3.0024038829488072E+65</v>
      </c>
      <c r="NDP56" s="850">
        <f t="shared" si="164"/>
        <v>0</v>
      </c>
      <c r="NDQ56" s="850">
        <f t="shared" si="164"/>
        <v>3.0924759994372717E+65</v>
      </c>
      <c r="NDR56" s="850">
        <f t="shared" si="164"/>
        <v>0</v>
      </c>
      <c r="NDS56" s="850">
        <f t="shared" si="164"/>
        <v>3.18525027942039E+65</v>
      </c>
      <c r="NDT56" s="850">
        <f t="shared" si="164"/>
        <v>0</v>
      </c>
      <c r="NDU56" s="850">
        <f t="shared" si="164"/>
        <v>3.2808077878030017E+65</v>
      </c>
      <c r="NDV56" s="850">
        <f t="shared" si="164"/>
        <v>0</v>
      </c>
      <c r="NDW56" s="850">
        <f t="shared" si="164"/>
        <v>3.3792320214370916E+65</v>
      </c>
      <c r="NDX56" s="850">
        <f t="shared" si="164"/>
        <v>0</v>
      </c>
      <c r="NDY56" s="850">
        <f t="shared" si="164"/>
        <v>3.4806089820802045E+65</v>
      </c>
      <c r="NDZ56" s="850">
        <f t="shared" si="164"/>
        <v>0</v>
      </c>
      <c r="NEA56" s="850">
        <f t="shared" si="164"/>
        <v>3.5850272515426109E+65</v>
      </c>
      <c r="NEB56" s="850">
        <f t="shared" si="164"/>
        <v>0</v>
      </c>
      <c r="NEC56" s="850">
        <f t="shared" si="164"/>
        <v>3.6925780690888894E+65</v>
      </c>
      <c r="NED56" s="850">
        <f t="shared" si="164"/>
        <v>0</v>
      </c>
      <c r="NEE56" s="850">
        <f t="shared" si="164"/>
        <v>3.8033554111615561E+65</v>
      </c>
      <c r="NEF56" s="850">
        <f t="shared" si="164"/>
        <v>0</v>
      </c>
      <c r="NEG56" s="850">
        <f t="shared" si="164"/>
        <v>3.9174560734964027E+65</v>
      </c>
      <c r="NEH56" s="850">
        <f t="shared" si="164"/>
        <v>0</v>
      </c>
      <c r="NEI56" s="850">
        <f t="shared" si="164"/>
        <v>4.0349797557012949E+65</v>
      </c>
      <c r="NEJ56" s="850">
        <f t="shared" si="164"/>
        <v>0</v>
      </c>
      <c r="NEK56" s="850">
        <f t="shared" si="164"/>
        <v>4.1560291483723341E+65</v>
      </c>
      <c r="NEL56" s="850">
        <f t="shared" si="164"/>
        <v>0</v>
      </c>
      <c r="NEM56" s="850">
        <f t="shared" si="164"/>
        <v>4.2807100228235044E+65</v>
      </c>
      <c r="NEN56" s="850">
        <f t="shared" si="164"/>
        <v>0</v>
      </c>
      <c r="NEO56" s="850">
        <f t="shared" si="164"/>
        <v>4.4091313235082101E+65</v>
      </c>
      <c r="NEP56" s="850">
        <f t="shared" ref="NEP56:NHA56" si="165">NEN56*$C$56</f>
        <v>0</v>
      </c>
      <c r="NEQ56" s="850">
        <f t="shared" si="165"/>
        <v>4.5414052632134563E+65</v>
      </c>
      <c r="NER56" s="850">
        <f t="shared" si="165"/>
        <v>0</v>
      </c>
      <c r="NES56" s="850">
        <f t="shared" si="165"/>
        <v>4.6776474211098603E+65</v>
      </c>
      <c r="NET56" s="850">
        <f t="shared" si="165"/>
        <v>0</v>
      </c>
      <c r="NEU56" s="850">
        <f t="shared" si="165"/>
        <v>4.8179768437431567E+65</v>
      </c>
      <c r="NEV56" s="850">
        <f t="shared" si="165"/>
        <v>0</v>
      </c>
      <c r="NEW56" s="850">
        <f t="shared" si="165"/>
        <v>4.9625161490554513E+65</v>
      </c>
      <c r="NEX56" s="850">
        <f t="shared" si="165"/>
        <v>0</v>
      </c>
      <c r="NEY56" s="850">
        <f t="shared" si="165"/>
        <v>5.1113916335271154E+65</v>
      </c>
      <c r="NEZ56" s="850">
        <f t="shared" si="165"/>
        <v>0</v>
      </c>
      <c r="NFA56" s="850">
        <f t="shared" si="165"/>
        <v>5.2647333825329286E+65</v>
      </c>
      <c r="NFB56" s="850">
        <f t="shared" si="165"/>
        <v>0</v>
      </c>
      <c r="NFC56" s="850">
        <f t="shared" si="165"/>
        <v>5.4226753840089165E+65</v>
      </c>
      <c r="NFD56" s="850">
        <f t="shared" si="165"/>
        <v>0</v>
      </c>
      <c r="NFE56" s="850">
        <f t="shared" si="165"/>
        <v>5.5853556455291839E+65</v>
      </c>
      <c r="NFF56" s="850">
        <f t="shared" si="165"/>
        <v>0</v>
      </c>
      <c r="NFG56" s="850">
        <f t="shared" si="165"/>
        <v>5.75291631489506E+65</v>
      </c>
      <c r="NFH56" s="850">
        <f t="shared" si="165"/>
        <v>0</v>
      </c>
      <c r="NFI56" s="850">
        <f t="shared" si="165"/>
        <v>5.9255038043419119E+65</v>
      </c>
      <c r="NFJ56" s="850">
        <f t="shared" si="165"/>
        <v>0</v>
      </c>
      <c r="NFK56" s="850">
        <f t="shared" si="165"/>
        <v>6.1032689184721698E+65</v>
      </c>
      <c r="NFL56" s="850">
        <f t="shared" si="165"/>
        <v>0</v>
      </c>
      <c r="NFM56" s="850">
        <f t="shared" si="165"/>
        <v>6.2863669860263352E+65</v>
      </c>
      <c r="NFN56" s="850">
        <f t="shared" si="165"/>
        <v>0</v>
      </c>
      <c r="NFO56" s="850">
        <f t="shared" si="165"/>
        <v>6.4749579956071253E+65</v>
      </c>
      <c r="NFP56" s="850">
        <f t="shared" si="165"/>
        <v>0</v>
      </c>
      <c r="NFQ56" s="850">
        <f t="shared" si="165"/>
        <v>6.6692067354753388E+65</v>
      </c>
      <c r="NFR56" s="850">
        <f t="shared" si="165"/>
        <v>0</v>
      </c>
      <c r="NFS56" s="850">
        <f t="shared" si="165"/>
        <v>6.869282937539599E+65</v>
      </c>
      <c r="NFT56" s="850">
        <f t="shared" si="165"/>
        <v>0</v>
      </c>
      <c r="NFU56" s="850">
        <f t="shared" si="165"/>
        <v>7.0753614256657875E+65</v>
      </c>
      <c r="NFV56" s="850">
        <f t="shared" si="165"/>
        <v>0</v>
      </c>
      <c r="NFW56" s="850">
        <f t="shared" si="165"/>
        <v>7.2876222684357616E+65</v>
      </c>
      <c r="NFX56" s="850">
        <f t="shared" si="165"/>
        <v>0</v>
      </c>
      <c r="NFY56" s="850">
        <f t="shared" si="165"/>
        <v>7.5062509364888348E+65</v>
      </c>
      <c r="NFZ56" s="850">
        <f t="shared" si="165"/>
        <v>0</v>
      </c>
      <c r="NGA56" s="850">
        <f t="shared" si="165"/>
        <v>7.7314384645834996E+65</v>
      </c>
      <c r="NGB56" s="850">
        <f t="shared" si="165"/>
        <v>0</v>
      </c>
      <c r="NGC56" s="850">
        <f t="shared" si="165"/>
        <v>7.9633816185210046E+65</v>
      </c>
      <c r="NGD56" s="850">
        <f t="shared" si="165"/>
        <v>0</v>
      </c>
      <c r="NGE56" s="850">
        <f t="shared" si="165"/>
        <v>8.2022830670766349E+65</v>
      </c>
      <c r="NGF56" s="850">
        <f t="shared" si="165"/>
        <v>0</v>
      </c>
      <c r="NGG56" s="850">
        <f t="shared" si="165"/>
        <v>8.4483515590889345E+65</v>
      </c>
      <c r="NGH56" s="850">
        <f t="shared" si="165"/>
        <v>0</v>
      </c>
      <c r="NGI56" s="850">
        <f t="shared" si="165"/>
        <v>8.701802105861603E+65</v>
      </c>
      <c r="NGJ56" s="850">
        <f t="shared" si="165"/>
        <v>0</v>
      </c>
      <c r="NGK56" s="850">
        <f t="shared" si="165"/>
        <v>8.962856169037451E+65</v>
      </c>
      <c r="NGL56" s="850">
        <f t="shared" si="165"/>
        <v>0</v>
      </c>
      <c r="NGM56" s="850">
        <f t="shared" si="165"/>
        <v>9.2317418541085753E+65</v>
      </c>
      <c r="NGN56" s="850">
        <f t="shared" si="165"/>
        <v>0</v>
      </c>
      <c r="NGO56" s="850">
        <f t="shared" si="165"/>
        <v>9.5086941097318326E+65</v>
      </c>
      <c r="NGP56" s="850">
        <f t="shared" si="165"/>
        <v>0</v>
      </c>
      <c r="NGQ56" s="850">
        <f t="shared" si="165"/>
        <v>9.7939549330237883E+65</v>
      </c>
      <c r="NGR56" s="850">
        <f t="shared" si="165"/>
        <v>0</v>
      </c>
      <c r="NGS56" s="850">
        <f t="shared" si="165"/>
        <v>1.0087773581014502E+66</v>
      </c>
      <c r="NGT56" s="850">
        <f t="shared" si="165"/>
        <v>0</v>
      </c>
      <c r="NGU56" s="850">
        <f t="shared" si="165"/>
        <v>1.0390406788444938E+66</v>
      </c>
      <c r="NGV56" s="850">
        <f t="shared" si="165"/>
        <v>0</v>
      </c>
      <c r="NGW56" s="850">
        <f t="shared" si="165"/>
        <v>1.0702118992098285E+66</v>
      </c>
      <c r="NGX56" s="850">
        <f t="shared" si="165"/>
        <v>0</v>
      </c>
      <c r="NGY56" s="850">
        <f t="shared" si="165"/>
        <v>1.1023182561861235E+66</v>
      </c>
      <c r="NGZ56" s="850">
        <f t="shared" si="165"/>
        <v>0</v>
      </c>
      <c r="NHA56" s="850">
        <f t="shared" si="165"/>
        <v>1.1353878038717071E+66</v>
      </c>
      <c r="NHB56" s="850">
        <f t="shared" ref="NHB56:NJM56" si="166">NGZ56*$C$56</f>
        <v>0</v>
      </c>
      <c r="NHC56" s="850">
        <f t="shared" si="166"/>
        <v>1.1694494379878584E+66</v>
      </c>
      <c r="NHD56" s="850">
        <f t="shared" si="166"/>
        <v>0</v>
      </c>
      <c r="NHE56" s="850">
        <f t="shared" si="166"/>
        <v>1.2045329211274942E+66</v>
      </c>
      <c r="NHF56" s="850">
        <f t="shared" si="166"/>
        <v>0</v>
      </c>
      <c r="NHG56" s="850">
        <f t="shared" si="166"/>
        <v>1.240668908761319E+66</v>
      </c>
      <c r="NHH56" s="850">
        <f t="shared" si="166"/>
        <v>0</v>
      </c>
      <c r="NHI56" s="850">
        <f t="shared" si="166"/>
        <v>1.2778889760241586E+66</v>
      </c>
      <c r="NHJ56" s="850">
        <f t="shared" si="166"/>
        <v>0</v>
      </c>
      <c r="NHK56" s="850">
        <f t="shared" si="166"/>
        <v>1.3162256453048835E+66</v>
      </c>
      <c r="NHL56" s="850">
        <f t="shared" si="166"/>
        <v>0</v>
      </c>
      <c r="NHM56" s="850">
        <f t="shared" si="166"/>
        <v>1.3557124146640299E+66</v>
      </c>
      <c r="NHN56" s="850">
        <f t="shared" si="166"/>
        <v>0</v>
      </c>
      <c r="NHO56" s="850">
        <f t="shared" si="166"/>
        <v>1.3963837871039509E+66</v>
      </c>
      <c r="NHP56" s="850">
        <f t="shared" si="166"/>
        <v>0</v>
      </c>
      <c r="NHQ56" s="850">
        <f t="shared" si="166"/>
        <v>1.4382753007170694E+66</v>
      </c>
      <c r="NHR56" s="850">
        <f t="shared" si="166"/>
        <v>0</v>
      </c>
      <c r="NHS56" s="850">
        <f t="shared" si="166"/>
        <v>1.4814235597385816E+66</v>
      </c>
      <c r="NHT56" s="850">
        <f t="shared" si="166"/>
        <v>0</v>
      </c>
      <c r="NHU56" s="850">
        <f t="shared" si="166"/>
        <v>1.5258662665307392E+66</v>
      </c>
      <c r="NHV56" s="850">
        <f t="shared" si="166"/>
        <v>0</v>
      </c>
      <c r="NHW56" s="850">
        <f t="shared" si="166"/>
        <v>1.5716422545266614E+66</v>
      </c>
      <c r="NHX56" s="850">
        <f t="shared" si="166"/>
        <v>0</v>
      </c>
      <c r="NHY56" s="850">
        <f t="shared" si="166"/>
        <v>1.6187915221624613E+66</v>
      </c>
      <c r="NHZ56" s="850">
        <f t="shared" si="166"/>
        <v>0</v>
      </c>
      <c r="NIA56" s="850">
        <f t="shared" si="166"/>
        <v>1.6673552678273353E+66</v>
      </c>
      <c r="NIB56" s="850">
        <f t="shared" si="166"/>
        <v>0</v>
      </c>
      <c r="NIC56" s="850">
        <f t="shared" si="166"/>
        <v>1.7173759258621555E+66</v>
      </c>
      <c r="NID56" s="850">
        <f t="shared" si="166"/>
        <v>0</v>
      </c>
      <c r="NIE56" s="850">
        <f t="shared" si="166"/>
        <v>1.7688972036380203E+66</v>
      </c>
      <c r="NIF56" s="850">
        <f t="shared" si="166"/>
        <v>0</v>
      </c>
      <c r="NIG56" s="850">
        <f t="shared" si="166"/>
        <v>1.8219641197471609E+66</v>
      </c>
      <c r="NIH56" s="850">
        <f t="shared" si="166"/>
        <v>0</v>
      </c>
      <c r="NII56" s="850">
        <f t="shared" si="166"/>
        <v>1.8766230433395757E+66</v>
      </c>
      <c r="NIJ56" s="850">
        <f t="shared" si="166"/>
        <v>0</v>
      </c>
      <c r="NIK56" s="850">
        <f t="shared" si="166"/>
        <v>1.932921734639763E+66</v>
      </c>
      <c r="NIL56" s="850">
        <f t="shared" si="166"/>
        <v>0</v>
      </c>
      <c r="NIM56" s="850">
        <f t="shared" si="166"/>
        <v>1.990909386678956E+66</v>
      </c>
      <c r="NIN56" s="850">
        <f t="shared" si="166"/>
        <v>0</v>
      </c>
      <c r="NIO56" s="850">
        <f t="shared" si="166"/>
        <v>2.0506366682793246E+66</v>
      </c>
      <c r="NIP56" s="850">
        <f t="shared" si="166"/>
        <v>0</v>
      </c>
      <c r="NIQ56" s="850">
        <f t="shared" si="166"/>
        <v>2.1121557683277045E+66</v>
      </c>
      <c r="NIR56" s="850">
        <f t="shared" si="166"/>
        <v>0</v>
      </c>
      <c r="NIS56" s="850">
        <f t="shared" si="166"/>
        <v>2.1755204413775358E+66</v>
      </c>
      <c r="NIT56" s="850">
        <f t="shared" si="166"/>
        <v>0</v>
      </c>
      <c r="NIU56" s="850">
        <f t="shared" si="166"/>
        <v>2.2407860546188618E+66</v>
      </c>
      <c r="NIV56" s="850">
        <f t="shared" si="166"/>
        <v>0</v>
      </c>
      <c r="NIW56" s="850">
        <f t="shared" si="166"/>
        <v>2.3080096362574278E+66</v>
      </c>
      <c r="NIX56" s="850">
        <f t="shared" si="166"/>
        <v>0</v>
      </c>
      <c r="NIY56" s="850">
        <f t="shared" si="166"/>
        <v>2.3772499253451509E+66</v>
      </c>
      <c r="NIZ56" s="850">
        <f t="shared" si="166"/>
        <v>0</v>
      </c>
      <c r="NJA56" s="850">
        <f t="shared" si="166"/>
        <v>2.4485674231055055E+66</v>
      </c>
      <c r="NJB56" s="850">
        <f t="shared" si="166"/>
        <v>0</v>
      </c>
      <c r="NJC56" s="850">
        <f t="shared" si="166"/>
        <v>2.5220244457986709E+66</v>
      </c>
      <c r="NJD56" s="850">
        <f t="shared" si="166"/>
        <v>0</v>
      </c>
      <c r="NJE56" s="850">
        <f t="shared" si="166"/>
        <v>2.5976851791726312E+66</v>
      </c>
      <c r="NJF56" s="850">
        <f t="shared" si="166"/>
        <v>0</v>
      </c>
      <c r="NJG56" s="850">
        <f t="shared" si="166"/>
        <v>2.6756157345478102E+66</v>
      </c>
      <c r="NJH56" s="850">
        <f t="shared" si="166"/>
        <v>0</v>
      </c>
      <c r="NJI56" s="850">
        <f t="shared" si="166"/>
        <v>2.7558842065842445E+66</v>
      </c>
      <c r="NJJ56" s="850">
        <f t="shared" si="166"/>
        <v>0</v>
      </c>
      <c r="NJK56" s="850">
        <f t="shared" si="166"/>
        <v>2.8385607327817719E+66</v>
      </c>
      <c r="NJL56" s="850">
        <f t="shared" si="166"/>
        <v>0</v>
      </c>
      <c r="NJM56" s="850">
        <f t="shared" si="166"/>
        <v>2.9237175547652251E+66</v>
      </c>
      <c r="NJN56" s="850">
        <f t="shared" ref="NJN56:NLY56" si="167">NJL56*$C$56</f>
        <v>0</v>
      </c>
      <c r="NJO56" s="850">
        <f t="shared" si="167"/>
        <v>3.0114290814081818E+66</v>
      </c>
      <c r="NJP56" s="850">
        <f t="shared" si="167"/>
        <v>0</v>
      </c>
      <c r="NJQ56" s="850">
        <f t="shared" si="167"/>
        <v>3.1017719538504275E+66</v>
      </c>
      <c r="NJR56" s="850">
        <f t="shared" si="167"/>
        <v>0</v>
      </c>
      <c r="NJS56" s="850">
        <f t="shared" si="167"/>
        <v>3.1948251124659402E+66</v>
      </c>
      <c r="NJT56" s="850">
        <f t="shared" si="167"/>
        <v>0</v>
      </c>
      <c r="NJU56" s="850">
        <f t="shared" si="167"/>
        <v>3.2906698658399185E+66</v>
      </c>
      <c r="NJV56" s="850">
        <f t="shared" si="167"/>
        <v>0</v>
      </c>
      <c r="NJW56" s="850">
        <f t="shared" si="167"/>
        <v>3.3893899618151158E+66</v>
      </c>
      <c r="NJX56" s="850">
        <f t="shared" si="167"/>
        <v>0</v>
      </c>
      <c r="NJY56" s="850">
        <f t="shared" si="167"/>
        <v>3.4910716606695695E+66</v>
      </c>
      <c r="NJZ56" s="850">
        <f t="shared" si="167"/>
        <v>0</v>
      </c>
      <c r="NKA56" s="850">
        <f t="shared" si="167"/>
        <v>3.5958038104896568E+66</v>
      </c>
      <c r="NKB56" s="850">
        <f t="shared" si="167"/>
        <v>0</v>
      </c>
      <c r="NKC56" s="850">
        <f t="shared" si="167"/>
        <v>3.7036779248043465E+66</v>
      </c>
      <c r="NKD56" s="850">
        <f t="shared" si="167"/>
        <v>0</v>
      </c>
      <c r="NKE56" s="850">
        <f t="shared" si="167"/>
        <v>3.8147882625484767E+66</v>
      </c>
      <c r="NKF56" s="850">
        <f t="shared" si="167"/>
        <v>0</v>
      </c>
      <c r="NKG56" s="850">
        <f t="shared" si="167"/>
        <v>3.9292319104249307E+66</v>
      </c>
      <c r="NKH56" s="850">
        <f t="shared" si="167"/>
        <v>0</v>
      </c>
      <c r="NKI56" s="850">
        <f t="shared" si="167"/>
        <v>4.0471088677376791E+66</v>
      </c>
      <c r="NKJ56" s="850">
        <f t="shared" si="167"/>
        <v>0</v>
      </c>
      <c r="NKK56" s="850">
        <f t="shared" si="167"/>
        <v>4.1685221337698096E+66</v>
      </c>
      <c r="NKL56" s="850">
        <f t="shared" si="167"/>
        <v>0</v>
      </c>
      <c r="NKM56" s="850">
        <f t="shared" si="167"/>
        <v>4.2935777977829043E+66</v>
      </c>
      <c r="NKN56" s="850">
        <f t="shared" si="167"/>
        <v>0</v>
      </c>
      <c r="NKO56" s="850">
        <f t="shared" si="167"/>
        <v>4.4223851317163917E+66</v>
      </c>
      <c r="NKP56" s="850">
        <f t="shared" si="167"/>
        <v>0</v>
      </c>
      <c r="NKQ56" s="850">
        <f t="shared" si="167"/>
        <v>4.5550566856678834E+66</v>
      </c>
      <c r="NKR56" s="850">
        <f t="shared" si="167"/>
        <v>0</v>
      </c>
      <c r="NKS56" s="850">
        <f t="shared" si="167"/>
        <v>4.6917083862379203E+66</v>
      </c>
      <c r="NKT56" s="850">
        <f t="shared" si="167"/>
        <v>0</v>
      </c>
      <c r="NKU56" s="850">
        <f t="shared" si="167"/>
        <v>4.832459637825058E+66</v>
      </c>
      <c r="NKV56" s="850">
        <f t="shared" si="167"/>
        <v>0</v>
      </c>
      <c r="NKW56" s="850">
        <f t="shared" si="167"/>
        <v>4.9774334269598098E+66</v>
      </c>
      <c r="NKX56" s="850">
        <f t="shared" si="167"/>
        <v>0</v>
      </c>
      <c r="NKY56" s="850">
        <f t="shared" si="167"/>
        <v>5.1267564297686044E+66</v>
      </c>
      <c r="NKZ56" s="850">
        <f t="shared" si="167"/>
        <v>0</v>
      </c>
      <c r="NLA56" s="850">
        <f t="shared" si="167"/>
        <v>5.2805591226616627E+66</v>
      </c>
      <c r="NLB56" s="850">
        <f t="shared" si="167"/>
        <v>0</v>
      </c>
      <c r="NLC56" s="850">
        <f t="shared" si="167"/>
        <v>5.438975896341513E+66</v>
      </c>
      <c r="NLD56" s="850">
        <f t="shared" si="167"/>
        <v>0</v>
      </c>
      <c r="NLE56" s="850">
        <f t="shared" si="167"/>
        <v>5.6021451732317584E+66</v>
      </c>
      <c r="NLF56" s="850">
        <f t="shared" si="167"/>
        <v>0</v>
      </c>
      <c r="NLG56" s="850">
        <f t="shared" si="167"/>
        <v>5.7702095284287115E+66</v>
      </c>
      <c r="NLH56" s="850">
        <f t="shared" si="167"/>
        <v>0</v>
      </c>
      <c r="NLI56" s="850">
        <f t="shared" si="167"/>
        <v>5.9433158142815729E+66</v>
      </c>
      <c r="NLJ56" s="850">
        <f t="shared" si="167"/>
        <v>0</v>
      </c>
      <c r="NLK56" s="850">
        <f t="shared" si="167"/>
        <v>6.1216152887100203E+66</v>
      </c>
      <c r="NLL56" s="850">
        <f t="shared" si="167"/>
        <v>0</v>
      </c>
      <c r="NLM56" s="850">
        <f t="shared" si="167"/>
        <v>6.305263747371321E+66</v>
      </c>
      <c r="NLN56" s="850">
        <f t="shared" si="167"/>
        <v>0</v>
      </c>
      <c r="NLO56" s="850">
        <f t="shared" si="167"/>
        <v>6.4944216597924606E+66</v>
      </c>
      <c r="NLP56" s="850">
        <f t="shared" si="167"/>
        <v>0</v>
      </c>
      <c r="NLQ56" s="850">
        <f t="shared" si="167"/>
        <v>6.6892543095862344E+66</v>
      </c>
      <c r="NLR56" s="850">
        <f t="shared" si="167"/>
        <v>0</v>
      </c>
      <c r="NLS56" s="850">
        <f t="shared" si="167"/>
        <v>6.8899319388738211E+66</v>
      </c>
      <c r="NLT56" s="850">
        <f t="shared" si="167"/>
        <v>0</v>
      </c>
      <c r="NLU56" s="850">
        <f t="shared" si="167"/>
        <v>7.096629897040036E+66</v>
      </c>
      <c r="NLV56" s="850">
        <f t="shared" si="167"/>
        <v>0</v>
      </c>
      <c r="NLW56" s="850">
        <f t="shared" si="167"/>
        <v>7.3095287939512376E+66</v>
      </c>
      <c r="NLX56" s="850">
        <f t="shared" si="167"/>
        <v>0</v>
      </c>
      <c r="NLY56" s="850">
        <f t="shared" si="167"/>
        <v>7.5288146577697743E+66</v>
      </c>
      <c r="NLZ56" s="850">
        <f t="shared" ref="NLZ56:NOK56" si="168">NLX56*$C$56</f>
        <v>0</v>
      </c>
      <c r="NMA56" s="850">
        <f t="shared" si="168"/>
        <v>7.7546790975028671E+66</v>
      </c>
      <c r="NMB56" s="850">
        <f t="shared" si="168"/>
        <v>0</v>
      </c>
      <c r="NMC56" s="850">
        <f t="shared" si="168"/>
        <v>7.987319470427954E+66</v>
      </c>
      <c r="NMD56" s="850">
        <f t="shared" si="168"/>
        <v>0</v>
      </c>
      <c r="NME56" s="850">
        <f t="shared" si="168"/>
        <v>8.2269390545407927E+66</v>
      </c>
      <c r="NMF56" s="850">
        <f t="shared" si="168"/>
        <v>0</v>
      </c>
      <c r="NMG56" s="850">
        <f t="shared" si="168"/>
        <v>8.4737472261770163E+66</v>
      </c>
      <c r="NMH56" s="850">
        <f t="shared" si="168"/>
        <v>0</v>
      </c>
      <c r="NMI56" s="850">
        <f t="shared" si="168"/>
        <v>8.7279596429623272E+66</v>
      </c>
      <c r="NMJ56" s="850">
        <f t="shared" si="168"/>
        <v>0</v>
      </c>
      <c r="NMK56" s="850">
        <f t="shared" si="168"/>
        <v>8.9897984322511979E+66</v>
      </c>
      <c r="NML56" s="850">
        <f t="shared" si="168"/>
        <v>0</v>
      </c>
      <c r="NMM56" s="850">
        <f t="shared" si="168"/>
        <v>9.2594923852187345E+66</v>
      </c>
      <c r="NMN56" s="850">
        <f t="shared" si="168"/>
        <v>0</v>
      </c>
      <c r="NMO56" s="850">
        <f t="shared" si="168"/>
        <v>9.537277156775296E+66</v>
      </c>
      <c r="NMP56" s="850">
        <f t="shared" si="168"/>
        <v>0</v>
      </c>
      <c r="NMQ56" s="850">
        <f t="shared" si="168"/>
        <v>9.8233954714785551E+66</v>
      </c>
      <c r="NMR56" s="850">
        <f t="shared" si="168"/>
        <v>0</v>
      </c>
      <c r="NMS56" s="850">
        <f t="shared" si="168"/>
        <v>1.0118097335622911E+67</v>
      </c>
      <c r="NMT56" s="850">
        <f t="shared" si="168"/>
        <v>0</v>
      </c>
      <c r="NMU56" s="850">
        <f t="shared" si="168"/>
        <v>1.0421640255691599E+67</v>
      </c>
      <c r="NMV56" s="850">
        <f t="shared" si="168"/>
        <v>0</v>
      </c>
      <c r="NMW56" s="850">
        <f t="shared" si="168"/>
        <v>1.0734289463362348E+67</v>
      </c>
      <c r="NMX56" s="850">
        <f t="shared" si="168"/>
        <v>0</v>
      </c>
      <c r="NMY56" s="850">
        <f t="shared" si="168"/>
        <v>1.1056318147263219E+67</v>
      </c>
      <c r="NMZ56" s="850">
        <f t="shared" si="168"/>
        <v>0</v>
      </c>
      <c r="NNA56" s="850">
        <f t="shared" si="168"/>
        <v>1.1388007691681116E+67</v>
      </c>
      <c r="NNB56" s="850">
        <f t="shared" si="168"/>
        <v>0</v>
      </c>
      <c r="NNC56" s="850">
        <f t="shared" si="168"/>
        <v>1.1729647922431549E+67</v>
      </c>
      <c r="NND56" s="850">
        <f t="shared" si="168"/>
        <v>0</v>
      </c>
      <c r="NNE56" s="850">
        <f t="shared" si="168"/>
        <v>1.2081537360104496E+67</v>
      </c>
      <c r="NNF56" s="850">
        <f t="shared" si="168"/>
        <v>0</v>
      </c>
      <c r="NNG56" s="850">
        <f t="shared" si="168"/>
        <v>1.2443983480907631E+67</v>
      </c>
      <c r="NNH56" s="850">
        <f t="shared" si="168"/>
        <v>0</v>
      </c>
      <c r="NNI56" s="850">
        <f t="shared" si="168"/>
        <v>1.281730298533486E+67</v>
      </c>
      <c r="NNJ56" s="850">
        <f t="shared" si="168"/>
        <v>0</v>
      </c>
      <c r="NNK56" s="850">
        <f t="shared" si="168"/>
        <v>1.3201822074894906E+67</v>
      </c>
      <c r="NNL56" s="850">
        <f t="shared" si="168"/>
        <v>0</v>
      </c>
      <c r="NNM56" s="850">
        <f t="shared" si="168"/>
        <v>1.3597876737141753E+67</v>
      </c>
      <c r="NNN56" s="850">
        <f t="shared" si="168"/>
        <v>0</v>
      </c>
      <c r="NNO56" s="850">
        <f t="shared" si="168"/>
        <v>1.4005813039256004E+67</v>
      </c>
      <c r="NNP56" s="850">
        <f t="shared" si="168"/>
        <v>0</v>
      </c>
      <c r="NNQ56" s="850">
        <f t="shared" si="168"/>
        <v>1.4425987430433684E+67</v>
      </c>
      <c r="NNR56" s="850">
        <f t="shared" si="168"/>
        <v>0</v>
      </c>
      <c r="NNS56" s="850">
        <f t="shared" si="168"/>
        <v>1.4858767053346695E+67</v>
      </c>
      <c r="NNT56" s="850">
        <f t="shared" si="168"/>
        <v>0</v>
      </c>
      <c r="NNU56" s="850">
        <f t="shared" si="168"/>
        <v>1.5304530064947096E+67</v>
      </c>
      <c r="NNV56" s="850">
        <f t="shared" si="168"/>
        <v>0</v>
      </c>
      <c r="NNW56" s="850">
        <f t="shared" si="168"/>
        <v>1.576366596689551E+67</v>
      </c>
      <c r="NNX56" s="850">
        <f t="shared" si="168"/>
        <v>0</v>
      </c>
      <c r="NNY56" s="850">
        <f t="shared" si="168"/>
        <v>1.6236575945902376E+67</v>
      </c>
      <c r="NNZ56" s="850">
        <f t="shared" si="168"/>
        <v>0</v>
      </c>
      <c r="NOA56" s="850">
        <f t="shared" si="168"/>
        <v>1.6723673224279447E+67</v>
      </c>
      <c r="NOB56" s="850">
        <f t="shared" si="168"/>
        <v>0</v>
      </c>
      <c r="NOC56" s="850">
        <f t="shared" si="168"/>
        <v>1.7225383421007832E+67</v>
      </c>
      <c r="NOD56" s="850">
        <f t="shared" si="168"/>
        <v>0</v>
      </c>
      <c r="NOE56" s="850">
        <f t="shared" si="168"/>
        <v>1.7742144923638069E+67</v>
      </c>
      <c r="NOF56" s="850">
        <f t="shared" si="168"/>
        <v>0</v>
      </c>
      <c r="NOG56" s="850">
        <f t="shared" si="168"/>
        <v>1.8274409271347212E+67</v>
      </c>
      <c r="NOH56" s="850">
        <f t="shared" si="168"/>
        <v>0</v>
      </c>
      <c r="NOI56" s="850">
        <f t="shared" si="168"/>
        <v>1.8822641549487628E+67</v>
      </c>
      <c r="NOJ56" s="850">
        <f t="shared" si="168"/>
        <v>0</v>
      </c>
      <c r="NOK56" s="850">
        <f t="shared" si="168"/>
        <v>1.9387320795972257E+67</v>
      </c>
      <c r="NOL56" s="850">
        <f t="shared" ref="NOL56:NQW56" si="169">NOJ56*$C$56</f>
        <v>0</v>
      </c>
      <c r="NOM56" s="850">
        <f t="shared" si="169"/>
        <v>1.9968940419851424E+67</v>
      </c>
      <c r="NON56" s="850">
        <f t="shared" si="169"/>
        <v>0</v>
      </c>
      <c r="NOO56" s="850">
        <f t="shared" si="169"/>
        <v>2.0568008632446967E+67</v>
      </c>
      <c r="NOP56" s="850">
        <f t="shared" si="169"/>
        <v>0</v>
      </c>
      <c r="NOQ56" s="850">
        <f t="shared" si="169"/>
        <v>2.1185048891420377E+67</v>
      </c>
      <c r="NOR56" s="850">
        <f t="shared" si="169"/>
        <v>0</v>
      </c>
      <c r="NOS56" s="850">
        <f t="shared" si="169"/>
        <v>2.1820600358162988E+67</v>
      </c>
      <c r="NOT56" s="850">
        <f t="shared" si="169"/>
        <v>0</v>
      </c>
      <c r="NOU56" s="850">
        <f t="shared" si="169"/>
        <v>2.2475218368907878E+67</v>
      </c>
      <c r="NOV56" s="850">
        <f t="shared" si="169"/>
        <v>0</v>
      </c>
      <c r="NOW56" s="850">
        <f t="shared" si="169"/>
        <v>2.3149474919975114E+67</v>
      </c>
      <c r="NOX56" s="850">
        <f t="shared" si="169"/>
        <v>0</v>
      </c>
      <c r="NOY56" s="850">
        <f t="shared" si="169"/>
        <v>2.3843959167574368E+67</v>
      </c>
      <c r="NOZ56" s="850">
        <f t="shared" si="169"/>
        <v>0</v>
      </c>
      <c r="NPA56" s="850">
        <f t="shared" si="169"/>
        <v>2.4559277942601598E+67</v>
      </c>
      <c r="NPB56" s="850">
        <f t="shared" si="169"/>
        <v>0</v>
      </c>
      <c r="NPC56" s="850">
        <f t="shared" si="169"/>
        <v>2.5296056280879646E+67</v>
      </c>
      <c r="NPD56" s="850">
        <f t="shared" si="169"/>
        <v>0</v>
      </c>
      <c r="NPE56" s="850">
        <f t="shared" si="169"/>
        <v>2.6054937969306037E+67</v>
      </c>
      <c r="NPF56" s="850">
        <f t="shared" si="169"/>
        <v>0</v>
      </c>
      <c r="NPG56" s="850">
        <f t="shared" si="169"/>
        <v>2.6836586108385219E+67</v>
      </c>
      <c r="NPH56" s="850">
        <f t="shared" si="169"/>
        <v>0</v>
      </c>
      <c r="NPI56" s="850">
        <f t="shared" si="169"/>
        <v>2.7641683691636778E+67</v>
      </c>
      <c r="NPJ56" s="850">
        <f t="shared" si="169"/>
        <v>0</v>
      </c>
      <c r="NPK56" s="850">
        <f t="shared" si="169"/>
        <v>2.8470934202385879E+67</v>
      </c>
      <c r="NPL56" s="850">
        <f t="shared" si="169"/>
        <v>0</v>
      </c>
      <c r="NPM56" s="850">
        <f t="shared" si="169"/>
        <v>2.9325062228457456E+67</v>
      </c>
      <c r="NPN56" s="850">
        <f t="shared" si="169"/>
        <v>0</v>
      </c>
      <c r="NPO56" s="850">
        <f t="shared" si="169"/>
        <v>3.0204814095311182E+67</v>
      </c>
      <c r="NPP56" s="850">
        <f t="shared" si="169"/>
        <v>0</v>
      </c>
      <c r="NPQ56" s="850">
        <f t="shared" si="169"/>
        <v>3.1110958518170519E+67</v>
      </c>
      <c r="NPR56" s="850">
        <f t="shared" si="169"/>
        <v>0</v>
      </c>
      <c r="NPS56" s="850">
        <f t="shared" si="169"/>
        <v>3.2044287273715634E+67</v>
      </c>
      <c r="NPT56" s="850">
        <f t="shared" si="169"/>
        <v>0</v>
      </c>
      <c r="NPU56" s="850">
        <f t="shared" si="169"/>
        <v>3.3005615891927104E+67</v>
      </c>
      <c r="NPV56" s="850">
        <f t="shared" si="169"/>
        <v>0</v>
      </c>
      <c r="NPW56" s="850">
        <f t="shared" si="169"/>
        <v>3.3995784368684919E+67</v>
      </c>
      <c r="NPX56" s="850">
        <f t="shared" si="169"/>
        <v>0</v>
      </c>
      <c r="NPY56" s="850">
        <f t="shared" si="169"/>
        <v>3.5015657899745465E+67</v>
      </c>
      <c r="NPZ56" s="850">
        <f t="shared" si="169"/>
        <v>0</v>
      </c>
      <c r="NQA56" s="850">
        <f t="shared" si="169"/>
        <v>3.606612763673783E+67</v>
      </c>
      <c r="NQB56" s="850">
        <f t="shared" si="169"/>
        <v>0</v>
      </c>
      <c r="NQC56" s="850">
        <f t="shared" si="169"/>
        <v>3.7148111465839964E+67</v>
      </c>
      <c r="NQD56" s="850">
        <f t="shared" si="169"/>
        <v>0</v>
      </c>
      <c r="NQE56" s="850">
        <f t="shared" si="169"/>
        <v>3.8262554809815162E+67</v>
      </c>
      <c r="NQF56" s="850">
        <f t="shared" si="169"/>
        <v>0</v>
      </c>
      <c r="NQG56" s="850">
        <f t="shared" si="169"/>
        <v>3.941043145410962E+67</v>
      </c>
      <c r="NQH56" s="850">
        <f t="shared" si="169"/>
        <v>0</v>
      </c>
      <c r="NQI56" s="850">
        <f t="shared" si="169"/>
        <v>4.059274439773291E+67</v>
      </c>
      <c r="NQJ56" s="850">
        <f t="shared" si="169"/>
        <v>0</v>
      </c>
      <c r="NQK56" s="850">
        <f t="shared" si="169"/>
        <v>4.1810526729664899E+67</v>
      </c>
      <c r="NQL56" s="850">
        <f t="shared" si="169"/>
        <v>0</v>
      </c>
      <c r="NQM56" s="850">
        <f t="shared" si="169"/>
        <v>4.3064842531554847E+67</v>
      </c>
      <c r="NQN56" s="850">
        <f t="shared" si="169"/>
        <v>0</v>
      </c>
      <c r="NQO56" s="850">
        <f t="shared" si="169"/>
        <v>4.4356787807501497E+67</v>
      </c>
      <c r="NQP56" s="850">
        <f t="shared" si="169"/>
        <v>0</v>
      </c>
      <c r="NQQ56" s="850">
        <f t="shared" si="169"/>
        <v>4.5687491441726545E+67</v>
      </c>
      <c r="NQR56" s="850">
        <f t="shared" si="169"/>
        <v>0</v>
      </c>
      <c r="NQS56" s="850">
        <f t="shared" si="169"/>
        <v>4.7058116184978341E+67</v>
      </c>
      <c r="NQT56" s="850">
        <f t="shared" si="169"/>
        <v>0</v>
      </c>
      <c r="NQU56" s="850">
        <f t="shared" si="169"/>
        <v>4.8469859670527695E+67</v>
      </c>
      <c r="NQV56" s="850">
        <f t="shared" si="169"/>
        <v>0</v>
      </c>
      <c r="NQW56" s="850">
        <f t="shared" si="169"/>
        <v>4.992395546064353E+67</v>
      </c>
      <c r="NQX56" s="850">
        <f t="shared" ref="NQX56:NTI56" si="170">NQV56*$C$56</f>
        <v>0</v>
      </c>
      <c r="NQY56" s="850">
        <f t="shared" si="170"/>
        <v>5.142167412446284E+67</v>
      </c>
      <c r="NQZ56" s="850">
        <f t="shared" si="170"/>
        <v>0</v>
      </c>
      <c r="NRA56" s="850">
        <f t="shared" si="170"/>
        <v>5.2964324348196725E+67</v>
      </c>
      <c r="NRB56" s="850">
        <f t="shared" si="170"/>
        <v>0</v>
      </c>
      <c r="NRC56" s="850">
        <f t="shared" si="170"/>
        <v>5.4553254078642628E+67</v>
      </c>
      <c r="NRD56" s="850">
        <f t="shared" si="170"/>
        <v>0</v>
      </c>
      <c r="NRE56" s="850">
        <f t="shared" si="170"/>
        <v>5.6189851701001911E+67</v>
      </c>
      <c r="NRF56" s="850">
        <f t="shared" si="170"/>
        <v>0</v>
      </c>
      <c r="NRG56" s="850">
        <f t="shared" si="170"/>
        <v>5.7875547252031965E+67</v>
      </c>
      <c r="NRH56" s="850">
        <f t="shared" si="170"/>
        <v>0</v>
      </c>
      <c r="NRI56" s="850">
        <f t="shared" si="170"/>
        <v>5.9611813669592925E+67</v>
      </c>
      <c r="NRJ56" s="850">
        <f t="shared" si="170"/>
        <v>0</v>
      </c>
      <c r="NRK56" s="850">
        <f t="shared" si="170"/>
        <v>6.1400168079680712E+67</v>
      </c>
      <c r="NRL56" s="850">
        <f t="shared" si="170"/>
        <v>0</v>
      </c>
      <c r="NRM56" s="850">
        <f t="shared" si="170"/>
        <v>6.3242173122071132E+67</v>
      </c>
      <c r="NRN56" s="850">
        <f t="shared" si="170"/>
        <v>0</v>
      </c>
      <c r="NRO56" s="850">
        <f t="shared" si="170"/>
        <v>6.5139438315733271E+67</v>
      </c>
      <c r="NRP56" s="850">
        <f t="shared" si="170"/>
        <v>0</v>
      </c>
      <c r="NRQ56" s="850">
        <f t="shared" si="170"/>
        <v>6.7093621465205265E+67</v>
      </c>
      <c r="NRR56" s="850">
        <f t="shared" si="170"/>
        <v>0</v>
      </c>
      <c r="NRS56" s="850">
        <f t="shared" si="170"/>
        <v>6.9106430109161428E+67</v>
      </c>
      <c r="NRT56" s="850">
        <f t="shared" si="170"/>
        <v>0</v>
      </c>
      <c r="NRU56" s="850">
        <f t="shared" si="170"/>
        <v>7.1179623012436274E+67</v>
      </c>
      <c r="NRV56" s="850">
        <f t="shared" si="170"/>
        <v>0</v>
      </c>
      <c r="NRW56" s="850">
        <f t="shared" si="170"/>
        <v>7.331501170280937E+67</v>
      </c>
      <c r="NRX56" s="850">
        <f t="shared" si="170"/>
        <v>0</v>
      </c>
      <c r="NRY56" s="850">
        <f t="shared" si="170"/>
        <v>7.5514462053893649E+67</v>
      </c>
      <c r="NRZ56" s="850">
        <f t="shared" si="170"/>
        <v>0</v>
      </c>
      <c r="NSA56" s="850">
        <f t="shared" si="170"/>
        <v>7.7779895915510465E+67</v>
      </c>
      <c r="NSB56" s="850">
        <f t="shared" si="170"/>
        <v>0</v>
      </c>
      <c r="NSC56" s="850">
        <f t="shared" si="170"/>
        <v>8.0113292792975776E+67</v>
      </c>
      <c r="NSD56" s="850">
        <f t="shared" si="170"/>
        <v>0</v>
      </c>
      <c r="NSE56" s="850">
        <f t="shared" si="170"/>
        <v>8.2516691576765047E+67</v>
      </c>
      <c r="NSF56" s="850">
        <f t="shared" si="170"/>
        <v>0</v>
      </c>
      <c r="NSG56" s="850">
        <f t="shared" si="170"/>
        <v>8.4992192324068006E+67</v>
      </c>
      <c r="NSH56" s="850">
        <f t="shared" si="170"/>
        <v>0</v>
      </c>
      <c r="NSI56" s="850">
        <f t="shared" si="170"/>
        <v>8.754195809379005E+67</v>
      </c>
      <c r="NSJ56" s="850">
        <f t="shared" si="170"/>
        <v>0</v>
      </c>
      <c r="NSK56" s="850">
        <f t="shared" si="170"/>
        <v>9.016821683660375E+67</v>
      </c>
      <c r="NSL56" s="850">
        <f t="shared" si="170"/>
        <v>0</v>
      </c>
      <c r="NSM56" s="850">
        <f t="shared" si="170"/>
        <v>9.2873263341701869E+67</v>
      </c>
      <c r="NSN56" s="850">
        <f t="shared" si="170"/>
        <v>0</v>
      </c>
      <c r="NSO56" s="850">
        <f t="shared" si="170"/>
        <v>9.5659461241952925E+67</v>
      </c>
      <c r="NSP56" s="850">
        <f t="shared" si="170"/>
        <v>0</v>
      </c>
      <c r="NSQ56" s="850">
        <f t="shared" si="170"/>
        <v>9.8529245079211517E+67</v>
      </c>
      <c r="NSR56" s="850">
        <f t="shared" si="170"/>
        <v>0</v>
      </c>
      <c r="NSS56" s="850">
        <f t="shared" si="170"/>
        <v>1.0148512243158786E+68</v>
      </c>
      <c r="NST56" s="850">
        <f t="shared" si="170"/>
        <v>0</v>
      </c>
      <c r="NSU56" s="850">
        <f t="shared" si="170"/>
        <v>1.0452967610453551E+68</v>
      </c>
      <c r="NSV56" s="850">
        <f t="shared" si="170"/>
        <v>0</v>
      </c>
      <c r="NSW56" s="850">
        <f t="shared" si="170"/>
        <v>1.0766556638767157E+68</v>
      </c>
      <c r="NSX56" s="850">
        <f t="shared" si="170"/>
        <v>0</v>
      </c>
      <c r="NSY56" s="850">
        <f t="shared" si="170"/>
        <v>1.1089553337930172E+68</v>
      </c>
      <c r="NSZ56" s="850">
        <f t="shared" si="170"/>
        <v>0</v>
      </c>
      <c r="NTA56" s="850">
        <f t="shared" si="170"/>
        <v>1.1422239938068077E+68</v>
      </c>
      <c r="NTB56" s="850">
        <f t="shared" si="170"/>
        <v>0</v>
      </c>
      <c r="NTC56" s="850">
        <f t="shared" si="170"/>
        <v>1.176490713621012E+68</v>
      </c>
      <c r="NTD56" s="850">
        <f t="shared" si="170"/>
        <v>0</v>
      </c>
      <c r="NTE56" s="850">
        <f t="shared" si="170"/>
        <v>1.2117854350296423E+68</v>
      </c>
      <c r="NTF56" s="850">
        <f t="shared" si="170"/>
        <v>0</v>
      </c>
      <c r="NTG56" s="850">
        <f t="shared" si="170"/>
        <v>1.2481389980805317E+68</v>
      </c>
      <c r="NTH56" s="850">
        <f t="shared" si="170"/>
        <v>0</v>
      </c>
      <c r="NTI56" s="850">
        <f t="shared" si="170"/>
        <v>1.2855831680229478E+68</v>
      </c>
      <c r="NTJ56" s="850">
        <f t="shared" ref="NTJ56:NVU56" si="171">NTH56*$C$56</f>
        <v>0</v>
      </c>
      <c r="NTK56" s="850">
        <f t="shared" si="171"/>
        <v>1.3241506630636363E+68</v>
      </c>
      <c r="NTL56" s="850">
        <f t="shared" si="171"/>
        <v>0</v>
      </c>
      <c r="NTM56" s="850">
        <f t="shared" si="171"/>
        <v>1.3638751829555453E+68</v>
      </c>
      <c r="NTN56" s="850">
        <f t="shared" si="171"/>
        <v>0</v>
      </c>
      <c r="NTO56" s="850">
        <f t="shared" si="171"/>
        <v>1.4047914384442117E+68</v>
      </c>
      <c r="NTP56" s="850">
        <f t="shared" si="171"/>
        <v>0</v>
      </c>
      <c r="NTQ56" s="850">
        <f t="shared" si="171"/>
        <v>1.4469351815975381E+68</v>
      </c>
      <c r="NTR56" s="850">
        <f t="shared" si="171"/>
        <v>0</v>
      </c>
      <c r="NTS56" s="850">
        <f t="shared" si="171"/>
        <v>1.4903432370454642E+68</v>
      </c>
      <c r="NTT56" s="850">
        <f t="shared" si="171"/>
        <v>0</v>
      </c>
      <c r="NTU56" s="850">
        <f t="shared" si="171"/>
        <v>1.5350535341568282E+68</v>
      </c>
      <c r="NTV56" s="850">
        <f t="shared" si="171"/>
        <v>0</v>
      </c>
      <c r="NTW56" s="850">
        <f t="shared" si="171"/>
        <v>1.581105140181533E+68</v>
      </c>
      <c r="NTX56" s="850">
        <f t="shared" si="171"/>
        <v>0</v>
      </c>
      <c r="NTY56" s="850">
        <f t="shared" si="171"/>
        <v>1.6285382943869789E+68</v>
      </c>
      <c r="NTZ56" s="850">
        <f t="shared" si="171"/>
        <v>0</v>
      </c>
      <c r="NUA56" s="850">
        <f t="shared" si="171"/>
        <v>1.6773944432185883E+68</v>
      </c>
      <c r="NUB56" s="850">
        <f t="shared" si="171"/>
        <v>0</v>
      </c>
      <c r="NUC56" s="850">
        <f t="shared" si="171"/>
        <v>1.727716276515146E+68</v>
      </c>
      <c r="NUD56" s="850">
        <f t="shared" si="171"/>
        <v>0</v>
      </c>
      <c r="NUE56" s="850">
        <f t="shared" si="171"/>
        <v>1.7795477648106004E+68</v>
      </c>
      <c r="NUF56" s="850">
        <f t="shared" si="171"/>
        <v>0</v>
      </c>
      <c r="NUG56" s="850">
        <f t="shared" si="171"/>
        <v>1.8329341977549185E+68</v>
      </c>
      <c r="NUH56" s="850">
        <f t="shared" si="171"/>
        <v>0</v>
      </c>
      <c r="NUI56" s="850">
        <f t="shared" si="171"/>
        <v>1.887922223687566E+68</v>
      </c>
      <c r="NUJ56" s="850">
        <f t="shared" si="171"/>
        <v>0</v>
      </c>
      <c r="NUK56" s="850">
        <f t="shared" si="171"/>
        <v>1.944559890398193E+68</v>
      </c>
      <c r="NUL56" s="850">
        <f t="shared" si="171"/>
        <v>0</v>
      </c>
      <c r="NUM56" s="850">
        <f t="shared" si="171"/>
        <v>2.0028966871101388E+68</v>
      </c>
      <c r="NUN56" s="850">
        <f t="shared" si="171"/>
        <v>0</v>
      </c>
      <c r="NUO56" s="850">
        <f t="shared" si="171"/>
        <v>2.0629835877234429E+68</v>
      </c>
      <c r="NUP56" s="850">
        <f t="shared" si="171"/>
        <v>0</v>
      </c>
      <c r="NUQ56" s="850">
        <f t="shared" si="171"/>
        <v>2.1248730953551462E+68</v>
      </c>
      <c r="NUR56" s="850">
        <f t="shared" si="171"/>
        <v>0</v>
      </c>
      <c r="NUS56" s="850">
        <f t="shared" si="171"/>
        <v>2.1886192882158008E+68</v>
      </c>
      <c r="NUT56" s="850">
        <f t="shared" si="171"/>
        <v>0</v>
      </c>
      <c r="NUU56" s="850">
        <f t="shared" si="171"/>
        <v>2.2542778668622747E+68</v>
      </c>
      <c r="NUV56" s="850">
        <f t="shared" si="171"/>
        <v>0</v>
      </c>
      <c r="NUW56" s="850">
        <f t="shared" si="171"/>
        <v>2.3219062028681429E+68</v>
      </c>
      <c r="NUX56" s="850">
        <f t="shared" si="171"/>
        <v>0</v>
      </c>
      <c r="NUY56" s="850">
        <f t="shared" si="171"/>
        <v>2.3915633889541871E+68</v>
      </c>
      <c r="NUZ56" s="850">
        <f t="shared" si="171"/>
        <v>0</v>
      </c>
      <c r="NVA56" s="850">
        <f t="shared" si="171"/>
        <v>2.4633102906228128E+68</v>
      </c>
      <c r="NVB56" s="850">
        <f t="shared" si="171"/>
        <v>0</v>
      </c>
      <c r="NVC56" s="850">
        <f t="shared" si="171"/>
        <v>2.5372095993414973E+68</v>
      </c>
      <c r="NVD56" s="850">
        <f t="shared" si="171"/>
        <v>0</v>
      </c>
      <c r="NVE56" s="850">
        <f t="shared" si="171"/>
        <v>2.6133258873217425E+68</v>
      </c>
      <c r="NVF56" s="850">
        <f t="shared" si="171"/>
        <v>0</v>
      </c>
      <c r="NVG56" s="850">
        <f t="shared" si="171"/>
        <v>2.6917256639413948E+68</v>
      </c>
      <c r="NVH56" s="850">
        <f t="shared" si="171"/>
        <v>0</v>
      </c>
      <c r="NVI56" s="850">
        <f t="shared" si="171"/>
        <v>2.7724774338596368E+68</v>
      </c>
      <c r="NVJ56" s="850">
        <f t="shared" si="171"/>
        <v>0</v>
      </c>
      <c r="NVK56" s="850">
        <f t="shared" si="171"/>
        <v>2.8556517568754259E+68</v>
      </c>
      <c r="NVL56" s="850">
        <f t="shared" si="171"/>
        <v>0</v>
      </c>
      <c r="NVM56" s="850">
        <f t="shared" si="171"/>
        <v>2.9413213095816889E+68</v>
      </c>
      <c r="NVN56" s="850">
        <f t="shared" si="171"/>
        <v>0</v>
      </c>
      <c r="NVO56" s="850">
        <f t="shared" si="171"/>
        <v>3.0295609488691397E+68</v>
      </c>
      <c r="NVP56" s="850">
        <f t="shared" si="171"/>
        <v>0</v>
      </c>
      <c r="NVQ56" s="850">
        <f t="shared" si="171"/>
        <v>3.1204477773352141E+68</v>
      </c>
      <c r="NVR56" s="850">
        <f t="shared" si="171"/>
        <v>0</v>
      </c>
      <c r="NVS56" s="850">
        <f t="shared" si="171"/>
        <v>3.2140612106552706E+68</v>
      </c>
      <c r="NVT56" s="850">
        <f t="shared" si="171"/>
        <v>0</v>
      </c>
      <c r="NVU56" s="850">
        <f t="shared" si="171"/>
        <v>3.3104830469749287E+68</v>
      </c>
      <c r="NVV56" s="850">
        <f t="shared" ref="NVV56:NYG56" si="172">NVT56*$C$56</f>
        <v>0</v>
      </c>
      <c r="NVW56" s="850">
        <f t="shared" si="172"/>
        <v>3.4097975383841765E+68</v>
      </c>
      <c r="NVX56" s="850">
        <f t="shared" si="172"/>
        <v>0</v>
      </c>
      <c r="NVY56" s="850">
        <f t="shared" si="172"/>
        <v>3.5120914645357019E+68</v>
      </c>
      <c r="NVZ56" s="850">
        <f t="shared" si="172"/>
        <v>0</v>
      </c>
      <c r="NWA56" s="850">
        <f t="shared" si="172"/>
        <v>3.6174542084717728E+68</v>
      </c>
      <c r="NWB56" s="850">
        <f t="shared" si="172"/>
        <v>0</v>
      </c>
      <c r="NWC56" s="850">
        <f t="shared" si="172"/>
        <v>3.725977834725926E+68</v>
      </c>
      <c r="NWD56" s="850">
        <f t="shared" si="172"/>
        <v>0</v>
      </c>
      <c r="NWE56" s="850">
        <f t="shared" si="172"/>
        <v>3.8377571697677041E+68</v>
      </c>
      <c r="NWF56" s="850">
        <f t="shared" si="172"/>
        <v>0</v>
      </c>
      <c r="NWG56" s="850">
        <f t="shared" si="172"/>
        <v>3.9528898848607356E+68</v>
      </c>
      <c r="NWH56" s="850">
        <f t="shared" si="172"/>
        <v>0</v>
      </c>
      <c r="NWI56" s="850">
        <f t="shared" si="172"/>
        <v>4.0714765814065576E+68</v>
      </c>
      <c r="NWJ56" s="850">
        <f t="shared" si="172"/>
        <v>0</v>
      </c>
      <c r="NWK56" s="850">
        <f t="shared" si="172"/>
        <v>4.1936208788487542E+68</v>
      </c>
      <c r="NWL56" s="850">
        <f t="shared" si="172"/>
        <v>0</v>
      </c>
      <c r="NWM56" s="850">
        <f t="shared" si="172"/>
        <v>4.3194295052142172E+68</v>
      </c>
      <c r="NWN56" s="850">
        <f t="shared" si="172"/>
        <v>0</v>
      </c>
      <c r="NWO56" s="850">
        <f t="shared" si="172"/>
        <v>4.4490123903706436E+68</v>
      </c>
      <c r="NWP56" s="850">
        <f t="shared" si="172"/>
        <v>0</v>
      </c>
      <c r="NWQ56" s="850">
        <f t="shared" si="172"/>
        <v>4.5824827620817633E+68</v>
      </c>
      <c r="NWR56" s="850">
        <f t="shared" si="172"/>
        <v>0</v>
      </c>
      <c r="NWS56" s="850">
        <f t="shared" si="172"/>
        <v>4.7199572449442162E+68</v>
      </c>
      <c r="NWT56" s="850">
        <f t="shared" si="172"/>
        <v>0</v>
      </c>
      <c r="NWU56" s="850">
        <f t="shared" si="172"/>
        <v>4.8615559622925425E+68</v>
      </c>
      <c r="NWV56" s="850">
        <f t="shared" si="172"/>
        <v>0</v>
      </c>
      <c r="NWW56" s="850">
        <f t="shared" si="172"/>
        <v>5.0074026411613192E+68</v>
      </c>
      <c r="NWX56" s="850">
        <f t="shared" si="172"/>
        <v>0</v>
      </c>
      <c r="NWY56" s="850">
        <f t="shared" si="172"/>
        <v>5.1576247203961585E+68</v>
      </c>
      <c r="NWZ56" s="850">
        <f t="shared" si="172"/>
        <v>0</v>
      </c>
      <c r="NXA56" s="850">
        <f t="shared" si="172"/>
        <v>5.3123534620080429E+68</v>
      </c>
      <c r="NXB56" s="850">
        <f t="shared" si="172"/>
        <v>0</v>
      </c>
      <c r="NXC56" s="850">
        <f t="shared" si="172"/>
        <v>5.4717240658682843E+68</v>
      </c>
      <c r="NXD56" s="850">
        <f t="shared" si="172"/>
        <v>0</v>
      </c>
      <c r="NXE56" s="850">
        <f t="shared" si="172"/>
        <v>5.6358757878443331E+68</v>
      </c>
      <c r="NXF56" s="850">
        <f t="shared" si="172"/>
        <v>0</v>
      </c>
      <c r="NXG56" s="850">
        <f t="shared" si="172"/>
        <v>5.8049520614796635E+68</v>
      </c>
      <c r="NXH56" s="850">
        <f t="shared" si="172"/>
        <v>0</v>
      </c>
      <c r="NXI56" s="850">
        <f t="shared" si="172"/>
        <v>5.979100623324054E+68</v>
      </c>
      <c r="NXJ56" s="850">
        <f t="shared" si="172"/>
        <v>0</v>
      </c>
      <c r="NXK56" s="850">
        <f t="shared" si="172"/>
        <v>6.1584736420237754E+68</v>
      </c>
      <c r="NXL56" s="850">
        <f t="shared" si="172"/>
        <v>0</v>
      </c>
      <c r="NXM56" s="850">
        <f t="shared" si="172"/>
        <v>6.343227851284489E+68</v>
      </c>
      <c r="NXN56" s="850">
        <f t="shared" si="172"/>
        <v>0</v>
      </c>
      <c r="NXO56" s="850">
        <f t="shared" si="172"/>
        <v>6.5335246868230237E+68</v>
      </c>
      <c r="NXP56" s="850">
        <f t="shared" si="172"/>
        <v>0</v>
      </c>
      <c r="NXQ56" s="850">
        <f t="shared" si="172"/>
        <v>6.7295304274277147E+68</v>
      </c>
      <c r="NXR56" s="850">
        <f t="shared" si="172"/>
        <v>0</v>
      </c>
      <c r="NXS56" s="850">
        <f t="shared" si="172"/>
        <v>6.931416340250546E+68</v>
      </c>
      <c r="NXT56" s="850">
        <f t="shared" si="172"/>
        <v>0</v>
      </c>
      <c r="NXU56" s="850">
        <f t="shared" si="172"/>
        <v>7.139358830458063E+68</v>
      </c>
      <c r="NXV56" s="850">
        <f t="shared" si="172"/>
        <v>0</v>
      </c>
      <c r="NXW56" s="850">
        <f t="shared" si="172"/>
        <v>7.3535395953718048E+68</v>
      </c>
      <c r="NXX56" s="850">
        <f t="shared" si="172"/>
        <v>0</v>
      </c>
      <c r="NXY56" s="850">
        <f t="shared" si="172"/>
        <v>7.5741457832329592E+68</v>
      </c>
      <c r="NXZ56" s="850">
        <f t="shared" si="172"/>
        <v>0</v>
      </c>
      <c r="NYA56" s="850">
        <f t="shared" si="172"/>
        <v>7.8013701567299483E+68</v>
      </c>
      <c r="NYB56" s="850">
        <f t="shared" si="172"/>
        <v>0</v>
      </c>
      <c r="NYC56" s="850">
        <f t="shared" si="172"/>
        <v>8.0354112614318474E+68</v>
      </c>
      <c r="NYD56" s="850">
        <f t="shared" si="172"/>
        <v>0</v>
      </c>
      <c r="NYE56" s="850">
        <f t="shared" si="172"/>
        <v>8.2764735992748027E+68</v>
      </c>
      <c r="NYF56" s="850">
        <f t="shared" si="172"/>
        <v>0</v>
      </c>
      <c r="NYG56" s="850">
        <f t="shared" si="172"/>
        <v>8.5247678072530472E+68</v>
      </c>
      <c r="NYH56" s="850">
        <f t="shared" ref="NYH56:OAS56" si="173">NYF56*$C$56</f>
        <v>0</v>
      </c>
      <c r="NYI56" s="850">
        <f t="shared" si="173"/>
        <v>8.7805108414706398E+68</v>
      </c>
      <c r="NYJ56" s="850">
        <f t="shared" si="173"/>
        <v>0</v>
      </c>
      <c r="NYK56" s="850">
        <f t="shared" si="173"/>
        <v>9.0439261667147593E+68</v>
      </c>
      <c r="NYL56" s="850">
        <f t="shared" si="173"/>
        <v>0</v>
      </c>
      <c r="NYM56" s="850">
        <f t="shared" si="173"/>
        <v>9.3152439517162016E+68</v>
      </c>
      <c r="NYN56" s="850">
        <f t="shared" si="173"/>
        <v>0</v>
      </c>
      <c r="NYO56" s="850">
        <f t="shared" si="173"/>
        <v>9.5947012702676879E+68</v>
      </c>
      <c r="NYP56" s="850">
        <f t="shared" si="173"/>
        <v>0</v>
      </c>
      <c r="NYQ56" s="850">
        <f t="shared" si="173"/>
        <v>9.882542308375718E+68</v>
      </c>
      <c r="NYR56" s="850">
        <f t="shared" si="173"/>
        <v>0</v>
      </c>
      <c r="NYS56" s="850">
        <f t="shared" si="173"/>
        <v>1.0179018577626991E+69</v>
      </c>
      <c r="NYT56" s="850">
        <f t="shared" si="173"/>
        <v>0</v>
      </c>
      <c r="NYU56" s="850">
        <f t="shared" si="173"/>
        <v>1.0484389134955801E+69</v>
      </c>
      <c r="NYV56" s="850">
        <f t="shared" si="173"/>
        <v>0</v>
      </c>
      <c r="NYW56" s="850">
        <f t="shared" si="173"/>
        <v>1.0798920809004476E+69</v>
      </c>
      <c r="NYX56" s="850">
        <f t="shared" si="173"/>
        <v>0</v>
      </c>
      <c r="NYY56" s="850">
        <f t="shared" si="173"/>
        <v>1.1122888433274611E+69</v>
      </c>
      <c r="NYZ56" s="850">
        <f t="shared" si="173"/>
        <v>0</v>
      </c>
      <c r="NZA56" s="850">
        <f t="shared" si="173"/>
        <v>1.1456575086272849E+69</v>
      </c>
      <c r="NZB56" s="850">
        <f t="shared" si="173"/>
        <v>0</v>
      </c>
      <c r="NZC56" s="850">
        <f t="shared" si="173"/>
        <v>1.1800272338861033E+69</v>
      </c>
      <c r="NZD56" s="850">
        <f t="shared" si="173"/>
        <v>0</v>
      </c>
      <c r="NZE56" s="850">
        <f t="shared" si="173"/>
        <v>1.2154280509026864E+69</v>
      </c>
      <c r="NZF56" s="850">
        <f t="shared" si="173"/>
        <v>0</v>
      </c>
      <c r="NZG56" s="850">
        <f t="shared" si="173"/>
        <v>1.251890892429767E+69</v>
      </c>
      <c r="NZH56" s="850">
        <f t="shared" si="173"/>
        <v>0</v>
      </c>
      <c r="NZI56" s="850">
        <f t="shared" si="173"/>
        <v>1.28944761920266E+69</v>
      </c>
      <c r="NZJ56" s="850">
        <f t="shared" si="173"/>
        <v>0</v>
      </c>
      <c r="NZK56" s="850">
        <f t="shared" si="173"/>
        <v>1.3281310477787398E+69</v>
      </c>
      <c r="NZL56" s="850">
        <f t="shared" si="173"/>
        <v>0</v>
      </c>
      <c r="NZM56" s="850">
        <f t="shared" si="173"/>
        <v>1.3679749792121019E+69</v>
      </c>
      <c r="NZN56" s="850">
        <f t="shared" si="173"/>
        <v>0</v>
      </c>
      <c r="NZO56" s="850">
        <f t="shared" si="173"/>
        <v>1.409014228588465E+69</v>
      </c>
      <c r="NZP56" s="850">
        <f t="shared" si="173"/>
        <v>0</v>
      </c>
      <c r="NZQ56" s="850">
        <f t="shared" si="173"/>
        <v>1.4512846554461191E+69</v>
      </c>
      <c r="NZR56" s="850">
        <f t="shared" si="173"/>
        <v>0</v>
      </c>
      <c r="NZS56" s="850">
        <f t="shared" si="173"/>
        <v>1.4948231951095026E+69</v>
      </c>
      <c r="NZT56" s="850">
        <f t="shared" si="173"/>
        <v>0</v>
      </c>
      <c r="NZU56" s="850">
        <f t="shared" si="173"/>
        <v>1.5396678909627877E+69</v>
      </c>
      <c r="NZV56" s="850">
        <f t="shared" si="173"/>
        <v>0</v>
      </c>
      <c r="NZW56" s="850">
        <f t="shared" si="173"/>
        <v>1.5858579276916713E+69</v>
      </c>
      <c r="NZX56" s="850">
        <f t="shared" si="173"/>
        <v>0</v>
      </c>
      <c r="NZY56" s="850">
        <f t="shared" si="173"/>
        <v>1.6334336655224214E+69</v>
      </c>
      <c r="NZZ56" s="850">
        <f t="shared" si="173"/>
        <v>0</v>
      </c>
      <c r="OAA56" s="850">
        <f t="shared" si="173"/>
        <v>1.682436675488094E+69</v>
      </c>
      <c r="OAB56" s="850">
        <f t="shared" si="173"/>
        <v>0</v>
      </c>
      <c r="OAC56" s="850">
        <f t="shared" si="173"/>
        <v>1.7329097757527369E+69</v>
      </c>
      <c r="OAD56" s="850">
        <f t="shared" si="173"/>
        <v>0</v>
      </c>
      <c r="OAE56" s="850">
        <f t="shared" si="173"/>
        <v>1.784897069025319E+69</v>
      </c>
      <c r="OAF56" s="850">
        <f t="shared" si="173"/>
        <v>0</v>
      </c>
      <c r="OAG56" s="850">
        <f t="shared" si="173"/>
        <v>1.8384439810960787E+69</v>
      </c>
      <c r="OAH56" s="850">
        <f t="shared" si="173"/>
        <v>0</v>
      </c>
      <c r="OAI56" s="850">
        <f t="shared" si="173"/>
        <v>1.8935973005289611E+69</v>
      </c>
      <c r="OAJ56" s="850">
        <f t="shared" si="173"/>
        <v>0</v>
      </c>
      <c r="OAK56" s="850">
        <f t="shared" si="173"/>
        <v>1.95040521954483E+69</v>
      </c>
      <c r="OAL56" s="850">
        <f t="shared" si="173"/>
        <v>0</v>
      </c>
      <c r="OAM56" s="850">
        <f t="shared" si="173"/>
        <v>2.0089173761311748E+69</v>
      </c>
      <c r="OAN56" s="850">
        <f t="shared" si="173"/>
        <v>0</v>
      </c>
      <c r="OAO56" s="850">
        <f t="shared" si="173"/>
        <v>2.0691848974151102E+69</v>
      </c>
      <c r="OAP56" s="850">
        <f t="shared" si="173"/>
        <v>0</v>
      </c>
      <c r="OAQ56" s="850">
        <f t="shared" si="173"/>
        <v>2.1312604443375637E+69</v>
      </c>
      <c r="OAR56" s="850">
        <f t="shared" si="173"/>
        <v>0</v>
      </c>
      <c r="OAS56" s="850">
        <f t="shared" si="173"/>
        <v>2.1951982576676906E+69</v>
      </c>
      <c r="OAT56" s="850">
        <f t="shared" ref="OAT56:ODE56" si="174">OAR56*$C$56</f>
        <v>0</v>
      </c>
      <c r="OAU56" s="850">
        <f t="shared" si="174"/>
        <v>2.2610542053977214E+69</v>
      </c>
      <c r="OAV56" s="850">
        <f t="shared" si="174"/>
        <v>0</v>
      </c>
      <c r="OAW56" s="850">
        <f t="shared" si="174"/>
        <v>2.3288858315596529E+69</v>
      </c>
      <c r="OAX56" s="850">
        <f t="shared" si="174"/>
        <v>0</v>
      </c>
      <c r="OAY56" s="850">
        <f t="shared" si="174"/>
        <v>2.3987524065064425E+69</v>
      </c>
      <c r="OAZ56" s="850">
        <f t="shared" si="174"/>
        <v>0</v>
      </c>
      <c r="OBA56" s="850">
        <f t="shared" si="174"/>
        <v>2.470714978701636E+69</v>
      </c>
      <c r="OBB56" s="850">
        <f t="shared" si="174"/>
        <v>0</v>
      </c>
      <c r="OBC56" s="850">
        <f t="shared" si="174"/>
        <v>2.5448364280626851E+69</v>
      </c>
      <c r="OBD56" s="850">
        <f t="shared" si="174"/>
        <v>0</v>
      </c>
      <c r="OBE56" s="850">
        <f t="shared" si="174"/>
        <v>2.6211815209045656E+69</v>
      </c>
      <c r="OBF56" s="850">
        <f t="shared" si="174"/>
        <v>0</v>
      </c>
      <c r="OBG56" s="850">
        <f t="shared" si="174"/>
        <v>2.6998169665317027E+69</v>
      </c>
      <c r="OBH56" s="850">
        <f t="shared" si="174"/>
        <v>0</v>
      </c>
      <c r="OBI56" s="850">
        <f t="shared" si="174"/>
        <v>2.780811475527654E+69</v>
      </c>
      <c r="OBJ56" s="850">
        <f t="shared" si="174"/>
        <v>0</v>
      </c>
      <c r="OBK56" s="850">
        <f t="shared" si="174"/>
        <v>2.8642358197934836E+69</v>
      </c>
      <c r="OBL56" s="850">
        <f t="shared" si="174"/>
        <v>0</v>
      </c>
      <c r="OBM56" s="850">
        <f t="shared" si="174"/>
        <v>2.9501628943872881E+69</v>
      </c>
      <c r="OBN56" s="850">
        <f t="shared" si="174"/>
        <v>0</v>
      </c>
      <c r="OBO56" s="850">
        <f t="shared" si="174"/>
        <v>3.0386677812189067E+69</v>
      </c>
      <c r="OBP56" s="850">
        <f t="shared" si="174"/>
        <v>0</v>
      </c>
      <c r="OBQ56" s="850">
        <f t="shared" si="174"/>
        <v>3.129827814655474E+69</v>
      </c>
      <c r="OBR56" s="850">
        <f t="shared" si="174"/>
        <v>0</v>
      </c>
      <c r="OBS56" s="850">
        <f t="shared" si="174"/>
        <v>3.2237226490951382E+69</v>
      </c>
      <c r="OBT56" s="850">
        <f t="shared" si="174"/>
        <v>0</v>
      </c>
      <c r="OBU56" s="850">
        <f t="shared" si="174"/>
        <v>3.3204343285679925E+69</v>
      </c>
      <c r="OBV56" s="850">
        <f t="shared" si="174"/>
        <v>0</v>
      </c>
      <c r="OBW56" s="850">
        <f t="shared" si="174"/>
        <v>3.4200473584250324E+69</v>
      </c>
      <c r="OBX56" s="850">
        <f t="shared" si="174"/>
        <v>0</v>
      </c>
      <c r="OBY56" s="850">
        <f t="shared" si="174"/>
        <v>3.5226487791777837E+69</v>
      </c>
      <c r="OBZ56" s="850">
        <f t="shared" si="174"/>
        <v>0</v>
      </c>
      <c r="OCA56" s="850">
        <f t="shared" si="174"/>
        <v>3.6283282425531172E+69</v>
      </c>
      <c r="OCB56" s="850">
        <f t="shared" si="174"/>
        <v>0</v>
      </c>
      <c r="OCC56" s="850">
        <f t="shared" si="174"/>
        <v>3.7371780898297111E+69</v>
      </c>
      <c r="OCD56" s="850">
        <f t="shared" si="174"/>
        <v>0</v>
      </c>
      <c r="OCE56" s="850">
        <f t="shared" si="174"/>
        <v>3.8492934325246024E+69</v>
      </c>
      <c r="OCF56" s="850">
        <f t="shared" si="174"/>
        <v>0</v>
      </c>
      <c r="OCG56" s="850">
        <f t="shared" si="174"/>
        <v>3.9647722355003405E+69</v>
      </c>
      <c r="OCH56" s="850">
        <f t="shared" si="174"/>
        <v>0</v>
      </c>
      <c r="OCI56" s="850">
        <f t="shared" si="174"/>
        <v>4.0837154025653505E+69</v>
      </c>
      <c r="OCJ56" s="850">
        <f t="shared" si="174"/>
        <v>0</v>
      </c>
      <c r="OCK56" s="850">
        <f t="shared" si="174"/>
        <v>4.2062268646423115E+69</v>
      </c>
      <c r="OCL56" s="850">
        <f t="shared" si="174"/>
        <v>0</v>
      </c>
      <c r="OCM56" s="850">
        <f t="shared" si="174"/>
        <v>4.3324136705815813E+69</v>
      </c>
      <c r="OCN56" s="850">
        <f t="shared" si="174"/>
        <v>0</v>
      </c>
      <c r="OCO56" s="850">
        <f t="shared" si="174"/>
        <v>4.4623860806990285E+69</v>
      </c>
      <c r="OCP56" s="850">
        <f t="shared" si="174"/>
        <v>0</v>
      </c>
      <c r="OCQ56" s="850">
        <f t="shared" si="174"/>
        <v>4.5962576631199995E+69</v>
      </c>
      <c r="OCR56" s="850">
        <f t="shared" si="174"/>
        <v>0</v>
      </c>
      <c r="OCS56" s="850">
        <f t="shared" si="174"/>
        <v>4.7341453930135992E+69</v>
      </c>
      <c r="OCT56" s="850">
        <f t="shared" si="174"/>
        <v>0</v>
      </c>
      <c r="OCU56" s="850">
        <f t="shared" si="174"/>
        <v>4.8761697548040075E+69</v>
      </c>
      <c r="OCV56" s="850">
        <f t="shared" si="174"/>
        <v>0</v>
      </c>
      <c r="OCW56" s="850">
        <f t="shared" si="174"/>
        <v>5.0224548474481276E+69</v>
      </c>
      <c r="OCX56" s="850">
        <f t="shared" si="174"/>
        <v>0</v>
      </c>
      <c r="OCY56" s="850">
        <f t="shared" si="174"/>
        <v>5.1731284928715717E+69</v>
      </c>
      <c r="OCZ56" s="850">
        <f t="shared" si="174"/>
        <v>0</v>
      </c>
      <c r="ODA56" s="850">
        <f t="shared" si="174"/>
        <v>5.3283223476577188E+69</v>
      </c>
      <c r="ODB56" s="850">
        <f t="shared" si="174"/>
        <v>0</v>
      </c>
      <c r="ODC56" s="850">
        <f t="shared" si="174"/>
        <v>5.4881720180874505E+69</v>
      </c>
      <c r="ODD56" s="850">
        <f t="shared" si="174"/>
        <v>0</v>
      </c>
      <c r="ODE56" s="850">
        <f t="shared" si="174"/>
        <v>5.6528171786300739E+69</v>
      </c>
      <c r="ODF56" s="850">
        <f t="shared" ref="ODF56:OFQ56" si="175">ODD56*$C$56</f>
        <v>0</v>
      </c>
      <c r="ODG56" s="850">
        <f t="shared" si="175"/>
        <v>5.8224016939889763E+69</v>
      </c>
      <c r="ODH56" s="850">
        <f t="shared" si="175"/>
        <v>0</v>
      </c>
      <c r="ODI56" s="850">
        <f t="shared" si="175"/>
        <v>5.9970737448086458E+69</v>
      </c>
      <c r="ODJ56" s="850">
        <f t="shared" si="175"/>
        <v>0</v>
      </c>
      <c r="ODK56" s="850">
        <f t="shared" si="175"/>
        <v>6.1769859571529052E+69</v>
      </c>
      <c r="ODL56" s="850">
        <f t="shared" si="175"/>
        <v>0</v>
      </c>
      <c r="ODM56" s="850">
        <f t="shared" si="175"/>
        <v>6.3622955358674924E+69</v>
      </c>
      <c r="ODN56" s="850">
        <f t="shared" si="175"/>
        <v>0</v>
      </c>
      <c r="ODO56" s="850">
        <f t="shared" si="175"/>
        <v>6.5531644019435177E+69</v>
      </c>
      <c r="ODP56" s="850">
        <f t="shared" si="175"/>
        <v>0</v>
      </c>
      <c r="ODQ56" s="850">
        <f t="shared" si="175"/>
        <v>6.7497593340018236E+69</v>
      </c>
      <c r="ODR56" s="850">
        <f t="shared" si="175"/>
        <v>0</v>
      </c>
      <c r="ODS56" s="850">
        <f t="shared" si="175"/>
        <v>6.9522521140218783E+69</v>
      </c>
      <c r="ODT56" s="850">
        <f t="shared" si="175"/>
        <v>0</v>
      </c>
      <c r="ODU56" s="850">
        <f t="shared" si="175"/>
        <v>7.1608196774425355E+69</v>
      </c>
      <c r="ODV56" s="850">
        <f t="shared" si="175"/>
        <v>0</v>
      </c>
      <c r="ODW56" s="850">
        <f t="shared" si="175"/>
        <v>7.3756442677658122E+69</v>
      </c>
      <c r="ODX56" s="850">
        <f t="shared" si="175"/>
        <v>0</v>
      </c>
      <c r="ODY56" s="850">
        <f t="shared" si="175"/>
        <v>7.5969135957987867E+69</v>
      </c>
      <c r="ODZ56" s="850">
        <f t="shared" si="175"/>
        <v>0</v>
      </c>
      <c r="OEA56" s="850">
        <f t="shared" si="175"/>
        <v>7.8248210036727508E+69</v>
      </c>
      <c r="OEB56" s="850">
        <f t="shared" si="175"/>
        <v>0</v>
      </c>
      <c r="OEC56" s="850">
        <f t="shared" si="175"/>
        <v>8.0595656337829341E+69</v>
      </c>
      <c r="OED56" s="850">
        <f t="shared" si="175"/>
        <v>0</v>
      </c>
      <c r="OEE56" s="850">
        <f t="shared" si="175"/>
        <v>8.301352602796423E+69</v>
      </c>
      <c r="OEF56" s="850">
        <f t="shared" si="175"/>
        <v>0</v>
      </c>
      <c r="OEG56" s="850">
        <f t="shared" si="175"/>
        <v>8.5503931808803156E+69</v>
      </c>
      <c r="OEH56" s="850">
        <f t="shared" si="175"/>
        <v>0</v>
      </c>
      <c r="OEI56" s="850">
        <f t="shared" si="175"/>
        <v>8.8069049763067246E+69</v>
      </c>
      <c r="OEJ56" s="850">
        <f t="shared" si="175"/>
        <v>0</v>
      </c>
      <c r="OEK56" s="850">
        <f t="shared" si="175"/>
        <v>9.0711121255959262E+69</v>
      </c>
      <c r="OEL56" s="850">
        <f t="shared" si="175"/>
        <v>0</v>
      </c>
      <c r="OEM56" s="850">
        <f t="shared" si="175"/>
        <v>9.3432454893638038E+69</v>
      </c>
      <c r="OEN56" s="850">
        <f t="shared" si="175"/>
        <v>0</v>
      </c>
      <c r="OEO56" s="850">
        <f t="shared" si="175"/>
        <v>9.6235428540447179E+69</v>
      </c>
      <c r="OEP56" s="850">
        <f t="shared" si="175"/>
        <v>0</v>
      </c>
      <c r="OEQ56" s="850">
        <f t="shared" si="175"/>
        <v>9.9122491396660597E+69</v>
      </c>
      <c r="OER56" s="850">
        <f t="shared" si="175"/>
        <v>0</v>
      </c>
      <c r="OES56" s="850">
        <f t="shared" si="175"/>
        <v>1.0209616613856042E+70</v>
      </c>
      <c r="OET56" s="850">
        <f t="shared" si="175"/>
        <v>0</v>
      </c>
      <c r="OEU56" s="850">
        <f t="shared" si="175"/>
        <v>1.0515905112271725E+70</v>
      </c>
      <c r="OEV56" s="850">
        <f t="shared" si="175"/>
        <v>0</v>
      </c>
      <c r="OEW56" s="850">
        <f t="shared" si="175"/>
        <v>1.0831382265639877E+70</v>
      </c>
      <c r="OEX56" s="850">
        <f t="shared" si="175"/>
        <v>0</v>
      </c>
      <c r="OEY56" s="850">
        <f t="shared" si="175"/>
        <v>1.1156323733609074E+70</v>
      </c>
      <c r="OEZ56" s="850">
        <f t="shared" si="175"/>
        <v>0</v>
      </c>
      <c r="OFA56" s="850">
        <f t="shared" si="175"/>
        <v>1.1491013445617346E+70</v>
      </c>
      <c r="OFB56" s="850">
        <f t="shared" si="175"/>
        <v>0</v>
      </c>
      <c r="OFC56" s="850">
        <f t="shared" si="175"/>
        <v>1.1835743848985867E+70</v>
      </c>
      <c r="OFD56" s="850">
        <f t="shared" si="175"/>
        <v>0</v>
      </c>
      <c r="OFE56" s="850">
        <f t="shared" si="175"/>
        <v>1.2190816164455443E+70</v>
      </c>
      <c r="OFF56" s="850">
        <f t="shared" si="175"/>
        <v>0</v>
      </c>
      <c r="OFG56" s="850">
        <f t="shared" si="175"/>
        <v>1.2556540649389106E+70</v>
      </c>
      <c r="OFH56" s="850">
        <f t="shared" si="175"/>
        <v>0</v>
      </c>
      <c r="OFI56" s="850">
        <f t="shared" si="175"/>
        <v>1.293323686887078E+70</v>
      </c>
      <c r="OFJ56" s="850">
        <f t="shared" si="175"/>
        <v>0</v>
      </c>
      <c r="OFK56" s="850">
        <f t="shared" si="175"/>
        <v>1.3321233974936903E+70</v>
      </c>
      <c r="OFL56" s="850">
        <f t="shared" si="175"/>
        <v>0</v>
      </c>
      <c r="OFM56" s="850">
        <f t="shared" si="175"/>
        <v>1.3720870994185011E+70</v>
      </c>
      <c r="OFN56" s="850">
        <f t="shared" si="175"/>
        <v>0</v>
      </c>
      <c r="OFO56" s="850">
        <f t="shared" si="175"/>
        <v>1.4132497124010562E+70</v>
      </c>
      <c r="OFP56" s="850">
        <f t="shared" si="175"/>
        <v>0</v>
      </c>
      <c r="OFQ56" s="850">
        <f t="shared" si="175"/>
        <v>1.455647203773088E+70</v>
      </c>
      <c r="OFR56" s="850">
        <f t="shared" ref="OFR56:OIC56" si="176">OFP56*$C$56</f>
        <v>0</v>
      </c>
      <c r="OFS56" s="850">
        <f t="shared" si="176"/>
        <v>1.4993166198862806E+70</v>
      </c>
      <c r="OFT56" s="850">
        <f t="shared" si="176"/>
        <v>0</v>
      </c>
      <c r="OFU56" s="850">
        <f t="shared" si="176"/>
        <v>1.544296118482869E+70</v>
      </c>
      <c r="OFV56" s="850">
        <f t="shared" si="176"/>
        <v>0</v>
      </c>
      <c r="OFW56" s="850">
        <f t="shared" si="176"/>
        <v>1.5906250020373552E+70</v>
      </c>
      <c r="OFX56" s="850">
        <f t="shared" si="176"/>
        <v>0</v>
      </c>
      <c r="OFY56" s="850">
        <f t="shared" si="176"/>
        <v>1.6383437520984759E+70</v>
      </c>
      <c r="OFZ56" s="850">
        <f t="shared" si="176"/>
        <v>0</v>
      </c>
      <c r="OGA56" s="850">
        <f t="shared" si="176"/>
        <v>1.6874940646614303E+70</v>
      </c>
      <c r="OGB56" s="850">
        <f t="shared" si="176"/>
        <v>0</v>
      </c>
      <c r="OGC56" s="850">
        <f t="shared" si="176"/>
        <v>1.7381188866012731E+70</v>
      </c>
      <c r="OGD56" s="850">
        <f t="shared" si="176"/>
        <v>0</v>
      </c>
      <c r="OGE56" s="850">
        <f t="shared" si="176"/>
        <v>1.7902624531993114E+70</v>
      </c>
      <c r="OGF56" s="850">
        <f t="shared" si="176"/>
        <v>0</v>
      </c>
      <c r="OGG56" s="850">
        <f t="shared" si="176"/>
        <v>1.8439703267952907E+70</v>
      </c>
      <c r="OGH56" s="850">
        <f t="shared" si="176"/>
        <v>0</v>
      </c>
      <c r="OGI56" s="850">
        <f t="shared" si="176"/>
        <v>1.8992894365991494E+70</v>
      </c>
      <c r="OGJ56" s="850">
        <f t="shared" si="176"/>
        <v>0</v>
      </c>
      <c r="OGK56" s="850">
        <f t="shared" si="176"/>
        <v>1.9562681196971241E+70</v>
      </c>
      <c r="OGL56" s="850">
        <f t="shared" si="176"/>
        <v>0</v>
      </c>
      <c r="OGM56" s="850">
        <f t="shared" si="176"/>
        <v>2.0149561632880379E+70</v>
      </c>
      <c r="OGN56" s="850">
        <f t="shared" si="176"/>
        <v>0</v>
      </c>
      <c r="OGO56" s="850">
        <f t="shared" si="176"/>
        <v>2.075404848186679E+70</v>
      </c>
      <c r="OGP56" s="850">
        <f t="shared" si="176"/>
        <v>0</v>
      </c>
      <c r="OGQ56" s="850">
        <f t="shared" si="176"/>
        <v>2.1376669936322794E+70</v>
      </c>
      <c r="OGR56" s="850">
        <f t="shared" si="176"/>
        <v>0</v>
      </c>
      <c r="OGS56" s="850">
        <f t="shared" si="176"/>
        <v>2.2017970034412477E+70</v>
      </c>
      <c r="OGT56" s="850">
        <f t="shared" si="176"/>
        <v>0</v>
      </c>
      <c r="OGU56" s="850">
        <f t="shared" si="176"/>
        <v>2.2678509135444851E+70</v>
      </c>
      <c r="OGV56" s="850">
        <f t="shared" si="176"/>
        <v>0</v>
      </c>
      <c r="OGW56" s="850">
        <f t="shared" si="176"/>
        <v>2.3358864409508198E+70</v>
      </c>
      <c r="OGX56" s="850">
        <f t="shared" si="176"/>
        <v>0</v>
      </c>
      <c r="OGY56" s="850">
        <f t="shared" si="176"/>
        <v>2.4059630341793446E+70</v>
      </c>
      <c r="OGZ56" s="850">
        <f t="shared" si="176"/>
        <v>0</v>
      </c>
      <c r="OHA56" s="850">
        <f t="shared" si="176"/>
        <v>2.4781419252047251E+70</v>
      </c>
      <c r="OHB56" s="850">
        <f t="shared" si="176"/>
        <v>0</v>
      </c>
      <c r="OHC56" s="850">
        <f t="shared" si="176"/>
        <v>2.5524861829608669E+70</v>
      </c>
      <c r="OHD56" s="850">
        <f t="shared" si="176"/>
        <v>0</v>
      </c>
      <c r="OHE56" s="850">
        <f t="shared" si="176"/>
        <v>2.629060768449693E+70</v>
      </c>
      <c r="OHF56" s="850">
        <f t="shared" si="176"/>
        <v>0</v>
      </c>
      <c r="OHG56" s="850">
        <f t="shared" si="176"/>
        <v>2.7079325915031837E+70</v>
      </c>
      <c r="OHH56" s="850">
        <f t="shared" si="176"/>
        <v>0</v>
      </c>
      <c r="OHI56" s="850">
        <f t="shared" si="176"/>
        <v>2.7891705692482792E+70</v>
      </c>
      <c r="OHJ56" s="850">
        <f t="shared" si="176"/>
        <v>0</v>
      </c>
      <c r="OHK56" s="850">
        <f t="shared" si="176"/>
        <v>2.8728456863257279E+70</v>
      </c>
      <c r="OHL56" s="850">
        <f t="shared" si="176"/>
        <v>0</v>
      </c>
      <c r="OHM56" s="850">
        <f t="shared" si="176"/>
        <v>2.9590310569154999E+70</v>
      </c>
      <c r="OHN56" s="850">
        <f t="shared" si="176"/>
        <v>0</v>
      </c>
      <c r="OHO56" s="850">
        <f t="shared" si="176"/>
        <v>3.0478019886229647E+70</v>
      </c>
      <c r="OHP56" s="850">
        <f t="shared" si="176"/>
        <v>0</v>
      </c>
      <c r="OHQ56" s="850">
        <f t="shared" si="176"/>
        <v>3.1392360482816539E+70</v>
      </c>
      <c r="OHR56" s="850">
        <f t="shared" si="176"/>
        <v>0</v>
      </c>
      <c r="OHS56" s="850">
        <f t="shared" si="176"/>
        <v>3.2334131297301033E+70</v>
      </c>
      <c r="OHT56" s="850">
        <f t="shared" si="176"/>
        <v>0</v>
      </c>
      <c r="OHU56" s="850">
        <f t="shared" si="176"/>
        <v>3.3304155236220064E+70</v>
      </c>
      <c r="OHV56" s="850">
        <f t="shared" si="176"/>
        <v>0</v>
      </c>
      <c r="OHW56" s="850">
        <f t="shared" si="176"/>
        <v>3.4303279893306669E+70</v>
      </c>
      <c r="OHX56" s="850">
        <f t="shared" si="176"/>
        <v>0</v>
      </c>
      <c r="OHY56" s="850">
        <f t="shared" si="176"/>
        <v>3.5332378290105873E+70</v>
      </c>
      <c r="OHZ56" s="850">
        <f t="shared" si="176"/>
        <v>0</v>
      </c>
      <c r="OIA56" s="850">
        <f t="shared" si="176"/>
        <v>3.6392349638809052E+70</v>
      </c>
      <c r="OIB56" s="850">
        <f t="shared" si="176"/>
        <v>0</v>
      </c>
      <c r="OIC56" s="850">
        <f t="shared" si="176"/>
        <v>3.7484120127973325E+70</v>
      </c>
      <c r="OID56" s="850">
        <f t="shared" ref="OID56:OKO56" si="177">OIB56*$C$56</f>
        <v>0</v>
      </c>
      <c r="OIE56" s="850">
        <f t="shared" si="177"/>
        <v>3.8608643731812522E+70</v>
      </c>
      <c r="OIF56" s="850">
        <f t="shared" si="177"/>
        <v>0</v>
      </c>
      <c r="OIG56" s="850">
        <f t="shared" si="177"/>
        <v>3.97669030437669E+70</v>
      </c>
      <c r="OIH56" s="850">
        <f t="shared" si="177"/>
        <v>0</v>
      </c>
      <c r="OII56" s="850">
        <f t="shared" si="177"/>
        <v>4.0959910135079906E+70</v>
      </c>
      <c r="OIJ56" s="850">
        <f t="shared" si="177"/>
        <v>0</v>
      </c>
      <c r="OIK56" s="850">
        <f t="shared" si="177"/>
        <v>4.2188707439132302E+70</v>
      </c>
      <c r="OIL56" s="850">
        <f t="shared" si="177"/>
        <v>0</v>
      </c>
      <c r="OIM56" s="850">
        <f t="shared" si="177"/>
        <v>4.3454368662306274E+70</v>
      </c>
      <c r="OIN56" s="850">
        <f t="shared" si="177"/>
        <v>0</v>
      </c>
      <c r="OIO56" s="850">
        <f t="shared" si="177"/>
        <v>4.4757999722175465E+70</v>
      </c>
      <c r="OIP56" s="850">
        <f t="shared" si="177"/>
        <v>0</v>
      </c>
      <c r="OIQ56" s="850">
        <f t="shared" si="177"/>
        <v>4.6100739713840727E+70</v>
      </c>
      <c r="OIR56" s="850">
        <f t="shared" si="177"/>
        <v>0</v>
      </c>
      <c r="OIS56" s="850">
        <f t="shared" si="177"/>
        <v>4.7483761905255953E+70</v>
      </c>
      <c r="OIT56" s="850">
        <f t="shared" si="177"/>
        <v>0</v>
      </c>
      <c r="OIU56" s="850">
        <f t="shared" si="177"/>
        <v>4.8908274762413634E+70</v>
      </c>
      <c r="OIV56" s="850">
        <f t="shared" si="177"/>
        <v>0</v>
      </c>
      <c r="OIW56" s="850">
        <f t="shared" si="177"/>
        <v>5.0375523005286044E+70</v>
      </c>
      <c r="OIX56" s="850">
        <f t="shared" si="177"/>
        <v>0</v>
      </c>
      <c r="OIY56" s="850">
        <f t="shared" si="177"/>
        <v>5.1886788695444627E+70</v>
      </c>
      <c r="OIZ56" s="850">
        <f t="shared" si="177"/>
        <v>0</v>
      </c>
      <c r="OJA56" s="850">
        <f t="shared" si="177"/>
        <v>5.3443392356307965E+70</v>
      </c>
      <c r="OJB56" s="850">
        <f t="shared" si="177"/>
        <v>0</v>
      </c>
      <c r="OJC56" s="850">
        <f t="shared" si="177"/>
        <v>5.5046694126997205E+70</v>
      </c>
      <c r="OJD56" s="850">
        <f t="shared" si="177"/>
        <v>0</v>
      </c>
      <c r="OJE56" s="850">
        <f t="shared" si="177"/>
        <v>5.6698094950807126E+70</v>
      </c>
      <c r="OJF56" s="850">
        <f t="shared" si="177"/>
        <v>0</v>
      </c>
      <c r="OJG56" s="850">
        <f t="shared" si="177"/>
        <v>5.8399037799331341E+70</v>
      </c>
      <c r="OJH56" s="850">
        <f t="shared" si="177"/>
        <v>0</v>
      </c>
      <c r="OJI56" s="850">
        <f t="shared" si="177"/>
        <v>6.0151008933311283E+70</v>
      </c>
      <c r="OJJ56" s="850">
        <f t="shared" si="177"/>
        <v>0</v>
      </c>
      <c r="OJK56" s="850">
        <f t="shared" si="177"/>
        <v>6.1955539201310619E+70</v>
      </c>
      <c r="OJL56" s="850">
        <f t="shared" si="177"/>
        <v>0</v>
      </c>
      <c r="OJM56" s="850">
        <f t="shared" si="177"/>
        <v>6.3814205377349941E+70</v>
      </c>
      <c r="OJN56" s="850">
        <f t="shared" si="177"/>
        <v>0</v>
      </c>
      <c r="OJO56" s="850">
        <f t="shared" si="177"/>
        <v>6.5728631538670441E+70</v>
      </c>
      <c r="OJP56" s="850">
        <f t="shared" si="177"/>
        <v>0</v>
      </c>
      <c r="OJQ56" s="850">
        <f t="shared" si="177"/>
        <v>6.7700490484830552E+70</v>
      </c>
      <c r="OJR56" s="850">
        <f t="shared" si="177"/>
        <v>0</v>
      </c>
      <c r="OJS56" s="850">
        <f t="shared" si="177"/>
        <v>6.9731505199375473E+70</v>
      </c>
      <c r="OJT56" s="850">
        <f t="shared" si="177"/>
        <v>0</v>
      </c>
      <c r="OJU56" s="850">
        <f t="shared" si="177"/>
        <v>7.1823450355356735E+70</v>
      </c>
      <c r="OJV56" s="850">
        <f t="shared" si="177"/>
        <v>0</v>
      </c>
      <c r="OJW56" s="850">
        <f t="shared" si="177"/>
        <v>7.397815386601744E+70</v>
      </c>
      <c r="OJX56" s="850">
        <f t="shared" si="177"/>
        <v>0</v>
      </c>
      <c r="OJY56" s="850">
        <f t="shared" si="177"/>
        <v>7.619749848199796E+70</v>
      </c>
      <c r="OJZ56" s="850">
        <f t="shared" si="177"/>
        <v>0</v>
      </c>
      <c r="OKA56" s="850">
        <f t="shared" si="177"/>
        <v>7.8483423436457905E+70</v>
      </c>
      <c r="OKB56" s="850">
        <f t="shared" si="177"/>
        <v>0</v>
      </c>
      <c r="OKC56" s="850">
        <f t="shared" si="177"/>
        <v>8.0837926139551641E+70</v>
      </c>
      <c r="OKD56" s="850">
        <f t="shared" si="177"/>
        <v>0</v>
      </c>
      <c r="OKE56" s="850">
        <f t="shared" si="177"/>
        <v>8.3263063923738195E+70</v>
      </c>
      <c r="OKF56" s="850">
        <f t="shared" si="177"/>
        <v>0</v>
      </c>
      <c r="OKG56" s="850">
        <f t="shared" si="177"/>
        <v>8.5760955841450342E+70</v>
      </c>
      <c r="OKH56" s="850">
        <f t="shared" si="177"/>
        <v>0</v>
      </c>
      <c r="OKI56" s="850">
        <f t="shared" si="177"/>
        <v>8.8333784516693852E+70</v>
      </c>
      <c r="OKJ56" s="850">
        <f t="shared" si="177"/>
        <v>0</v>
      </c>
      <c r="OKK56" s="850">
        <f t="shared" si="177"/>
        <v>9.0983798052194674E+70</v>
      </c>
      <c r="OKL56" s="850">
        <f t="shared" si="177"/>
        <v>0</v>
      </c>
      <c r="OKM56" s="850">
        <f t="shared" si="177"/>
        <v>9.3713311993760514E+70</v>
      </c>
      <c r="OKN56" s="850">
        <f t="shared" si="177"/>
        <v>0</v>
      </c>
      <c r="OKO56" s="850">
        <f t="shared" si="177"/>
        <v>9.6524711353573336E+70</v>
      </c>
      <c r="OKP56" s="850">
        <f t="shared" ref="OKP56:ONA56" si="178">OKN56*$C$56</f>
        <v>0</v>
      </c>
      <c r="OKQ56" s="850">
        <f t="shared" si="178"/>
        <v>9.9420452694180543E+70</v>
      </c>
      <c r="OKR56" s="850">
        <f t="shared" si="178"/>
        <v>0</v>
      </c>
      <c r="OKS56" s="850">
        <f t="shared" si="178"/>
        <v>1.0240306627500596E+71</v>
      </c>
      <c r="OKT56" s="850">
        <f t="shared" si="178"/>
        <v>0</v>
      </c>
      <c r="OKU56" s="850">
        <f t="shared" si="178"/>
        <v>1.0547515826325614E+71</v>
      </c>
      <c r="OKV56" s="850">
        <f t="shared" si="178"/>
        <v>0</v>
      </c>
      <c r="OKW56" s="850">
        <f t="shared" si="178"/>
        <v>1.0863941301115383E+71</v>
      </c>
      <c r="OKX56" s="850">
        <f t="shared" si="178"/>
        <v>0</v>
      </c>
      <c r="OKY56" s="850">
        <f t="shared" si="178"/>
        <v>1.1189859540148844E+71</v>
      </c>
      <c r="OKZ56" s="850">
        <f t="shared" si="178"/>
        <v>0</v>
      </c>
      <c r="OLA56" s="850">
        <f t="shared" si="178"/>
        <v>1.1525555326353309E+71</v>
      </c>
      <c r="OLB56" s="850">
        <f t="shared" si="178"/>
        <v>0</v>
      </c>
      <c r="OLC56" s="850">
        <f t="shared" si="178"/>
        <v>1.1871321986143909E+71</v>
      </c>
      <c r="OLD56" s="850">
        <f t="shared" si="178"/>
        <v>0</v>
      </c>
      <c r="OLE56" s="850">
        <f t="shared" si="178"/>
        <v>1.2227461645728227E+71</v>
      </c>
      <c r="OLF56" s="850">
        <f t="shared" si="178"/>
        <v>0</v>
      </c>
      <c r="OLG56" s="850">
        <f t="shared" si="178"/>
        <v>1.2594285495100074E+71</v>
      </c>
      <c r="OLH56" s="850">
        <f t="shared" si="178"/>
        <v>0</v>
      </c>
      <c r="OLI56" s="850">
        <f t="shared" si="178"/>
        <v>1.2972114059953076E+71</v>
      </c>
      <c r="OLJ56" s="850">
        <f t="shared" si="178"/>
        <v>0</v>
      </c>
      <c r="OLK56" s="850">
        <f t="shared" si="178"/>
        <v>1.3361277481751669E+71</v>
      </c>
      <c r="OLL56" s="850">
        <f t="shared" si="178"/>
        <v>0</v>
      </c>
      <c r="OLM56" s="850">
        <f t="shared" si="178"/>
        <v>1.3762115806204219E+71</v>
      </c>
      <c r="OLN56" s="850">
        <f t="shared" si="178"/>
        <v>0</v>
      </c>
      <c r="OLO56" s="850">
        <f t="shared" si="178"/>
        <v>1.4174979280390346E+71</v>
      </c>
      <c r="OLP56" s="850">
        <f t="shared" si="178"/>
        <v>0</v>
      </c>
      <c r="OLQ56" s="850">
        <f t="shared" si="178"/>
        <v>1.4600228658802057E+71</v>
      </c>
      <c r="OLR56" s="850">
        <f t="shared" si="178"/>
        <v>0</v>
      </c>
      <c r="OLS56" s="850">
        <f t="shared" si="178"/>
        <v>1.5038235518566118E+71</v>
      </c>
      <c r="OLT56" s="850">
        <f t="shared" si="178"/>
        <v>0</v>
      </c>
      <c r="OLU56" s="850">
        <f t="shared" si="178"/>
        <v>1.5489382584123102E+71</v>
      </c>
      <c r="OLV56" s="850">
        <f t="shared" si="178"/>
        <v>0</v>
      </c>
      <c r="OLW56" s="850">
        <f t="shared" si="178"/>
        <v>1.5954064061646796E+71</v>
      </c>
      <c r="OLX56" s="850">
        <f t="shared" si="178"/>
        <v>0</v>
      </c>
      <c r="OLY56" s="850">
        <f t="shared" si="178"/>
        <v>1.64326859834962E+71</v>
      </c>
      <c r="OLZ56" s="850">
        <f t="shared" si="178"/>
        <v>0</v>
      </c>
      <c r="OMA56" s="850">
        <f t="shared" si="178"/>
        <v>1.6925666563001087E+71</v>
      </c>
      <c r="OMB56" s="850">
        <f t="shared" si="178"/>
        <v>0</v>
      </c>
      <c r="OMC56" s="850">
        <f t="shared" si="178"/>
        <v>1.743343655989112E+71</v>
      </c>
      <c r="OMD56" s="850">
        <f t="shared" si="178"/>
        <v>0</v>
      </c>
      <c r="OME56" s="850">
        <f t="shared" si="178"/>
        <v>1.7956439656687855E+71</v>
      </c>
      <c r="OMF56" s="850">
        <f t="shared" si="178"/>
        <v>0</v>
      </c>
      <c r="OMG56" s="850">
        <f t="shared" si="178"/>
        <v>1.8495132846388491E+71</v>
      </c>
      <c r="OMH56" s="850">
        <f t="shared" si="178"/>
        <v>0</v>
      </c>
      <c r="OMI56" s="850">
        <f t="shared" si="178"/>
        <v>1.9049986831780147E+71</v>
      </c>
      <c r="OMJ56" s="850">
        <f t="shared" si="178"/>
        <v>0</v>
      </c>
      <c r="OMK56" s="850">
        <f t="shared" si="178"/>
        <v>1.9621486436733551E+71</v>
      </c>
      <c r="OML56" s="850">
        <f t="shared" si="178"/>
        <v>0</v>
      </c>
      <c r="OMM56" s="850">
        <f t="shared" si="178"/>
        <v>2.0210131029835557E+71</v>
      </c>
      <c r="OMN56" s="850">
        <f t="shared" si="178"/>
        <v>0</v>
      </c>
      <c r="OMO56" s="850">
        <f t="shared" si="178"/>
        <v>2.0816434960730625E+71</v>
      </c>
      <c r="OMP56" s="850">
        <f t="shared" si="178"/>
        <v>0</v>
      </c>
      <c r="OMQ56" s="850">
        <f t="shared" si="178"/>
        <v>2.1440928009552545E+71</v>
      </c>
      <c r="OMR56" s="850">
        <f t="shared" si="178"/>
        <v>0</v>
      </c>
      <c r="OMS56" s="850">
        <f t="shared" si="178"/>
        <v>2.2084155849839122E+71</v>
      </c>
      <c r="OMT56" s="850">
        <f t="shared" si="178"/>
        <v>0</v>
      </c>
      <c r="OMU56" s="850">
        <f t="shared" si="178"/>
        <v>2.2746680525334297E+71</v>
      </c>
      <c r="OMV56" s="850">
        <f t="shared" si="178"/>
        <v>0</v>
      </c>
      <c r="OMW56" s="850">
        <f t="shared" si="178"/>
        <v>2.3429080941094327E+71</v>
      </c>
      <c r="OMX56" s="850">
        <f t="shared" si="178"/>
        <v>0</v>
      </c>
      <c r="OMY56" s="850">
        <f t="shared" si="178"/>
        <v>2.4131953369327159E+71</v>
      </c>
      <c r="OMZ56" s="850">
        <f t="shared" si="178"/>
        <v>0</v>
      </c>
      <c r="ONA56" s="850">
        <f t="shared" si="178"/>
        <v>2.4855911970406977E+71</v>
      </c>
      <c r="ONB56" s="850">
        <f t="shared" ref="ONB56:OPM56" si="179">OMZ56*$C$56</f>
        <v>0</v>
      </c>
      <c r="ONC56" s="850">
        <f t="shared" si="179"/>
        <v>2.5601589329519189E+71</v>
      </c>
      <c r="OND56" s="850">
        <f t="shared" si="179"/>
        <v>0</v>
      </c>
      <c r="ONE56" s="850">
        <f t="shared" si="179"/>
        <v>2.6369637009404764E+71</v>
      </c>
      <c r="ONF56" s="850">
        <f t="shared" si="179"/>
        <v>0</v>
      </c>
      <c r="ONG56" s="850">
        <f t="shared" si="179"/>
        <v>2.7160726119686909E+71</v>
      </c>
      <c r="ONH56" s="850">
        <f t="shared" si="179"/>
        <v>0</v>
      </c>
      <c r="ONI56" s="850">
        <f t="shared" si="179"/>
        <v>2.7975547903277519E+71</v>
      </c>
      <c r="ONJ56" s="850">
        <f t="shared" si="179"/>
        <v>0</v>
      </c>
      <c r="ONK56" s="850">
        <f t="shared" si="179"/>
        <v>2.8814814340375846E+71</v>
      </c>
      <c r="ONL56" s="850">
        <f t="shared" si="179"/>
        <v>0</v>
      </c>
      <c r="ONM56" s="850">
        <f t="shared" si="179"/>
        <v>2.9679258770587122E+71</v>
      </c>
      <c r="ONN56" s="850">
        <f t="shared" si="179"/>
        <v>0</v>
      </c>
      <c r="ONO56" s="850">
        <f t="shared" si="179"/>
        <v>3.0569636533704735E+71</v>
      </c>
      <c r="ONP56" s="850">
        <f t="shared" si="179"/>
        <v>0</v>
      </c>
      <c r="ONQ56" s="850">
        <f t="shared" si="179"/>
        <v>3.1486725629715878E+71</v>
      </c>
      <c r="ONR56" s="850">
        <f t="shared" si="179"/>
        <v>0</v>
      </c>
      <c r="ONS56" s="850">
        <f t="shared" si="179"/>
        <v>3.2431327398607357E+71</v>
      </c>
      <c r="ONT56" s="850">
        <f t="shared" si="179"/>
        <v>0</v>
      </c>
      <c r="ONU56" s="850">
        <f t="shared" si="179"/>
        <v>3.3404267220565577E+71</v>
      </c>
      <c r="ONV56" s="850">
        <f t="shared" si="179"/>
        <v>0</v>
      </c>
      <c r="ONW56" s="850">
        <f t="shared" si="179"/>
        <v>3.4406395237182548E+71</v>
      </c>
      <c r="ONX56" s="850">
        <f t="shared" si="179"/>
        <v>0</v>
      </c>
      <c r="ONY56" s="850">
        <f t="shared" si="179"/>
        <v>3.5438587094298026E+71</v>
      </c>
      <c r="ONZ56" s="850">
        <f t="shared" si="179"/>
        <v>0</v>
      </c>
      <c r="OOA56" s="850">
        <f t="shared" si="179"/>
        <v>3.6501744707126966E+71</v>
      </c>
      <c r="OOB56" s="850">
        <f t="shared" si="179"/>
        <v>0</v>
      </c>
      <c r="OOC56" s="850">
        <f t="shared" si="179"/>
        <v>3.7596797048340777E+71</v>
      </c>
      <c r="OOD56" s="850">
        <f t="shared" si="179"/>
        <v>0</v>
      </c>
      <c r="OOE56" s="850">
        <f t="shared" si="179"/>
        <v>3.8724700959791002E+71</v>
      </c>
      <c r="OOF56" s="850">
        <f t="shared" si="179"/>
        <v>0</v>
      </c>
      <c r="OOG56" s="850">
        <f t="shared" si="179"/>
        <v>3.9886441988584732E+71</v>
      </c>
      <c r="OOH56" s="850">
        <f t="shared" si="179"/>
        <v>0</v>
      </c>
      <c r="OOI56" s="850">
        <f t="shared" si="179"/>
        <v>4.1083035248242275E+71</v>
      </c>
      <c r="OOJ56" s="850">
        <f t="shared" si="179"/>
        <v>0</v>
      </c>
      <c r="OOK56" s="850">
        <f t="shared" si="179"/>
        <v>4.2315526305689545E+71</v>
      </c>
      <c r="OOL56" s="850">
        <f t="shared" si="179"/>
        <v>0</v>
      </c>
      <c r="OOM56" s="850">
        <f t="shared" si="179"/>
        <v>4.3584992094860232E+71</v>
      </c>
      <c r="OON56" s="850">
        <f t="shared" si="179"/>
        <v>0</v>
      </c>
      <c r="OOO56" s="850">
        <f t="shared" si="179"/>
        <v>4.4892541857706044E+71</v>
      </c>
      <c r="OOP56" s="850">
        <f t="shared" si="179"/>
        <v>0</v>
      </c>
      <c r="OOQ56" s="850">
        <f t="shared" si="179"/>
        <v>4.6239318113437224E+71</v>
      </c>
      <c r="OOR56" s="850">
        <f t="shared" si="179"/>
        <v>0</v>
      </c>
      <c r="OOS56" s="850">
        <f t="shared" si="179"/>
        <v>4.7626497656840346E+71</v>
      </c>
      <c r="OOT56" s="850">
        <f t="shared" si="179"/>
        <v>0</v>
      </c>
      <c r="OOU56" s="850">
        <f t="shared" si="179"/>
        <v>4.905529258654556E+71</v>
      </c>
      <c r="OOV56" s="850">
        <f t="shared" si="179"/>
        <v>0</v>
      </c>
      <c r="OOW56" s="850">
        <f t="shared" si="179"/>
        <v>5.0526951364141926E+71</v>
      </c>
      <c r="OOX56" s="850">
        <f t="shared" si="179"/>
        <v>0</v>
      </c>
      <c r="OOY56" s="850">
        <f t="shared" si="179"/>
        <v>5.2042759905066185E+71</v>
      </c>
      <c r="OOZ56" s="850">
        <f t="shared" si="179"/>
        <v>0</v>
      </c>
      <c r="OPA56" s="850">
        <f t="shared" si="179"/>
        <v>5.3604042702218171E+71</v>
      </c>
      <c r="OPB56" s="850">
        <f t="shared" si="179"/>
        <v>0</v>
      </c>
      <c r="OPC56" s="850">
        <f t="shared" si="179"/>
        <v>5.5212163983284722E+71</v>
      </c>
      <c r="OPD56" s="850">
        <f t="shared" si="179"/>
        <v>0</v>
      </c>
      <c r="OPE56" s="850">
        <f t="shared" si="179"/>
        <v>5.6868528902783267E+71</v>
      </c>
      <c r="OPF56" s="850">
        <f t="shared" si="179"/>
        <v>0</v>
      </c>
      <c r="OPG56" s="850">
        <f t="shared" si="179"/>
        <v>5.8574584769866764E+71</v>
      </c>
      <c r="OPH56" s="850">
        <f t="shared" si="179"/>
        <v>0</v>
      </c>
      <c r="OPI56" s="850">
        <f t="shared" si="179"/>
        <v>6.0331822312962773E+71</v>
      </c>
      <c r="OPJ56" s="850">
        <f t="shared" si="179"/>
        <v>0</v>
      </c>
      <c r="OPK56" s="850">
        <f t="shared" si="179"/>
        <v>6.2141776982351657E+71</v>
      </c>
      <c r="OPL56" s="850">
        <f t="shared" si="179"/>
        <v>0</v>
      </c>
      <c r="OPM56" s="850">
        <f t="shared" si="179"/>
        <v>6.4006030291822207E+71</v>
      </c>
      <c r="OPN56" s="850">
        <f t="shared" ref="OPN56:ORY56" si="180">OPL56*$C$56</f>
        <v>0</v>
      </c>
      <c r="OPO56" s="850">
        <f t="shared" si="180"/>
        <v>6.592621120057687E+71</v>
      </c>
      <c r="OPP56" s="850">
        <f t="shared" si="180"/>
        <v>0</v>
      </c>
      <c r="OPQ56" s="850">
        <f t="shared" si="180"/>
        <v>6.7903997536594182E+71</v>
      </c>
      <c r="OPR56" s="850">
        <f t="shared" si="180"/>
        <v>0</v>
      </c>
      <c r="OPS56" s="850">
        <f t="shared" si="180"/>
        <v>6.9941117462692009E+71</v>
      </c>
      <c r="OPT56" s="850">
        <f t="shared" si="180"/>
        <v>0</v>
      </c>
      <c r="OPU56" s="850">
        <f t="shared" si="180"/>
        <v>7.2039350986572776E+71</v>
      </c>
      <c r="OPV56" s="850">
        <f t="shared" si="180"/>
        <v>0</v>
      </c>
      <c r="OPW56" s="850">
        <f t="shared" si="180"/>
        <v>7.4200531516169957E+71</v>
      </c>
      <c r="OPX56" s="850">
        <f t="shared" si="180"/>
        <v>0</v>
      </c>
      <c r="OPY56" s="850">
        <f t="shared" si="180"/>
        <v>7.6426547461655057E+71</v>
      </c>
      <c r="OPZ56" s="850">
        <f t="shared" si="180"/>
        <v>0</v>
      </c>
      <c r="OQA56" s="850">
        <f t="shared" si="180"/>
        <v>7.8719343885504711E+71</v>
      </c>
      <c r="OQB56" s="850">
        <f t="shared" si="180"/>
        <v>0</v>
      </c>
      <c r="OQC56" s="850">
        <f t="shared" si="180"/>
        <v>8.1080924202069855E+71</v>
      </c>
      <c r="OQD56" s="850">
        <f t="shared" si="180"/>
        <v>0</v>
      </c>
      <c r="OQE56" s="850">
        <f t="shared" si="180"/>
        <v>8.351335192813195E+71</v>
      </c>
      <c r="OQF56" s="850">
        <f t="shared" si="180"/>
        <v>0</v>
      </c>
      <c r="OQG56" s="850">
        <f t="shared" si="180"/>
        <v>8.6018752485975915E+71</v>
      </c>
      <c r="OQH56" s="850">
        <f t="shared" si="180"/>
        <v>0</v>
      </c>
      <c r="OQI56" s="850">
        <f t="shared" si="180"/>
        <v>8.8599315060555187E+71</v>
      </c>
      <c r="OQJ56" s="850">
        <f t="shared" si="180"/>
        <v>0</v>
      </c>
      <c r="OQK56" s="850">
        <f t="shared" si="180"/>
        <v>9.1257294512371837E+71</v>
      </c>
      <c r="OQL56" s="850">
        <f t="shared" si="180"/>
        <v>0</v>
      </c>
      <c r="OQM56" s="850">
        <f t="shared" si="180"/>
        <v>9.3995013347742996E+71</v>
      </c>
      <c r="OQN56" s="850">
        <f t="shared" si="180"/>
        <v>0</v>
      </c>
      <c r="OQO56" s="850">
        <f t="shared" si="180"/>
        <v>9.6814863748175282E+71</v>
      </c>
      <c r="OQP56" s="850">
        <f t="shared" si="180"/>
        <v>0</v>
      </c>
      <c r="OQQ56" s="850">
        <f t="shared" si="180"/>
        <v>9.9719309660620536E+71</v>
      </c>
      <c r="OQR56" s="850">
        <f t="shared" si="180"/>
        <v>0</v>
      </c>
      <c r="OQS56" s="850">
        <f t="shared" si="180"/>
        <v>1.0271088895043915E+72</v>
      </c>
      <c r="OQT56" s="850">
        <f t="shared" si="180"/>
        <v>0</v>
      </c>
      <c r="OQU56" s="850">
        <f t="shared" si="180"/>
        <v>1.0579221561895234E+72</v>
      </c>
      <c r="OQV56" s="850">
        <f t="shared" si="180"/>
        <v>0</v>
      </c>
      <c r="OQW56" s="850">
        <f t="shared" si="180"/>
        <v>1.0896598208752091E+72</v>
      </c>
      <c r="OQX56" s="850">
        <f t="shared" si="180"/>
        <v>0</v>
      </c>
      <c r="OQY56" s="850">
        <f t="shared" si="180"/>
        <v>1.1223496155014654E+72</v>
      </c>
      <c r="OQZ56" s="850">
        <f t="shared" si="180"/>
        <v>0</v>
      </c>
      <c r="ORA56" s="850">
        <f t="shared" si="180"/>
        <v>1.1560201039665093E+72</v>
      </c>
      <c r="ORB56" s="850">
        <f t="shared" si="180"/>
        <v>0</v>
      </c>
      <c r="ORC56" s="850">
        <f t="shared" si="180"/>
        <v>1.1907007070855046E+72</v>
      </c>
      <c r="ORD56" s="850">
        <f t="shared" si="180"/>
        <v>0</v>
      </c>
      <c r="ORE56" s="850">
        <f t="shared" si="180"/>
        <v>1.2264217282980698E+72</v>
      </c>
      <c r="ORF56" s="850">
        <f t="shared" si="180"/>
        <v>0</v>
      </c>
      <c r="ORG56" s="850">
        <f t="shared" si="180"/>
        <v>1.263214380147012E+72</v>
      </c>
      <c r="ORH56" s="850">
        <f t="shared" si="180"/>
        <v>0</v>
      </c>
      <c r="ORI56" s="850">
        <f t="shared" si="180"/>
        <v>1.3011108115514225E+72</v>
      </c>
      <c r="ORJ56" s="850">
        <f t="shared" si="180"/>
        <v>0</v>
      </c>
      <c r="ORK56" s="850">
        <f t="shared" si="180"/>
        <v>1.3401441358979651E+72</v>
      </c>
      <c r="ORL56" s="850">
        <f t="shared" si="180"/>
        <v>0</v>
      </c>
      <c r="ORM56" s="850">
        <f t="shared" si="180"/>
        <v>1.380348459974904E+72</v>
      </c>
      <c r="ORN56" s="850">
        <f t="shared" si="180"/>
        <v>0</v>
      </c>
      <c r="ORO56" s="850">
        <f t="shared" si="180"/>
        <v>1.4217589137741511E+72</v>
      </c>
      <c r="ORP56" s="850">
        <f t="shared" si="180"/>
        <v>0</v>
      </c>
      <c r="ORQ56" s="850">
        <f t="shared" si="180"/>
        <v>1.4644116811873757E+72</v>
      </c>
      <c r="ORR56" s="850">
        <f t="shared" si="180"/>
        <v>0</v>
      </c>
      <c r="ORS56" s="850">
        <f t="shared" si="180"/>
        <v>1.5083440316229971E+72</v>
      </c>
      <c r="ORT56" s="850">
        <f t="shared" si="180"/>
        <v>0</v>
      </c>
      <c r="ORU56" s="850">
        <f t="shared" si="180"/>
        <v>1.553594352571687E+72</v>
      </c>
      <c r="ORV56" s="850">
        <f t="shared" si="180"/>
        <v>0</v>
      </c>
      <c r="ORW56" s="850">
        <f t="shared" si="180"/>
        <v>1.6002021831488378E+72</v>
      </c>
      <c r="ORX56" s="850">
        <f t="shared" si="180"/>
        <v>0</v>
      </c>
      <c r="ORY56" s="850">
        <f t="shared" si="180"/>
        <v>1.6482082486433029E+72</v>
      </c>
      <c r="ORZ56" s="850">
        <f t="shared" ref="ORZ56:OUK56" si="181">ORX56*$C$56</f>
        <v>0</v>
      </c>
      <c r="OSA56" s="850">
        <f t="shared" si="181"/>
        <v>1.6976544961026021E+72</v>
      </c>
      <c r="OSB56" s="850">
        <f t="shared" si="181"/>
        <v>0</v>
      </c>
      <c r="OSC56" s="850">
        <f t="shared" si="181"/>
        <v>1.7485841309856803E+72</v>
      </c>
      <c r="OSD56" s="850">
        <f t="shared" si="181"/>
        <v>0</v>
      </c>
      <c r="OSE56" s="850">
        <f t="shared" si="181"/>
        <v>1.8010416549152506E+72</v>
      </c>
      <c r="OSF56" s="850">
        <f t="shared" si="181"/>
        <v>0</v>
      </c>
      <c r="OSG56" s="850">
        <f t="shared" si="181"/>
        <v>1.8550729045627084E+72</v>
      </c>
      <c r="OSH56" s="850">
        <f t="shared" si="181"/>
        <v>0</v>
      </c>
      <c r="OSI56" s="850">
        <f t="shared" si="181"/>
        <v>1.9107250916995896E+72</v>
      </c>
      <c r="OSJ56" s="850">
        <f t="shared" si="181"/>
        <v>0</v>
      </c>
      <c r="OSK56" s="850">
        <f t="shared" si="181"/>
        <v>1.9680468444505775E+72</v>
      </c>
      <c r="OSL56" s="850">
        <f t="shared" si="181"/>
        <v>0</v>
      </c>
      <c r="OSM56" s="850">
        <f t="shared" si="181"/>
        <v>2.0270882497840947E+72</v>
      </c>
      <c r="OSN56" s="850">
        <f t="shared" si="181"/>
        <v>0</v>
      </c>
      <c r="OSO56" s="850">
        <f t="shared" si="181"/>
        <v>2.0879008972776177E+72</v>
      </c>
      <c r="OSP56" s="850">
        <f t="shared" si="181"/>
        <v>0</v>
      </c>
      <c r="OSQ56" s="850">
        <f t="shared" si="181"/>
        <v>2.1505379241959463E+72</v>
      </c>
      <c r="OSR56" s="850">
        <f t="shared" si="181"/>
        <v>0</v>
      </c>
      <c r="OSS56" s="850">
        <f t="shared" si="181"/>
        <v>2.2150540619218249E+72</v>
      </c>
      <c r="OST56" s="850">
        <f t="shared" si="181"/>
        <v>0</v>
      </c>
      <c r="OSU56" s="850">
        <f t="shared" si="181"/>
        <v>2.2815056837794798E+72</v>
      </c>
      <c r="OSV56" s="850">
        <f t="shared" si="181"/>
        <v>0</v>
      </c>
      <c r="OSW56" s="850">
        <f t="shared" si="181"/>
        <v>2.3499508542928643E+72</v>
      </c>
      <c r="OSX56" s="850">
        <f t="shared" si="181"/>
        <v>0</v>
      </c>
      <c r="OSY56" s="850">
        <f t="shared" si="181"/>
        <v>2.4204493799216505E+72</v>
      </c>
      <c r="OSZ56" s="850">
        <f t="shared" si="181"/>
        <v>0</v>
      </c>
      <c r="OTA56" s="850">
        <f t="shared" si="181"/>
        <v>2.4930628613193002E+72</v>
      </c>
      <c r="OTB56" s="850">
        <f t="shared" si="181"/>
        <v>0</v>
      </c>
      <c r="OTC56" s="850">
        <f t="shared" si="181"/>
        <v>2.5678547471588791E+72</v>
      </c>
      <c r="OTD56" s="850">
        <f t="shared" si="181"/>
        <v>0</v>
      </c>
      <c r="OTE56" s="850">
        <f t="shared" si="181"/>
        <v>2.6448903895736454E+72</v>
      </c>
      <c r="OTF56" s="850">
        <f t="shared" si="181"/>
        <v>0</v>
      </c>
      <c r="OTG56" s="850">
        <f t="shared" si="181"/>
        <v>2.7242371012608547E+72</v>
      </c>
      <c r="OTH56" s="850">
        <f t="shared" si="181"/>
        <v>0</v>
      </c>
      <c r="OTI56" s="850">
        <f t="shared" si="181"/>
        <v>2.8059642142986802E+72</v>
      </c>
      <c r="OTJ56" s="850">
        <f t="shared" si="181"/>
        <v>0</v>
      </c>
      <c r="OTK56" s="850">
        <f t="shared" si="181"/>
        <v>2.8901431407276406E+72</v>
      </c>
      <c r="OTL56" s="850">
        <f t="shared" si="181"/>
        <v>0</v>
      </c>
      <c r="OTM56" s="850">
        <f t="shared" si="181"/>
        <v>2.9768474349494699E+72</v>
      </c>
      <c r="OTN56" s="850">
        <f t="shared" si="181"/>
        <v>0</v>
      </c>
      <c r="OTO56" s="850">
        <f t="shared" si="181"/>
        <v>3.0661528579979541E+72</v>
      </c>
      <c r="OTP56" s="850">
        <f t="shared" si="181"/>
        <v>0</v>
      </c>
      <c r="OTQ56" s="850">
        <f t="shared" si="181"/>
        <v>3.1581374437378926E+72</v>
      </c>
      <c r="OTR56" s="850">
        <f t="shared" si="181"/>
        <v>0</v>
      </c>
      <c r="OTS56" s="850">
        <f t="shared" si="181"/>
        <v>3.2528815670500294E+72</v>
      </c>
      <c r="OTT56" s="850">
        <f t="shared" si="181"/>
        <v>0</v>
      </c>
      <c r="OTU56" s="850">
        <f t="shared" si="181"/>
        <v>3.3504680140615305E+72</v>
      </c>
      <c r="OTV56" s="850">
        <f t="shared" si="181"/>
        <v>0</v>
      </c>
      <c r="OTW56" s="850">
        <f t="shared" si="181"/>
        <v>3.4509820544833765E+72</v>
      </c>
      <c r="OTX56" s="850">
        <f t="shared" si="181"/>
        <v>0</v>
      </c>
      <c r="OTY56" s="850">
        <f t="shared" si="181"/>
        <v>3.5545115161178776E+72</v>
      </c>
      <c r="OTZ56" s="850">
        <f t="shared" si="181"/>
        <v>0</v>
      </c>
      <c r="OUA56" s="850">
        <f t="shared" si="181"/>
        <v>3.6611468616014139E+72</v>
      </c>
      <c r="OUB56" s="850">
        <f t="shared" si="181"/>
        <v>0</v>
      </c>
      <c r="OUC56" s="850">
        <f t="shared" si="181"/>
        <v>3.7709812674494562E+72</v>
      </c>
      <c r="OUD56" s="850">
        <f t="shared" si="181"/>
        <v>0</v>
      </c>
      <c r="OUE56" s="850">
        <f t="shared" si="181"/>
        <v>3.8841107054729402E+72</v>
      </c>
      <c r="OUF56" s="850">
        <f t="shared" si="181"/>
        <v>0</v>
      </c>
      <c r="OUG56" s="850">
        <f t="shared" si="181"/>
        <v>4.0006340266371286E+72</v>
      </c>
      <c r="OUH56" s="850">
        <f t="shared" si="181"/>
        <v>0</v>
      </c>
      <c r="OUI56" s="850">
        <f t="shared" si="181"/>
        <v>4.1206530474362428E+72</v>
      </c>
      <c r="OUJ56" s="850">
        <f t="shared" si="181"/>
        <v>0</v>
      </c>
      <c r="OUK56" s="850">
        <f t="shared" si="181"/>
        <v>4.2442726388593299E+72</v>
      </c>
      <c r="OUL56" s="850">
        <f t="shared" ref="OUL56:OWW56" si="182">OUJ56*$C$56</f>
        <v>0</v>
      </c>
      <c r="OUM56" s="850">
        <f t="shared" si="182"/>
        <v>4.3716008180251097E+72</v>
      </c>
      <c r="OUN56" s="850">
        <f t="shared" si="182"/>
        <v>0</v>
      </c>
      <c r="OUO56" s="850">
        <f t="shared" si="182"/>
        <v>4.5027488425658634E+72</v>
      </c>
      <c r="OUP56" s="850">
        <f t="shared" si="182"/>
        <v>0</v>
      </c>
      <c r="OUQ56" s="850">
        <f t="shared" si="182"/>
        <v>4.6378313078428396E+72</v>
      </c>
      <c r="OUR56" s="850">
        <f t="shared" si="182"/>
        <v>0</v>
      </c>
      <c r="OUS56" s="850">
        <f t="shared" si="182"/>
        <v>4.7769662470781252E+72</v>
      </c>
      <c r="OUT56" s="850">
        <f t="shared" si="182"/>
        <v>0</v>
      </c>
      <c r="OUU56" s="850">
        <f t="shared" si="182"/>
        <v>4.9202752344904691E+72</v>
      </c>
      <c r="OUV56" s="850">
        <f t="shared" si="182"/>
        <v>0</v>
      </c>
      <c r="OUW56" s="850">
        <f t="shared" si="182"/>
        <v>5.067883491525183E+72</v>
      </c>
      <c r="OUX56" s="850">
        <f t="shared" si="182"/>
        <v>0</v>
      </c>
      <c r="OUY56" s="850">
        <f t="shared" si="182"/>
        <v>5.2199199962709385E+72</v>
      </c>
      <c r="OUZ56" s="850">
        <f t="shared" si="182"/>
        <v>0</v>
      </c>
      <c r="OVA56" s="850">
        <f t="shared" si="182"/>
        <v>5.376517596159067E+72</v>
      </c>
      <c r="OVB56" s="850">
        <f t="shared" si="182"/>
        <v>0</v>
      </c>
      <c r="OVC56" s="850">
        <f t="shared" si="182"/>
        <v>5.5378131240438395E+72</v>
      </c>
      <c r="OVD56" s="850">
        <f t="shared" si="182"/>
        <v>0</v>
      </c>
      <c r="OVE56" s="850">
        <f t="shared" si="182"/>
        <v>5.7039475177651546E+72</v>
      </c>
      <c r="OVF56" s="850">
        <f t="shared" si="182"/>
        <v>0</v>
      </c>
      <c r="OVG56" s="850">
        <f t="shared" si="182"/>
        <v>5.8750659432981095E+72</v>
      </c>
      <c r="OVH56" s="850">
        <f t="shared" si="182"/>
        <v>0</v>
      </c>
      <c r="OVI56" s="850">
        <f t="shared" si="182"/>
        <v>6.0513179215970526E+72</v>
      </c>
      <c r="OVJ56" s="850">
        <f t="shared" si="182"/>
        <v>0</v>
      </c>
      <c r="OVK56" s="850">
        <f t="shared" si="182"/>
        <v>6.2328574592449645E+72</v>
      </c>
      <c r="OVL56" s="850">
        <f t="shared" si="182"/>
        <v>0</v>
      </c>
      <c r="OVM56" s="850">
        <f t="shared" si="182"/>
        <v>6.419843183022314E+72</v>
      </c>
      <c r="OVN56" s="850">
        <f t="shared" si="182"/>
        <v>0</v>
      </c>
      <c r="OVO56" s="850">
        <f t="shared" si="182"/>
        <v>6.6124384785129834E+72</v>
      </c>
      <c r="OVP56" s="850">
        <f t="shared" si="182"/>
        <v>0</v>
      </c>
      <c r="OVQ56" s="850">
        <f t="shared" si="182"/>
        <v>6.8108116328683735E+72</v>
      </c>
      <c r="OVR56" s="850">
        <f t="shared" si="182"/>
        <v>0</v>
      </c>
      <c r="OVS56" s="850">
        <f t="shared" si="182"/>
        <v>7.0151359818544247E+72</v>
      </c>
      <c r="OVT56" s="850">
        <f t="shared" si="182"/>
        <v>0</v>
      </c>
      <c r="OVU56" s="850">
        <f t="shared" si="182"/>
        <v>7.2255900613100575E+72</v>
      </c>
      <c r="OVV56" s="850">
        <f t="shared" si="182"/>
        <v>0</v>
      </c>
      <c r="OVW56" s="850">
        <f t="shared" si="182"/>
        <v>7.442357763149359E+72</v>
      </c>
      <c r="OVX56" s="850">
        <f t="shared" si="182"/>
        <v>0</v>
      </c>
      <c r="OVY56" s="850">
        <f t="shared" si="182"/>
        <v>7.6656284960438403E+72</v>
      </c>
      <c r="OVZ56" s="850">
        <f t="shared" si="182"/>
        <v>0</v>
      </c>
      <c r="OWA56" s="850">
        <f t="shared" si="182"/>
        <v>7.8955973509251565E+72</v>
      </c>
      <c r="OWB56" s="850">
        <f t="shared" si="182"/>
        <v>0</v>
      </c>
      <c r="OWC56" s="850">
        <f t="shared" si="182"/>
        <v>8.1324652714529108E+72</v>
      </c>
      <c r="OWD56" s="850">
        <f t="shared" si="182"/>
        <v>0</v>
      </c>
      <c r="OWE56" s="850">
        <f t="shared" si="182"/>
        <v>8.3764392295964988E+72</v>
      </c>
      <c r="OWF56" s="850">
        <f t="shared" si="182"/>
        <v>0</v>
      </c>
      <c r="OWG56" s="850">
        <f t="shared" si="182"/>
        <v>8.6277324064843941E+72</v>
      </c>
      <c r="OWH56" s="850">
        <f t="shared" si="182"/>
        <v>0</v>
      </c>
      <c r="OWI56" s="850">
        <f t="shared" si="182"/>
        <v>8.8865643786789269E+72</v>
      </c>
      <c r="OWJ56" s="850">
        <f t="shared" si="182"/>
        <v>0</v>
      </c>
      <c r="OWK56" s="850">
        <f t="shared" si="182"/>
        <v>9.1531613100392944E+72</v>
      </c>
      <c r="OWL56" s="850">
        <f t="shared" si="182"/>
        <v>0</v>
      </c>
      <c r="OWM56" s="850">
        <f t="shared" si="182"/>
        <v>9.4277561493404741E+72</v>
      </c>
      <c r="OWN56" s="850">
        <f t="shared" si="182"/>
        <v>0</v>
      </c>
      <c r="OWO56" s="850">
        <f t="shared" si="182"/>
        <v>9.710588833820689E+72</v>
      </c>
      <c r="OWP56" s="850">
        <f t="shared" si="182"/>
        <v>0</v>
      </c>
      <c r="OWQ56" s="850">
        <f t="shared" si="182"/>
        <v>1.0001906498835309E+73</v>
      </c>
      <c r="OWR56" s="850">
        <f t="shared" si="182"/>
        <v>0</v>
      </c>
      <c r="OWS56" s="850">
        <f t="shared" si="182"/>
        <v>1.0301963693800369E+73</v>
      </c>
      <c r="OWT56" s="850">
        <f t="shared" si="182"/>
        <v>0</v>
      </c>
      <c r="OWU56" s="850">
        <f t="shared" si="182"/>
        <v>1.0611022604614381E+73</v>
      </c>
      <c r="OWV56" s="850">
        <f t="shared" si="182"/>
        <v>0</v>
      </c>
      <c r="OWW56" s="850">
        <f t="shared" si="182"/>
        <v>1.0929353282752811E+73</v>
      </c>
      <c r="OWX56" s="850">
        <f t="shared" ref="OWX56:OZI56" si="183">OWV56*$C$56</f>
        <v>0</v>
      </c>
      <c r="OWY56" s="850">
        <f t="shared" si="183"/>
        <v>1.1257233881235396E+73</v>
      </c>
      <c r="OWZ56" s="850">
        <f t="shared" si="183"/>
        <v>0</v>
      </c>
      <c r="OXA56" s="850">
        <f t="shared" si="183"/>
        <v>1.1594950897672458E+73</v>
      </c>
      <c r="OXB56" s="850">
        <f t="shared" si="183"/>
        <v>0</v>
      </c>
      <c r="OXC56" s="850">
        <f t="shared" si="183"/>
        <v>1.1942799424602633E+73</v>
      </c>
      <c r="OXD56" s="850">
        <f t="shared" si="183"/>
        <v>0</v>
      </c>
      <c r="OXE56" s="850">
        <f t="shared" si="183"/>
        <v>1.2301083407340712E+73</v>
      </c>
      <c r="OXF56" s="850">
        <f t="shared" si="183"/>
        <v>0</v>
      </c>
      <c r="OXG56" s="850">
        <f t="shared" si="183"/>
        <v>1.2670115909560934E+73</v>
      </c>
      <c r="OXH56" s="850">
        <f t="shared" si="183"/>
        <v>0</v>
      </c>
      <c r="OXI56" s="850">
        <f t="shared" si="183"/>
        <v>1.3050219386847763E+73</v>
      </c>
      <c r="OXJ56" s="850">
        <f t="shared" si="183"/>
        <v>0</v>
      </c>
      <c r="OXK56" s="850">
        <f t="shared" si="183"/>
        <v>1.3441725968453196E+73</v>
      </c>
      <c r="OXL56" s="850">
        <f t="shared" si="183"/>
        <v>0</v>
      </c>
      <c r="OXM56" s="850">
        <f t="shared" si="183"/>
        <v>1.3844977747506792E+73</v>
      </c>
      <c r="OXN56" s="850">
        <f t="shared" si="183"/>
        <v>0</v>
      </c>
      <c r="OXO56" s="850">
        <f t="shared" si="183"/>
        <v>1.4260327079931995E+73</v>
      </c>
      <c r="OXP56" s="850">
        <f t="shared" si="183"/>
        <v>0</v>
      </c>
      <c r="OXQ56" s="850">
        <f t="shared" si="183"/>
        <v>1.4688136892329954E+73</v>
      </c>
      <c r="OXR56" s="850">
        <f t="shared" si="183"/>
        <v>0</v>
      </c>
      <c r="OXS56" s="850">
        <f t="shared" si="183"/>
        <v>1.5128780999099853E+73</v>
      </c>
      <c r="OXT56" s="850">
        <f t="shared" si="183"/>
        <v>0</v>
      </c>
      <c r="OXU56" s="850">
        <f t="shared" si="183"/>
        <v>1.5582644429072849E+73</v>
      </c>
      <c r="OXV56" s="850">
        <f t="shared" si="183"/>
        <v>0</v>
      </c>
      <c r="OXW56" s="850">
        <f t="shared" si="183"/>
        <v>1.6050123761945035E+73</v>
      </c>
      <c r="OXX56" s="850">
        <f t="shared" si="183"/>
        <v>0</v>
      </c>
      <c r="OXY56" s="850">
        <f t="shared" si="183"/>
        <v>1.6531627474803388E+73</v>
      </c>
      <c r="OXZ56" s="850">
        <f t="shared" si="183"/>
        <v>0</v>
      </c>
      <c r="OYA56" s="850">
        <f t="shared" si="183"/>
        <v>1.702757629904749E+73</v>
      </c>
      <c r="OYB56" s="850">
        <f t="shared" si="183"/>
        <v>0</v>
      </c>
      <c r="OYC56" s="850">
        <f t="shared" si="183"/>
        <v>1.7538403588018914E+73</v>
      </c>
      <c r="OYD56" s="850">
        <f t="shared" si="183"/>
        <v>0</v>
      </c>
      <c r="OYE56" s="850">
        <f t="shared" si="183"/>
        <v>1.8064555695659482E+73</v>
      </c>
      <c r="OYF56" s="850">
        <f t="shared" si="183"/>
        <v>0</v>
      </c>
      <c r="OYG56" s="850">
        <f t="shared" si="183"/>
        <v>1.8606492366529267E+73</v>
      </c>
      <c r="OYH56" s="850">
        <f t="shared" si="183"/>
        <v>0</v>
      </c>
      <c r="OYI56" s="850">
        <f t="shared" si="183"/>
        <v>1.9164687137525145E+73</v>
      </c>
      <c r="OYJ56" s="850">
        <f t="shared" si="183"/>
        <v>0</v>
      </c>
      <c r="OYK56" s="850">
        <f t="shared" si="183"/>
        <v>1.97396277516509E+73</v>
      </c>
      <c r="OYL56" s="850">
        <f t="shared" si="183"/>
        <v>0</v>
      </c>
      <c r="OYM56" s="850">
        <f t="shared" si="183"/>
        <v>2.0331816584200429E+73</v>
      </c>
      <c r="OYN56" s="850">
        <f t="shared" si="183"/>
        <v>0</v>
      </c>
      <c r="OYO56" s="850">
        <f t="shared" si="183"/>
        <v>2.0941771081726442E+73</v>
      </c>
      <c r="OYP56" s="850">
        <f t="shared" si="183"/>
        <v>0</v>
      </c>
      <c r="OYQ56" s="850">
        <f t="shared" si="183"/>
        <v>2.1570024214178237E+73</v>
      </c>
      <c r="OYR56" s="850">
        <f t="shared" si="183"/>
        <v>0</v>
      </c>
      <c r="OYS56" s="850">
        <f t="shared" si="183"/>
        <v>2.2217124940603585E+73</v>
      </c>
      <c r="OYT56" s="850">
        <f t="shared" si="183"/>
        <v>0</v>
      </c>
      <c r="OYU56" s="850">
        <f t="shared" si="183"/>
        <v>2.2883638688821693E+73</v>
      </c>
      <c r="OYV56" s="850">
        <f t="shared" si="183"/>
        <v>0</v>
      </c>
      <c r="OYW56" s="850">
        <f t="shared" si="183"/>
        <v>2.3570147849486344E+73</v>
      </c>
      <c r="OYX56" s="850">
        <f t="shared" si="183"/>
        <v>0</v>
      </c>
      <c r="OYY56" s="850">
        <f t="shared" si="183"/>
        <v>2.4277252284970935E+73</v>
      </c>
      <c r="OYZ56" s="850">
        <f t="shared" si="183"/>
        <v>0</v>
      </c>
      <c r="OZA56" s="850">
        <f t="shared" si="183"/>
        <v>2.5005569853520062E+73</v>
      </c>
      <c r="OZB56" s="850">
        <f t="shared" si="183"/>
        <v>0</v>
      </c>
      <c r="OZC56" s="850">
        <f t="shared" si="183"/>
        <v>2.5755736949125664E+73</v>
      </c>
      <c r="OZD56" s="850">
        <f t="shared" si="183"/>
        <v>0</v>
      </c>
      <c r="OZE56" s="850">
        <f t="shared" si="183"/>
        <v>2.6528409057599434E+73</v>
      </c>
      <c r="OZF56" s="850">
        <f t="shared" si="183"/>
        <v>0</v>
      </c>
      <c r="OZG56" s="850">
        <f t="shared" si="183"/>
        <v>2.7324261329327417E+73</v>
      </c>
      <c r="OZH56" s="850">
        <f t="shared" si="183"/>
        <v>0</v>
      </c>
      <c r="OZI56" s="850">
        <f t="shared" si="183"/>
        <v>2.814398916920724E+73</v>
      </c>
      <c r="OZJ56" s="850">
        <f t="shared" ref="OZJ56:PBU56" si="184">OZH56*$C$56</f>
        <v>0</v>
      </c>
      <c r="OZK56" s="850">
        <f t="shared" si="184"/>
        <v>2.8988308844283456E+73</v>
      </c>
      <c r="OZL56" s="850">
        <f t="shared" si="184"/>
        <v>0</v>
      </c>
      <c r="OZM56" s="850">
        <f t="shared" si="184"/>
        <v>2.985795810961196E+73</v>
      </c>
      <c r="OZN56" s="850">
        <f t="shared" si="184"/>
        <v>0</v>
      </c>
      <c r="OZO56" s="850">
        <f t="shared" si="184"/>
        <v>3.0753696852900318E+73</v>
      </c>
      <c r="OZP56" s="850">
        <f t="shared" si="184"/>
        <v>0</v>
      </c>
      <c r="OZQ56" s="850">
        <f t="shared" si="184"/>
        <v>3.1676307758487326E+73</v>
      </c>
      <c r="OZR56" s="850">
        <f t="shared" si="184"/>
        <v>0</v>
      </c>
      <c r="OZS56" s="850">
        <f t="shared" si="184"/>
        <v>3.2626596991241947E+73</v>
      </c>
      <c r="OZT56" s="850">
        <f t="shared" si="184"/>
        <v>0</v>
      </c>
      <c r="OZU56" s="850">
        <f t="shared" si="184"/>
        <v>3.3605394900979206E+73</v>
      </c>
      <c r="OZV56" s="850">
        <f t="shared" si="184"/>
        <v>0</v>
      </c>
      <c r="OZW56" s="850">
        <f t="shared" si="184"/>
        <v>3.4613556748008581E+73</v>
      </c>
      <c r="OZX56" s="850">
        <f t="shared" si="184"/>
        <v>0</v>
      </c>
      <c r="OZY56" s="850">
        <f t="shared" si="184"/>
        <v>3.565196345044884E+73</v>
      </c>
      <c r="OZZ56" s="850">
        <f t="shared" si="184"/>
        <v>0</v>
      </c>
      <c r="PAA56" s="850">
        <f t="shared" si="184"/>
        <v>3.6721522353962307E+73</v>
      </c>
      <c r="PAB56" s="850">
        <f t="shared" si="184"/>
        <v>0</v>
      </c>
      <c r="PAC56" s="850">
        <f t="shared" si="184"/>
        <v>3.7823168024581179E+73</v>
      </c>
      <c r="PAD56" s="850">
        <f t="shared" si="184"/>
        <v>0</v>
      </c>
      <c r="PAE56" s="850">
        <f t="shared" si="184"/>
        <v>3.8957863065318616E+73</v>
      </c>
      <c r="PAF56" s="850">
        <f t="shared" si="184"/>
        <v>0</v>
      </c>
      <c r="PAG56" s="850">
        <f t="shared" si="184"/>
        <v>4.0126598957278178E+73</v>
      </c>
      <c r="PAH56" s="850">
        <f t="shared" si="184"/>
        <v>0</v>
      </c>
      <c r="PAI56" s="850">
        <f t="shared" si="184"/>
        <v>4.1330396925996522E+73</v>
      </c>
      <c r="PAJ56" s="850">
        <f t="shared" si="184"/>
        <v>0</v>
      </c>
      <c r="PAK56" s="850">
        <f t="shared" si="184"/>
        <v>4.2570308833776418E+73</v>
      </c>
      <c r="PAL56" s="850">
        <f t="shared" si="184"/>
        <v>0</v>
      </c>
      <c r="PAM56" s="850">
        <f t="shared" si="184"/>
        <v>4.3847418098789712E+73</v>
      </c>
      <c r="PAN56" s="850">
        <f t="shared" si="184"/>
        <v>0</v>
      </c>
      <c r="PAO56" s="850">
        <f t="shared" si="184"/>
        <v>4.5162840641753405E+73</v>
      </c>
      <c r="PAP56" s="850">
        <f t="shared" si="184"/>
        <v>0</v>
      </c>
      <c r="PAQ56" s="850">
        <f t="shared" si="184"/>
        <v>4.6517725861006008E+73</v>
      </c>
      <c r="PAR56" s="850">
        <f t="shared" si="184"/>
        <v>0</v>
      </c>
      <c r="PAS56" s="850">
        <f t="shared" si="184"/>
        <v>4.791325763683619E+73</v>
      </c>
      <c r="PAT56" s="850">
        <f t="shared" si="184"/>
        <v>0</v>
      </c>
      <c r="PAU56" s="850">
        <f t="shared" si="184"/>
        <v>4.9350655365941277E+73</v>
      </c>
      <c r="PAV56" s="850">
        <f t="shared" si="184"/>
        <v>0</v>
      </c>
      <c r="PAW56" s="850">
        <f t="shared" si="184"/>
        <v>5.0831175026919514E+73</v>
      </c>
      <c r="PAX56" s="850">
        <f t="shared" si="184"/>
        <v>0</v>
      </c>
      <c r="PAY56" s="850">
        <f t="shared" si="184"/>
        <v>5.2356110277727098E+73</v>
      </c>
      <c r="PAZ56" s="850">
        <f t="shared" si="184"/>
        <v>0</v>
      </c>
      <c r="PBA56" s="850">
        <f t="shared" si="184"/>
        <v>5.3926793586058911E+73</v>
      </c>
      <c r="PBB56" s="850">
        <f t="shared" si="184"/>
        <v>0</v>
      </c>
      <c r="PBC56" s="850">
        <f t="shared" si="184"/>
        <v>5.5544597393640681E+73</v>
      </c>
      <c r="PBD56" s="850">
        <f t="shared" si="184"/>
        <v>0</v>
      </c>
      <c r="PBE56" s="850">
        <f t="shared" si="184"/>
        <v>5.7210935315449908E+73</v>
      </c>
      <c r="PBF56" s="850">
        <f t="shared" si="184"/>
        <v>0</v>
      </c>
      <c r="PBG56" s="850">
        <f t="shared" si="184"/>
        <v>5.8927263374913407E+73</v>
      </c>
      <c r="PBH56" s="850">
        <f t="shared" si="184"/>
        <v>0</v>
      </c>
      <c r="PBI56" s="850">
        <f t="shared" si="184"/>
        <v>6.0695081276160807E+73</v>
      </c>
      <c r="PBJ56" s="850">
        <f t="shared" si="184"/>
        <v>0</v>
      </c>
      <c r="PBK56" s="850">
        <f t="shared" si="184"/>
        <v>6.2515933714445633E+73</v>
      </c>
      <c r="PBL56" s="850">
        <f t="shared" si="184"/>
        <v>0</v>
      </c>
      <c r="PBM56" s="850">
        <f t="shared" si="184"/>
        <v>6.4391411725879004E+73</v>
      </c>
      <c r="PBN56" s="850">
        <f t="shared" si="184"/>
        <v>0</v>
      </c>
      <c r="PBO56" s="850">
        <f t="shared" si="184"/>
        <v>6.6323154077655377E+73</v>
      </c>
      <c r="PBP56" s="850">
        <f t="shared" si="184"/>
        <v>0</v>
      </c>
      <c r="PBQ56" s="850">
        <f t="shared" si="184"/>
        <v>6.8312848699985037E+73</v>
      </c>
      <c r="PBR56" s="850">
        <f t="shared" si="184"/>
        <v>0</v>
      </c>
      <c r="PBS56" s="850">
        <f t="shared" si="184"/>
        <v>7.036223416098459E+73</v>
      </c>
      <c r="PBT56" s="850">
        <f t="shared" si="184"/>
        <v>0</v>
      </c>
      <c r="PBU56" s="850">
        <f t="shared" si="184"/>
        <v>7.2473101185814126E+73</v>
      </c>
      <c r="PBV56" s="850">
        <f t="shared" ref="PBV56:PEG56" si="185">PBT56*$C$56</f>
        <v>0</v>
      </c>
      <c r="PBW56" s="850">
        <f t="shared" si="185"/>
        <v>7.4647294221388546E+73</v>
      </c>
      <c r="PBX56" s="850">
        <f t="shared" si="185"/>
        <v>0</v>
      </c>
      <c r="PBY56" s="850">
        <f t="shared" si="185"/>
        <v>7.6886713048030209E+73</v>
      </c>
      <c r="PBZ56" s="850">
        <f t="shared" si="185"/>
        <v>0</v>
      </c>
      <c r="PCA56" s="850">
        <f t="shared" si="185"/>
        <v>7.9193314439471123E+73</v>
      </c>
      <c r="PCB56" s="850">
        <f t="shared" si="185"/>
        <v>0</v>
      </c>
      <c r="PCC56" s="850">
        <f t="shared" si="185"/>
        <v>8.1569113872655264E+73</v>
      </c>
      <c r="PCD56" s="850">
        <f t="shared" si="185"/>
        <v>0</v>
      </c>
      <c r="PCE56" s="850">
        <f t="shared" si="185"/>
        <v>8.4016187288834928E+73</v>
      </c>
      <c r="PCF56" s="850">
        <f t="shared" si="185"/>
        <v>0</v>
      </c>
      <c r="PCG56" s="850">
        <f t="shared" si="185"/>
        <v>8.6536672907499975E+73</v>
      </c>
      <c r="PCH56" s="850">
        <f t="shared" si="185"/>
        <v>0</v>
      </c>
      <c r="PCI56" s="850">
        <f t="shared" si="185"/>
        <v>8.9132773094724979E+73</v>
      </c>
      <c r="PCJ56" s="850">
        <f t="shared" si="185"/>
        <v>0</v>
      </c>
      <c r="PCK56" s="850">
        <f t="shared" si="185"/>
        <v>9.1806756287566729E+73</v>
      </c>
      <c r="PCL56" s="850">
        <f t="shared" si="185"/>
        <v>0</v>
      </c>
      <c r="PCM56" s="850">
        <f t="shared" si="185"/>
        <v>9.4560958976193738E+73</v>
      </c>
      <c r="PCN56" s="850">
        <f t="shared" si="185"/>
        <v>0</v>
      </c>
      <c r="PCO56" s="850">
        <f t="shared" si="185"/>
        <v>9.7397787745479552E+73</v>
      </c>
      <c r="PCP56" s="850">
        <f t="shared" si="185"/>
        <v>0</v>
      </c>
      <c r="PCQ56" s="850">
        <f t="shared" si="185"/>
        <v>1.0031972137784395E+74</v>
      </c>
      <c r="PCR56" s="850">
        <f t="shared" si="185"/>
        <v>0</v>
      </c>
      <c r="PCS56" s="850">
        <f t="shared" si="185"/>
        <v>1.0332931301917927E+74</v>
      </c>
      <c r="PCT56" s="850">
        <f t="shared" si="185"/>
        <v>0</v>
      </c>
      <c r="PCU56" s="850">
        <f t="shared" si="185"/>
        <v>1.0642919240975465E+74</v>
      </c>
      <c r="PCV56" s="850">
        <f t="shared" si="185"/>
        <v>0</v>
      </c>
      <c r="PCW56" s="850">
        <f t="shared" si="185"/>
        <v>1.096220681820473E+74</v>
      </c>
      <c r="PCX56" s="850">
        <f t="shared" si="185"/>
        <v>0</v>
      </c>
      <c r="PCY56" s="850">
        <f t="shared" si="185"/>
        <v>1.1291073022750872E+74</v>
      </c>
      <c r="PCZ56" s="850">
        <f t="shared" si="185"/>
        <v>0</v>
      </c>
      <c r="PDA56" s="850">
        <f t="shared" si="185"/>
        <v>1.16298052134334E+74</v>
      </c>
      <c r="PDB56" s="850">
        <f t="shared" si="185"/>
        <v>0</v>
      </c>
      <c r="PDC56" s="850">
        <f t="shared" si="185"/>
        <v>1.1978699369836402E+74</v>
      </c>
      <c r="PDD56" s="850">
        <f t="shared" si="185"/>
        <v>0</v>
      </c>
      <c r="PDE56" s="850">
        <f t="shared" si="185"/>
        <v>1.2338060350931494E+74</v>
      </c>
      <c r="PDF56" s="850">
        <f t="shared" si="185"/>
        <v>0</v>
      </c>
      <c r="PDG56" s="850">
        <f t="shared" si="185"/>
        <v>1.270820216145944E+74</v>
      </c>
      <c r="PDH56" s="850">
        <f t="shared" si="185"/>
        <v>0</v>
      </c>
      <c r="PDI56" s="850">
        <f t="shared" si="185"/>
        <v>1.3089448226303222E+74</v>
      </c>
      <c r="PDJ56" s="850">
        <f t="shared" si="185"/>
        <v>0</v>
      </c>
      <c r="PDK56" s="850">
        <f t="shared" si="185"/>
        <v>1.3482131673092319E+74</v>
      </c>
      <c r="PDL56" s="850">
        <f t="shared" si="185"/>
        <v>0</v>
      </c>
      <c r="PDM56" s="850">
        <f t="shared" si="185"/>
        <v>1.3886595623285088E+74</v>
      </c>
      <c r="PDN56" s="850">
        <f t="shared" si="185"/>
        <v>0</v>
      </c>
      <c r="PDO56" s="850">
        <f t="shared" si="185"/>
        <v>1.4303193491983641E+74</v>
      </c>
      <c r="PDP56" s="850">
        <f t="shared" si="185"/>
        <v>0</v>
      </c>
      <c r="PDQ56" s="850">
        <f t="shared" si="185"/>
        <v>1.473228929674315E+74</v>
      </c>
      <c r="PDR56" s="850">
        <f t="shared" si="185"/>
        <v>0</v>
      </c>
      <c r="PDS56" s="850">
        <f t="shared" si="185"/>
        <v>1.5174257975645446E+74</v>
      </c>
      <c r="PDT56" s="850">
        <f t="shared" si="185"/>
        <v>0</v>
      </c>
      <c r="PDU56" s="850">
        <f t="shared" si="185"/>
        <v>1.5629485714914809E+74</v>
      </c>
      <c r="PDV56" s="850">
        <f t="shared" si="185"/>
        <v>0</v>
      </c>
      <c r="PDW56" s="850">
        <f t="shared" si="185"/>
        <v>1.6098370286362255E+74</v>
      </c>
      <c r="PDX56" s="850">
        <f t="shared" si="185"/>
        <v>0</v>
      </c>
      <c r="PDY56" s="850">
        <f t="shared" si="185"/>
        <v>1.6581321394953124E+74</v>
      </c>
      <c r="PDZ56" s="850">
        <f t="shared" si="185"/>
        <v>0</v>
      </c>
      <c r="PEA56" s="850">
        <f t="shared" si="185"/>
        <v>1.7078761036801719E+74</v>
      </c>
      <c r="PEB56" s="850">
        <f t="shared" si="185"/>
        <v>0</v>
      </c>
      <c r="PEC56" s="850">
        <f t="shared" si="185"/>
        <v>1.7591123867905771E+74</v>
      </c>
      <c r="PED56" s="850">
        <f t="shared" si="185"/>
        <v>0</v>
      </c>
      <c r="PEE56" s="850">
        <f t="shared" si="185"/>
        <v>1.8118857583942944E+74</v>
      </c>
      <c r="PEF56" s="850">
        <f t="shared" si="185"/>
        <v>0</v>
      </c>
      <c r="PEG56" s="850">
        <f t="shared" si="185"/>
        <v>1.8662423311461233E+74</v>
      </c>
      <c r="PEH56" s="850">
        <f t="shared" ref="PEH56:PGS56" si="186">PEF56*$C$56</f>
        <v>0</v>
      </c>
      <c r="PEI56" s="850">
        <f t="shared" si="186"/>
        <v>1.9222296010805071E+74</v>
      </c>
      <c r="PEJ56" s="850">
        <f t="shared" si="186"/>
        <v>0</v>
      </c>
      <c r="PEK56" s="850">
        <f t="shared" si="186"/>
        <v>1.9798964891129224E+74</v>
      </c>
      <c r="PEL56" s="850">
        <f t="shared" si="186"/>
        <v>0</v>
      </c>
      <c r="PEM56" s="850">
        <f t="shared" si="186"/>
        <v>2.0392933837863102E+74</v>
      </c>
      <c r="PEN56" s="850">
        <f t="shared" si="186"/>
        <v>0</v>
      </c>
      <c r="PEO56" s="850">
        <f t="shared" si="186"/>
        <v>2.1004721852998997E+74</v>
      </c>
      <c r="PEP56" s="850">
        <f t="shared" si="186"/>
        <v>0</v>
      </c>
      <c r="PEQ56" s="850">
        <f t="shared" si="186"/>
        <v>2.1634863508588966E+74</v>
      </c>
      <c r="PER56" s="850">
        <f t="shared" si="186"/>
        <v>0</v>
      </c>
      <c r="PES56" s="850">
        <f t="shared" si="186"/>
        <v>2.2283909413846635E+74</v>
      </c>
      <c r="PET56" s="850">
        <f t="shared" si="186"/>
        <v>0</v>
      </c>
      <c r="PEU56" s="850">
        <f t="shared" si="186"/>
        <v>2.2952426696262033E+74</v>
      </c>
      <c r="PEV56" s="850">
        <f t="shared" si="186"/>
        <v>0</v>
      </c>
      <c r="PEW56" s="850">
        <f t="shared" si="186"/>
        <v>2.3640999497149897E+74</v>
      </c>
      <c r="PEX56" s="850">
        <f t="shared" si="186"/>
        <v>0</v>
      </c>
      <c r="PEY56" s="850">
        <f t="shared" si="186"/>
        <v>2.4350229482064396E+74</v>
      </c>
      <c r="PEZ56" s="850">
        <f t="shared" si="186"/>
        <v>0</v>
      </c>
      <c r="PFA56" s="850">
        <f t="shared" si="186"/>
        <v>2.5080736366526327E+74</v>
      </c>
      <c r="PFB56" s="850">
        <f t="shared" si="186"/>
        <v>0</v>
      </c>
      <c r="PFC56" s="850">
        <f t="shared" si="186"/>
        <v>2.5833158457522118E+74</v>
      </c>
      <c r="PFD56" s="850">
        <f t="shared" si="186"/>
        <v>0</v>
      </c>
      <c r="PFE56" s="850">
        <f t="shared" si="186"/>
        <v>2.6608153211247781E+74</v>
      </c>
      <c r="PFF56" s="850">
        <f t="shared" si="186"/>
        <v>0</v>
      </c>
      <c r="PFG56" s="850">
        <f t="shared" si="186"/>
        <v>2.7406397807585212E+74</v>
      </c>
      <c r="PFH56" s="850">
        <f t="shared" si="186"/>
        <v>0</v>
      </c>
      <c r="PFI56" s="850">
        <f t="shared" si="186"/>
        <v>2.8228589741812768E+74</v>
      </c>
      <c r="PFJ56" s="850">
        <f t="shared" si="186"/>
        <v>0</v>
      </c>
      <c r="PFK56" s="850">
        <f t="shared" si="186"/>
        <v>2.907544743406715E+74</v>
      </c>
      <c r="PFL56" s="850">
        <f t="shared" si="186"/>
        <v>0</v>
      </c>
      <c r="PFM56" s="850">
        <f t="shared" si="186"/>
        <v>2.9947710857089167E+74</v>
      </c>
      <c r="PFN56" s="850">
        <f t="shared" si="186"/>
        <v>0</v>
      </c>
      <c r="PFO56" s="850">
        <f t="shared" si="186"/>
        <v>3.0846142182801845E+74</v>
      </c>
      <c r="PFP56" s="850">
        <f t="shared" si="186"/>
        <v>0</v>
      </c>
      <c r="PFQ56" s="850">
        <f t="shared" si="186"/>
        <v>3.1771526448285901E+74</v>
      </c>
      <c r="PFR56" s="850">
        <f t="shared" si="186"/>
        <v>0</v>
      </c>
      <c r="PFS56" s="850">
        <f t="shared" si="186"/>
        <v>3.2724672241734481E+74</v>
      </c>
      <c r="PFT56" s="850">
        <f t="shared" si="186"/>
        <v>0</v>
      </c>
      <c r="PFU56" s="850">
        <f t="shared" si="186"/>
        <v>3.3706412408986518E+74</v>
      </c>
      <c r="PFV56" s="850">
        <f t="shared" si="186"/>
        <v>0</v>
      </c>
      <c r="PFW56" s="850">
        <f t="shared" si="186"/>
        <v>3.4717604781256113E+74</v>
      </c>
      <c r="PFX56" s="850">
        <f t="shared" si="186"/>
        <v>0</v>
      </c>
      <c r="PFY56" s="850">
        <f t="shared" si="186"/>
        <v>3.5759132924693798E+74</v>
      </c>
      <c r="PFZ56" s="850">
        <f t="shared" si="186"/>
        <v>0</v>
      </c>
      <c r="PGA56" s="850">
        <f t="shared" si="186"/>
        <v>3.6831906912434615E+74</v>
      </c>
      <c r="PGB56" s="850">
        <f t="shared" si="186"/>
        <v>0</v>
      </c>
      <c r="PGC56" s="850">
        <f t="shared" si="186"/>
        <v>3.7936864119807656E+74</v>
      </c>
      <c r="PGD56" s="850">
        <f t="shared" si="186"/>
        <v>0</v>
      </c>
      <c r="PGE56" s="850">
        <f t="shared" si="186"/>
        <v>3.9074970043401886E+74</v>
      </c>
      <c r="PGF56" s="850">
        <f t="shared" si="186"/>
        <v>0</v>
      </c>
      <c r="PGG56" s="850">
        <f t="shared" si="186"/>
        <v>4.0247219144703942E+74</v>
      </c>
      <c r="PGH56" s="850">
        <f t="shared" si="186"/>
        <v>0</v>
      </c>
      <c r="PGI56" s="850">
        <f t="shared" si="186"/>
        <v>4.1454635719045063E+74</v>
      </c>
      <c r="PGJ56" s="850">
        <f t="shared" si="186"/>
        <v>0</v>
      </c>
      <c r="PGK56" s="850">
        <f t="shared" si="186"/>
        <v>4.2698274790616414E+74</v>
      </c>
      <c r="PGL56" s="850">
        <f t="shared" si="186"/>
        <v>0</v>
      </c>
      <c r="PGM56" s="850">
        <f t="shared" si="186"/>
        <v>4.397922303433491E+74</v>
      </c>
      <c r="PGN56" s="850">
        <f t="shared" si="186"/>
        <v>0</v>
      </c>
      <c r="PGO56" s="850">
        <f t="shared" si="186"/>
        <v>4.5298599725364954E+74</v>
      </c>
      <c r="PGP56" s="850">
        <f t="shared" si="186"/>
        <v>0</v>
      </c>
      <c r="PGQ56" s="850">
        <f t="shared" si="186"/>
        <v>4.6657557717125902E+74</v>
      </c>
      <c r="PGR56" s="850">
        <f t="shared" si="186"/>
        <v>0</v>
      </c>
      <c r="PGS56" s="850">
        <f t="shared" si="186"/>
        <v>4.8057284448639679E+74</v>
      </c>
      <c r="PGT56" s="850">
        <f t="shared" ref="PGT56:PJE56" si="187">PGR56*$C$56</f>
        <v>0</v>
      </c>
      <c r="PGU56" s="850">
        <f t="shared" si="187"/>
        <v>4.9499002982098873E+74</v>
      </c>
      <c r="PGV56" s="850">
        <f t="shared" si="187"/>
        <v>0</v>
      </c>
      <c r="PGW56" s="850">
        <f t="shared" si="187"/>
        <v>5.0983973071561841E+74</v>
      </c>
      <c r="PGX56" s="850">
        <f t="shared" si="187"/>
        <v>0</v>
      </c>
      <c r="PGY56" s="850">
        <f t="shared" si="187"/>
        <v>5.2513492263708702E+74</v>
      </c>
      <c r="PGZ56" s="850">
        <f t="shared" si="187"/>
        <v>0</v>
      </c>
      <c r="PHA56" s="850">
        <f t="shared" si="187"/>
        <v>5.4088897031619963E+74</v>
      </c>
      <c r="PHB56" s="850">
        <f t="shared" si="187"/>
        <v>0</v>
      </c>
      <c r="PHC56" s="850">
        <f t="shared" si="187"/>
        <v>5.5711563942568562E+74</v>
      </c>
      <c r="PHD56" s="850">
        <f t="shared" si="187"/>
        <v>0</v>
      </c>
      <c r="PHE56" s="850">
        <f t="shared" si="187"/>
        <v>5.7382910860845617E+74</v>
      </c>
      <c r="PHF56" s="850">
        <f t="shared" si="187"/>
        <v>0</v>
      </c>
      <c r="PHG56" s="850">
        <f t="shared" si="187"/>
        <v>5.9104398186670991E+74</v>
      </c>
      <c r="PHH56" s="850">
        <f t="shared" si="187"/>
        <v>0</v>
      </c>
      <c r="PHI56" s="850">
        <f t="shared" si="187"/>
        <v>6.0877530132271119E+74</v>
      </c>
      <c r="PHJ56" s="850">
        <f t="shared" si="187"/>
        <v>0</v>
      </c>
      <c r="PHK56" s="850">
        <f t="shared" si="187"/>
        <v>6.2703856036239252E+74</v>
      </c>
      <c r="PHL56" s="850">
        <f t="shared" si="187"/>
        <v>0</v>
      </c>
      <c r="PHM56" s="850">
        <f t="shared" si="187"/>
        <v>6.4584971717326432E+74</v>
      </c>
      <c r="PHN56" s="850">
        <f t="shared" si="187"/>
        <v>0</v>
      </c>
      <c r="PHO56" s="850">
        <f t="shared" si="187"/>
        <v>6.6522520868846225E+74</v>
      </c>
      <c r="PHP56" s="850">
        <f t="shared" si="187"/>
        <v>0</v>
      </c>
      <c r="PHQ56" s="850">
        <f t="shared" si="187"/>
        <v>6.8518196494911611E+74</v>
      </c>
      <c r="PHR56" s="850">
        <f t="shared" si="187"/>
        <v>0</v>
      </c>
      <c r="PHS56" s="850">
        <f t="shared" si="187"/>
        <v>7.0573742389758962E+74</v>
      </c>
      <c r="PHT56" s="850">
        <f t="shared" si="187"/>
        <v>0</v>
      </c>
      <c r="PHU56" s="850">
        <f t="shared" si="187"/>
        <v>7.2690954661451729E+74</v>
      </c>
      <c r="PHV56" s="850">
        <f t="shared" si="187"/>
        <v>0</v>
      </c>
      <c r="PHW56" s="850">
        <f t="shared" si="187"/>
        <v>7.4871683301295288E+74</v>
      </c>
      <c r="PHX56" s="850">
        <f t="shared" si="187"/>
        <v>0</v>
      </c>
      <c r="PHY56" s="850">
        <f t="shared" si="187"/>
        <v>7.7117833800334147E+74</v>
      </c>
      <c r="PHZ56" s="850">
        <f t="shared" si="187"/>
        <v>0</v>
      </c>
      <c r="PIA56" s="850">
        <f t="shared" si="187"/>
        <v>7.943136881434417E+74</v>
      </c>
      <c r="PIB56" s="850">
        <f t="shared" si="187"/>
        <v>0</v>
      </c>
      <c r="PIC56" s="850">
        <f t="shared" si="187"/>
        <v>8.1814309878774499E+74</v>
      </c>
      <c r="PID56" s="850">
        <f t="shared" si="187"/>
        <v>0</v>
      </c>
      <c r="PIE56" s="850">
        <f t="shared" si="187"/>
        <v>8.4268739175137732E+74</v>
      </c>
      <c r="PIF56" s="850">
        <f t="shared" si="187"/>
        <v>0</v>
      </c>
      <c r="PIG56" s="850">
        <f t="shared" si="187"/>
        <v>8.6796801350391871E+74</v>
      </c>
      <c r="PIH56" s="850">
        <f t="shared" si="187"/>
        <v>0</v>
      </c>
      <c r="PII56" s="850">
        <f t="shared" si="187"/>
        <v>8.9400705390903624E+74</v>
      </c>
      <c r="PIJ56" s="850">
        <f t="shared" si="187"/>
        <v>0</v>
      </c>
      <c r="PIK56" s="850">
        <f t="shared" si="187"/>
        <v>9.2082726552630733E+74</v>
      </c>
      <c r="PIL56" s="850">
        <f t="shared" si="187"/>
        <v>0</v>
      </c>
      <c r="PIM56" s="850">
        <f t="shared" si="187"/>
        <v>9.4845208349209667E+74</v>
      </c>
      <c r="PIN56" s="850">
        <f t="shared" si="187"/>
        <v>0</v>
      </c>
      <c r="PIO56" s="850">
        <f t="shared" si="187"/>
        <v>9.7690564599685954E+74</v>
      </c>
      <c r="PIP56" s="850">
        <f t="shared" si="187"/>
        <v>0</v>
      </c>
      <c r="PIQ56" s="850">
        <f t="shared" si="187"/>
        <v>1.0062128153767653E+75</v>
      </c>
      <c r="PIR56" s="850">
        <f t="shared" si="187"/>
        <v>0</v>
      </c>
      <c r="PIS56" s="850">
        <f t="shared" si="187"/>
        <v>1.0363991998380683E+75</v>
      </c>
      <c r="PIT56" s="850">
        <f t="shared" si="187"/>
        <v>0</v>
      </c>
      <c r="PIU56" s="850">
        <f t="shared" si="187"/>
        <v>1.0674911758332104E+75</v>
      </c>
      <c r="PIV56" s="850">
        <f t="shared" si="187"/>
        <v>0</v>
      </c>
      <c r="PIW56" s="850">
        <f t="shared" si="187"/>
        <v>1.0995159111082068E+75</v>
      </c>
      <c r="PIX56" s="850">
        <f t="shared" si="187"/>
        <v>0</v>
      </c>
      <c r="PIY56" s="850">
        <f t="shared" si="187"/>
        <v>1.132501388441453E+75</v>
      </c>
      <c r="PIZ56" s="850">
        <f t="shared" si="187"/>
        <v>0</v>
      </c>
      <c r="PJA56" s="850">
        <f t="shared" si="187"/>
        <v>1.1664764300946966E+75</v>
      </c>
      <c r="PJB56" s="850">
        <f t="shared" si="187"/>
        <v>0</v>
      </c>
      <c r="PJC56" s="850">
        <f t="shared" si="187"/>
        <v>1.2014707229975375E+75</v>
      </c>
      <c r="PJD56" s="850">
        <f t="shared" si="187"/>
        <v>0</v>
      </c>
      <c r="PJE56" s="850">
        <f t="shared" si="187"/>
        <v>1.2375148446874636E+75</v>
      </c>
      <c r="PJF56" s="850">
        <f t="shared" ref="PJF56:PLQ56" si="188">PJD56*$C$56</f>
        <v>0</v>
      </c>
      <c r="PJG56" s="850">
        <f t="shared" si="188"/>
        <v>1.2746402900280875E+75</v>
      </c>
      <c r="PJH56" s="850">
        <f t="shared" si="188"/>
        <v>0</v>
      </c>
      <c r="PJI56" s="850">
        <f t="shared" si="188"/>
        <v>1.3128794987289302E+75</v>
      </c>
      <c r="PJJ56" s="850">
        <f t="shared" si="188"/>
        <v>0</v>
      </c>
      <c r="PJK56" s="850">
        <f t="shared" si="188"/>
        <v>1.3522658836907982E+75</v>
      </c>
      <c r="PJL56" s="850">
        <f t="shared" si="188"/>
        <v>0</v>
      </c>
      <c r="PJM56" s="850">
        <f t="shared" si="188"/>
        <v>1.3928338602015222E+75</v>
      </c>
      <c r="PJN56" s="850">
        <f t="shared" si="188"/>
        <v>0</v>
      </c>
      <c r="PJO56" s="850">
        <f t="shared" si="188"/>
        <v>1.4346188760075679E+75</v>
      </c>
      <c r="PJP56" s="850">
        <f t="shared" si="188"/>
        <v>0</v>
      </c>
      <c r="PJQ56" s="850">
        <f t="shared" si="188"/>
        <v>1.4776574422877949E+75</v>
      </c>
      <c r="PJR56" s="850">
        <f t="shared" si="188"/>
        <v>0</v>
      </c>
      <c r="PJS56" s="850">
        <f t="shared" si="188"/>
        <v>1.5219871655564288E+75</v>
      </c>
      <c r="PJT56" s="850">
        <f t="shared" si="188"/>
        <v>0</v>
      </c>
      <c r="PJU56" s="850">
        <f t="shared" si="188"/>
        <v>1.5676467805231218E+75</v>
      </c>
      <c r="PJV56" s="850">
        <f t="shared" si="188"/>
        <v>0</v>
      </c>
      <c r="PJW56" s="850">
        <f t="shared" si="188"/>
        <v>1.6146761839388154E+75</v>
      </c>
      <c r="PJX56" s="850">
        <f t="shared" si="188"/>
        <v>0</v>
      </c>
      <c r="PJY56" s="850">
        <f t="shared" si="188"/>
        <v>1.6631164694569799E+75</v>
      </c>
      <c r="PJZ56" s="850">
        <f t="shared" si="188"/>
        <v>0</v>
      </c>
      <c r="PKA56" s="850">
        <f t="shared" si="188"/>
        <v>1.7130099635406894E+75</v>
      </c>
      <c r="PKB56" s="850">
        <f t="shared" si="188"/>
        <v>0</v>
      </c>
      <c r="PKC56" s="850">
        <f t="shared" si="188"/>
        <v>1.7644002624469102E+75</v>
      </c>
      <c r="PKD56" s="850">
        <f t="shared" si="188"/>
        <v>0</v>
      </c>
      <c r="PKE56" s="850">
        <f t="shared" si="188"/>
        <v>1.8173322703203175E+75</v>
      </c>
      <c r="PKF56" s="850">
        <f t="shared" si="188"/>
        <v>0</v>
      </c>
      <c r="PKG56" s="850">
        <f t="shared" si="188"/>
        <v>1.871852238429927E+75</v>
      </c>
      <c r="PKH56" s="850">
        <f t="shared" si="188"/>
        <v>0</v>
      </c>
      <c r="PKI56" s="850">
        <f t="shared" si="188"/>
        <v>1.9280078055828248E+75</v>
      </c>
      <c r="PKJ56" s="850">
        <f t="shared" si="188"/>
        <v>0</v>
      </c>
      <c r="PKK56" s="850">
        <f t="shared" si="188"/>
        <v>1.9858480397503098E+75</v>
      </c>
      <c r="PKL56" s="850">
        <f t="shared" si="188"/>
        <v>0</v>
      </c>
      <c r="PKM56" s="850">
        <f t="shared" si="188"/>
        <v>2.0454234809428189E+75</v>
      </c>
      <c r="PKN56" s="850">
        <f t="shared" si="188"/>
        <v>0</v>
      </c>
      <c r="PKO56" s="850">
        <f t="shared" si="188"/>
        <v>2.1067861853711035E+75</v>
      </c>
      <c r="PKP56" s="850">
        <f t="shared" si="188"/>
        <v>0</v>
      </c>
      <c r="PKQ56" s="850">
        <f t="shared" si="188"/>
        <v>2.1699897709322366E+75</v>
      </c>
      <c r="PKR56" s="850">
        <f t="shared" si="188"/>
        <v>0</v>
      </c>
      <c r="PKS56" s="850">
        <f t="shared" si="188"/>
        <v>2.2350894640602039E+75</v>
      </c>
      <c r="PKT56" s="850">
        <f t="shared" si="188"/>
        <v>0</v>
      </c>
      <c r="PKU56" s="850">
        <f t="shared" si="188"/>
        <v>2.3021421479820102E+75</v>
      </c>
      <c r="PKV56" s="850">
        <f t="shared" si="188"/>
        <v>0</v>
      </c>
      <c r="PKW56" s="850">
        <f t="shared" si="188"/>
        <v>2.3712064124214708E+75</v>
      </c>
      <c r="PKX56" s="850">
        <f t="shared" si="188"/>
        <v>0</v>
      </c>
      <c r="PKY56" s="850">
        <f t="shared" si="188"/>
        <v>2.4423426047941151E+75</v>
      </c>
      <c r="PKZ56" s="850">
        <f t="shared" si="188"/>
        <v>0</v>
      </c>
      <c r="PLA56" s="850">
        <f t="shared" si="188"/>
        <v>2.5156128829379388E+75</v>
      </c>
      <c r="PLB56" s="850">
        <f t="shared" si="188"/>
        <v>0</v>
      </c>
      <c r="PLC56" s="850">
        <f t="shared" si="188"/>
        <v>2.5910812694260769E+75</v>
      </c>
      <c r="PLD56" s="850">
        <f t="shared" si="188"/>
        <v>0</v>
      </c>
      <c r="PLE56" s="850">
        <f t="shared" si="188"/>
        <v>2.6688137075088592E+75</v>
      </c>
      <c r="PLF56" s="850">
        <f t="shared" si="188"/>
        <v>0</v>
      </c>
      <c r="PLG56" s="850">
        <f t="shared" si="188"/>
        <v>2.7488781187341253E+75</v>
      </c>
      <c r="PLH56" s="850">
        <f t="shared" si="188"/>
        <v>0</v>
      </c>
      <c r="PLI56" s="850">
        <f t="shared" si="188"/>
        <v>2.8313444622961491E+75</v>
      </c>
      <c r="PLJ56" s="850">
        <f t="shared" si="188"/>
        <v>0</v>
      </c>
      <c r="PLK56" s="850">
        <f t="shared" si="188"/>
        <v>2.9162847961650337E+75</v>
      </c>
      <c r="PLL56" s="850">
        <f t="shared" si="188"/>
        <v>0</v>
      </c>
      <c r="PLM56" s="850">
        <f t="shared" si="188"/>
        <v>3.0037733400499847E+75</v>
      </c>
      <c r="PLN56" s="850">
        <f t="shared" si="188"/>
        <v>0</v>
      </c>
      <c r="PLO56" s="850">
        <f t="shared" si="188"/>
        <v>3.0938865402514844E+75</v>
      </c>
      <c r="PLP56" s="850">
        <f t="shared" si="188"/>
        <v>0</v>
      </c>
      <c r="PLQ56" s="850">
        <f t="shared" si="188"/>
        <v>3.1867031364590288E+75</v>
      </c>
      <c r="PLR56" s="850">
        <f t="shared" ref="PLR56:POC56" si="189">PLP56*$C$56</f>
        <v>0</v>
      </c>
      <c r="PLS56" s="850">
        <f t="shared" si="189"/>
        <v>3.2823042305527998E+75</v>
      </c>
      <c r="PLT56" s="850">
        <f t="shared" si="189"/>
        <v>0</v>
      </c>
      <c r="PLU56" s="850">
        <f t="shared" si="189"/>
        <v>3.3807733574693838E+75</v>
      </c>
      <c r="PLV56" s="850">
        <f t="shared" si="189"/>
        <v>0</v>
      </c>
      <c r="PLW56" s="850">
        <f t="shared" si="189"/>
        <v>3.4821965581934655E+75</v>
      </c>
      <c r="PLX56" s="850">
        <f t="shared" si="189"/>
        <v>0</v>
      </c>
      <c r="PLY56" s="850">
        <f t="shared" si="189"/>
        <v>3.5866624549392694E+75</v>
      </c>
      <c r="PLZ56" s="850">
        <f t="shared" si="189"/>
        <v>0</v>
      </c>
      <c r="PMA56" s="850">
        <f t="shared" si="189"/>
        <v>3.6942623285874478E+75</v>
      </c>
      <c r="PMB56" s="850">
        <f t="shared" si="189"/>
        <v>0</v>
      </c>
      <c r="PMC56" s="850">
        <f t="shared" si="189"/>
        <v>3.8050901984450717E+75</v>
      </c>
      <c r="PMD56" s="850">
        <f t="shared" si="189"/>
        <v>0</v>
      </c>
      <c r="PME56" s="850">
        <f t="shared" si="189"/>
        <v>3.9192429043984237E+75</v>
      </c>
      <c r="PMF56" s="850">
        <f t="shared" si="189"/>
        <v>0</v>
      </c>
      <c r="PMG56" s="850">
        <f t="shared" si="189"/>
        <v>4.0368201915303768E+75</v>
      </c>
      <c r="PMH56" s="850">
        <f t="shared" si="189"/>
        <v>0</v>
      </c>
      <c r="PMI56" s="850">
        <f t="shared" si="189"/>
        <v>4.1579247972762879E+75</v>
      </c>
      <c r="PMJ56" s="850">
        <f t="shared" si="189"/>
        <v>0</v>
      </c>
      <c r="PMK56" s="850">
        <f t="shared" si="189"/>
        <v>4.2826625411945764E+75</v>
      </c>
      <c r="PML56" s="850">
        <f t="shared" si="189"/>
        <v>0</v>
      </c>
      <c r="PMM56" s="850">
        <f t="shared" si="189"/>
        <v>4.4111424174304138E+75</v>
      </c>
      <c r="PMN56" s="850">
        <f t="shared" si="189"/>
        <v>0</v>
      </c>
      <c r="PMO56" s="850">
        <f t="shared" si="189"/>
        <v>4.5434766899533264E+75</v>
      </c>
      <c r="PMP56" s="850">
        <f t="shared" si="189"/>
        <v>0</v>
      </c>
      <c r="PMQ56" s="850">
        <f t="shared" si="189"/>
        <v>4.6797809906519261E+75</v>
      </c>
      <c r="PMR56" s="850">
        <f t="shared" si="189"/>
        <v>0</v>
      </c>
      <c r="PMS56" s="850">
        <f t="shared" si="189"/>
        <v>4.8201744203714843E+75</v>
      </c>
      <c r="PMT56" s="850">
        <f t="shared" si="189"/>
        <v>0</v>
      </c>
      <c r="PMU56" s="850">
        <f t="shared" si="189"/>
        <v>4.9647796529826286E+75</v>
      </c>
      <c r="PMV56" s="850">
        <f t="shared" si="189"/>
        <v>0</v>
      </c>
      <c r="PMW56" s="850">
        <f t="shared" si="189"/>
        <v>5.1137230425721073E+75</v>
      </c>
      <c r="PMX56" s="850">
        <f t="shared" si="189"/>
        <v>0</v>
      </c>
      <c r="PMY56" s="850">
        <f t="shared" si="189"/>
        <v>5.2671347338492707E+75</v>
      </c>
      <c r="PMZ56" s="850">
        <f t="shared" si="189"/>
        <v>0</v>
      </c>
      <c r="PNA56" s="850">
        <f t="shared" si="189"/>
        <v>5.4251487758647492E+75</v>
      </c>
      <c r="PNB56" s="850">
        <f t="shared" si="189"/>
        <v>0</v>
      </c>
      <c r="PNC56" s="850">
        <f t="shared" si="189"/>
        <v>5.5879032391406916E+75</v>
      </c>
      <c r="PND56" s="850">
        <f t="shared" si="189"/>
        <v>0</v>
      </c>
      <c r="PNE56" s="850">
        <f t="shared" si="189"/>
        <v>5.7555403363149126E+75</v>
      </c>
      <c r="PNF56" s="850">
        <f t="shared" si="189"/>
        <v>0</v>
      </c>
      <c r="PNG56" s="850">
        <f t="shared" si="189"/>
        <v>5.9282065464043604E+75</v>
      </c>
      <c r="PNH56" s="850">
        <f t="shared" si="189"/>
        <v>0</v>
      </c>
      <c r="PNI56" s="850">
        <f t="shared" si="189"/>
        <v>6.1060527427964915E+75</v>
      </c>
      <c r="PNJ56" s="850">
        <f t="shared" si="189"/>
        <v>0</v>
      </c>
      <c r="PNK56" s="850">
        <f t="shared" si="189"/>
        <v>6.2892343250803863E+75</v>
      </c>
      <c r="PNL56" s="850">
        <f t="shared" si="189"/>
        <v>0</v>
      </c>
      <c r="PNM56" s="850">
        <f t="shared" si="189"/>
        <v>6.4779113548327981E+75</v>
      </c>
      <c r="PNN56" s="850">
        <f t="shared" si="189"/>
        <v>0</v>
      </c>
      <c r="PNO56" s="850">
        <f t="shared" si="189"/>
        <v>6.672248695477782E+75</v>
      </c>
      <c r="PNP56" s="850">
        <f t="shared" si="189"/>
        <v>0</v>
      </c>
      <c r="PNQ56" s="850">
        <f t="shared" si="189"/>
        <v>6.8724161563421156E+75</v>
      </c>
      <c r="PNR56" s="850">
        <f t="shared" si="189"/>
        <v>0</v>
      </c>
      <c r="PNS56" s="850">
        <f t="shared" si="189"/>
        <v>7.0785886410323796E+75</v>
      </c>
      <c r="PNT56" s="850">
        <f t="shared" si="189"/>
        <v>0</v>
      </c>
      <c r="PNU56" s="850">
        <f t="shared" si="189"/>
        <v>7.2909463002633509E+75</v>
      </c>
      <c r="PNV56" s="850">
        <f t="shared" si="189"/>
        <v>0</v>
      </c>
      <c r="PNW56" s="850">
        <f t="shared" si="189"/>
        <v>7.5096746892712515E+75</v>
      </c>
      <c r="PNX56" s="850">
        <f t="shared" si="189"/>
        <v>0</v>
      </c>
      <c r="PNY56" s="850">
        <f t="shared" si="189"/>
        <v>7.7349649299493884E+75</v>
      </c>
      <c r="PNZ56" s="850">
        <f t="shared" si="189"/>
        <v>0</v>
      </c>
      <c r="POA56" s="850">
        <f t="shared" si="189"/>
        <v>7.9670138778478708E+75</v>
      </c>
      <c r="POB56" s="850">
        <f t="shared" si="189"/>
        <v>0</v>
      </c>
      <c r="POC56" s="850">
        <f t="shared" si="189"/>
        <v>8.2060242941833068E+75</v>
      </c>
      <c r="POD56" s="850">
        <f t="shared" ref="POD56:PQO56" si="190">POB56*$C$56</f>
        <v>0</v>
      </c>
      <c r="POE56" s="850">
        <f t="shared" si="190"/>
        <v>8.4522050230088056E+75</v>
      </c>
      <c r="POF56" s="850">
        <f t="shared" si="190"/>
        <v>0</v>
      </c>
      <c r="POG56" s="850">
        <f t="shared" si="190"/>
        <v>8.7057711736990707E+75</v>
      </c>
      <c r="POH56" s="850">
        <f t="shared" si="190"/>
        <v>0</v>
      </c>
      <c r="POI56" s="850">
        <f t="shared" si="190"/>
        <v>8.9669443089100423E+75</v>
      </c>
      <c r="POJ56" s="850">
        <f t="shared" si="190"/>
        <v>0</v>
      </c>
      <c r="POK56" s="850">
        <f t="shared" si="190"/>
        <v>9.2359526381773441E+75</v>
      </c>
      <c r="POL56" s="850">
        <f t="shared" si="190"/>
        <v>0</v>
      </c>
      <c r="POM56" s="850">
        <f t="shared" si="190"/>
        <v>9.5130312173226651E+75</v>
      </c>
      <c r="PON56" s="850">
        <f t="shared" si="190"/>
        <v>0</v>
      </c>
      <c r="POO56" s="850">
        <f t="shared" si="190"/>
        <v>9.7984221538423455E+75</v>
      </c>
      <c r="POP56" s="850">
        <f t="shared" si="190"/>
        <v>0</v>
      </c>
      <c r="POQ56" s="850">
        <f t="shared" si="190"/>
        <v>1.0092374818457616E+76</v>
      </c>
      <c r="POR56" s="850">
        <f t="shared" si="190"/>
        <v>0</v>
      </c>
      <c r="POS56" s="850">
        <f t="shared" si="190"/>
        <v>1.0395146063011345E+76</v>
      </c>
      <c r="POT56" s="850">
        <f t="shared" si="190"/>
        <v>0</v>
      </c>
      <c r="POU56" s="850">
        <f t="shared" si="190"/>
        <v>1.0707000444901685E+76</v>
      </c>
      <c r="POV56" s="850">
        <f t="shared" si="190"/>
        <v>0</v>
      </c>
      <c r="POW56" s="850">
        <f t="shared" si="190"/>
        <v>1.1028210458248737E+76</v>
      </c>
      <c r="POX56" s="850">
        <f t="shared" si="190"/>
        <v>0</v>
      </c>
      <c r="POY56" s="850">
        <f t="shared" si="190"/>
        <v>1.1359056771996199E+76</v>
      </c>
      <c r="POZ56" s="850">
        <f t="shared" si="190"/>
        <v>0</v>
      </c>
      <c r="PPA56" s="850">
        <f t="shared" si="190"/>
        <v>1.1699828475156085E+76</v>
      </c>
      <c r="PPB56" s="850">
        <f t="shared" si="190"/>
        <v>0</v>
      </c>
      <c r="PPC56" s="850">
        <f t="shared" si="190"/>
        <v>1.2050823329410768E+76</v>
      </c>
      <c r="PPD56" s="850">
        <f t="shared" si="190"/>
        <v>0</v>
      </c>
      <c r="PPE56" s="850">
        <f t="shared" si="190"/>
        <v>1.2412348029293091E+76</v>
      </c>
      <c r="PPF56" s="850">
        <f t="shared" si="190"/>
        <v>0</v>
      </c>
      <c r="PPG56" s="850">
        <f t="shared" si="190"/>
        <v>1.2784718470171884E+76</v>
      </c>
      <c r="PPH56" s="850">
        <f t="shared" si="190"/>
        <v>0</v>
      </c>
      <c r="PPI56" s="850">
        <f t="shared" si="190"/>
        <v>1.3168260024277042E+76</v>
      </c>
      <c r="PPJ56" s="850">
        <f t="shared" si="190"/>
        <v>0</v>
      </c>
      <c r="PPK56" s="850">
        <f t="shared" si="190"/>
        <v>1.3563307825005354E+76</v>
      </c>
      <c r="PPL56" s="850">
        <f t="shared" si="190"/>
        <v>0</v>
      </c>
      <c r="PPM56" s="850">
        <f t="shared" si="190"/>
        <v>1.3970207059755515E+76</v>
      </c>
      <c r="PPN56" s="850">
        <f t="shared" si="190"/>
        <v>0</v>
      </c>
      <c r="PPO56" s="850">
        <f t="shared" si="190"/>
        <v>1.4389313271548181E+76</v>
      </c>
      <c r="PPP56" s="850">
        <f t="shared" si="190"/>
        <v>0</v>
      </c>
      <c r="PPQ56" s="850">
        <f t="shared" si="190"/>
        <v>1.4820992669694628E+76</v>
      </c>
      <c r="PPR56" s="850">
        <f t="shared" si="190"/>
        <v>0</v>
      </c>
      <c r="PPS56" s="850">
        <f t="shared" si="190"/>
        <v>1.5265622449785468E+76</v>
      </c>
      <c r="PPT56" s="850">
        <f t="shared" si="190"/>
        <v>0</v>
      </c>
      <c r="PPU56" s="850">
        <f t="shared" si="190"/>
        <v>1.5723591123279034E+76</v>
      </c>
      <c r="PPV56" s="850">
        <f t="shared" si="190"/>
        <v>0</v>
      </c>
      <c r="PPW56" s="850">
        <f t="shared" si="190"/>
        <v>1.6195298856977406E+76</v>
      </c>
      <c r="PPX56" s="850">
        <f t="shared" si="190"/>
        <v>0</v>
      </c>
      <c r="PPY56" s="850">
        <f t="shared" si="190"/>
        <v>1.6681157822686727E+76</v>
      </c>
      <c r="PPZ56" s="850">
        <f t="shared" si="190"/>
        <v>0</v>
      </c>
      <c r="PQA56" s="850">
        <f t="shared" si="190"/>
        <v>1.718159255736733E+76</v>
      </c>
      <c r="PQB56" s="850">
        <f t="shared" si="190"/>
        <v>0</v>
      </c>
      <c r="PQC56" s="850">
        <f t="shared" si="190"/>
        <v>1.7697040334088349E+76</v>
      </c>
      <c r="PQD56" s="850">
        <f t="shared" si="190"/>
        <v>0</v>
      </c>
      <c r="PQE56" s="850">
        <f t="shared" si="190"/>
        <v>1.8227951544111E+76</v>
      </c>
      <c r="PQF56" s="850">
        <f t="shared" si="190"/>
        <v>0</v>
      </c>
      <c r="PQG56" s="850">
        <f t="shared" si="190"/>
        <v>1.877479009043433E+76</v>
      </c>
      <c r="PQH56" s="850">
        <f t="shared" si="190"/>
        <v>0</v>
      </c>
      <c r="PQI56" s="850">
        <f t="shared" si="190"/>
        <v>1.9338033793147359E+76</v>
      </c>
      <c r="PQJ56" s="850">
        <f t="shared" si="190"/>
        <v>0</v>
      </c>
      <c r="PQK56" s="850">
        <f t="shared" si="190"/>
        <v>1.9918174806941781E+76</v>
      </c>
      <c r="PQL56" s="850">
        <f t="shared" si="190"/>
        <v>0</v>
      </c>
      <c r="PQM56" s="850">
        <f t="shared" si="190"/>
        <v>2.0515720051150036E+76</v>
      </c>
      <c r="PQN56" s="850">
        <f t="shared" si="190"/>
        <v>0</v>
      </c>
      <c r="PQO56" s="850">
        <f t="shared" si="190"/>
        <v>2.1131191652684537E+76</v>
      </c>
      <c r="PQP56" s="850">
        <f t="shared" ref="PQP56:PTA56" si="191">PQN56*$C$56</f>
        <v>0</v>
      </c>
      <c r="PQQ56" s="850">
        <f t="shared" si="191"/>
        <v>2.1765127402265074E+76</v>
      </c>
      <c r="PQR56" s="850">
        <f t="shared" si="191"/>
        <v>0</v>
      </c>
      <c r="PQS56" s="850">
        <f t="shared" si="191"/>
        <v>2.2418081224333028E+76</v>
      </c>
      <c r="PQT56" s="850">
        <f t="shared" si="191"/>
        <v>0</v>
      </c>
      <c r="PQU56" s="850">
        <f t="shared" si="191"/>
        <v>2.309062366106302E+76</v>
      </c>
      <c r="PQV56" s="850">
        <f t="shared" si="191"/>
        <v>0</v>
      </c>
      <c r="PQW56" s="850">
        <f t="shared" si="191"/>
        <v>2.3783342370894911E+76</v>
      </c>
      <c r="PQX56" s="850">
        <f t="shared" si="191"/>
        <v>0</v>
      </c>
      <c r="PQY56" s="850">
        <f t="shared" si="191"/>
        <v>2.4496842642021759E+76</v>
      </c>
      <c r="PQZ56" s="850">
        <f t="shared" si="191"/>
        <v>0</v>
      </c>
      <c r="PRA56" s="850">
        <f t="shared" si="191"/>
        <v>2.5231747921282413E+76</v>
      </c>
      <c r="PRB56" s="850">
        <f t="shared" si="191"/>
        <v>0</v>
      </c>
      <c r="PRC56" s="850">
        <f t="shared" si="191"/>
        <v>2.5988700358920888E+76</v>
      </c>
      <c r="PRD56" s="850">
        <f t="shared" si="191"/>
        <v>0</v>
      </c>
      <c r="PRE56" s="850">
        <f t="shared" si="191"/>
        <v>2.6768361369688514E+76</v>
      </c>
      <c r="PRF56" s="850">
        <f t="shared" si="191"/>
        <v>0</v>
      </c>
      <c r="PRG56" s="850">
        <f t="shared" si="191"/>
        <v>2.7571412210779171E+76</v>
      </c>
      <c r="PRH56" s="850">
        <f t="shared" si="191"/>
        <v>0</v>
      </c>
      <c r="PRI56" s="850">
        <f t="shared" si="191"/>
        <v>2.8398554577102546E+76</v>
      </c>
      <c r="PRJ56" s="850">
        <f t="shared" si="191"/>
        <v>0</v>
      </c>
      <c r="PRK56" s="850">
        <f t="shared" si="191"/>
        <v>2.9250511214415623E+76</v>
      </c>
      <c r="PRL56" s="850">
        <f t="shared" si="191"/>
        <v>0</v>
      </c>
      <c r="PRM56" s="850">
        <f t="shared" si="191"/>
        <v>3.0128026550848093E+76</v>
      </c>
      <c r="PRN56" s="850">
        <f t="shared" si="191"/>
        <v>0</v>
      </c>
      <c r="PRO56" s="850">
        <f t="shared" si="191"/>
        <v>3.1031867347373533E+76</v>
      </c>
      <c r="PRP56" s="850">
        <f t="shared" si="191"/>
        <v>0</v>
      </c>
      <c r="PRQ56" s="850">
        <f t="shared" si="191"/>
        <v>3.1962823367794737E+76</v>
      </c>
      <c r="PRR56" s="850">
        <f t="shared" si="191"/>
        <v>0</v>
      </c>
      <c r="PRS56" s="850">
        <f t="shared" si="191"/>
        <v>3.2921708068828581E+76</v>
      </c>
      <c r="PRT56" s="850">
        <f t="shared" si="191"/>
        <v>0</v>
      </c>
      <c r="PRU56" s="850">
        <f t="shared" si="191"/>
        <v>3.3909359310893441E+76</v>
      </c>
      <c r="PRV56" s="850">
        <f t="shared" si="191"/>
        <v>0</v>
      </c>
      <c r="PRW56" s="850">
        <f t="shared" si="191"/>
        <v>3.4926640090220247E+76</v>
      </c>
      <c r="PRX56" s="850">
        <f t="shared" si="191"/>
        <v>0</v>
      </c>
      <c r="PRY56" s="850">
        <f t="shared" si="191"/>
        <v>3.5974439292926857E+76</v>
      </c>
      <c r="PRZ56" s="850">
        <f t="shared" si="191"/>
        <v>0</v>
      </c>
      <c r="PSA56" s="850">
        <f t="shared" si="191"/>
        <v>3.7053672471714663E+76</v>
      </c>
      <c r="PSB56" s="850">
        <f t="shared" si="191"/>
        <v>0</v>
      </c>
      <c r="PSC56" s="850">
        <f t="shared" si="191"/>
        <v>3.8165282645866107E+76</v>
      </c>
      <c r="PSD56" s="850">
        <f t="shared" si="191"/>
        <v>0</v>
      </c>
      <c r="PSE56" s="850">
        <f t="shared" si="191"/>
        <v>3.9310241125242089E+76</v>
      </c>
      <c r="PSF56" s="850">
        <f t="shared" si="191"/>
        <v>0</v>
      </c>
      <c r="PSG56" s="850">
        <f t="shared" si="191"/>
        <v>4.0489548358999351E+76</v>
      </c>
      <c r="PSH56" s="850">
        <f t="shared" si="191"/>
        <v>0</v>
      </c>
      <c r="PSI56" s="850">
        <f t="shared" si="191"/>
        <v>4.1704234809769332E+76</v>
      </c>
      <c r="PSJ56" s="850">
        <f t="shared" si="191"/>
        <v>0</v>
      </c>
      <c r="PSK56" s="850">
        <f t="shared" si="191"/>
        <v>4.2955361854062411E+76</v>
      </c>
      <c r="PSL56" s="850">
        <f t="shared" si="191"/>
        <v>0</v>
      </c>
      <c r="PSM56" s="850">
        <f t="shared" si="191"/>
        <v>4.4244022709684283E+76</v>
      </c>
      <c r="PSN56" s="850">
        <f t="shared" si="191"/>
        <v>0</v>
      </c>
      <c r="PSO56" s="850">
        <f t="shared" si="191"/>
        <v>4.5571343390974815E+76</v>
      </c>
      <c r="PSP56" s="850">
        <f t="shared" si="191"/>
        <v>0</v>
      </c>
      <c r="PSQ56" s="850">
        <f t="shared" si="191"/>
        <v>4.6938483692704062E+76</v>
      </c>
      <c r="PSR56" s="850">
        <f t="shared" si="191"/>
        <v>0</v>
      </c>
      <c r="PSS56" s="850">
        <f t="shared" si="191"/>
        <v>4.8346638203485184E+76</v>
      </c>
      <c r="PST56" s="850">
        <f t="shared" si="191"/>
        <v>0</v>
      </c>
      <c r="PSU56" s="850">
        <f t="shared" si="191"/>
        <v>4.9797037349589739E+76</v>
      </c>
      <c r="PSV56" s="850">
        <f t="shared" si="191"/>
        <v>0</v>
      </c>
      <c r="PSW56" s="850">
        <f t="shared" si="191"/>
        <v>5.129094847007743E+76</v>
      </c>
      <c r="PSX56" s="850">
        <f t="shared" si="191"/>
        <v>0</v>
      </c>
      <c r="PSY56" s="850">
        <f t="shared" si="191"/>
        <v>5.2829676924179758E+76</v>
      </c>
      <c r="PSZ56" s="850">
        <f t="shared" si="191"/>
        <v>0</v>
      </c>
      <c r="PTA56" s="850">
        <f t="shared" si="191"/>
        <v>5.4414567231905149E+76</v>
      </c>
      <c r="PTB56" s="850">
        <f t="shared" ref="PTB56:PVM56" si="192">PSZ56*$C$56</f>
        <v>0</v>
      </c>
      <c r="PTC56" s="850">
        <f t="shared" si="192"/>
        <v>5.6047004248862304E+76</v>
      </c>
      <c r="PTD56" s="850">
        <f t="shared" si="192"/>
        <v>0</v>
      </c>
      <c r="PTE56" s="850">
        <f t="shared" si="192"/>
        <v>5.7728414376328174E+76</v>
      </c>
      <c r="PTF56" s="850">
        <f t="shared" si="192"/>
        <v>0</v>
      </c>
      <c r="PTG56" s="850">
        <f t="shared" si="192"/>
        <v>5.9460266807618015E+76</v>
      </c>
      <c r="PTH56" s="850">
        <f t="shared" si="192"/>
        <v>0</v>
      </c>
      <c r="PTI56" s="850">
        <f t="shared" si="192"/>
        <v>6.1244074811846555E+76</v>
      </c>
      <c r="PTJ56" s="850">
        <f t="shared" si="192"/>
        <v>0</v>
      </c>
      <c r="PTK56" s="850">
        <f t="shared" si="192"/>
        <v>6.3081397056201953E+76</v>
      </c>
      <c r="PTL56" s="850">
        <f t="shared" si="192"/>
        <v>0</v>
      </c>
      <c r="PTM56" s="850">
        <f t="shared" si="192"/>
        <v>6.4973838967888016E+76</v>
      </c>
      <c r="PTN56" s="850">
        <f t="shared" si="192"/>
        <v>0</v>
      </c>
      <c r="PTO56" s="850">
        <f t="shared" si="192"/>
        <v>6.6923054136924653E+76</v>
      </c>
      <c r="PTP56" s="850">
        <f t="shared" si="192"/>
        <v>0</v>
      </c>
      <c r="PTQ56" s="850">
        <f t="shared" si="192"/>
        <v>6.8930745761032394E+76</v>
      </c>
      <c r="PTR56" s="850">
        <f t="shared" si="192"/>
        <v>0</v>
      </c>
      <c r="PTS56" s="850">
        <f t="shared" si="192"/>
        <v>7.0998668133863366E+76</v>
      </c>
      <c r="PTT56" s="850">
        <f t="shared" si="192"/>
        <v>0</v>
      </c>
      <c r="PTU56" s="850">
        <f t="shared" si="192"/>
        <v>7.3128628177879263E+76</v>
      </c>
      <c r="PTV56" s="850">
        <f t="shared" si="192"/>
        <v>0</v>
      </c>
      <c r="PTW56" s="850">
        <f t="shared" si="192"/>
        <v>7.5322487023215647E+76</v>
      </c>
      <c r="PTX56" s="850">
        <f t="shared" si="192"/>
        <v>0</v>
      </c>
      <c r="PTY56" s="850">
        <f t="shared" si="192"/>
        <v>7.7582161633912114E+76</v>
      </c>
      <c r="PTZ56" s="850">
        <f t="shared" si="192"/>
        <v>0</v>
      </c>
      <c r="PUA56" s="850">
        <f t="shared" si="192"/>
        <v>7.9909626482929479E+76</v>
      </c>
      <c r="PUB56" s="850">
        <f t="shared" si="192"/>
        <v>0</v>
      </c>
      <c r="PUC56" s="850">
        <f t="shared" si="192"/>
        <v>8.2306915277417366E+76</v>
      </c>
      <c r="PUD56" s="850">
        <f t="shared" si="192"/>
        <v>0</v>
      </c>
      <c r="PUE56" s="850">
        <f t="shared" si="192"/>
        <v>8.4776122735739893E+76</v>
      </c>
      <c r="PUF56" s="850">
        <f t="shared" si="192"/>
        <v>0</v>
      </c>
      <c r="PUG56" s="850">
        <f t="shared" si="192"/>
        <v>8.7319406417812093E+76</v>
      </c>
      <c r="PUH56" s="850">
        <f t="shared" si="192"/>
        <v>0</v>
      </c>
      <c r="PUI56" s="850">
        <f t="shared" si="192"/>
        <v>8.9938988610346454E+76</v>
      </c>
      <c r="PUJ56" s="850">
        <f t="shared" si="192"/>
        <v>0</v>
      </c>
      <c r="PUK56" s="850">
        <f t="shared" si="192"/>
        <v>9.2637158268656849E+76</v>
      </c>
      <c r="PUL56" s="850">
        <f t="shared" si="192"/>
        <v>0</v>
      </c>
      <c r="PUM56" s="850">
        <f t="shared" si="192"/>
        <v>9.541627301671656E+76</v>
      </c>
      <c r="PUN56" s="850">
        <f t="shared" si="192"/>
        <v>0</v>
      </c>
      <c r="PUO56" s="850">
        <f t="shared" si="192"/>
        <v>9.8278761207218058E+76</v>
      </c>
      <c r="PUP56" s="850">
        <f t="shared" si="192"/>
        <v>0</v>
      </c>
      <c r="PUQ56" s="850">
        <f t="shared" si="192"/>
        <v>1.0122712404343461E+77</v>
      </c>
      <c r="PUR56" s="850">
        <f t="shared" si="192"/>
        <v>0</v>
      </c>
      <c r="PUS56" s="850">
        <f t="shared" si="192"/>
        <v>1.0426393776473765E+77</v>
      </c>
      <c r="PUT56" s="850">
        <f t="shared" si="192"/>
        <v>0</v>
      </c>
      <c r="PUU56" s="850">
        <f t="shared" si="192"/>
        <v>1.0739185589767978E+77</v>
      </c>
      <c r="PUV56" s="850">
        <f t="shared" si="192"/>
        <v>0</v>
      </c>
      <c r="PUW56" s="850">
        <f t="shared" si="192"/>
        <v>1.1061361157461018E+77</v>
      </c>
      <c r="PUX56" s="850">
        <f t="shared" si="192"/>
        <v>0</v>
      </c>
      <c r="PUY56" s="850">
        <f t="shared" si="192"/>
        <v>1.1393201992184849E+77</v>
      </c>
      <c r="PUZ56" s="850">
        <f t="shared" si="192"/>
        <v>0</v>
      </c>
      <c r="PVA56" s="850">
        <f t="shared" si="192"/>
        <v>1.1734998051950396E+77</v>
      </c>
      <c r="PVB56" s="850">
        <f t="shared" si="192"/>
        <v>0</v>
      </c>
      <c r="PVC56" s="850">
        <f t="shared" si="192"/>
        <v>1.2087047993508907E+77</v>
      </c>
      <c r="PVD56" s="850">
        <f t="shared" si="192"/>
        <v>0</v>
      </c>
      <c r="PVE56" s="850">
        <f t="shared" si="192"/>
        <v>1.2449659433314175E+77</v>
      </c>
      <c r="PVF56" s="850">
        <f t="shared" si="192"/>
        <v>0</v>
      </c>
      <c r="PVG56" s="850">
        <f t="shared" si="192"/>
        <v>1.28231492163136E+77</v>
      </c>
      <c r="PVH56" s="850">
        <f t="shared" si="192"/>
        <v>0</v>
      </c>
      <c r="PVI56" s="850">
        <f t="shared" si="192"/>
        <v>1.3207843692803008E+77</v>
      </c>
      <c r="PVJ56" s="850">
        <f t="shared" si="192"/>
        <v>0</v>
      </c>
      <c r="PVK56" s="850">
        <f t="shared" si="192"/>
        <v>1.3604079003587099E+77</v>
      </c>
      <c r="PVL56" s="850">
        <f t="shared" si="192"/>
        <v>0</v>
      </c>
      <c r="PVM56" s="850">
        <f t="shared" si="192"/>
        <v>1.4012201373694712E+77</v>
      </c>
      <c r="PVN56" s="850">
        <f t="shared" ref="PVN56:PXY56" si="193">PVL56*$C$56</f>
        <v>0</v>
      </c>
      <c r="PVO56" s="850">
        <f t="shared" si="193"/>
        <v>1.4432567414905554E+77</v>
      </c>
      <c r="PVP56" s="850">
        <f t="shared" si="193"/>
        <v>0</v>
      </c>
      <c r="PVQ56" s="850">
        <f t="shared" si="193"/>
        <v>1.4865544437352722E+77</v>
      </c>
      <c r="PVR56" s="850">
        <f t="shared" si="193"/>
        <v>0</v>
      </c>
      <c r="PVS56" s="850">
        <f t="shared" si="193"/>
        <v>1.5311510770473303E+77</v>
      </c>
      <c r="PVT56" s="850">
        <f t="shared" si="193"/>
        <v>0</v>
      </c>
      <c r="PVU56" s="850">
        <f t="shared" si="193"/>
        <v>1.5770856093587503E+77</v>
      </c>
      <c r="PVV56" s="850">
        <f t="shared" si="193"/>
        <v>0</v>
      </c>
      <c r="PVW56" s="850">
        <f t="shared" si="193"/>
        <v>1.6243981776395128E+77</v>
      </c>
      <c r="PVX56" s="850">
        <f t="shared" si="193"/>
        <v>0</v>
      </c>
      <c r="PVY56" s="850">
        <f t="shared" si="193"/>
        <v>1.6731301229686981E+77</v>
      </c>
      <c r="PVZ56" s="850">
        <f t="shared" si="193"/>
        <v>0</v>
      </c>
      <c r="PWA56" s="850">
        <f t="shared" si="193"/>
        <v>1.723324026657759E+77</v>
      </c>
      <c r="PWB56" s="850">
        <f t="shared" si="193"/>
        <v>0</v>
      </c>
      <c r="PWC56" s="850">
        <f t="shared" si="193"/>
        <v>1.7750237474574919E+77</v>
      </c>
      <c r="PWD56" s="850">
        <f t="shared" si="193"/>
        <v>0</v>
      </c>
      <c r="PWE56" s="850">
        <f t="shared" si="193"/>
        <v>1.8282744598812166E+77</v>
      </c>
      <c r="PWF56" s="850">
        <f t="shared" si="193"/>
        <v>0</v>
      </c>
      <c r="PWG56" s="850">
        <f t="shared" si="193"/>
        <v>1.8831226936776532E+77</v>
      </c>
      <c r="PWH56" s="850">
        <f t="shared" si="193"/>
        <v>0</v>
      </c>
      <c r="PWI56" s="850">
        <f t="shared" si="193"/>
        <v>1.9396163744879829E+77</v>
      </c>
      <c r="PWJ56" s="850">
        <f t="shared" si="193"/>
        <v>0</v>
      </c>
      <c r="PWK56" s="850">
        <f t="shared" si="193"/>
        <v>1.9978048657226225E+77</v>
      </c>
      <c r="PWL56" s="850">
        <f t="shared" si="193"/>
        <v>0</v>
      </c>
      <c r="PWM56" s="850">
        <f t="shared" si="193"/>
        <v>2.0577390116943012E+77</v>
      </c>
      <c r="PWN56" s="850">
        <f t="shared" si="193"/>
        <v>0</v>
      </c>
      <c r="PWO56" s="850">
        <f t="shared" si="193"/>
        <v>2.1194711820451303E+77</v>
      </c>
      <c r="PWP56" s="850">
        <f t="shared" si="193"/>
        <v>0</v>
      </c>
      <c r="PWQ56" s="850">
        <f t="shared" si="193"/>
        <v>2.1830553175064843E+77</v>
      </c>
      <c r="PWR56" s="850">
        <f t="shared" si="193"/>
        <v>0</v>
      </c>
      <c r="PWS56" s="850">
        <f t="shared" si="193"/>
        <v>2.248546977031679E+77</v>
      </c>
      <c r="PWT56" s="850">
        <f t="shared" si="193"/>
        <v>0</v>
      </c>
      <c r="PWU56" s="850">
        <f t="shared" si="193"/>
        <v>2.3160033863426294E+77</v>
      </c>
      <c r="PWV56" s="850">
        <f t="shared" si="193"/>
        <v>0</v>
      </c>
      <c r="PWW56" s="850">
        <f t="shared" si="193"/>
        <v>2.3854834879329086E+77</v>
      </c>
      <c r="PWX56" s="850">
        <f t="shared" si="193"/>
        <v>0</v>
      </c>
      <c r="PWY56" s="850">
        <f t="shared" si="193"/>
        <v>2.4570479925708957E+77</v>
      </c>
      <c r="PWZ56" s="850">
        <f t="shared" si="193"/>
        <v>0</v>
      </c>
      <c r="PXA56" s="850">
        <f t="shared" si="193"/>
        <v>2.5307594323480225E+77</v>
      </c>
      <c r="PXB56" s="850">
        <f t="shared" si="193"/>
        <v>0</v>
      </c>
      <c r="PXC56" s="850">
        <f t="shared" si="193"/>
        <v>2.606682215318463E+77</v>
      </c>
      <c r="PXD56" s="850">
        <f t="shared" si="193"/>
        <v>0</v>
      </c>
      <c r="PXE56" s="850">
        <f t="shared" si="193"/>
        <v>2.6848826817780172E+77</v>
      </c>
      <c r="PXF56" s="850">
        <f t="shared" si="193"/>
        <v>0</v>
      </c>
      <c r="PXG56" s="850">
        <f t="shared" si="193"/>
        <v>2.7654291622313577E+77</v>
      </c>
      <c r="PXH56" s="850">
        <f t="shared" si="193"/>
        <v>0</v>
      </c>
      <c r="PXI56" s="850">
        <f t="shared" si="193"/>
        <v>2.8483920370982987E+77</v>
      </c>
      <c r="PXJ56" s="850">
        <f t="shared" si="193"/>
        <v>0</v>
      </c>
      <c r="PXK56" s="850">
        <f t="shared" si="193"/>
        <v>2.9338437982112477E+77</v>
      </c>
      <c r="PXL56" s="850">
        <f t="shared" si="193"/>
        <v>0</v>
      </c>
      <c r="PXM56" s="850">
        <f t="shared" si="193"/>
        <v>3.021859112157585E+77</v>
      </c>
      <c r="PXN56" s="850">
        <f t="shared" si="193"/>
        <v>0</v>
      </c>
      <c r="PXO56" s="850">
        <f t="shared" si="193"/>
        <v>3.1125148855223127E+77</v>
      </c>
      <c r="PXP56" s="850">
        <f t="shared" si="193"/>
        <v>0</v>
      </c>
      <c r="PXQ56" s="850">
        <f t="shared" si="193"/>
        <v>3.2058903320879821E+77</v>
      </c>
      <c r="PXR56" s="850">
        <f t="shared" si="193"/>
        <v>0</v>
      </c>
      <c r="PXS56" s="850">
        <f t="shared" si="193"/>
        <v>3.3020670420506217E+77</v>
      </c>
      <c r="PXT56" s="850">
        <f t="shared" si="193"/>
        <v>0</v>
      </c>
      <c r="PXU56" s="850">
        <f t="shared" si="193"/>
        <v>3.4011290533121404E+77</v>
      </c>
      <c r="PXV56" s="850">
        <f t="shared" si="193"/>
        <v>0</v>
      </c>
      <c r="PXW56" s="850">
        <f t="shared" si="193"/>
        <v>3.5031629249115047E+77</v>
      </c>
      <c r="PXX56" s="850">
        <f t="shared" si="193"/>
        <v>0</v>
      </c>
      <c r="PXY56" s="850">
        <f t="shared" si="193"/>
        <v>3.6082578126588501E+77</v>
      </c>
      <c r="PXZ56" s="850">
        <f t="shared" ref="PXZ56:QAK56" si="194">PXX56*$C$56</f>
        <v>0</v>
      </c>
      <c r="PYA56" s="850">
        <f t="shared" si="194"/>
        <v>3.7165055470386157E+77</v>
      </c>
      <c r="PYB56" s="850">
        <f t="shared" si="194"/>
        <v>0</v>
      </c>
      <c r="PYC56" s="850">
        <f t="shared" si="194"/>
        <v>3.8280007134497743E+77</v>
      </c>
      <c r="PYD56" s="850">
        <f t="shared" si="194"/>
        <v>0</v>
      </c>
      <c r="PYE56" s="850">
        <f t="shared" si="194"/>
        <v>3.9428407348532677E+77</v>
      </c>
      <c r="PYF56" s="850">
        <f t="shared" si="194"/>
        <v>0</v>
      </c>
      <c r="PYG56" s="850">
        <f t="shared" si="194"/>
        <v>4.0611259568988657E+77</v>
      </c>
      <c r="PYH56" s="850">
        <f t="shared" si="194"/>
        <v>0</v>
      </c>
      <c r="PYI56" s="850">
        <f t="shared" si="194"/>
        <v>4.182959735605832E+77</v>
      </c>
      <c r="PYJ56" s="850">
        <f t="shared" si="194"/>
        <v>0</v>
      </c>
      <c r="PYK56" s="850">
        <f t="shared" si="194"/>
        <v>4.3084485276740068E+77</v>
      </c>
      <c r="PYL56" s="850">
        <f t="shared" si="194"/>
        <v>0</v>
      </c>
      <c r="PYM56" s="850">
        <f t="shared" si="194"/>
        <v>4.4377019835042271E+77</v>
      </c>
      <c r="PYN56" s="850">
        <f t="shared" si="194"/>
        <v>0</v>
      </c>
      <c r="PYO56" s="850">
        <f t="shared" si="194"/>
        <v>4.5708330430093542E+77</v>
      </c>
      <c r="PYP56" s="850">
        <f t="shared" si="194"/>
        <v>0</v>
      </c>
      <c r="PYQ56" s="850">
        <f t="shared" si="194"/>
        <v>4.707958034299635E+77</v>
      </c>
      <c r="PYR56" s="850">
        <f t="shared" si="194"/>
        <v>0</v>
      </c>
      <c r="PYS56" s="850">
        <f t="shared" si="194"/>
        <v>4.8491967753286243E+77</v>
      </c>
      <c r="PYT56" s="850">
        <f t="shared" si="194"/>
        <v>0</v>
      </c>
      <c r="PYU56" s="850">
        <f t="shared" si="194"/>
        <v>4.9946726785884833E+77</v>
      </c>
      <c r="PYV56" s="850">
        <f t="shared" si="194"/>
        <v>0</v>
      </c>
      <c r="PYW56" s="850">
        <f t="shared" si="194"/>
        <v>5.1445128589461381E+77</v>
      </c>
      <c r="PYX56" s="850">
        <f t="shared" si="194"/>
        <v>0</v>
      </c>
      <c r="PYY56" s="850">
        <f t="shared" si="194"/>
        <v>5.2988482447145229E+77</v>
      </c>
      <c r="PYZ56" s="850">
        <f t="shared" si="194"/>
        <v>0</v>
      </c>
      <c r="PZA56" s="850">
        <f t="shared" si="194"/>
        <v>5.4578136920559586E+77</v>
      </c>
      <c r="PZB56" s="850">
        <f t="shared" si="194"/>
        <v>0</v>
      </c>
      <c r="PZC56" s="850">
        <f t="shared" si="194"/>
        <v>5.6215481028176371E+77</v>
      </c>
      <c r="PZD56" s="850">
        <f t="shared" si="194"/>
        <v>0</v>
      </c>
      <c r="PZE56" s="850">
        <f t="shared" si="194"/>
        <v>5.7901945459021668E+77</v>
      </c>
      <c r="PZF56" s="850">
        <f t="shared" si="194"/>
        <v>0</v>
      </c>
      <c r="PZG56" s="850">
        <f t="shared" si="194"/>
        <v>5.9639003822792316E+77</v>
      </c>
      <c r="PZH56" s="850">
        <f t="shared" si="194"/>
        <v>0</v>
      </c>
      <c r="PZI56" s="850">
        <f t="shared" si="194"/>
        <v>6.1428173937476085E+77</v>
      </c>
      <c r="PZJ56" s="850">
        <f t="shared" si="194"/>
        <v>0</v>
      </c>
      <c r="PZK56" s="850">
        <f t="shared" si="194"/>
        <v>6.3271019155600369E+77</v>
      </c>
      <c r="PZL56" s="850">
        <f t="shared" si="194"/>
        <v>0</v>
      </c>
      <c r="PZM56" s="850">
        <f t="shared" si="194"/>
        <v>6.5169149730268383E+77</v>
      </c>
      <c r="PZN56" s="850">
        <f t="shared" si="194"/>
        <v>0</v>
      </c>
      <c r="PZO56" s="850">
        <f t="shared" si="194"/>
        <v>6.7124224222176435E+77</v>
      </c>
      <c r="PZP56" s="850">
        <f t="shared" si="194"/>
        <v>0</v>
      </c>
      <c r="PZQ56" s="850">
        <f t="shared" si="194"/>
        <v>6.9137950948841733E+77</v>
      </c>
      <c r="PZR56" s="850">
        <f t="shared" si="194"/>
        <v>0</v>
      </c>
      <c r="PZS56" s="850">
        <f t="shared" si="194"/>
        <v>7.1212089477306983E+77</v>
      </c>
      <c r="PZT56" s="850">
        <f t="shared" si="194"/>
        <v>0</v>
      </c>
      <c r="PZU56" s="850">
        <f t="shared" si="194"/>
        <v>7.3348452161626192E+77</v>
      </c>
      <c r="PZV56" s="850">
        <f t="shared" si="194"/>
        <v>0</v>
      </c>
      <c r="PZW56" s="850">
        <f t="shared" si="194"/>
        <v>7.554890572647498E+77</v>
      </c>
      <c r="PZX56" s="850">
        <f t="shared" si="194"/>
        <v>0</v>
      </c>
      <c r="PZY56" s="850">
        <f t="shared" si="194"/>
        <v>7.7815372898269227E+77</v>
      </c>
      <c r="PZZ56" s="850">
        <f t="shared" si="194"/>
        <v>0</v>
      </c>
      <c r="QAA56" s="850">
        <f t="shared" si="194"/>
        <v>8.0149834085217305E+77</v>
      </c>
      <c r="QAB56" s="850">
        <f t="shared" si="194"/>
        <v>0</v>
      </c>
      <c r="QAC56" s="850">
        <f t="shared" si="194"/>
        <v>8.2554329107773822E+77</v>
      </c>
      <c r="QAD56" s="850">
        <f t="shared" si="194"/>
        <v>0</v>
      </c>
      <c r="QAE56" s="850">
        <f t="shared" si="194"/>
        <v>8.5030958981007037E+77</v>
      </c>
      <c r="QAF56" s="850">
        <f t="shared" si="194"/>
        <v>0</v>
      </c>
      <c r="QAG56" s="850">
        <f t="shared" si="194"/>
        <v>8.7581887750437246E+77</v>
      </c>
      <c r="QAH56" s="850">
        <f t="shared" si="194"/>
        <v>0</v>
      </c>
      <c r="QAI56" s="850">
        <f t="shared" si="194"/>
        <v>9.0209344382950364E+77</v>
      </c>
      <c r="QAJ56" s="850">
        <f t="shared" si="194"/>
        <v>0</v>
      </c>
      <c r="QAK56" s="850">
        <f t="shared" si="194"/>
        <v>9.2915624714438881E+77</v>
      </c>
      <c r="QAL56" s="850">
        <f t="shared" ref="QAL56:QCW56" si="195">QAJ56*$C$56</f>
        <v>0</v>
      </c>
      <c r="QAM56" s="850">
        <f t="shared" si="195"/>
        <v>9.5703093455872045E+77</v>
      </c>
      <c r="QAN56" s="850">
        <f t="shared" si="195"/>
        <v>0</v>
      </c>
      <c r="QAO56" s="850">
        <f t="shared" si="195"/>
        <v>9.8574186259548214E+77</v>
      </c>
      <c r="QAP56" s="850">
        <f t="shared" si="195"/>
        <v>0</v>
      </c>
      <c r="QAQ56" s="850">
        <f t="shared" si="195"/>
        <v>1.0153141184733466E+78</v>
      </c>
      <c r="QAR56" s="850">
        <f t="shared" si="195"/>
        <v>0</v>
      </c>
      <c r="QAS56" s="850">
        <f t="shared" si="195"/>
        <v>1.0457735420275469E+78</v>
      </c>
      <c r="QAT56" s="850">
        <f t="shared" si="195"/>
        <v>0</v>
      </c>
      <c r="QAU56" s="850">
        <f t="shared" si="195"/>
        <v>1.0771467482883734E+78</v>
      </c>
      <c r="QAV56" s="850">
        <f t="shared" si="195"/>
        <v>0</v>
      </c>
      <c r="QAW56" s="850">
        <f t="shared" si="195"/>
        <v>1.1094611507370246E+78</v>
      </c>
      <c r="QAX56" s="850">
        <f t="shared" si="195"/>
        <v>0</v>
      </c>
      <c r="QAY56" s="850">
        <f t="shared" si="195"/>
        <v>1.1427449852591354E+78</v>
      </c>
      <c r="QAZ56" s="850">
        <f t="shared" si="195"/>
        <v>0</v>
      </c>
      <c r="QBA56" s="850">
        <f t="shared" si="195"/>
        <v>1.1770273348169094E+78</v>
      </c>
      <c r="QBB56" s="850">
        <f t="shared" si="195"/>
        <v>0</v>
      </c>
      <c r="QBC56" s="850">
        <f t="shared" si="195"/>
        <v>1.2123381548614168E+78</v>
      </c>
      <c r="QBD56" s="850">
        <f t="shared" si="195"/>
        <v>0</v>
      </c>
      <c r="QBE56" s="850">
        <f t="shared" si="195"/>
        <v>1.2487082995072594E+78</v>
      </c>
      <c r="QBF56" s="850">
        <f t="shared" si="195"/>
        <v>0</v>
      </c>
      <c r="QBG56" s="850">
        <f t="shared" si="195"/>
        <v>1.2861695484924774E+78</v>
      </c>
      <c r="QBH56" s="850">
        <f t="shared" si="195"/>
        <v>0</v>
      </c>
      <c r="QBI56" s="850">
        <f t="shared" si="195"/>
        <v>1.3247546349472517E+78</v>
      </c>
      <c r="QBJ56" s="850">
        <f t="shared" si="195"/>
        <v>0</v>
      </c>
      <c r="QBK56" s="850">
        <f t="shared" si="195"/>
        <v>1.3644972739956692E+78</v>
      </c>
      <c r="QBL56" s="850">
        <f t="shared" si="195"/>
        <v>0</v>
      </c>
      <c r="QBM56" s="850">
        <f t="shared" si="195"/>
        <v>1.4054321922155394E+78</v>
      </c>
      <c r="QBN56" s="850">
        <f t="shared" si="195"/>
        <v>0</v>
      </c>
      <c r="QBO56" s="850">
        <f t="shared" si="195"/>
        <v>1.4475951579820056E+78</v>
      </c>
      <c r="QBP56" s="850">
        <f t="shared" si="195"/>
        <v>0</v>
      </c>
      <c r="QBQ56" s="850">
        <f t="shared" si="195"/>
        <v>1.4910230127214658E+78</v>
      </c>
      <c r="QBR56" s="850">
        <f t="shared" si="195"/>
        <v>0</v>
      </c>
      <c r="QBS56" s="850">
        <f t="shared" si="195"/>
        <v>1.5357537031031099E+78</v>
      </c>
      <c r="QBT56" s="850">
        <f t="shared" si="195"/>
        <v>0</v>
      </c>
      <c r="QBU56" s="850">
        <f t="shared" si="195"/>
        <v>1.5818263141962032E+78</v>
      </c>
      <c r="QBV56" s="850">
        <f t="shared" si="195"/>
        <v>0</v>
      </c>
      <c r="QBW56" s="850">
        <f t="shared" si="195"/>
        <v>1.6292811036220893E+78</v>
      </c>
      <c r="QBX56" s="850">
        <f t="shared" si="195"/>
        <v>0</v>
      </c>
      <c r="QBY56" s="850">
        <f t="shared" si="195"/>
        <v>1.6781595367307521E+78</v>
      </c>
      <c r="QBZ56" s="850">
        <f t="shared" si="195"/>
        <v>0</v>
      </c>
      <c r="QCA56" s="850">
        <f t="shared" si="195"/>
        <v>1.7285043228326747E+78</v>
      </c>
      <c r="QCB56" s="850">
        <f t="shared" si="195"/>
        <v>0</v>
      </c>
      <c r="QCC56" s="850">
        <f t="shared" si="195"/>
        <v>1.780359452517655E+78</v>
      </c>
      <c r="QCD56" s="850">
        <f t="shared" si="195"/>
        <v>0</v>
      </c>
      <c r="QCE56" s="850">
        <f t="shared" si="195"/>
        <v>1.8337702360931847E+78</v>
      </c>
      <c r="QCF56" s="850">
        <f t="shared" si="195"/>
        <v>0</v>
      </c>
      <c r="QCG56" s="850">
        <f t="shared" si="195"/>
        <v>1.8887833431759803E+78</v>
      </c>
      <c r="QCH56" s="850">
        <f t="shared" si="195"/>
        <v>0</v>
      </c>
      <c r="QCI56" s="850">
        <f t="shared" si="195"/>
        <v>1.9454468434712598E+78</v>
      </c>
      <c r="QCJ56" s="850">
        <f t="shared" si="195"/>
        <v>0</v>
      </c>
      <c r="QCK56" s="850">
        <f t="shared" si="195"/>
        <v>2.0038102487753974E+78</v>
      </c>
      <c r="QCL56" s="850">
        <f t="shared" si="195"/>
        <v>0</v>
      </c>
      <c r="QCM56" s="850">
        <f t="shared" si="195"/>
        <v>2.0639245562386596E+78</v>
      </c>
      <c r="QCN56" s="850">
        <f t="shared" si="195"/>
        <v>0</v>
      </c>
      <c r="QCO56" s="850">
        <f t="shared" si="195"/>
        <v>2.1258422929258194E+78</v>
      </c>
      <c r="QCP56" s="850">
        <f t="shared" si="195"/>
        <v>0</v>
      </c>
      <c r="QCQ56" s="850">
        <f t="shared" si="195"/>
        <v>2.1896175617135942E+78</v>
      </c>
      <c r="QCR56" s="850">
        <f t="shared" si="195"/>
        <v>0</v>
      </c>
      <c r="QCS56" s="850">
        <f t="shared" si="195"/>
        <v>2.2553060885650022E+78</v>
      </c>
      <c r="QCT56" s="850">
        <f t="shared" si="195"/>
        <v>0</v>
      </c>
      <c r="QCU56" s="850">
        <f t="shared" si="195"/>
        <v>2.3229652712219522E+78</v>
      </c>
      <c r="QCV56" s="850">
        <f t="shared" si="195"/>
        <v>0</v>
      </c>
      <c r="QCW56" s="850">
        <f t="shared" si="195"/>
        <v>2.392654229358611E+78</v>
      </c>
      <c r="QCX56" s="850">
        <f t="shared" ref="QCX56:QFI56" si="196">QCV56*$C$56</f>
        <v>0</v>
      </c>
      <c r="QCY56" s="850">
        <f t="shared" si="196"/>
        <v>2.4644338562393693E+78</v>
      </c>
      <c r="QCZ56" s="850">
        <f t="shared" si="196"/>
        <v>0</v>
      </c>
      <c r="QDA56" s="850">
        <f t="shared" si="196"/>
        <v>2.5383668719265503E+78</v>
      </c>
      <c r="QDB56" s="850">
        <f t="shared" si="196"/>
        <v>0</v>
      </c>
      <c r="QDC56" s="850">
        <f t="shared" si="196"/>
        <v>2.6145178780843469E+78</v>
      </c>
      <c r="QDD56" s="850">
        <f t="shared" si="196"/>
        <v>0</v>
      </c>
      <c r="QDE56" s="850">
        <f t="shared" si="196"/>
        <v>2.6929534144268775E+78</v>
      </c>
      <c r="QDF56" s="850">
        <f t="shared" si="196"/>
        <v>0</v>
      </c>
      <c r="QDG56" s="850">
        <f t="shared" si="196"/>
        <v>2.773742016859684E+78</v>
      </c>
      <c r="QDH56" s="850">
        <f t="shared" si="196"/>
        <v>0</v>
      </c>
      <c r="QDI56" s="850">
        <f t="shared" si="196"/>
        <v>2.8569542773654745E+78</v>
      </c>
      <c r="QDJ56" s="850">
        <f t="shared" si="196"/>
        <v>0</v>
      </c>
      <c r="QDK56" s="850">
        <f t="shared" si="196"/>
        <v>2.9426629056864388E+78</v>
      </c>
      <c r="QDL56" s="850">
        <f t="shared" si="196"/>
        <v>0</v>
      </c>
      <c r="QDM56" s="850">
        <f t="shared" si="196"/>
        <v>3.0309427928570319E+78</v>
      </c>
      <c r="QDN56" s="850">
        <f t="shared" si="196"/>
        <v>0</v>
      </c>
      <c r="QDO56" s="850">
        <f t="shared" si="196"/>
        <v>3.1218710766427429E+78</v>
      </c>
      <c r="QDP56" s="850">
        <f t="shared" si="196"/>
        <v>0</v>
      </c>
      <c r="QDQ56" s="850">
        <f t="shared" si="196"/>
        <v>3.2155272089420254E+78</v>
      </c>
      <c r="QDR56" s="850">
        <f t="shared" si="196"/>
        <v>0</v>
      </c>
      <c r="QDS56" s="850">
        <f t="shared" si="196"/>
        <v>3.3119930252102863E+78</v>
      </c>
      <c r="QDT56" s="850">
        <f t="shared" si="196"/>
        <v>0</v>
      </c>
      <c r="QDU56" s="850">
        <f t="shared" si="196"/>
        <v>3.411352815966595E+78</v>
      </c>
      <c r="QDV56" s="850">
        <f t="shared" si="196"/>
        <v>0</v>
      </c>
      <c r="QDW56" s="850">
        <f t="shared" si="196"/>
        <v>3.5136934004455931E+78</v>
      </c>
      <c r="QDX56" s="850">
        <f t="shared" si="196"/>
        <v>0</v>
      </c>
      <c r="QDY56" s="850">
        <f t="shared" si="196"/>
        <v>3.619104202458961E+78</v>
      </c>
      <c r="QDZ56" s="850">
        <f t="shared" si="196"/>
        <v>0</v>
      </c>
      <c r="QEA56" s="850">
        <f t="shared" si="196"/>
        <v>3.7276773285327302E+78</v>
      </c>
      <c r="QEB56" s="850">
        <f t="shared" si="196"/>
        <v>0</v>
      </c>
      <c r="QEC56" s="850">
        <f t="shared" si="196"/>
        <v>3.8395076483887118E+78</v>
      </c>
      <c r="QED56" s="850">
        <f t="shared" si="196"/>
        <v>0</v>
      </c>
      <c r="QEE56" s="850">
        <f t="shared" si="196"/>
        <v>3.9546928778403735E+78</v>
      </c>
      <c r="QEF56" s="850">
        <f t="shared" si="196"/>
        <v>0</v>
      </c>
      <c r="QEG56" s="850">
        <f t="shared" si="196"/>
        <v>4.0733336641755847E+78</v>
      </c>
      <c r="QEH56" s="850">
        <f t="shared" si="196"/>
        <v>0</v>
      </c>
      <c r="QEI56" s="850">
        <f t="shared" si="196"/>
        <v>4.1955336741008523E+78</v>
      </c>
      <c r="QEJ56" s="850">
        <f t="shared" si="196"/>
        <v>0</v>
      </c>
      <c r="QEK56" s="850">
        <f t="shared" si="196"/>
        <v>4.3213996843238778E+78</v>
      </c>
      <c r="QEL56" s="850">
        <f t="shared" si="196"/>
        <v>0</v>
      </c>
      <c r="QEM56" s="850">
        <f t="shared" si="196"/>
        <v>4.451041674853594E+78</v>
      </c>
      <c r="QEN56" s="850">
        <f t="shared" si="196"/>
        <v>0</v>
      </c>
      <c r="QEO56" s="850">
        <f t="shared" si="196"/>
        <v>4.5845729250992016E+78</v>
      </c>
      <c r="QEP56" s="850">
        <f t="shared" si="196"/>
        <v>0</v>
      </c>
      <c r="QEQ56" s="850">
        <f t="shared" si="196"/>
        <v>4.722110112852178E+78</v>
      </c>
      <c r="QER56" s="850">
        <f t="shared" si="196"/>
        <v>0</v>
      </c>
      <c r="QES56" s="850">
        <f t="shared" si="196"/>
        <v>4.8637734162377432E+78</v>
      </c>
      <c r="QET56" s="850">
        <f t="shared" si="196"/>
        <v>0</v>
      </c>
      <c r="QEU56" s="850">
        <f t="shared" si="196"/>
        <v>5.0096866187248759E+78</v>
      </c>
      <c r="QEV56" s="850">
        <f t="shared" si="196"/>
        <v>0</v>
      </c>
      <c r="QEW56" s="850">
        <f t="shared" si="196"/>
        <v>5.1599772172866222E+78</v>
      </c>
      <c r="QEX56" s="850">
        <f t="shared" si="196"/>
        <v>0</v>
      </c>
      <c r="QEY56" s="850">
        <f t="shared" si="196"/>
        <v>5.3147765338052213E+78</v>
      </c>
      <c r="QEZ56" s="850">
        <f t="shared" si="196"/>
        <v>0</v>
      </c>
      <c r="QFA56" s="850">
        <f t="shared" si="196"/>
        <v>5.4742198298193778E+78</v>
      </c>
      <c r="QFB56" s="850">
        <f t="shared" si="196"/>
        <v>0</v>
      </c>
      <c r="QFC56" s="850">
        <f t="shared" si="196"/>
        <v>5.6384464247139589E+78</v>
      </c>
      <c r="QFD56" s="850">
        <f t="shared" si="196"/>
        <v>0</v>
      </c>
      <c r="QFE56" s="850">
        <f t="shared" si="196"/>
        <v>5.8075998174553779E+78</v>
      </c>
      <c r="QFF56" s="850">
        <f t="shared" si="196"/>
        <v>0</v>
      </c>
      <c r="QFG56" s="850">
        <f t="shared" si="196"/>
        <v>5.9818278119790396E+78</v>
      </c>
      <c r="QFH56" s="850">
        <f t="shared" si="196"/>
        <v>0</v>
      </c>
      <c r="QFI56" s="850">
        <f t="shared" si="196"/>
        <v>6.1612826463384111E+78</v>
      </c>
      <c r="QFJ56" s="850">
        <f t="shared" ref="QFJ56:QHU56" si="197">QFH56*$C$56</f>
        <v>0</v>
      </c>
      <c r="QFK56" s="850">
        <f t="shared" si="197"/>
        <v>6.3461211257285639E+78</v>
      </c>
      <c r="QFL56" s="850">
        <f t="shared" si="197"/>
        <v>0</v>
      </c>
      <c r="QFM56" s="850">
        <f t="shared" si="197"/>
        <v>6.5365047595004211E+78</v>
      </c>
      <c r="QFN56" s="850">
        <f t="shared" si="197"/>
        <v>0</v>
      </c>
      <c r="QFO56" s="850">
        <f t="shared" si="197"/>
        <v>6.7325999022854341E+78</v>
      </c>
      <c r="QFP56" s="850">
        <f t="shared" si="197"/>
        <v>0</v>
      </c>
      <c r="QFQ56" s="850">
        <f t="shared" si="197"/>
        <v>6.9345778993539971E+78</v>
      </c>
      <c r="QFR56" s="850">
        <f t="shared" si="197"/>
        <v>0</v>
      </c>
      <c r="QFS56" s="850">
        <f t="shared" si="197"/>
        <v>7.1426152363346171E+78</v>
      </c>
      <c r="QFT56" s="850">
        <f t="shared" si="197"/>
        <v>0</v>
      </c>
      <c r="QFU56" s="850">
        <f t="shared" si="197"/>
        <v>7.3568936934246555E+78</v>
      </c>
      <c r="QFV56" s="850">
        <f t="shared" si="197"/>
        <v>0</v>
      </c>
      <c r="QFW56" s="850">
        <f t="shared" si="197"/>
        <v>7.5776005042273954E+78</v>
      </c>
      <c r="QFX56" s="850">
        <f t="shared" si="197"/>
        <v>0</v>
      </c>
      <c r="QFY56" s="850">
        <f t="shared" si="197"/>
        <v>7.8049285193542171E+78</v>
      </c>
      <c r="QFZ56" s="850">
        <f t="shared" si="197"/>
        <v>0</v>
      </c>
      <c r="QGA56" s="850">
        <f t="shared" si="197"/>
        <v>8.0390763749348435E+78</v>
      </c>
      <c r="QGB56" s="850">
        <f t="shared" si="197"/>
        <v>0</v>
      </c>
      <c r="QGC56" s="850">
        <f t="shared" si="197"/>
        <v>8.2802486661828882E+78</v>
      </c>
      <c r="QGD56" s="850">
        <f t="shared" si="197"/>
        <v>0</v>
      </c>
      <c r="QGE56" s="850">
        <f t="shared" si="197"/>
        <v>8.5286561261683757E+78</v>
      </c>
      <c r="QGF56" s="850">
        <f t="shared" si="197"/>
        <v>0</v>
      </c>
      <c r="QGG56" s="850">
        <f t="shared" si="197"/>
        <v>8.7845158099534276E+78</v>
      </c>
      <c r="QGH56" s="850">
        <f t="shared" si="197"/>
        <v>0</v>
      </c>
      <c r="QGI56" s="850">
        <f t="shared" si="197"/>
        <v>9.0480512842520309E+78</v>
      </c>
      <c r="QGJ56" s="850">
        <f t="shared" si="197"/>
        <v>0</v>
      </c>
      <c r="QGK56" s="850">
        <f t="shared" si="197"/>
        <v>9.3194928227795914E+78</v>
      </c>
      <c r="QGL56" s="850">
        <f t="shared" si="197"/>
        <v>0</v>
      </c>
      <c r="QGM56" s="850">
        <f t="shared" si="197"/>
        <v>9.5990776074629798E+78</v>
      </c>
      <c r="QGN56" s="850">
        <f t="shared" si="197"/>
        <v>0</v>
      </c>
      <c r="QGO56" s="850">
        <f t="shared" si="197"/>
        <v>9.8870499356868699E+78</v>
      </c>
      <c r="QGP56" s="850">
        <f t="shared" si="197"/>
        <v>0</v>
      </c>
      <c r="QGQ56" s="850">
        <f t="shared" si="197"/>
        <v>1.0183661433757477E+79</v>
      </c>
      <c r="QGR56" s="850">
        <f t="shared" si="197"/>
        <v>0</v>
      </c>
      <c r="QGS56" s="850">
        <f t="shared" si="197"/>
        <v>1.0489171276770201E+79</v>
      </c>
      <c r="QGT56" s="850">
        <f t="shared" si="197"/>
        <v>0</v>
      </c>
      <c r="QGU56" s="850">
        <f t="shared" si="197"/>
        <v>1.0803846415073308E+79</v>
      </c>
      <c r="QGV56" s="850">
        <f t="shared" si="197"/>
        <v>0</v>
      </c>
      <c r="QGW56" s="850">
        <f t="shared" si="197"/>
        <v>1.1127961807525508E+79</v>
      </c>
      <c r="QGX56" s="850">
        <f t="shared" si="197"/>
        <v>0</v>
      </c>
      <c r="QGY56" s="850">
        <f t="shared" si="197"/>
        <v>1.1461800661751274E+79</v>
      </c>
      <c r="QGZ56" s="850">
        <f t="shared" si="197"/>
        <v>0</v>
      </c>
      <c r="QHA56" s="850">
        <f t="shared" si="197"/>
        <v>1.1805654681603812E+79</v>
      </c>
      <c r="QHB56" s="850">
        <f t="shared" si="197"/>
        <v>0</v>
      </c>
      <c r="QHC56" s="850">
        <f t="shared" si="197"/>
        <v>1.2159824322051928E+79</v>
      </c>
      <c r="QHD56" s="850">
        <f t="shared" si="197"/>
        <v>0</v>
      </c>
      <c r="QHE56" s="850">
        <f t="shared" si="197"/>
        <v>1.2524619051713486E+79</v>
      </c>
      <c r="QHF56" s="850">
        <f t="shared" si="197"/>
        <v>0</v>
      </c>
      <c r="QHG56" s="850">
        <f t="shared" si="197"/>
        <v>1.290035762326489E+79</v>
      </c>
      <c r="QHH56" s="850">
        <f t="shared" si="197"/>
        <v>0</v>
      </c>
      <c r="QHI56" s="850">
        <f t="shared" si="197"/>
        <v>1.3287368351962837E+79</v>
      </c>
      <c r="QHJ56" s="850">
        <f t="shared" si="197"/>
        <v>0</v>
      </c>
      <c r="QHK56" s="850">
        <f t="shared" si="197"/>
        <v>1.3685989402521723E+79</v>
      </c>
      <c r="QHL56" s="850">
        <f t="shared" si="197"/>
        <v>0</v>
      </c>
      <c r="QHM56" s="850">
        <f t="shared" si="197"/>
        <v>1.4096569084597375E+79</v>
      </c>
      <c r="QHN56" s="850">
        <f t="shared" si="197"/>
        <v>0</v>
      </c>
      <c r="QHO56" s="850">
        <f t="shared" si="197"/>
        <v>1.4519466157135296E+79</v>
      </c>
      <c r="QHP56" s="850">
        <f t="shared" si="197"/>
        <v>0</v>
      </c>
      <c r="QHQ56" s="850">
        <f t="shared" si="197"/>
        <v>1.4955050141849356E+79</v>
      </c>
      <c r="QHR56" s="850">
        <f t="shared" si="197"/>
        <v>0</v>
      </c>
      <c r="QHS56" s="850">
        <f t="shared" si="197"/>
        <v>1.5403701646104838E+79</v>
      </c>
      <c r="QHT56" s="850">
        <f t="shared" si="197"/>
        <v>0</v>
      </c>
      <c r="QHU56" s="850">
        <f t="shared" si="197"/>
        <v>1.5865812695487984E+79</v>
      </c>
      <c r="QHV56" s="850">
        <f t="shared" ref="QHV56:QKG56" si="198">QHT56*$C$56</f>
        <v>0</v>
      </c>
      <c r="QHW56" s="850">
        <f t="shared" si="198"/>
        <v>1.6341787076352622E+79</v>
      </c>
      <c r="QHX56" s="850">
        <f t="shared" si="198"/>
        <v>0</v>
      </c>
      <c r="QHY56" s="850">
        <f t="shared" si="198"/>
        <v>1.6832040688643202E+79</v>
      </c>
      <c r="QHZ56" s="850">
        <f t="shared" si="198"/>
        <v>0</v>
      </c>
      <c r="QIA56" s="850">
        <f t="shared" si="198"/>
        <v>1.7337001909302498E+79</v>
      </c>
      <c r="QIB56" s="850">
        <f t="shared" si="198"/>
        <v>0</v>
      </c>
      <c r="QIC56" s="850">
        <f t="shared" si="198"/>
        <v>1.7857111966581573E+79</v>
      </c>
      <c r="QID56" s="850">
        <f t="shared" si="198"/>
        <v>0</v>
      </c>
      <c r="QIE56" s="850">
        <f t="shared" si="198"/>
        <v>1.8392825325579021E+79</v>
      </c>
      <c r="QIF56" s="850">
        <f t="shared" si="198"/>
        <v>0</v>
      </c>
      <c r="QIG56" s="850">
        <f t="shared" si="198"/>
        <v>1.8944610085346393E+79</v>
      </c>
      <c r="QIH56" s="850">
        <f t="shared" si="198"/>
        <v>0</v>
      </c>
      <c r="QII56" s="850">
        <f t="shared" si="198"/>
        <v>1.9512948387906787E+79</v>
      </c>
      <c r="QIJ56" s="850">
        <f t="shared" si="198"/>
        <v>0</v>
      </c>
      <c r="QIK56" s="850">
        <f t="shared" si="198"/>
        <v>2.009833683954399E+79</v>
      </c>
      <c r="QIL56" s="850">
        <f t="shared" si="198"/>
        <v>0</v>
      </c>
      <c r="QIM56" s="850">
        <f t="shared" si="198"/>
        <v>2.0701286944730309E+79</v>
      </c>
      <c r="QIN56" s="850">
        <f t="shared" si="198"/>
        <v>0</v>
      </c>
      <c r="QIO56" s="850">
        <f t="shared" si="198"/>
        <v>2.132232555307222E+79</v>
      </c>
      <c r="QIP56" s="850">
        <f t="shared" si="198"/>
        <v>0</v>
      </c>
      <c r="QIQ56" s="850">
        <f t="shared" si="198"/>
        <v>2.1961995319664387E+79</v>
      </c>
      <c r="QIR56" s="850">
        <f t="shared" si="198"/>
        <v>0</v>
      </c>
      <c r="QIS56" s="850">
        <f t="shared" si="198"/>
        <v>2.262085517925432E+79</v>
      </c>
      <c r="QIT56" s="850">
        <f t="shared" si="198"/>
        <v>0</v>
      </c>
      <c r="QIU56" s="850">
        <f t="shared" si="198"/>
        <v>2.3299480834631951E+79</v>
      </c>
      <c r="QIV56" s="850">
        <f t="shared" si="198"/>
        <v>0</v>
      </c>
      <c r="QIW56" s="850">
        <f t="shared" si="198"/>
        <v>2.3998465259670911E+79</v>
      </c>
      <c r="QIX56" s="850">
        <f t="shared" si="198"/>
        <v>0</v>
      </c>
      <c r="QIY56" s="850">
        <f t="shared" si="198"/>
        <v>2.471841921746104E+79</v>
      </c>
      <c r="QIZ56" s="850">
        <f t="shared" si="198"/>
        <v>0</v>
      </c>
      <c r="QJA56" s="850">
        <f t="shared" si="198"/>
        <v>2.5459971793984873E+79</v>
      </c>
      <c r="QJB56" s="850">
        <f t="shared" si="198"/>
        <v>0</v>
      </c>
      <c r="QJC56" s="850">
        <f t="shared" si="198"/>
        <v>2.6223770947804421E+79</v>
      </c>
      <c r="QJD56" s="850">
        <f t="shared" si="198"/>
        <v>0</v>
      </c>
      <c r="QJE56" s="850">
        <f t="shared" si="198"/>
        <v>2.7010484076238554E+79</v>
      </c>
      <c r="QJF56" s="850">
        <f t="shared" si="198"/>
        <v>0</v>
      </c>
      <c r="QJG56" s="850">
        <f t="shared" si="198"/>
        <v>2.7820798598525711E+79</v>
      </c>
      <c r="QJH56" s="850">
        <f t="shared" si="198"/>
        <v>0</v>
      </c>
      <c r="QJI56" s="850">
        <f t="shared" si="198"/>
        <v>2.8655422556481484E+79</v>
      </c>
      <c r="QJJ56" s="850">
        <f t="shared" si="198"/>
        <v>0</v>
      </c>
      <c r="QJK56" s="850">
        <f t="shared" si="198"/>
        <v>2.951508523317593E+79</v>
      </c>
      <c r="QJL56" s="850">
        <f t="shared" si="198"/>
        <v>0</v>
      </c>
      <c r="QJM56" s="850">
        <f t="shared" si="198"/>
        <v>3.0400537790171212E+79</v>
      </c>
      <c r="QJN56" s="850">
        <f t="shared" si="198"/>
        <v>0</v>
      </c>
      <c r="QJO56" s="850">
        <f t="shared" si="198"/>
        <v>3.1312553923876349E+79</v>
      </c>
      <c r="QJP56" s="850">
        <f t="shared" si="198"/>
        <v>0</v>
      </c>
      <c r="QJQ56" s="850">
        <f t="shared" si="198"/>
        <v>3.2251930541592641E+79</v>
      </c>
      <c r="QJR56" s="850">
        <f t="shared" si="198"/>
        <v>0</v>
      </c>
      <c r="QJS56" s="850">
        <f t="shared" si="198"/>
        <v>3.3219488457840423E+79</v>
      </c>
      <c r="QJT56" s="850">
        <f t="shared" si="198"/>
        <v>0</v>
      </c>
      <c r="QJU56" s="850">
        <f t="shared" si="198"/>
        <v>3.4216073111575639E+79</v>
      </c>
      <c r="QJV56" s="850">
        <f t="shared" si="198"/>
        <v>0</v>
      </c>
      <c r="QJW56" s="850">
        <f t="shared" si="198"/>
        <v>3.524255530492291E+79</v>
      </c>
      <c r="QJX56" s="850">
        <f t="shared" si="198"/>
        <v>0</v>
      </c>
      <c r="QJY56" s="850">
        <f t="shared" si="198"/>
        <v>3.6299831964070596E+79</v>
      </c>
      <c r="QJZ56" s="850">
        <f t="shared" si="198"/>
        <v>0</v>
      </c>
      <c r="QKA56" s="850">
        <f t="shared" si="198"/>
        <v>3.7388826922992713E+79</v>
      </c>
      <c r="QKB56" s="850">
        <f t="shared" si="198"/>
        <v>0</v>
      </c>
      <c r="QKC56" s="850">
        <f t="shared" si="198"/>
        <v>3.8510491730682492E+79</v>
      </c>
      <c r="QKD56" s="850">
        <f t="shared" si="198"/>
        <v>0</v>
      </c>
      <c r="QKE56" s="850">
        <f t="shared" si="198"/>
        <v>3.9665806482602969E+79</v>
      </c>
      <c r="QKF56" s="850">
        <f t="shared" si="198"/>
        <v>0</v>
      </c>
      <c r="QKG56" s="850">
        <f t="shared" si="198"/>
        <v>4.0855780677081057E+79</v>
      </c>
      <c r="QKH56" s="850">
        <f t="shared" ref="QKH56:QMS56" si="199">QKF56*$C$56</f>
        <v>0</v>
      </c>
      <c r="QKI56" s="850">
        <f t="shared" si="199"/>
        <v>4.2081454097393488E+79</v>
      </c>
      <c r="QKJ56" s="850">
        <f t="shared" si="199"/>
        <v>0</v>
      </c>
      <c r="QKK56" s="850">
        <f t="shared" si="199"/>
        <v>4.3343897720315293E+79</v>
      </c>
      <c r="QKL56" s="850">
        <f t="shared" si="199"/>
        <v>0</v>
      </c>
      <c r="QKM56" s="850">
        <f t="shared" si="199"/>
        <v>4.4644214651924751E+79</v>
      </c>
      <c r="QKN56" s="850">
        <f t="shared" si="199"/>
        <v>0</v>
      </c>
      <c r="QKO56" s="850">
        <f t="shared" si="199"/>
        <v>4.5983541091482494E+79</v>
      </c>
      <c r="QKP56" s="850">
        <f t="shared" si="199"/>
        <v>0</v>
      </c>
      <c r="QKQ56" s="850">
        <f t="shared" si="199"/>
        <v>4.7363047324226971E+79</v>
      </c>
      <c r="QKR56" s="850">
        <f t="shared" si="199"/>
        <v>0</v>
      </c>
      <c r="QKS56" s="850">
        <f t="shared" si="199"/>
        <v>4.8783938743953781E+79</v>
      </c>
      <c r="QKT56" s="850">
        <f t="shared" si="199"/>
        <v>0</v>
      </c>
      <c r="QKU56" s="850">
        <f t="shared" si="199"/>
        <v>5.0247456906272398E+79</v>
      </c>
      <c r="QKV56" s="850">
        <f t="shared" si="199"/>
        <v>0</v>
      </c>
      <c r="QKW56" s="850">
        <f t="shared" si="199"/>
        <v>5.1754880613460572E+79</v>
      </c>
      <c r="QKX56" s="850">
        <f t="shared" si="199"/>
        <v>0</v>
      </c>
      <c r="QKY56" s="850">
        <f t="shared" si="199"/>
        <v>5.3307527031864388E+79</v>
      </c>
      <c r="QKZ56" s="850">
        <f t="shared" si="199"/>
        <v>0</v>
      </c>
      <c r="QLA56" s="850">
        <f t="shared" si="199"/>
        <v>5.4906752842820318E+79</v>
      </c>
      <c r="QLB56" s="850">
        <f t="shared" si="199"/>
        <v>0</v>
      </c>
      <c r="QLC56" s="850">
        <f t="shared" si="199"/>
        <v>5.6553955428104927E+79</v>
      </c>
      <c r="QLD56" s="850">
        <f t="shared" si="199"/>
        <v>0</v>
      </c>
      <c r="QLE56" s="850">
        <f t="shared" si="199"/>
        <v>5.8250574090948074E+79</v>
      </c>
      <c r="QLF56" s="850">
        <f t="shared" si="199"/>
        <v>0</v>
      </c>
      <c r="QLG56" s="850">
        <f t="shared" si="199"/>
        <v>5.9998091313676516E+79</v>
      </c>
      <c r="QLH56" s="850">
        <f t="shared" si="199"/>
        <v>0</v>
      </c>
      <c r="QLI56" s="850">
        <f t="shared" si="199"/>
        <v>6.1798034053086818E+79</v>
      </c>
      <c r="QLJ56" s="850">
        <f t="shared" si="199"/>
        <v>0</v>
      </c>
      <c r="QLK56" s="850">
        <f t="shared" si="199"/>
        <v>6.3651975074679427E+79</v>
      </c>
      <c r="QLL56" s="850">
        <f t="shared" si="199"/>
        <v>0</v>
      </c>
      <c r="QLM56" s="850">
        <f t="shared" si="199"/>
        <v>6.5561534326919812E+79</v>
      </c>
      <c r="QLN56" s="850">
        <f t="shared" si="199"/>
        <v>0</v>
      </c>
      <c r="QLO56" s="850">
        <f t="shared" si="199"/>
        <v>6.7528380356727411E+79</v>
      </c>
      <c r="QLP56" s="850">
        <f t="shared" si="199"/>
        <v>0</v>
      </c>
      <c r="QLQ56" s="850">
        <f t="shared" si="199"/>
        <v>6.9554231767429237E+79</v>
      </c>
      <c r="QLR56" s="850">
        <f t="shared" si="199"/>
        <v>0</v>
      </c>
      <c r="QLS56" s="850">
        <f t="shared" si="199"/>
        <v>7.1640858720452119E+79</v>
      </c>
      <c r="QLT56" s="850">
        <f t="shared" si="199"/>
        <v>0</v>
      </c>
      <c r="QLU56" s="850">
        <f t="shared" si="199"/>
        <v>7.3790084482065678E+79</v>
      </c>
      <c r="QLV56" s="850">
        <f t="shared" si="199"/>
        <v>0</v>
      </c>
      <c r="QLW56" s="850">
        <f t="shared" si="199"/>
        <v>7.6003787016527656E+79</v>
      </c>
      <c r="QLX56" s="850">
        <f t="shared" si="199"/>
        <v>0</v>
      </c>
      <c r="QLY56" s="850">
        <f t="shared" si="199"/>
        <v>7.8283900627023486E+79</v>
      </c>
      <c r="QLZ56" s="850">
        <f t="shared" si="199"/>
        <v>0</v>
      </c>
      <c r="QMA56" s="850">
        <f t="shared" si="199"/>
        <v>8.063241764583419E+79</v>
      </c>
      <c r="QMB56" s="850">
        <f t="shared" si="199"/>
        <v>0</v>
      </c>
      <c r="QMC56" s="850">
        <f t="shared" si="199"/>
        <v>8.3051390175209216E+79</v>
      </c>
      <c r="QMD56" s="850">
        <f t="shared" si="199"/>
        <v>0</v>
      </c>
      <c r="QME56" s="850">
        <f t="shared" si="199"/>
        <v>8.5542931880465494E+79</v>
      </c>
      <c r="QMF56" s="850">
        <f t="shared" si="199"/>
        <v>0</v>
      </c>
      <c r="QMG56" s="850">
        <f t="shared" si="199"/>
        <v>8.8109219836879456E+79</v>
      </c>
      <c r="QMH56" s="850">
        <f t="shared" si="199"/>
        <v>0</v>
      </c>
      <c r="QMI56" s="850">
        <f t="shared" si="199"/>
        <v>9.0752496431985844E+79</v>
      </c>
      <c r="QMJ56" s="850">
        <f t="shared" si="199"/>
        <v>0</v>
      </c>
      <c r="QMK56" s="850">
        <f t="shared" si="199"/>
        <v>9.3475071324945419E+79</v>
      </c>
      <c r="QML56" s="850">
        <f t="shared" si="199"/>
        <v>0</v>
      </c>
      <c r="QMM56" s="850">
        <f t="shared" si="199"/>
        <v>9.6279323464693787E+79</v>
      </c>
      <c r="QMN56" s="850">
        <f t="shared" si="199"/>
        <v>0</v>
      </c>
      <c r="QMO56" s="850">
        <f t="shared" si="199"/>
        <v>9.91677031686346E+79</v>
      </c>
      <c r="QMP56" s="850">
        <f t="shared" si="199"/>
        <v>0</v>
      </c>
      <c r="QMQ56" s="850">
        <f t="shared" si="199"/>
        <v>1.0214273426369365E+80</v>
      </c>
      <c r="QMR56" s="850">
        <f t="shared" si="199"/>
        <v>0</v>
      </c>
      <c r="QMS56" s="850">
        <f t="shared" si="199"/>
        <v>1.0520701629160446E+80</v>
      </c>
      <c r="QMT56" s="850">
        <f t="shared" ref="QMT56:QPE56" si="200">QMR56*$C$56</f>
        <v>0</v>
      </c>
      <c r="QMU56" s="850">
        <f t="shared" si="200"/>
        <v>1.083632267803526E+80</v>
      </c>
      <c r="QMV56" s="850">
        <f t="shared" si="200"/>
        <v>0</v>
      </c>
      <c r="QMW56" s="850">
        <f t="shared" si="200"/>
        <v>1.1161412358376318E+80</v>
      </c>
      <c r="QMX56" s="850">
        <f t="shared" si="200"/>
        <v>0</v>
      </c>
      <c r="QMY56" s="850">
        <f t="shared" si="200"/>
        <v>1.1496254729127608E+80</v>
      </c>
      <c r="QMZ56" s="850">
        <f t="shared" si="200"/>
        <v>0</v>
      </c>
      <c r="QNA56" s="850">
        <f t="shared" si="200"/>
        <v>1.1841142371001437E+80</v>
      </c>
      <c r="QNB56" s="850">
        <f t="shared" si="200"/>
        <v>0</v>
      </c>
      <c r="QNC56" s="850">
        <f t="shared" si="200"/>
        <v>1.2196376642131479E+80</v>
      </c>
      <c r="QND56" s="850">
        <f t="shared" si="200"/>
        <v>0</v>
      </c>
      <c r="QNE56" s="850">
        <f t="shared" si="200"/>
        <v>1.2562267941395423E+80</v>
      </c>
      <c r="QNF56" s="850">
        <f t="shared" si="200"/>
        <v>0</v>
      </c>
      <c r="QNG56" s="850">
        <f t="shared" si="200"/>
        <v>1.2939135979637286E+80</v>
      </c>
      <c r="QNH56" s="850">
        <f t="shared" si="200"/>
        <v>0</v>
      </c>
      <c r="QNI56" s="850">
        <f t="shared" si="200"/>
        <v>1.3327310059026405E+80</v>
      </c>
      <c r="QNJ56" s="850">
        <f t="shared" si="200"/>
        <v>0</v>
      </c>
      <c r="QNK56" s="850">
        <f t="shared" si="200"/>
        <v>1.3727129360797198E+80</v>
      </c>
      <c r="QNL56" s="850">
        <f t="shared" si="200"/>
        <v>0</v>
      </c>
      <c r="QNM56" s="850">
        <f t="shared" si="200"/>
        <v>1.4138943241621115E+80</v>
      </c>
      <c r="QNN56" s="850">
        <f t="shared" si="200"/>
        <v>0</v>
      </c>
      <c r="QNO56" s="850">
        <f t="shared" si="200"/>
        <v>1.4563111538869748E+80</v>
      </c>
      <c r="QNP56" s="850">
        <f t="shared" si="200"/>
        <v>0</v>
      </c>
      <c r="QNQ56" s="850">
        <f t="shared" si="200"/>
        <v>1.5000004885035841E+80</v>
      </c>
      <c r="QNR56" s="850">
        <f t="shared" si="200"/>
        <v>0</v>
      </c>
      <c r="QNS56" s="850">
        <f t="shared" si="200"/>
        <v>1.5450005031586917E+80</v>
      </c>
      <c r="QNT56" s="850">
        <f t="shared" si="200"/>
        <v>0</v>
      </c>
      <c r="QNU56" s="850">
        <f t="shared" si="200"/>
        <v>1.5913505182534524E+80</v>
      </c>
      <c r="QNV56" s="850">
        <f t="shared" si="200"/>
        <v>0</v>
      </c>
      <c r="QNW56" s="850">
        <f t="shared" si="200"/>
        <v>1.6390910338010561E+80</v>
      </c>
      <c r="QNX56" s="850">
        <f t="shared" si="200"/>
        <v>0</v>
      </c>
      <c r="QNY56" s="850">
        <f t="shared" si="200"/>
        <v>1.6882637648150879E+80</v>
      </c>
      <c r="QNZ56" s="850">
        <f t="shared" si="200"/>
        <v>0</v>
      </c>
      <c r="QOA56" s="850">
        <f t="shared" si="200"/>
        <v>1.7389116777595405E+80</v>
      </c>
      <c r="QOB56" s="850">
        <f t="shared" si="200"/>
        <v>0</v>
      </c>
      <c r="QOC56" s="850">
        <f t="shared" si="200"/>
        <v>1.7910790280923269E+80</v>
      </c>
      <c r="QOD56" s="850">
        <f t="shared" si="200"/>
        <v>0</v>
      </c>
      <c r="QOE56" s="850">
        <f t="shared" si="200"/>
        <v>1.8448113989350968E+80</v>
      </c>
      <c r="QOF56" s="850">
        <f t="shared" si="200"/>
        <v>0</v>
      </c>
      <c r="QOG56" s="850">
        <f t="shared" si="200"/>
        <v>1.9001557409031498E+80</v>
      </c>
      <c r="QOH56" s="850">
        <f t="shared" si="200"/>
        <v>0</v>
      </c>
      <c r="QOI56" s="850">
        <f t="shared" si="200"/>
        <v>1.9571604131302443E+80</v>
      </c>
      <c r="QOJ56" s="850">
        <f t="shared" si="200"/>
        <v>0</v>
      </c>
      <c r="QOK56" s="850">
        <f t="shared" si="200"/>
        <v>2.0158752255241517E+80</v>
      </c>
      <c r="QOL56" s="850">
        <f t="shared" si="200"/>
        <v>0</v>
      </c>
      <c r="QOM56" s="850">
        <f t="shared" si="200"/>
        <v>2.0763514822898763E+80</v>
      </c>
      <c r="QON56" s="850">
        <f t="shared" si="200"/>
        <v>0</v>
      </c>
      <c r="QOO56" s="850">
        <f t="shared" si="200"/>
        <v>2.1386420267585727E+80</v>
      </c>
      <c r="QOP56" s="850">
        <f t="shared" si="200"/>
        <v>0</v>
      </c>
      <c r="QOQ56" s="850">
        <f t="shared" si="200"/>
        <v>2.2028012875613299E+80</v>
      </c>
      <c r="QOR56" s="850">
        <f t="shared" si="200"/>
        <v>0</v>
      </c>
      <c r="QOS56" s="850">
        <f t="shared" si="200"/>
        <v>2.2688853261881698E+80</v>
      </c>
      <c r="QOT56" s="850">
        <f t="shared" si="200"/>
        <v>0</v>
      </c>
      <c r="QOU56" s="850">
        <f t="shared" si="200"/>
        <v>2.3369518859738149E+80</v>
      </c>
      <c r="QOV56" s="850">
        <f t="shared" si="200"/>
        <v>0</v>
      </c>
      <c r="QOW56" s="850">
        <f t="shared" si="200"/>
        <v>2.4070604425530296E+80</v>
      </c>
      <c r="QOX56" s="850">
        <f t="shared" si="200"/>
        <v>0</v>
      </c>
      <c r="QOY56" s="850">
        <f t="shared" si="200"/>
        <v>2.4792722558296204E+80</v>
      </c>
      <c r="QOZ56" s="850">
        <f t="shared" si="200"/>
        <v>0</v>
      </c>
      <c r="QPA56" s="850">
        <f t="shared" si="200"/>
        <v>2.5536504235045089E+80</v>
      </c>
      <c r="QPB56" s="850">
        <f t="shared" si="200"/>
        <v>0</v>
      </c>
      <c r="QPC56" s="850">
        <f t="shared" si="200"/>
        <v>2.6302599362096444E+80</v>
      </c>
      <c r="QPD56" s="850">
        <f t="shared" si="200"/>
        <v>0</v>
      </c>
      <c r="QPE56" s="850">
        <f t="shared" si="200"/>
        <v>2.7091677342959336E+80</v>
      </c>
      <c r="QPF56" s="850">
        <f t="shared" ref="QPF56:QRQ56" si="201">QPD56*$C$56</f>
        <v>0</v>
      </c>
      <c r="QPG56" s="850">
        <f t="shared" si="201"/>
        <v>2.7904427663248118E+80</v>
      </c>
      <c r="QPH56" s="850">
        <f t="shared" si="201"/>
        <v>0</v>
      </c>
      <c r="QPI56" s="850">
        <f t="shared" si="201"/>
        <v>2.8741560493145563E+80</v>
      </c>
      <c r="QPJ56" s="850">
        <f t="shared" si="201"/>
        <v>0</v>
      </c>
      <c r="QPK56" s="850">
        <f t="shared" si="201"/>
        <v>2.9603807307939928E+80</v>
      </c>
      <c r="QPL56" s="850">
        <f t="shared" si="201"/>
        <v>0</v>
      </c>
      <c r="QPM56" s="850">
        <f t="shared" si="201"/>
        <v>3.0491921527178128E+80</v>
      </c>
      <c r="QPN56" s="850">
        <f t="shared" si="201"/>
        <v>0</v>
      </c>
      <c r="QPO56" s="850">
        <f t="shared" si="201"/>
        <v>3.1406679172993473E+80</v>
      </c>
      <c r="QPP56" s="850">
        <f t="shared" si="201"/>
        <v>0</v>
      </c>
      <c r="QPQ56" s="850">
        <f t="shared" si="201"/>
        <v>3.2348879548183278E+80</v>
      </c>
      <c r="QPR56" s="850">
        <f t="shared" si="201"/>
        <v>0</v>
      </c>
      <c r="QPS56" s="850">
        <f t="shared" si="201"/>
        <v>3.3319345934628778E+80</v>
      </c>
      <c r="QPT56" s="850">
        <f t="shared" si="201"/>
        <v>0</v>
      </c>
      <c r="QPU56" s="850">
        <f t="shared" si="201"/>
        <v>3.4318926312667645E+80</v>
      </c>
      <c r="QPV56" s="850">
        <f t="shared" si="201"/>
        <v>0</v>
      </c>
      <c r="QPW56" s="850">
        <f t="shared" si="201"/>
        <v>3.5348494102047677E+80</v>
      </c>
      <c r="QPX56" s="850">
        <f t="shared" si="201"/>
        <v>0</v>
      </c>
      <c r="QPY56" s="850">
        <f t="shared" si="201"/>
        <v>3.6408948925109109E+80</v>
      </c>
      <c r="QPZ56" s="850">
        <f t="shared" si="201"/>
        <v>0</v>
      </c>
      <c r="QQA56" s="850">
        <f t="shared" si="201"/>
        <v>3.7501217392862381E+80</v>
      </c>
      <c r="QQB56" s="850">
        <f t="shared" si="201"/>
        <v>0</v>
      </c>
      <c r="QQC56" s="850">
        <f t="shared" si="201"/>
        <v>3.8626253914648252E+80</v>
      </c>
      <c r="QQD56" s="850">
        <f t="shared" si="201"/>
        <v>0</v>
      </c>
      <c r="QQE56" s="850">
        <f t="shared" si="201"/>
        <v>3.9785041532087698E+80</v>
      </c>
      <c r="QQF56" s="850">
        <f t="shared" si="201"/>
        <v>0</v>
      </c>
      <c r="QQG56" s="850">
        <f t="shared" si="201"/>
        <v>4.0978592778050331E+80</v>
      </c>
      <c r="QQH56" s="850">
        <f t="shared" si="201"/>
        <v>0</v>
      </c>
      <c r="QQI56" s="850">
        <f t="shared" si="201"/>
        <v>4.220795056139184E+80</v>
      </c>
      <c r="QQJ56" s="850">
        <f t="shared" si="201"/>
        <v>0</v>
      </c>
      <c r="QQK56" s="850">
        <f t="shared" si="201"/>
        <v>4.3474189078233596E+80</v>
      </c>
      <c r="QQL56" s="850">
        <f t="shared" si="201"/>
        <v>0</v>
      </c>
      <c r="QQM56" s="850">
        <f t="shared" si="201"/>
        <v>4.4778414750580605E+80</v>
      </c>
      <c r="QQN56" s="850">
        <f t="shared" si="201"/>
        <v>0</v>
      </c>
      <c r="QQO56" s="850">
        <f t="shared" si="201"/>
        <v>4.6121767193098025E+80</v>
      </c>
      <c r="QQP56" s="850">
        <f t="shared" si="201"/>
        <v>0</v>
      </c>
      <c r="QQQ56" s="850">
        <f t="shared" si="201"/>
        <v>4.7505420208890968E+80</v>
      </c>
      <c r="QQR56" s="850">
        <f t="shared" si="201"/>
        <v>0</v>
      </c>
      <c r="QQS56" s="850">
        <f t="shared" si="201"/>
        <v>4.8930582815157695E+80</v>
      </c>
      <c r="QQT56" s="850">
        <f t="shared" si="201"/>
        <v>0</v>
      </c>
      <c r="QQU56" s="850">
        <f t="shared" si="201"/>
        <v>5.0398500299612425E+80</v>
      </c>
      <c r="QQV56" s="850">
        <f t="shared" si="201"/>
        <v>0</v>
      </c>
      <c r="QQW56" s="850">
        <f t="shared" si="201"/>
        <v>5.1910455308600802E+80</v>
      </c>
      <c r="QQX56" s="850">
        <f t="shared" si="201"/>
        <v>0</v>
      </c>
      <c r="QQY56" s="850">
        <f t="shared" si="201"/>
        <v>5.3467768967858831E+80</v>
      </c>
      <c r="QQZ56" s="850">
        <f t="shared" si="201"/>
        <v>0</v>
      </c>
      <c r="QRA56" s="850">
        <f t="shared" si="201"/>
        <v>5.5071802036894595E+80</v>
      </c>
      <c r="QRB56" s="850">
        <f t="shared" si="201"/>
        <v>0</v>
      </c>
      <c r="QRC56" s="850">
        <f t="shared" si="201"/>
        <v>5.6723956098001438E+80</v>
      </c>
      <c r="QRD56" s="850">
        <f t="shared" si="201"/>
        <v>0</v>
      </c>
      <c r="QRE56" s="850">
        <f t="shared" si="201"/>
        <v>5.8425674780941479E+80</v>
      </c>
      <c r="QRF56" s="850">
        <f t="shared" si="201"/>
        <v>0</v>
      </c>
      <c r="QRG56" s="850">
        <f t="shared" si="201"/>
        <v>6.0178445024369724E+80</v>
      </c>
      <c r="QRH56" s="850">
        <f t="shared" si="201"/>
        <v>0</v>
      </c>
      <c r="QRI56" s="850">
        <f t="shared" si="201"/>
        <v>6.1983798375100813E+80</v>
      </c>
      <c r="QRJ56" s="850">
        <f t="shared" si="201"/>
        <v>0</v>
      </c>
      <c r="QRK56" s="850">
        <f t="shared" si="201"/>
        <v>6.3843312326353839E+80</v>
      </c>
      <c r="QRL56" s="850">
        <f t="shared" si="201"/>
        <v>0</v>
      </c>
      <c r="QRM56" s="850">
        <f t="shared" si="201"/>
        <v>6.5758611696144461E+80</v>
      </c>
      <c r="QRN56" s="850">
        <f t="shared" si="201"/>
        <v>0</v>
      </c>
      <c r="QRO56" s="850">
        <f t="shared" si="201"/>
        <v>6.7731370047028798E+80</v>
      </c>
      <c r="QRP56" s="850">
        <f t="shared" si="201"/>
        <v>0</v>
      </c>
      <c r="QRQ56" s="850">
        <f t="shared" si="201"/>
        <v>6.9763311148439669E+80</v>
      </c>
      <c r="QRR56" s="850">
        <f t="shared" ref="QRR56:QUC56" si="202">QRP56*$C$56</f>
        <v>0</v>
      </c>
      <c r="QRS56" s="850">
        <f t="shared" si="202"/>
        <v>7.1856210482892863E+80</v>
      </c>
      <c r="QRT56" s="850">
        <f t="shared" si="202"/>
        <v>0</v>
      </c>
      <c r="QRU56" s="850">
        <f t="shared" si="202"/>
        <v>7.4011896797379655E+80</v>
      </c>
      <c r="QRV56" s="850">
        <f t="shared" si="202"/>
        <v>0</v>
      </c>
      <c r="QRW56" s="850">
        <f t="shared" si="202"/>
        <v>7.6232253701301051E+80</v>
      </c>
      <c r="QRX56" s="850">
        <f t="shared" si="202"/>
        <v>0</v>
      </c>
      <c r="QRY56" s="850">
        <f t="shared" si="202"/>
        <v>7.8519221312340086E+80</v>
      </c>
      <c r="QRZ56" s="850">
        <f t="shared" si="202"/>
        <v>0</v>
      </c>
      <c r="QSA56" s="850">
        <f t="shared" si="202"/>
        <v>8.0874797951710293E+80</v>
      </c>
      <c r="QSB56" s="850">
        <f t="shared" si="202"/>
        <v>0</v>
      </c>
      <c r="QSC56" s="850">
        <f t="shared" si="202"/>
        <v>8.3301041890261599E+80</v>
      </c>
      <c r="QSD56" s="850">
        <f t="shared" si="202"/>
        <v>0</v>
      </c>
      <c r="QSE56" s="850">
        <f t="shared" si="202"/>
        <v>8.5800073146969446E+80</v>
      </c>
      <c r="QSF56" s="850">
        <f t="shared" si="202"/>
        <v>0</v>
      </c>
      <c r="QSG56" s="850">
        <f t="shared" si="202"/>
        <v>8.8374075341378536E+80</v>
      </c>
      <c r="QSH56" s="850">
        <f t="shared" si="202"/>
        <v>0</v>
      </c>
      <c r="QSI56" s="850">
        <f t="shared" si="202"/>
        <v>9.1025297601619891E+80</v>
      </c>
      <c r="QSJ56" s="850">
        <f t="shared" si="202"/>
        <v>0</v>
      </c>
      <c r="QSK56" s="850">
        <f t="shared" si="202"/>
        <v>9.3756056529668492E+80</v>
      </c>
      <c r="QSL56" s="850">
        <f t="shared" si="202"/>
        <v>0</v>
      </c>
      <c r="QSM56" s="850">
        <f t="shared" si="202"/>
        <v>9.6568738225558539E+80</v>
      </c>
      <c r="QSN56" s="850">
        <f t="shared" si="202"/>
        <v>0</v>
      </c>
      <c r="QSO56" s="850">
        <f t="shared" si="202"/>
        <v>9.9465800372325289E+80</v>
      </c>
      <c r="QSP56" s="850">
        <f t="shared" si="202"/>
        <v>0</v>
      </c>
      <c r="QSQ56" s="850">
        <f t="shared" si="202"/>
        <v>1.0244977438349504E+81</v>
      </c>
      <c r="QSR56" s="850">
        <f t="shared" si="202"/>
        <v>0</v>
      </c>
      <c r="QSS56" s="850">
        <f t="shared" si="202"/>
        <v>1.055232676149999E+81</v>
      </c>
      <c r="QST56" s="850">
        <f t="shared" si="202"/>
        <v>0</v>
      </c>
      <c r="QSU56" s="850">
        <f t="shared" si="202"/>
        <v>1.086889656434499E+81</v>
      </c>
      <c r="QSV56" s="850">
        <f t="shared" si="202"/>
        <v>0</v>
      </c>
      <c r="QSW56" s="850">
        <f t="shared" si="202"/>
        <v>1.1194963461275341E+81</v>
      </c>
      <c r="QSX56" s="850">
        <f t="shared" si="202"/>
        <v>0</v>
      </c>
      <c r="QSY56" s="850">
        <f t="shared" si="202"/>
        <v>1.1530812365113602E+81</v>
      </c>
      <c r="QSZ56" s="850">
        <f t="shared" si="202"/>
        <v>0</v>
      </c>
      <c r="QTA56" s="850">
        <f t="shared" si="202"/>
        <v>1.1876736736067011E+81</v>
      </c>
      <c r="QTB56" s="850">
        <f t="shared" si="202"/>
        <v>0</v>
      </c>
      <c r="QTC56" s="850">
        <f t="shared" si="202"/>
        <v>1.2233038838149022E+81</v>
      </c>
      <c r="QTD56" s="850">
        <f t="shared" si="202"/>
        <v>0</v>
      </c>
      <c r="QTE56" s="850">
        <f t="shared" si="202"/>
        <v>1.2600030003293493E+81</v>
      </c>
      <c r="QTF56" s="850">
        <f t="shared" si="202"/>
        <v>0</v>
      </c>
      <c r="QTG56" s="850">
        <f t="shared" si="202"/>
        <v>1.2978030903392297E+81</v>
      </c>
      <c r="QTH56" s="850">
        <f t="shared" si="202"/>
        <v>0</v>
      </c>
      <c r="QTI56" s="850">
        <f t="shared" si="202"/>
        <v>1.3367371830494067E+81</v>
      </c>
      <c r="QTJ56" s="850">
        <f t="shared" si="202"/>
        <v>0</v>
      </c>
      <c r="QTK56" s="850">
        <f t="shared" si="202"/>
        <v>1.376839298540889E+81</v>
      </c>
      <c r="QTL56" s="850">
        <f t="shared" si="202"/>
        <v>0</v>
      </c>
      <c r="QTM56" s="850">
        <f t="shared" si="202"/>
        <v>1.4181444774971156E+81</v>
      </c>
      <c r="QTN56" s="850">
        <f t="shared" si="202"/>
        <v>0</v>
      </c>
      <c r="QTO56" s="850">
        <f t="shared" si="202"/>
        <v>1.4606888118220291E+81</v>
      </c>
      <c r="QTP56" s="850">
        <f t="shared" si="202"/>
        <v>0</v>
      </c>
      <c r="QTQ56" s="850">
        <f t="shared" si="202"/>
        <v>1.50450947617669E+81</v>
      </c>
      <c r="QTR56" s="850">
        <f t="shared" si="202"/>
        <v>0</v>
      </c>
      <c r="QTS56" s="850">
        <f t="shared" si="202"/>
        <v>1.5496447604619907E+81</v>
      </c>
      <c r="QTT56" s="850">
        <f t="shared" si="202"/>
        <v>0</v>
      </c>
      <c r="QTU56" s="850">
        <f t="shared" si="202"/>
        <v>1.5961341032758503E+81</v>
      </c>
      <c r="QTV56" s="850">
        <f t="shared" si="202"/>
        <v>0</v>
      </c>
      <c r="QTW56" s="850">
        <f t="shared" si="202"/>
        <v>1.6440181263741258E+81</v>
      </c>
      <c r="QTX56" s="850">
        <f t="shared" si="202"/>
        <v>0</v>
      </c>
      <c r="QTY56" s="850">
        <f t="shared" si="202"/>
        <v>1.6933386701653496E+81</v>
      </c>
      <c r="QTZ56" s="850">
        <f t="shared" si="202"/>
        <v>0</v>
      </c>
      <c r="QUA56" s="850">
        <f t="shared" si="202"/>
        <v>1.74413883027031E+81</v>
      </c>
      <c r="QUB56" s="850">
        <f t="shared" si="202"/>
        <v>0</v>
      </c>
      <c r="QUC56" s="850">
        <f t="shared" si="202"/>
        <v>1.7964629951784194E+81</v>
      </c>
      <c r="QUD56" s="850">
        <f t="shared" ref="QUD56:QWO56" si="203">QUB56*$C$56</f>
        <v>0</v>
      </c>
      <c r="QUE56" s="850">
        <f t="shared" si="203"/>
        <v>1.8503568850337721E+81</v>
      </c>
      <c r="QUF56" s="850">
        <f t="shared" si="203"/>
        <v>0</v>
      </c>
      <c r="QUG56" s="850">
        <f t="shared" si="203"/>
        <v>1.9058675915847852E+81</v>
      </c>
      <c r="QUH56" s="850">
        <f t="shared" si="203"/>
        <v>0</v>
      </c>
      <c r="QUI56" s="850">
        <f t="shared" si="203"/>
        <v>1.963043619332329E+81</v>
      </c>
      <c r="QUJ56" s="850">
        <f t="shared" si="203"/>
        <v>0</v>
      </c>
      <c r="QUK56" s="850">
        <f t="shared" si="203"/>
        <v>2.0219349279122988E+81</v>
      </c>
      <c r="QUL56" s="850">
        <f t="shared" si="203"/>
        <v>0</v>
      </c>
      <c r="QUM56" s="850">
        <f t="shared" si="203"/>
        <v>2.0825929757496678E+81</v>
      </c>
      <c r="QUN56" s="850">
        <f t="shared" si="203"/>
        <v>0</v>
      </c>
      <c r="QUO56" s="850">
        <f t="shared" si="203"/>
        <v>2.145070765022158E+81</v>
      </c>
      <c r="QUP56" s="850">
        <f t="shared" si="203"/>
        <v>0</v>
      </c>
      <c r="QUQ56" s="850">
        <f t="shared" si="203"/>
        <v>2.2094228879728227E+81</v>
      </c>
      <c r="QUR56" s="850">
        <f t="shared" si="203"/>
        <v>0</v>
      </c>
      <c r="QUS56" s="850">
        <f t="shared" si="203"/>
        <v>2.2757055746120075E+81</v>
      </c>
      <c r="QUT56" s="850">
        <f t="shared" si="203"/>
        <v>0</v>
      </c>
      <c r="QUU56" s="850">
        <f t="shared" si="203"/>
        <v>2.3439767418503679E+81</v>
      </c>
      <c r="QUV56" s="850">
        <f t="shared" si="203"/>
        <v>0</v>
      </c>
      <c r="QUW56" s="850">
        <f t="shared" si="203"/>
        <v>2.4142960441058789E+81</v>
      </c>
      <c r="QUX56" s="850">
        <f t="shared" si="203"/>
        <v>0</v>
      </c>
      <c r="QUY56" s="850">
        <f t="shared" si="203"/>
        <v>2.4867249254290555E+81</v>
      </c>
      <c r="QUZ56" s="850">
        <f t="shared" si="203"/>
        <v>0</v>
      </c>
      <c r="QVA56" s="850">
        <f t="shared" si="203"/>
        <v>2.5613266731919271E+81</v>
      </c>
      <c r="QVB56" s="850">
        <f t="shared" si="203"/>
        <v>0</v>
      </c>
      <c r="QVC56" s="850">
        <f t="shared" si="203"/>
        <v>2.6381664733876852E+81</v>
      </c>
      <c r="QVD56" s="850">
        <f t="shared" si="203"/>
        <v>0</v>
      </c>
      <c r="QVE56" s="850">
        <f t="shared" si="203"/>
        <v>2.717311467589316E+81</v>
      </c>
      <c r="QVF56" s="850">
        <f t="shared" si="203"/>
        <v>0</v>
      </c>
      <c r="QVG56" s="850">
        <f t="shared" si="203"/>
        <v>2.7988308116169957E+81</v>
      </c>
      <c r="QVH56" s="850">
        <f t="shared" si="203"/>
        <v>0</v>
      </c>
      <c r="QVI56" s="850">
        <f t="shared" si="203"/>
        <v>2.8827957359655056E+81</v>
      </c>
      <c r="QVJ56" s="850">
        <f t="shared" si="203"/>
        <v>0</v>
      </c>
      <c r="QVK56" s="850">
        <f t="shared" si="203"/>
        <v>2.969279608044471E+81</v>
      </c>
      <c r="QVL56" s="850">
        <f t="shared" si="203"/>
        <v>0</v>
      </c>
      <c r="QVM56" s="850">
        <f t="shared" si="203"/>
        <v>3.0583579962858054E+81</v>
      </c>
      <c r="QVN56" s="850">
        <f t="shared" si="203"/>
        <v>0</v>
      </c>
      <c r="QVO56" s="850">
        <f t="shared" si="203"/>
        <v>3.1501087361743798E+81</v>
      </c>
      <c r="QVP56" s="850">
        <f t="shared" si="203"/>
        <v>0</v>
      </c>
      <c r="QVQ56" s="850">
        <f t="shared" si="203"/>
        <v>3.2446119982596112E+81</v>
      </c>
      <c r="QVR56" s="850">
        <f t="shared" si="203"/>
        <v>0</v>
      </c>
      <c r="QVS56" s="850">
        <f t="shared" si="203"/>
        <v>3.3419503582073995E+81</v>
      </c>
      <c r="QVT56" s="850">
        <f t="shared" si="203"/>
        <v>0</v>
      </c>
      <c r="QVU56" s="850">
        <f t="shared" si="203"/>
        <v>3.4422088689536217E+81</v>
      </c>
      <c r="QVV56" s="850">
        <f t="shared" si="203"/>
        <v>0</v>
      </c>
      <c r="QVW56" s="850">
        <f t="shared" si="203"/>
        <v>3.5454751350222306E+81</v>
      </c>
      <c r="QVX56" s="850">
        <f t="shared" si="203"/>
        <v>0</v>
      </c>
      <c r="QVY56" s="850">
        <f t="shared" si="203"/>
        <v>3.6518393890728977E+81</v>
      </c>
      <c r="QVZ56" s="850">
        <f t="shared" si="203"/>
        <v>0</v>
      </c>
      <c r="QWA56" s="850">
        <f t="shared" si="203"/>
        <v>3.7613945707450849E+81</v>
      </c>
      <c r="QWB56" s="850">
        <f t="shared" si="203"/>
        <v>0</v>
      </c>
      <c r="QWC56" s="850">
        <f t="shared" si="203"/>
        <v>3.8742364078674375E+81</v>
      </c>
      <c r="QWD56" s="850">
        <f t="shared" si="203"/>
        <v>0</v>
      </c>
      <c r="QWE56" s="850">
        <f t="shared" si="203"/>
        <v>3.9904635001034608E+81</v>
      </c>
      <c r="QWF56" s="850">
        <f t="shared" si="203"/>
        <v>0</v>
      </c>
      <c r="QWG56" s="850">
        <f t="shared" si="203"/>
        <v>4.1101774051065645E+81</v>
      </c>
      <c r="QWH56" s="850">
        <f t="shared" si="203"/>
        <v>0</v>
      </c>
      <c r="QWI56" s="850">
        <f t="shared" si="203"/>
        <v>4.2334827272597612E+81</v>
      </c>
      <c r="QWJ56" s="850">
        <f t="shared" si="203"/>
        <v>0</v>
      </c>
      <c r="QWK56" s="850">
        <f t="shared" si="203"/>
        <v>4.3604872090775538E+81</v>
      </c>
      <c r="QWL56" s="850">
        <f t="shared" si="203"/>
        <v>0</v>
      </c>
      <c r="QWM56" s="850">
        <f t="shared" si="203"/>
        <v>4.4913018253498803E+81</v>
      </c>
      <c r="QWN56" s="850">
        <f t="shared" si="203"/>
        <v>0</v>
      </c>
      <c r="QWO56" s="850">
        <f t="shared" si="203"/>
        <v>4.626040880110377E+81</v>
      </c>
      <c r="QWP56" s="850">
        <f t="shared" ref="QWP56:QZA56" si="204">QWN56*$C$56</f>
        <v>0</v>
      </c>
      <c r="QWQ56" s="850">
        <f t="shared" si="204"/>
        <v>4.7648221065136884E+81</v>
      </c>
      <c r="QWR56" s="850">
        <f t="shared" si="204"/>
        <v>0</v>
      </c>
      <c r="QWS56" s="850">
        <f t="shared" si="204"/>
        <v>4.9077667697090992E+81</v>
      </c>
      <c r="QWT56" s="850">
        <f t="shared" si="204"/>
        <v>0</v>
      </c>
      <c r="QWU56" s="850">
        <f t="shared" si="204"/>
        <v>5.0549997728003725E+81</v>
      </c>
      <c r="QWV56" s="850">
        <f t="shared" si="204"/>
        <v>0</v>
      </c>
      <c r="QWW56" s="850">
        <f t="shared" si="204"/>
        <v>5.2066497659843839E+81</v>
      </c>
      <c r="QWX56" s="850">
        <f t="shared" si="204"/>
        <v>0</v>
      </c>
      <c r="QWY56" s="850">
        <f t="shared" si="204"/>
        <v>5.3628492589639153E+81</v>
      </c>
      <c r="QWZ56" s="850">
        <f t="shared" si="204"/>
        <v>0</v>
      </c>
      <c r="QXA56" s="850">
        <f t="shared" si="204"/>
        <v>5.5237347367328327E+81</v>
      </c>
      <c r="QXB56" s="850">
        <f t="shared" si="204"/>
        <v>0</v>
      </c>
      <c r="QXC56" s="850">
        <f t="shared" si="204"/>
        <v>5.6894467788348179E+81</v>
      </c>
      <c r="QXD56" s="850">
        <f t="shared" si="204"/>
        <v>0</v>
      </c>
      <c r="QXE56" s="850">
        <f t="shared" si="204"/>
        <v>5.8601301821998622E+81</v>
      </c>
      <c r="QXF56" s="850">
        <f t="shared" si="204"/>
        <v>0</v>
      </c>
      <c r="QXG56" s="850">
        <f t="shared" si="204"/>
        <v>6.0359340876658586E+81</v>
      </c>
      <c r="QXH56" s="850">
        <f t="shared" si="204"/>
        <v>0</v>
      </c>
      <c r="QXI56" s="850">
        <f t="shared" si="204"/>
        <v>6.2170121102958342E+81</v>
      </c>
      <c r="QXJ56" s="850">
        <f t="shared" si="204"/>
        <v>0</v>
      </c>
      <c r="QXK56" s="850">
        <f t="shared" si="204"/>
        <v>6.4035224736047093E+81</v>
      </c>
      <c r="QXL56" s="850">
        <f t="shared" si="204"/>
        <v>0</v>
      </c>
      <c r="QXM56" s="850">
        <f t="shared" si="204"/>
        <v>6.5956281478128512E+81</v>
      </c>
      <c r="QXN56" s="850">
        <f t="shared" si="204"/>
        <v>0</v>
      </c>
      <c r="QXO56" s="850">
        <f t="shared" si="204"/>
        <v>6.7934969922472373E+81</v>
      </c>
      <c r="QXP56" s="850">
        <f t="shared" si="204"/>
        <v>0</v>
      </c>
      <c r="QXQ56" s="850">
        <f t="shared" si="204"/>
        <v>6.9973019020146548E+81</v>
      </c>
      <c r="QXR56" s="850">
        <f t="shared" si="204"/>
        <v>0</v>
      </c>
      <c r="QXS56" s="850">
        <f t="shared" si="204"/>
        <v>7.2072209590750947E+81</v>
      </c>
      <c r="QXT56" s="850">
        <f t="shared" si="204"/>
        <v>0</v>
      </c>
      <c r="QXU56" s="850">
        <f t="shared" si="204"/>
        <v>7.423437587847348E+81</v>
      </c>
      <c r="QXV56" s="850">
        <f t="shared" si="204"/>
        <v>0</v>
      </c>
      <c r="QXW56" s="850">
        <f t="shared" si="204"/>
        <v>7.6461407154827686E+81</v>
      </c>
      <c r="QXX56" s="850">
        <f t="shared" si="204"/>
        <v>0</v>
      </c>
      <c r="QXY56" s="850">
        <f t="shared" si="204"/>
        <v>7.8755249369472517E+81</v>
      </c>
      <c r="QXZ56" s="850">
        <f t="shared" si="204"/>
        <v>0</v>
      </c>
      <c r="QYA56" s="850">
        <f t="shared" si="204"/>
        <v>8.1117906850556689E+81</v>
      </c>
      <c r="QYB56" s="850">
        <f t="shared" si="204"/>
        <v>0</v>
      </c>
      <c r="QYC56" s="850">
        <f t="shared" si="204"/>
        <v>8.3551444056073397E+81</v>
      </c>
      <c r="QYD56" s="850">
        <f t="shared" si="204"/>
        <v>0</v>
      </c>
      <c r="QYE56" s="850">
        <f t="shared" si="204"/>
        <v>8.6057987377755605E+81</v>
      </c>
      <c r="QYF56" s="850">
        <f t="shared" si="204"/>
        <v>0</v>
      </c>
      <c r="QYG56" s="850">
        <f t="shared" si="204"/>
        <v>8.8639726999088277E+81</v>
      </c>
      <c r="QYH56" s="850">
        <f t="shared" si="204"/>
        <v>0</v>
      </c>
      <c r="QYI56" s="850">
        <f t="shared" si="204"/>
        <v>9.1298918809060932E+81</v>
      </c>
      <c r="QYJ56" s="850">
        <f t="shared" si="204"/>
        <v>0</v>
      </c>
      <c r="QYK56" s="850">
        <f t="shared" si="204"/>
        <v>9.4037886373332767E+81</v>
      </c>
      <c r="QYL56" s="850">
        <f t="shared" si="204"/>
        <v>0</v>
      </c>
      <c r="QYM56" s="850">
        <f t="shared" si="204"/>
        <v>9.6859022964532747E+81</v>
      </c>
      <c r="QYN56" s="850">
        <f t="shared" si="204"/>
        <v>0</v>
      </c>
      <c r="QYO56" s="850">
        <f t="shared" si="204"/>
        <v>9.9764793653468727E+81</v>
      </c>
      <c r="QYP56" s="850">
        <f t="shared" si="204"/>
        <v>0</v>
      </c>
      <c r="QYQ56" s="850">
        <f t="shared" si="204"/>
        <v>1.0275773746307279E+82</v>
      </c>
      <c r="QYR56" s="850">
        <f t="shared" si="204"/>
        <v>0</v>
      </c>
      <c r="QYS56" s="850">
        <f t="shared" si="204"/>
        <v>1.0584046958696499E+82</v>
      </c>
      <c r="QYT56" s="850">
        <f t="shared" si="204"/>
        <v>0</v>
      </c>
      <c r="QYU56" s="850">
        <f t="shared" si="204"/>
        <v>1.0901568367457395E+82</v>
      </c>
      <c r="QYV56" s="850">
        <f t="shared" si="204"/>
        <v>0</v>
      </c>
      <c r="QYW56" s="850">
        <f t="shared" si="204"/>
        <v>1.1228615418481117E+82</v>
      </c>
      <c r="QYX56" s="850">
        <f t="shared" si="204"/>
        <v>0</v>
      </c>
      <c r="QYY56" s="850">
        <f t="shared" si="204"/>
        <v>1.1565473881035551E+82</v>
      </c>
      <c r="QYZ56" s="850">
        <f t="shared" si="204"/>
        <v>0</v>
      </c>
      <c r="QZA56" s="850">
        <f t="shared" si="204"/>
        <v>1.1912438097466618E+82</v>
      </c>
      <c r="QZB56" s="850">
        <f t="shared" ref="QZB56:RBM56" si="205">QYZ56*$C$56</f>
        <v>0</v>
      </c>
      <c r="QZC56" s="850">
        <f t="shared" si="205"/>
        <v>1.2269811240390618E+82</v>
      </c>
      <c r="QZD56" s="850">
        <f t="shared" si="205"/>
        <v>0</v>
      </c>
      <c r="QZE56" s="850">
        <f t="shared" si="205"/>
        <v>1.2637905577602337E+82</v>
      </c>
      <c r="QZF56" s="850">
        <f t="shared" si="205"/>
        <v>0</v>
      </c>
      <c r="QZG56" s="850">
        <f t="shared" si="205"/>
        <v>1.3017042744930408E+82</v>
      </c>
      <c r="QZH56" s="850">
        <f t="shared" si="205"/>
        <v>0</v>
      </c>
      <c r="QZI56" s="850">
        <f t="shared" si="205"/>
        <v>1.3407554027278321E+82</v>
      </c>
      <c r="QZJ56" s="850">
        <f t="shared" si="205"/>
        <v>0</v>
      </c>
      <c r="QZK56" s="850">
        <f t="shared" si="205"/>
        <v>1.3809780648096672E+82</v>
      </c>
      <c r="QZL56" s="850">
        <f t="shared" si="205"/>
        <v>0</v>
      </c>
      <c r="QZM56" s="850">
        <f t="shared" si="205"/>
        <v>1.4224074067539573E+82</v>
      </c>
      <c r="QZN56" s="850">
        <f t="shared" si="205"/>
        <v>0</v>
      </c>
      <c r="QZO56" s="850">
        <f t="shared" si="205"/>
        <v>1.465079628956576E+82</v>
      </c>
      <c r="QZP56" s="850">
        <f t="shared" si="205"/>
        <v>0</v>
      </c>
      <c r="QZQ56" s="850">
        <f t="shared" si="205"/>
        <v>1.5090320178252733E+82</v>
      </c>
      <c r="QZR56" s="850">
        <f t="shared" si="205"/>
        <v>0</v>
      </c>
      <c r="QZS56" s="850">
        <f t="shared" si="205"/>
        <v>1.5543029783600317E+82</v>
      </c>
      <c r="QZT56" s="850">
        <f t="shared" si="205"/>
        <v>0</v>
      </c>
      <c r="QZU56" s="850">
        <f t="shared" si="205"/>
        <v>1.6009320677108328E+82</v>
      </c>
      <c r="QZV56" s="850">
        <f t="shared" si="205"/>
        <v>0</v>
      </c>
      <c r="QZW56" s="850">
        <f t="shared" si="205"/>
        <v>1.6489600297421578E+82</v>
      </c>
      <c r="QZX56" s="850">
        <f t="shared" si="205"/>
        <v>0</v>
      </c>
      <c r="QZY56" s="850">
        <f t="shared" si="205"/>
        <v>1.6984288306344226E+82</v>
      </c>
      <c r="QZZ56" s="850">
        <f t="shared" si="205"/>
        <v>0</v>
      </c>
      <c r="RAA56" s="850">
        <f t="shared" si="205"/>
        <v>1.7493816955534552E+82</v>
      </c>
      <c r="RAB56" s="850">
        <f t="shared" si="205"/>
        <v>0</v>
      </c>
      <c r="RAC56" s="850">
        <f t="shared" si="205"/>
        <v>1.801863146420059E+82</v>
      </c>
      <c r="RAD56" s="850">
        <f t="shared" si="205"/>
        <v>0</v>
      </c>
      <c r="RAE56" s="850">
        <f t="shared" si="205"/>
        <v>1.8559190408126609E+82</v>
      </c>
      <c r="RAF56" s="850">
        <f t="shared" si="205"/>
        <v>0</v>
      </c>
      <c r="RAG56" s="850">
        <f t="shared" si="205"/>
        <v>1.9115966120370406E+82</v>
      </c>
      <c r="RAH56" s="850">
        <f t="shared" si="205"/>
        <v>0</v>
      </c>
      <c r="RAI56" s="850">
        <f t="shared" si="205"/>
        <v>1.968944510398152E+82</v>
      </c>
      <c r="RAJ56" s="850">
        <f t="shared" si="205"/>
        <v>0</v>
      </c>
      <c r="RAK56" s="850">
        <f t="shared" si="205"/>
        <v>2.0280128457100967E+82</v>
      </c>
      <c r="RAL56" s="850">
        <f t="shared" si="205"/>
        <v>0</v>
      </c>
      <c r="RAM56" s="850">
        <f t="shared" si="205"/>
        <v>2.0888532310813997E+82</v>
      </c>
      <c r="RAN56" s="850">
        <f t="shared" si="205"/>
        <v>0</v>
      </c>
      <c r="RAO56" s="850">
        <f t="shared" si="205"/>
        <v>2.1515188280138416E+82</v>
      </c>
      <c r="RAP56" s="850">
        <f t="shared" si="205"/>
        <v>0</v>
      </c>
      <c r="RAQ56" s="850">
        <f t="shared" si="205"/>
        <v>2.216064392854257E+82</v>
      </c>
      <c r="RAR56" s="850">
        <f t="shared" si="205"/>
        <v>0</v>
      </c>
      <c r="RAS56" s="850">
        <f t="shared" si="205"/>
        <v>2.2825463246398849E+82</v>
      </c>
      <c r="RAT56" s="850">
        <f t="shared" si="205"/>
        <v>0</v>
      </c>
      <c r="RAU56" s="850">
        <f t="shared" si="205"/>
        <v>2.3510227143790816E+82</v>
      </c>
      <c r="RAV56" s="850">
        <f t="shared" si="205"/>
        <v>0</v>
      </c>
      <c r="RAW56" s="850">
        <f t="shared" si="205"/>
        <v>2.4215533958104543E+82</v>
      </c>
      <c r="RAX56" s="850">
        <f t="shared" si="205"/>
        <v>0</v>
      </c>
      <c r="RAY56" s="850">
        <f t="shared" si="205"/>
        <v>2.494199997684768E+82</v>
      </c>
      <c r="RAZ56" s="850">
        <f t="shared" si="205"/>
        <v>0</v>
      </c>
      <c r="RBA56" s="850">
        <f t="shared" si="205"/>
        <v>2.5690259976153113E+82</v>
      </c>
      <c r="RBB56" s="850">
        <f t="shared" si="205"/>
        <v>0</v>
      </c>
      <c r="RBC56" s="850">
        <f t="shared" si="205"/>
        <v>2.6460967775437708E+82</v>
      </c>
      <c r="RBD56" s="850">
        <f t="shared" si="205"/>
        <v>0</v>
      </c>
      <c r="RBE56" s="850">
        <f t="shared" si="205"/>
        <v>2.7254796808700841E+82</v>
      </c>
      <c r="RBF56" s="850">
        <f t="shared" si="205"/>
        <v>0</v>
      </c>
      <c r="RBG56" s="850">
        <f t="shared" si="205"/>
        <v>2.8072440712961867E+82</v>
      </c>
      <c r="RBH56" s="850">
        <f t="shared" si="205"/>
        <v>0</v>
      </c>
      <c r="RBI56" s="850">
        <f t="shared" si="205"/>
        <v>2.8914613934350724E+82</v>
      </c>
      <c r="RBJ56" s="850">
        <f t="shared" si="205"/>
        <v>0</v>
      </c>
      <c r="RBK56" s="850">
        <f t="shared" si="205"/>
        <v>2.9782052352381245E+82</v>
      </c>
      <c r="RBL56" s="850">
        <f t="shared" si="205"/>
        <v>0</v>
      </c>
      <c r="RBM56" s="850">
        <f t="shared" si="205"/>
        <v>3.0675513922952684E+82</v>
      </c>
      <c r="RBN56" s="850">
        <f t="shared" ref="RBN56:RDY56" si="206">RBL56*$C$56</f>
        <v>0</v>
      </c>
      <c r="RBO56" s="850">
        <f t="shared" si="206"/>
        <v>3.1595779340641268E+82</v>
      </c>
      <c r="RBP56" s="850">
        <f t="shared" si="206"/>
        <v>0</v>
      </c>
      <c r="RBQ56" s="850">
        <f t="shared" si="206"/>
        <v>3.2543652720860506E+82</v>
      </c>
      <c r="RBR56" s="850">
        <f t="shared" si="206"/>
        <v>0</v>
      </c>
      <c r="RBS56" s="850">
        <f t="shared" si="206"/>
        <v>3.3519962302486325E+82</v>
      </c>
      <c r="RBT56" s="850">
        <f t="shared" si="206"/>
        <v>0</v>
      </c>
      <c r="RBU56" s="850">
        <f t="shared" si="206"/>
        <v>3.4525561171560912E+82</v>
      </c>
      <c r="RBV56" s="850">
        <f t="shared" si="206"/>
        <v>0</v>
      </c>
      <c r="RBW56" s="850">
        <f t="shared" si="206"/>
        <v>3.5561328006707738E+82</v>
      </c>
      <c r="RBX56" s="850">
        <f t="shared" si="206"/>
        <v>0</v>
      </c>
      <c r="RBY56" s="850">
        <f t="shared" si="206"/>
        <v>3.6628167846908971E+82</v>
      </c>
      <c r="RBZ56" s="850">
        <f t="shared" si="206"/>
        <v>0</v>
      </c>
      <c r="RCA56" s="850">
        <f t="shared" si="206"/>
        <v>3.7727012882316239E+82</v>
      </c>
      <c r="RCB56" s="850">
        <f t="shared" si="206"/>
        <v>0</v>
      </c>
      <c r="RCC56" s="850">
        <f t="shared" si="206"/>
        <v>3.8858823268785725E+82</v>
      </c>
      <c r="RCD56" s="850">
        <f t="shared" si="206"/>
        <v>0</v>
      </c>
      <c r="RCE56" s="850">
        <f t="shared" si="206"/>
        <v>4.0024587966849299E+82</v>
      </c>
      <c r="RCF56" s="850">
        <f t="shared" si="206"/>
        <v>0</v>
      </c>
      <c r="RCG56" s="850">
        <f t="shared" si="206"/>
        <v>4.1225325605854781E+82</v>
      </c>
      <c r="RCH56" s="850">
        <f t="shared" si="206"/>
        <v>0</v>
      </c>
      <c r="RCI56" s="850">
        <f t="shared" si="206"/>
        <v>4.2462085374030425E+82</v>
      </c>
      <c r="RCJ56" s="850">
        <f t="shared" si="206"/>
        <v>0</v>
      </c>
      <c r="RCK56" s="850">
        <f t="shared" si="206"/>
        <v>4.3735947935251341E+82</v>
      </c>
      <c r="RCL56" s="850">
        <f t="shared" si="206"/>
        <v>0</v>
      </c>
      <c r="RCM56" s="850">
        <f t="shared" si="206"/>
        <v>4.5048026373308881E+82</v>
      </c>
      <c r="RCN56" s="850">
        <f t="shared" si="206"/>
        <v>0</v>
      </c>
      <c r="RCO56" s="850">
        <f t="shared" si="206"/>
        <v>4.6399467164508149E+82</v>
      </c>
      <c r="RCP56" s="850">
        <f t="shared" si="206"/>
        <v>0</v>
      </c>
      <c r="RCQ56" s="850">
        <f t="shared" si="206"/>
        <v>4.7791451179443392E+82</v>
      </c>
      <c r="RCR56" s="850">
        <f t="shared" si="206"/>
        <v>0</v>
      </c>
      <c r="RCS56" s="850">
        <f t="shared" si="206"/>
        <v>4.9225194714826695E+82</v>
      </c>
      <c r="RCT56" s="850">
        <f t="shared" si="206"/>
        <v>0</v>
      </c>
      <c r="RCU56" s="850">
        <f t="shared" si="206"/>
        <v>5.07019505562715E+82</v>
      </c>
      <c r="RCV56" s="850">
        <f t="shared" si="206"/>
        <v>0</v>
      </c>
      <c r="RCW56" s="850">
        <f t="shared" si="206"/>
        <v>5.2223009072959644E+82</v>
      </c>
      <c r="RCX56" s="850">
        <f t="shared" si="206"/>
        <v>0</v>
      </c>
      <c r="RCY56" s="850">
        <f t="shared" si="206"/>
        <v>5.3789699345148438E+82</v>
      </c>
      <c r="RCZ56" s="850">
        <f t="shared" si="206"/>
        <v>0</v>
      </c>
      <c r="RDA56" s="850">
        <f t="shared" si="206"/>
        <v>5.5403390325502891E+82</v>
      </c>
      <c r="RDB56" s="850">
        <f t="shared" si="206"/>
        <v>0</v>
      </c>
      <c r="RDC56" s="850">
        <f t="shared" si="206"/>
        <v>5.7065492035267981E+82</v>
      </c>
      <c r="RDD56" s="850">
        <f t="shared" si="206"/>
        <v>0</v>
      </c>
      <c r="RDE56" s="850">
        <f t="shared" si="206"/>
        <v>5.877745679632602E+82</v>
      </c>
      <c r="RDF56" s="850">
        <f t="shared" si="206"/>
        <v>0</v>
      </c>
      <c r="RDG56" s="850">
        <f t="shared" si="206"/>
        <v>6.05407805002158E+82</v>
      </c>
      <c r="RDH56" s="850">
        <f t="shared" si="206"/>
        <v>0</v>
      </c>
      <c r="RDI56" s="850">
        <f t="shared" si="206"/>
        <v>6.2357003915222281E+82</v>
      </c>
      <c r="RDJ56" s="850">
        <f t="shared" si="206"/>
        <v>0</v>
      </c>
      <c r="RDK56" s="850">
        <f t="shared" si="206"/>
        <v>6.4227714032678946E+82</v>
      </c>
      <c r="RDL56" s="850">
        <f t="shared" si="206"/>
        <v>0</v>
      </c>
      <c r="RDM56" s="850">
        <f t="shared" si="206"/>
        <v>6.6154545453659309E+82</v>
      </c>
      <c r="RDN56" s="850">
        <f t="shared" si="206"/>
        <v>0</v>
      </c>
      <c r="RDO56" s="850">
        <f t="shared" si="206"/>
        <v>6.8139181817269086E+82</v>
      </c>
      <c r="RDP56" s="850">
        <f t="shared" si="206"/>
        <v>0</v>
      </c>
      <c r="RDQ56" s="850">
        <f t="shared" si="206"/>
        <v>7.0183357271787161E+82</v>
      </c>
      <c r="RDR56" s="850">
        <f t="shared" si="206"/>
        <v>0</v>
      </c>
      <c r="RDS56" s="850">
        <f t="shared" si="206"/>
        <v>7.2288857989940784E+82</v>
      </c>
      <c r="RDT56" s="850">
        <f t="shared" si="206"/>
        <v>0</v>
      </c>
      <c r="RDU56" s="850">
        <f t="shared" si="206"/>
        <v>7.4457523729639011E+82</v>
      </c>
      <c r="RDV56" s="850">
        <f t="shared" si="206"/>
        <v>0</v>
      </c>
      <c r="RDW56" s="850">
        <f t="shared" si="206"/>
        <v>7.6691249441528181E+82</v>
      </c>
      <c r="RDX56" s="850">
        <f t="shared" si="206"/>
        <v>0</v>
      </c>
      <c r="RDY56" s="850">
        <f t="shared" si="206"/>
        <v>7.899198692477403E+82</v>
      </c>
      <c r="RDZ56" s="850">
        <f t="shared" ref="RDZ56:RGK56" si="207">RDX56*$C$56</f>
        <v>0</v>
      </c>
      <c r="REA56" s="850">
        <f t="shared" si="207"/>
        <v>8.1361746532517246E+82</v>
      </c>
      <c r="REB56" s="850">
        <f t="shared" si="207"/>
        <v>0</v>
      </c>
      <c r="REC56" s="850">
        <f t="shared" si="207"/>
        <v>8.3802598928492772E+82</v>
      </c>
      <c r="RED56" s="850">
        <f t="shared" si="207"/>
        <v>0</v>
      </c>
      <c r="REE56" s="850">
        <f t="shared" si="207"/>
        <v>8.6316676896347557E+82</v>
      </c>
      <c r="REF56" s="850">
        <f t="shared" si="207"/>
        <v>0</v>
      </c>
      <c r="REG56" s="850">
        <f t="shared" si="207"/>
        <v>8.8906177203237987E+82</v>
      </c>
      <c r="REH56" s="850">
        <f t="shared" si="207"/>
        <v>0</v>
      </c>
      <c r="REI56" s="850">
        <f t="shared" si="207"/>
        <v>9.1573362519335131E+82</v>
      </c>
      <c r="REJ56" s="850">
        <f t="shared" si="207"/>
        <v>0</v>
      </c>
      <c r="REK56" s="850">
        <f t="shared" si="207"/>
        <v>9.4320563394915184E+82</v>
      </c>
      <c r="REL56" s="850">
        <f t="shared" si="207"/>
        <v>0</v>
      </c>
      <c r="REM56" s="850">
        <f t="shared" si="207"/>
        <v>9.7150180296762648E+82</v>
      </c>
      <c r="REN56" s="850">
        <f t="shared" si="207"/>
        <v>0</v>
      </c>
      <c r="REO56" s="850">
        <f t="shared" si="207"/>
        <v>1.0006468570566554E+83</v>
      </c>
      <c r="REP56" s="850">
        <f t="shared" si="207"/>
        <v>0</v>
      </c>
      <c r="REQ56" s="850">
        <f t="shared" si="207"/>
        <v>1.030666262768355E+83</v>
      </c>
      <c r="RER56" s="850">
        <f t="shared" si="207"/>
        <v>0</v>
      </c>
      <c r="RES56" s="850">
        <f t="shared" si="207"/>
        <v>1.0615862506514057E+83</v>
      </c>
      <c r="RET56" s="850">
        <f t="shared" si="207"/>
        <v>0</v>
      </c>
      <c r="REU56" s="850">
        <f t="shared" si="207"/>
        <v>1.0934338381709479E+83</v>
      </c>
      <c r="REV56" s="850">
        <f t="shared" si="207"/>
        <v>0</v>
      </c>
      <c r="REW56" s="850">
        <f t="shared" si="207"/>
        <v>1.1262368533160763E+83</v>
      </c>
      <c r="REX56" s="850">
        <f t="shared" si="207"/>
        <v>0</v>
      </c>
      <c r="REY56" s="850">
        <f t="shared" si="207"/>
        <v>1.1600239589155586E+83</v>
      </c>
      <c r="REZ56" s="850">
        <f t="shared" si="207"/>
        <v>0</v>
      </c>
      <c r="RFA56" s="850">
        <f t="shared" si="207"/>
        <v>1.1948246776830254E+83</v>
      </c>
      <c r="RFB56" s="850">
        <f t="shared" si="207"/>
        <v>0</v>
      </c>
      <c r="RFC56" s="850">
        <f t="shared" si="207"/>
        <v>1.2306694180135161E+83</v>
      </c>
      <c r="RFD56" s="850">
        <f t="shared" si="207"/>
        <v>0</v>
      </c>
      <c r="RFE56" s="850">
        <f t="shared" si="207"/>
        <v>1.2675895005539215E+83</v>
      </c>
      <c r="RFF56" s="850">
        <f t="shared" si="207"/>
        <v>0</v>
      </c>
      <c r="RFG56" s="850">
        <f t="shared" si="207"/>
        <v>1.3056171855705391E+83</v>
      </c>
      <c r="RFH56" s="850">
        <f t="shared" si="207"/>
        <v>0</v>
      </c>
      <c r="RFI56" s="850">
        <f t="shared" si="207"/>
        <v>1.3447857011376552E+83</v>
      </c>
      <c r="RFJ56" s="850">
        <f t="shared" si="207"/>
        <v>0</v>
      </c>
      <c r="RFK56" s="850">
        <f t="shared" si="207"/>
        <v>1.3851292721717849E+83</v>
      </c>
      <c r="RFL56" s="850">
        <f t="shared" si="207"/>
        <v>0</v>
      </c>
      <c r="RFM56" s="850">
        <f t="shared" si="207"/>
        <v>1.4266831503369384E+83</v>
      </c>
      <c r="RFN56" s="850">
        <f t="shared" si="207"/>
        <v>0</v>
      </c>
      <c r="RFO56" s="850">
        <f t="shared" si="207"/>
        <v>1.4694836448470467E+83</v>
      </c>
      <c r="RFP56" s="850">
        <f t="shared" si="207"/>
        <v>0</v>
      </c>
      <c r="RFQ56" s="850">
        <f t="shared" si="207"/>
        <v>1.5135681541924581E+83</v>
      </c>
      <c r="RFR56" s="850">
        <f t="shared" si="207"/>
        <v>0</v>
      </c>
      <c r="RFS56" s="850">
        <f t="shared" si="207"/>
        <v>1.5589751988182318E+83</v>
      </c>
      <c r="RFT56" s="850">
        <f t="shared" si="207"/>
        <v>0</v>
      </c>
      <c r="RFU56" s="850">
        <f t="shared" si="207"/>
        <v>1.6057444547827788E+83</v>
      </c>
      <c r="RFV56" s="850">
        <f t="shared" si="207"/>
        <v>0</v>
      </c>
      <c r="RFW56" s="850">
        <f t="shared" si="207"/>
        <v>1.6539167884262621E+83</v>
      </c>
      <c r="RFX56" s="850">
        <f t="shared" si="207"/>
        <v>0</v>
      </c>
      <c r="RFY56" s="850">
        <f t="shared" si="207"/>
        <v>1.7035342920790501E+83</v>
      </c>
      <c r="RFZ56" s="850">
        <f t="shared" si="207"/>
        <v>0</v>
      </c>
      <c r="RGA56" s="850">
        <f t="shared" si="207"/>
        <v>1.7546403208414217E+83</v>
      </c>
      <c r="RGB56" s="850">
        <f t="shared" si="207"/>
        <v>0</v>
      </c>
      <c r="RGC56" s="850">
        <f t="shared" si="207"/>
        <v>1.8072795304666645E+83</v>
      </c>
      <c r="RGD56" s="850">
        <f t="shared" si="207"/>
        <v>0</v>
      </c>
      <c r="RGE56" s="850">
        <f t="shared" si="207"/>
        <v>1.8614979163806645E+83</v>
      </c>
      <c r="RGF56" s="850">
        <f t="shared" si="207"/>
        <v>0</v>
      </c>
      <c r="RGG56" s="850">
        <f t="shared" si="207"/>
        <v>1.9173428538720846E+83</v>
      </c>
      <c r="RGH56" s="850">
        <f t="shared" si="207"/>
        <v>0</v>
      </c>
      <c r="RGI56" s="850">
        <f t="shared" si="207"/>
        <v>1.9748631394882471E+83</v>
      </c>
      <c r="RGJ56" s="850">
        <f t="shared" si="207"/>
        <v>0</v>
      </c>
      <c r="RGK56" s="850">
        <f t="shared" si="207"/>
        <v>2.0341090336728947E+83</v>
      </c>
      <c r="RGL56" s="850">
        <f t="shared" ref="RGL56:RIW56" si="208">RGJ56*$C$56</f>
        <v>0</v>
      </c>
      <c r="RGM56" s="850">
        <f t="shared" si="208"/>
        <v>2.0951323046830816E+83</v>
      </c>
      <c r="RGN56" s="850">
        <f t="shared" si="208"/>
        <v>0</v>
      </c>
      <c r="RGO56" s="850">
        <f t="shared" si="208"/>
        <v>2.1579862738235741E+83</v>
      </c>
      <c r="RGP56" s="850">
        <f t="shared" si="208"/>
        <v>0</v>
      </c>
      <c r="RGQ56" s="850">
        <f t="shared" si="208"/>
        <v>2.2227258620382813E+83</v>
      </c>
      <c r="RGR56" s="850">
        <f t="shared" si="208"/>
        <v>0</v>
      </c>
      <c r="RGS56" s="850">
        <f t="shared" si="208"/>
        <v>2.2894076378994298E+83</v>
      </c>
      <c r="RGT56" s="850">
        <f t="shared" si="208"/>
        <v>0</v>
      </c>
      <c r="RGU56" s="850">
        <f t="shared" si="208"/>
        <v>2.3580898670364128E+83</v>
      </c>
      <c r="RGV56" s="850">
        <f t="shared" si="208"/>
        <v>0</v>
      </c>
      <c r="RGW56" s="850">
        <f t="shared" si="208"/>
        <v>2.4288325630475051E+83</v>
      </c>
      <c r="RGX56" s="850">
        <f t="shared" si="208"/>
        <v>0</v>
      </c>
      <c r="RGY56" s="850">
        <f t="shared" si="208"/>
        <v>2.5016975399389305E+83</v>
      </c>
      <c r="RGZ56" s="850">
        <f t="shared" si="208"/>
        <v>0</v>
      </c>
      <c r="RHA56" s="850">
        <f t="shared" si="208"/>
        <v>2.5767484661370984E+83</v>
      </c>
      <c r="RHB56" s="850">
        <f t="shared" si="208"/>
        <v>0</v>
      </c>
      <c r="RHC56" s="850">
        <f t="shared" si="208"/>
        <v>2.6540509201212116E+83</v>
      </c>
      <c r="RHD56" s="850">
        <f t="shared" si="208"/>
        <v>0</v>
      </c>
      <c r="RHE56" s="850">
        <f t="shared" si="208"/>
        <v>2.7336724477248478E+83</v>
      </c>
      <c r="RHF56" s="850">
        <f t="shared" si="208"/>
        <v>0</v>
      </c>
      <c r="RHG56" s="850">
        <f t="shared" si="208"/>
        <v>2.8156826211565932E+83</v>
      </c>
      <c r="RHH56" s="850">
        <f t="shared" si="208"/>
        <v>0</v>
      </c>
      <c r="RHI56" s="850">
        <f t="shared" si="208"/>
        <v>2.9001530997912911E+83</v>
      </c>
      <c r="RHJ56" s="850">
        <f t="shared" si="208"/>
        <v>0</v>
      </c>
      <c r="RHK56" s="850">
        <f t="shared" si="208"/>
        <v>2.98715769278503E+83</v>
      </c>
      <c r="RHL56" s="850">
        <f t="shared" si="208"/>
        <v>0</v>
      </c>
      <c r="RHM56" s="850">
        <f t="shared" si="208"/>
        <v>3.0767724235685808E+83</v>
      </c>
      <c r="RHN56" s="850">
        <f t="shared" si="208"/>
        <v>0</v>
      </c>
      <c r="RHO56" s="850">
        <f t="shared" si="208"/>
        <v>3.1690755962756386E+83</v>
      </c>
      <c r="RHP56" s="850">
        <f t="shared" si="208"/>
        <v>0</v>
      </c>
      <c r="RHQ56" s="850">
        <f t="shared" si="208"/>
        <v>3.2641478641639077E+83</v>
      </c>
      <c r="RHR56" s="850">
        <f t="shared" si="208"/>
        <v>0</v>
      </c>
      <c r="RHS56" s="850">
        <f t="shared" si="208"/>
        <v>3.3620723000888251E+83</v>
      </c>
      <c r="RHT56" s="850">
        <f t="shared" si="208"/>
        <v>0</v>
      </c>
      <c r="RHU56" s="850">
        <f t="shared" si="208"/>
        <v>3.4629344690914898E+83</v>
      </c>
      <c r="RHV56" s="850">
        <f t="shared" si="208"/>
        <v>0</v>
      </c>
      <c r="RHW56" s="850">
        <f t="shared" si="208"/>
        <v>3.5668225031642347E+83</v>
      </c>
      <c r="RHX56" s="850">
        <f t="shared" si="208"/>
        <v>0</v>
      </c>
      <c r="RHY56" s="850">
        <f t="shared" si="208"/>
        <v>3.6738271782591616E+83</v>
      </c>
      <c r="RHZ56" s="850">
        <f t="shared" si="208"/>
        <v>0</v>
      </c>
      <c r="RIA56" s="850">
        <f t="shared" si="208"/>
        <v>3.7840419936069368E+83</v>
      </c>
      <c r="RIB56" s="850">
        <f t="shared" si="208"/>
        <v>0</v>
      </c>
      <c r="RIC56" s="850">
        <f t="shared" si="208"/>
        <v>3.8975632534151448E+83</v>
      </c>
      <c r="RID56" s="850">
        <f t="shared" si="208"/>
        <v>0</v>
      </c>
      <c r="RIE56" s="850">
        <f t="shared" si="208"/>
        <v>4.0144901510175992E+83</v>
      </c>
      <c r="RIF56" s="850">
        <f t="shared" si="208"/>
        <v>0</v>
      </c>
      <c r="RIG56" s="850">
        <f t="shared" si="208"/>
        <v>4.1349248555481275E+83</v>
      </c>
      <c r="RIH56" s="850">
        <f t="shared" si="208"/>
        <v>0</v>
      </c>
      <c r="RII56" s="850">
        <f t="shared" si="208"/>
        <v>4.2589726012145713E+83</v>
      </c>
      <c r="RIJ56" s="850">
        <f t="shared" si="208"/>
        <v>0</v>
      </c>
      <c r="RIK56" s="850">
        <f t="shared" si="208"/>
        <v>4.3867417792510087E+83</v>
      </c>
      <c r="RIL56" s="850">
        <f t="shared" si="208"/>
        <v>0</v>
      </c>
      <c r="RIM56" s="850">
        <f t="shared" si="208"/>
        <v>4.518344032628539E+83</v>
      </c>
      <c r="RIN56" s="850">
        <f t="shared" si="208"/>
        <v>0</v>
      </c>
      <c r="RIO56" s="850">
        <f t="shared" si="208"/>
        <v>4.6538943536073953E+83</v>
      </c>
      <c r="RIP56" s="850">
        <f t="shared" si="208"/>
        <v>0</v>
      </c>
      <c r="RIQ56" s="850">
        <f t="shared" si="208"/>
        <v>4.7935111842156171E+83</v>
      </c>
      <c r="RIR56" s="850">
        <f t="shared" si="208"/>
        <v>0</v>
      </c>
      <c r="RIS56" s="850">
        <f t="shared" si="208"/>
        <v>4.9373165197420853E+83</v>
      </c>
      <c r="RIT56" s="850">
        <f t="shared" si="208"/>
        <v>0</v>
      </c>
      <c r="RIU56" s="850">
        <f t="shared" si="208"/>
        <v>5.0854360153343482E+83</v>
      </c>
      <c r="RIV56" s="850">
        <f t="shared" si="208"/>
        <v>0</v>
      </c>
      <c r="RIW56" s="850">
        <f t="shared" si="208"/>
        <v>5.2379990957943784E+83</v>
      </c>
      <c r="RIX56" s="850">
        <f t="shared" ref="RIX56:RLI56" si="209">RIV56*$C$56</f>
        <v>0</v>
      </c>
      <c r="RIY56" s="850">
        <f t="shared" si="209"/>
        <v>5.3951390686682103E+83</v>
      </c>
      <c r="RIZ56" s="850">
        <f t="shared" si="209"/>
        <v>0</v>
      </c>
      <c r="RJA56" s="850">
        <f t="shared" si="209"/>
        <v>5.5569932407282566E+83</v>
      </c>
      <c r="RJB56" s="850">
        <f t="shared" si="209"/>
        <v>0</v>
      </c>
      <c r="RJC56" s="850">
        <f t="shared" si="209"/>
        <v>5.7237030379501048E+83</v>
      </c>
      <c r="RJD56" s="850">
        <f t="shared" si="209"/>
        <v>0</v>
      </c>
      <c r="RJE56" s="850">
        <f t="shared" si="209"/>
        <v>5.8954141290886079E+83</v>
      </c>
      <c r="RJF56" s="850">
        <f t="shared" si="209"/>
        <v>0</v>
      </c>
      <c r="RJG56" s="850">
        <f t="shared" si="209"/>
        <v>6.0722765529612667E+83</v>
      </c>
      <c r="RJH56" s="850">
        <f t="shared" si="209"/>
        <v>0</v>
      </c>
      <c r="RJI56" s="850">
        <f t="shared" si="209"/>
        <v>6.2544448495501046E+83</v>
      </c>
      <c r="RJJ56" s="850">
        <f t="shared" si="209"/>
        <v>0</v>
      </c>
      <c r="RJK56" s="850">
        <f t="shared" si="209"/>
        <v>6.4420781950366079E+83</v>
      </c>
      <c r="RJL56" s="850">
        <f t="shared" si="209"/>
        <v>0</v>
      </c>
      <c r="RJM56" s="850">
        <f t="shared" si="209"/>
        <v>6.6353405408877059E+83</v>
      </c>
      <c r="RJN56" s="850">
        <f t="shared" si="209"/>
        <v>0</v>
      </c>
      <c r="RJO56" s="850">
        <f t="shared" si="209"/>
        <v>6.8344007571143369E+83</v>
      </c>
      <c r="RJP56" s="850">
        <f t="shared" si="209"/>
        <v>0</v>
      </c>
      <c r="RJQ56" s="850">
        <f t="shared" si="209"/>
        <v>7.0394327798277676E+83</v>
      </c>
      <c r="RJR56" s="850">
        <f t="shared" si="209"/>
        <v>0</v>
      </c>
      <c r="RJS56" s="850">
        <f t="shared" si="209"/>
        <v>7.2506157632226011E+83</v>
      </c>
      <c r="RJT56" s="850">
        <f t="shared" si="209"/>
        <v>0</v>
      </c>
      <c r="RJU56" s="850">
        <f t="shared" si="209"/>
        <v>7.4681342361192798E+83</v>
      </c>
      <c r="RJV56" s="850">
        <f t="shared" si="209"/>
        <v>0</v>
      </c>
      <c r="RJW56" s="850">
        <f t="shared" si="209"/>
        <v>7.6921782632028582E+83</v>
      </c>
      <c r="RJX56" s="850">
        <f t="shared" si="209"/>
        <v>0</v>
      </c>
      <c r="RJY56" s="850">
        <f t="shared" si="209"/>
        <v>7.9229436110989439E+83</v>
      </c>
      <c r="RJZ56" s="850">
        <f t="shared" si="209"/>
        <v>0</v>
      </c>
      <c r="RKA56" s="850">
        <f t="shared" si="209"/>
        <v>8.1606319194319127E+83</v>
      </c>
      <c r="RKB56" s="850">
        <f t="shared" si="209"/>
        <v>0</v>
      </c>
      <c r="RKC56" s="850">
        <f t="shared" si="209"/>
        <v>8.40545087701487E+83</v>
      </c>
      <c r="RKD56" s="850">
        <f t="shared" si="209"/>
        <v>0</v>
      </c>
      <c r="RKE56" s="850">
        <f t="shared" si="209"/>
        <v>8.657614403325316E+83</v>
      </c>
      <c r="RKF56" s="850">
        <f t="shared" si="209"/>
        <v>0</v>
      </c>
      <c r="RKG56" s="850">
        <f t="shared" si="209"/>
        <v>8.9173428354250755E+83</v>
      </c>
      <c r="RKH56" s="850">
        <f t="shared" si="209"/>
        <v>0</v>
      </c>
      <c r="RKI56" s="850">
        <f t="shared" si="209"/>
        <v>9.1848631204878275E+83</v>
      </c>
      <c r="RKJ56" s="850">
        <f t="shared" si="209"/>
        <v>0</v>
      </c>
      <c r="RKK56" s="850">
        <f t="shared" si="209"/>
        <v>9.460409014102463E+83</v>
      </c>
      <c r="RKL56" s="850">
        <f t="shared" si="209"/>
        <v>0</v>
      </c>
      <c r="RKM56" s="850">
        <f t="shared" si="209"/>
        <v>9.7442212845255371E+83</v>
      </c>
      <c r="RKN56" s="850">
        <f t="shared" si="209"/>
        <v>0</v>
      </c>
      <c r="RKO56" s="850">
        <f t="shared" si="209"/>
        <v>1.0036547923061303E+84</v>
      </c>
      <c r="RKP56" s="850">
        <f t="shared" si="209"/>
        <v>0</v>
      </c>
      <c r="RKQ56" s="850">
        <f t="shared" si="209"/>
        <v>1.0337644360753141E+84</v>
      </c>
      <c r="RKR56" s="850">
        <f t="shared" si="209"/>
        <v>0</v>
      </c>
      <c r="RKS56" s="850">
        <f t="shared" si="209"/>
        <v>1.0647773691575736E+84</v>
      </c>
      <c r="RKT56" s="850">
        <f t="shared" si="209"/>
        <v>0</v>
      </c>
      <c r="RKU56" s="850">
        <f t="shared" si="209"/>
        <v>1.0967206902323009E+84</v>
      </c>
      <c r="RKV56" s="850">
        <f t="shared" si="209"/>
        <v>0</v>
      </c>
      <c r="RKW56" s="850">
        <f t="shared" si="209"/>
        <v>1.12962231093927E+84</v>
      </c>
      <c r="RKX56" s="850">
        <f t="shared" si="209"/>
        <v>0</v>
      </c>
      <c r="RKY56" s="850">
        <f t="shared" si="209"/>
        <v>1.1635109802674481E+84</v>
      </c>
      <c r="RKZ56" s="850">
        <f t="shared" si="209"/>
        <v>0</v>
      </c>
      <c r="RLA56" s="850">
        <f t="shared" si="209"/>
        <v>1.1984163096754716E+84</v>
      </c>
      <c r="RLB56" s="850">
        <f t="shared" si="209"/>
        <v>0</v>
      </c>
      <c r="RLC56" s="850">
        <f t="shared" si="209"/>
        <v>1.2343687989657357E+84</v>
      </c>
      <c r="RLD56" s="850">
        <f t="shared" si="209"/>
        <v>0</v>
      </c>
      <c r="RLE56" s="850">
        <f t="shared" si="209"/>
        <v>1.2713998629347077E+84</v>
      </c>
      <c r="RLF56" s="850">
        <f t="shared" si="209"/>
        <v>0</v>
      </c>
      <c r="RLG56" s="850">
        <f t="shared" si="209"/>
        <v>1.3095418588227489E+84</v>
      </c>
      <c r="RLH56" s="850">
        <f t="shared" si="209"/>
        <v>0</v>
      </c>
      <c r="RLI56" s="850">
        <f t="shared" si="209"/>
        <v>1.3488281145874314E+84</v>
      </c>
      <c r="RLJ56" s="850">
        <f t="shared" ref="RLJ56:RNU56" si="210">RLH56*$C$56</f>
        <v>0</v>
      </c>
      <c r="RLK56" s="850">
        <f t="shared" si="210"/>
        <v>1.3892929580250543E+84</v>
      </c>
      <c r="RLL56" s="850">
        <f t="shared" si="210"/>
        <v>0</v>
      </c>
      <c r="RLM56" s="850">
        <f t="shared" si="210"/>
        <v>1.4309717467658059E+84</v>
      </c>
      <c r="RLN56" s="850">
        <f t="shared" si="210"/>
        <v>0</v>
      </c>
      <c r="RLO56" s="850">
        <f t="shared" si="210"/>
        <v>1.4739008991687801E+84</v>
      </c>
      <c r="RLP56" s="850">
        <f t="shared" si="210"/>
        <v>0</v>
      </c>
      <c r="RLQ56" s="850">
        <f t="shared" si="210"/>
        <v>1.5181179261438435E+84</v>
      </c>
      <c r="RLR56" s="850">
        <f t="shared" si="210"/>
        <v>0</v>
      </c>
      <c r="RLS56" s="850">
        <f t="shared" si="210"/>
        <v>1.5636614639281588E+84</v>
      </c>
      <c r="RLT56" s="850">
        <f t="shared" si="210"/>
        <v>0</v>
      </c>
      <c r="RLU56" s="850">
        <f t="shared" si="210"/>
        <v>1.6105713078460036E+84</v>
      </c>
      <c r="RLV56" s="850">
        <f t="shared" si="210"/>
        <v>0</v>
      </c>
      <c r="RLW56" s="850">
        <f t="shared" si="210"/>
        <v>1.6588884470813838E+84</v>
      </c>
      <c r="RLX56" s="850">
        <f t="shared" si="210"/>
        <v>0</v>
      </c>
      <c r="RLY56" s="850">
        <f t="shared" si="210"/>
        <v>1.7086551004938254E+84</v>
      </c>
      <c r="RLZ56" s="850">
        <f t="shared" si="210"/>
        <v>0</v>
      </c>
      <c r="RMA56" s="850">
        <f t="shared" si="210"/>
        <v>1.7599147535086403E+84</v>
      </c>
      <c r="RMB56" s="850">
        <f t="shared" si="210"/>
        <v>0</v>
      </c>
      <c r="RMC56" s="850">
        <f t="shared" si="210"/>
        <v>1.8127121961138995E+84</v>
      </c>
      <c r="RMD56" s="850">
        <f t="shared" si="210"/>
        <v>0</v>
      </c>
      <c r="RME56" s="850">
        <f t="shared" si="210"/>
        <v>1.8670935619973165E+84</v>
      </c>
      <c r="RMF56" s="850">
        <f t="shared" si="210"/>
        <v>0</v>
      </c>
      <c r="RMG56" s="850">
        <f t="shared" si="210"/>
        <v>1.923106368857236E+84</v>
      </c>
      <c r="RMH56" s="850">
        <f t="shared" si="210"/>
        <v>0</v>
      </c>
      <c r="RMI56" s="850">
        <f t="shared" si="210"/>
        <v>1.9807995599229531E+84</v>
      </c>
      <c r="RMJ56" s="850">
        <f t="shared" si="210"/>
        <v>0</v>
      </c>
      <c r="RMK56" s="850">
        <f t="shared" si="210"/>
        <v>2.0402235467206419E+84</v>
      </c>
      <c r="RML56" s="850">
        <f t="shared" si="210"/>
        <v>0</v>
      </c>
      <c r="RMM56" s="850">
        <f t="shared" si="210"/>
        <v>2.101430253122261E+84</v>
      </c>
      <c r="RMN56" s="850">
        <f t="shared" si="210"/>
        <v>0</v>
      </c>
      <c r="RMO56" s="850">
        <f t="shared" si="210"/>
        <v>2.1644731607159287E+84</v>
      </c>
      <c r="RMP56" s="850">
        <f t="shared" si="210"/>
        <v>0</v>
      </c>
      <c r="RMQ56" s="850">
        <f t="shared" si="210"/>
        <v>2.2294073555374068E+84</v>
      </c>
      <c r="RMR56" s="850">
        <f t="shared" si="210"/>
        <v>0</v>
      </c>
      <c r="RMS56" s="850">
        <f t="shared" si="210"/>
        <v>2.2962895762035291E+84</v>
      </c>
      <c r="RMT56" s="850">
        <f t="shared" si="210"/>
        <v>0</v>
      </c>
      <c r="RMU56" s="850">
        <f t="shared" si="210"/>
        <v>2.365178263489635E+84</v>
      </c>
      <c r="RMV56" s="850">
        <f t="shared" si="210"/>
        <v>0</v>
      </c>
      <c r="RMW56" s="850">
        <f t="shared" si="210"/>
        <v>2.4361336113943241E+84</v>
      </c>
      <c r="RMX56" s="850">
        <f t="shared" si="210"/>
        <v>0</v>
      </c>
      <c r="RMY56" s="850">
        <f t="shared" si="210"/>
        <v>2.509217619736154E+84</v>
      </c>
      <c r="RMZ56" s="850">
        <f t="shared" si="210"/>
        <v>0</v>
      </c>
      <c r="RNA56" s="850">
        <f t="shared" si="210"/>
        <v>2.5844941483282388E+84</v>
      </c>
      <c r="RNB56" s="850">
        <f t="shared" si="210"/>
        <v>0</v>
      </c>
      <c r="RNC56" s="850">
        <f t="shared" si="210"/>
        <v>2.6620289727780861E+84</v>
      </c>
      <c r="RND56" s="850">
        <f t="shared" si="210"/>
        <v>0</v>
      </c>
      <c r="RNE56" s="850">
        <f t="shared" si="210"/>
        <v>2.7418898419614286E+84</v>
      </c>
      <c r="RNF56" s="850">
        <f t="shared" si="210"/>
        <v>0</v>
      </c>
      <c r="RNG56" s="850">
        <f t="shared" si="210"/>
        <v>2.8241465372202717E+84</v>
      </c>
      <c r="RNH56" s="850">
        <f t="shared" si="210"/>
        <v>0</v>
      </c>
      <c r="RNI56" s="850">
        <f t="shared" si="210"/>
        <v>2.9088709333368797E+84</v>
      </c>
      <c r="RNJ56" s="850">
        <f t="shared" si="210"/>
        <v>0</v>
      </c>
      <c r="RNK56" s="850">
        <f t="shared" si="210"/>
        <v>2.9961370613369861E+84</v>
      </c>
      <c r="RNL56" s="850">
        <f t="shared" si="210"/>
        <v>0</v>
      </c>
      <c r="RNM56" s="850">
        <f t="shared" si="210"/>
        <v>3.0860211731770959E+84</v>
      </c>
      <c r="RNN56" s="850">
        <f t="shared" si="210"/>
        <v>0</v>
      </c>
      <c r="RNO56" s="850">
        <f t="shared" si="210"/>
        <v>3.1786018083724088E+84</v>
      </c>
      <c r="RNP56" s="850">
        <f t="shared" si="210"/>
        <v>0</v>
      </c>
      <c r="RNQ56" s="850">
        <f t="shared" si="210"/>
        <v>3.2739598626235813E+84</v>
      </c>
      <c r="RNR56" s="850">
        <f t="shared" si="210"/>
        <v>0</v>
      </c>
      <c r="RNS56" s="850">
        <f t="shared" si="210"/>
        <v>3.3721786585022888E+84</v>
      </c>
      <c r="RNT56" s="850">
        <f t="shared" si="210"/>
        <v>0</v>
      </c>
      <c r="RNU56" s="850">
        <f t="shared" si="210"/>
        <v>3.4733440182573575E+84</v>
      </c>
      <c r="RNV56" s="850">
        <f t="shared" ref="RNV56:RQG56" si="211">RNT56*$C$56</f>
        <v>0</v>
      </c>
      <c r="RNW56" s="850">
        <f t="shared" si="211"/>
        <v>3.5775443388050781E+84</v>
      </c>
      <c r="RNX56" s="850">
        <f t="shared" si="211"/>
        <v>0</v>
      </c>
      <c r="RNY56" s="850">
        <f t="shared" si="211"/>
        <v>3.6848706689692304E+84</v>
      </c>
      <c r="RNZ56" s="850">
        <f t="shared" si="211"/>
        <v>0</v>
      </c>
      <c r="ROA56" s="850">
        <f t="shared" si="211"/>
        <v>3.7954167890383075E+84</v>
      </c>
      <c r="ROB56" s="850">
        <f t="shared" si="211"/>
        <v>0</v>
      </c>
      <c r="ROC56" s="850">
        <f t="shared" si="211"/>
        <v>3.9092792927094568E+84</v>
      </c>
      <c r="ROD56" s="850">
        <f t="shared" si="211"/>
        <v>0</v>
      </c>
      <c r="ROE56" s="850">
        <f t="shared" si="211"/>
        <v>4.0265576714907402E+84</v>
      </c>
      <c r="ROF56" s="850">
        <f t="shared" si="211"/>
        <v>0</v>
      </c>
      <c r="ROG56" s="850">
        <f t="shared" si="211"/>
        <v>4.1473544016354622E+84</v>
      </c>
      <c r="ROH56" s="850">
        <f t="shared" si="211"/>
        <v>0</v>
      </c>
      <c r="ROI56" s="850">
        <f t="shared" si="211"/>
        <v>4.2717750336845258E+84</v>
      </c>
      <c r="ROJ56" s="850">
        <f t="shared" si="211"/>
        <v>0</v>
      </c>
      <c r="ROK56" s="850">
        <f t="shared" si="211"/>
        <v>4.3999282846950612E+84</v>
      </c>
      <c r="ROL56" s="850">
        <f t="shared" si="211"/>
        <v>0</v>
      </c>
      <c r="ROM56" s="850">
        <f t="shared" si="211"/>
        <v>4.5319261332359133E+84</v>
      </c>
      <c r="RON56" s="850">
        <f t="shared" si="211"/>
        <v>0</v>
      </c>
      <c r="ROO56" s="850">
        <f t="shared" si="211"/>
        <v>4.6678839172329909E+84</v>
      </c>
      <c r="ROP56" s="850">
        <f t="shared" si="211"/>
        <v>0</v>
      </c>
      <c r="ROQ56" s="850">
        <f t="shared" si="211"/>
        <v>4.8079204347499803E+84</v>
      </c>
      <c r="ROR56" s="850">
        <f t="shared" si="211"/>
        <v>0</v>
      </c>
      <c r="ROS56" s="850">
        <f t="shared" si="211"/>
        <v>4.95215804779248E+84</v>
      </c>
      <c r="ROT56" s="850">
        <f t="shared" si="211"/>
        <v>0</v>
      </c>
      <c r="ROU56" s="850">
        <f t="shared" si="211"/>
        <v>5.1007227892262546E+84</v>
      </c>
      <c r="ROV56" s="850">
        <f t="shared" si="211"/>
        <v>0</v>
      </c>
      <c r="ROW56" s="850">
        <f t="shared" si="211"/>
        <v>5.2537444729030424E+84</v>
      </c>
      <c r="ROX56" s="850">
        <f t="shared" si="211"/>
        <v>0</v>
      </c>
      <c r="ROY56" s="850">
        <f t="shared" si="211"/>
        <v>5.4113568070901336E+84</v>
      </c>
      <c r="ROZ56" s="850">
        <f t="shared" si="211"/>
        <v>0</v>
      </c>
      <c r="RPA56" s="850">
        <f t="shared" si="211"/>
        <v>5.5736975113028382E+84</v>
      </c>
      <c r="RPB56" s="850">
        <f t="shared" si="211"/>
        <v>0</v>
      </c>
      <c r="RPC56" s="850">
        <f t="shared" si="211"/>
        <v>5.7409084366419231E+84</v>
      </c>
      <c r="RPD56" s="850">
        <f t="shared" si="211"/>
        <v>0</v>
      </c>
      <c r="RPE56" s="850">
        <f t="shared" si="211"/>
        <v>5.9131356897411809E+84</v>
      </c>
      <c r="RPF56" s="850">
        <f t="shared" si="211"/>
        <v>0</v>
      </c>
      <c r="RPG56" s="850">
        <f t="shared" si="211"/>
        <v>6.0905297604334166E+84</v>
      </c>
      <c r="RPH56" s="850">
        <f t="shared" si="211"/>
        <v>0</v>
      </c>
      <c r="RPI56" s="850">
        <f t="shared" si="211"/>
        <v>6.2732456532464192E+84</v>
      </c>
      <c r="RPJ56" s="850">
        <f t="shared" si="211"/>
        <v>0</v>
      </c>
      <c r="RPK56" s="850">
        <f t="shared" si="211"/>
        <v>6.461443022843812E+84</v>
      </c>
      <c r="RPL56" s="850">
        <f t="shared" si="211"/>
        <v>0</v>
      </c>
      <c r="RPM56" s="850">
        <f t="shared" si="211"/>
        <v>6.6552863135291267E+84</v>
      </c>
      <c r="RPN56" s="850">
        <f t="shared" si="211"/>
        <v>0</v>
      </c>
      <c r="RPO56" s="850">
        <f t="shared" si="211"/>
        <v>6.854944902935001E+84</v>
      </c>
      <c r="RPP56" s="850">
        <f t="shared" si="211"/>
        <v>0</v>
      </c>
      <c r="RPQ56" s="850">
        <f t="shared" si="211"/>
        <v>7.0605932500230508E+84</v>
      </c>
      <c r="RPR56" s="850">
        <f t="shared" si="211"/>
        <v>0</v>
      </c>
      <c r="RPS56" s="850">
        <f t="shared" si="211"/>
        <v>7.2724110475237422E+84</v>
      </c>
      <c r="RPT56" s="850">
        <f t="shared" si="211"/>
        <v>0</v>
      </c>
      <c r="RPU56" s="850">
        <f t="shared" si="211"/>
        <v>7.4905833789494546E+84</v>
      </c>
      <c r="RPV56" s="850">
        <f t="shared" si="211"/>
        <v>0</v>
      </c>
      <c r="RPW56" s="850">
        <f t="shared" si="211"/>
        <v>7.7153008803179381E+84</v>
      </c>
      <c r="RPX56" s="850">
        <f t="shared" si="211"/>
        <v>0</v>
      </c>
      <c r="RPY56" s="850">
        <f t="shared" si="211"/>
        <v>7.9467599067274761E+84</v>
      </c>
      <c r="RPZ56" s="850">
        <f t="shared" si="211"/>
        <v>0</v>
      </c>
      <c r="RQA56" s="850">
        <f t="shared" si="211"/>
        <v>8.1851627039293005E+84</v>
      </c>
      <c r="RQB56" s="850">
        <f t="shared" si="211"/>
        <v>0</v>
      </c>
      <c r="RQC56" s="850">
        <f t="shared" si="211"/>
        <v>8.430717585047179E+84</v>
      </c>
      <c r="RQD56" s="850">
        <f t="shared" si="211"/>
        <v>0</v>
      </c>
      <c r="RQE56" s="850">
        <f t="shared" si="211"/>
        <v>8.6836391125985948E+84</v>
      </c>
      <c r="RQF56" s="850">
        <f t="shared" si="211"/>
        <v>0</v>
      </c>
      <c r="RQG56" s="850">
        <f t="shared" si="211"/>
        <v>8.9441482859765532E+84</v>
      </c>
      <c r="RQH56" s="850">
        <f t="shared" ref="RQH56:RSS56" si="212">RQF56*$C$56</f>
        <v>0</v>
      </c>
      <c r="RQI56" s="850">
        <f t="shared" si="212"/>
        <v>9.2124727345558498E+84</v>
      </c>
      <c r="RQJ56" s="850">
        <f t="shared" si="212"/>
        <v>0</v>
      </c>
      <c r="RQK56" s="850">
        <f t="shared" si="212"/>
        <v>9.4888469165925261E+84</v>
      </c>
      <c r="RQL56" s="850">
        <f t="shared" si="212"/>
        <v>0</v>
      </c>
      <c r="RQM56" s="850">
        <f t="shared" si="212"/>
        <v>9.7735123240903028E+84</v>
      </c>
      <c r="RQN56" s="850">
        <f t="shared" si="212"/>
        <v>0</v>
      </c>
      <c r="RQO56" s="850">
        <f t="shared" si="212"/>
        <v>1.0066717693813013E+85</v>
      </c>
      <c r="RQP56" s="850">
        <f t="shared" si="212"/>
        <v>0</v>
      </c>
      <c r="RQQ56" s="850">
        <f t="shared" si="212"/>
        <v>1.0368719224627403E+85</v>
      </c>
      <c r="RQR56" s="850">
        <f t="shared" si="212"/>
        <v>0</v>
      </c>
      <c r="RQS56" s="850">
        <f t="shared" si="212"/>
        <v>1.0679780801366226E+85</v>
      </c>
      <c r="RQT56" s="850">
        <f t="shared" si="212"/>
        <v>0</v>
      </c>
      <c r="RQU56" s="850">
        <f t="shared" si="212"/>
        <v>1.1000174225407213E+85</v>
      </c>
      <c r="RQV56" s="850">
        <f t="shared" si="212"/>
        <v>0</v>
      </c>
      <c r="RQW56" s="850">
        <f t="shared" si="212"/>
        <v>1.1330179452169431E+85</v>
      </c>
      <c r="RQX56" s="850">
        <f t="shared" si="212"/>
        <v>0</v>
      </c>
      <c r="RQY56" s="850">
        <f t="shared" si="212"/>
        <v>1.1670084835734514E+85</v>
      </c>
      <c r="RQZ56" s="850">
        <f t="shared" si="212"/>
        <v>0</v>
      </c>
      <c r="RRA56" s="850">
        <f t="shared" si="212"/>
        <v>1.2020187380806549E+85</v>
      </c>
      <c r="RRB56" s="850">
        <f t="shared" si="212"/>
        <v>0</v>
      </c>
      <c r="RRC56" s="850">
        <f t="shared" si="212"/>
        <v>1.2380793002230746E+85</v>
      </c>
      <c r="RRD56" s="850">
        <f t="shared" si="212"/>
        <v>0</v>
      </c>
      <c r="RRE56" s="850">
        <f t="shared" si="212"/>
        <v>1.2752216792297669E+85</v>
      </c>
      <c r="RRF56" s="850">
        <f t="shared" si="212"/>
        <v>0</v>
      </c>
      <c r="RRG56" s="850">
        <f t="shared" si="212"/>
        <v>1.31347832960666E+85</v>
      </c>
      <c r="RRH56" s="850">
        <f t="shared" si="212"/>
        <v>0</v>
      </c>
      <c r="RRI56" s="850">
        <f t="shared" si="212"/>
        <v>1.3528826794948598E+85</v>
      </c>
      <c r="RRJ56" s="850">
        <f t="shared" si="212"/>
        <v>0</v>
      </c>
      <c r="RRK56" s="850">
        <f t="shared" si="212"/>
        <v>1.3934691598797057E+85</v>
      </c>
      <c r="RRL56" s="850">
        <f t="shared" si="212"/>
        <v>0</v>
      </c>
      <c r="RRM56" s="850">
        <f t="shared" si="212"/>
        <v>1.435273234676097E+85</v>
      </c>
      <c r="RRN56" s="850">
        <f t="shared" si="212"/>
        <v>0</v>
      </c>
      <c r="RRO56" s="850">
        <f t="shared" si="212"/>
        <v>1.47833143171638E+85</v>
      </c>
      <c r="RRP56" s="850">
        <f t="shared" si="212"/>
        <v>0</v>
      </c>
      <c r="RRQ56" s="850">
        <f t="shared" si="212"/>
        <v>1.5226813746678714E+85</v>
      </c>
      <c r="RRR56" s="850">
        <f t="shared" si="212"/>
        <v>0</v>
      </c>
      <c r="RRS56" s="850">
        <f t="shared" si="212"/>
        <v>1.5683618159079075E+85</v>
      </c>
      <c r="RRT56" s="850">
        <f t="shared" si="212"/>
        <v>0</v>
      </c>
      <c r="RRU56" s="850">
        <f t="shared" si="212"/>
        <v>1.6154126703851447E+85</v>
      </c>
      <c r="RRV56" s="850">
        <f t="shared" si="212"/>
        <v>0</v>
      </c>
      <c r="RRW56" s="850">
        <f t="shared" si="212"/>
        <v>1.663875050496699E+85</v>
      </c>
      <c r="RRX56" s="850">
        <f t="shared" si="212"/>
        <v>0</v>
      </c>
      <c r="RRY56" s="850">
        <f t="shared" si="212"/>
        <v>1.7137913020116E+85</v>
      </c>
      <c r="RRZ56" s="850">
        <f t="shared" si="212"/>
        <v>0</v>
      </c>
      <c r="RSA56" s="850">
        <f t="shared" si="212"/>
        <v>1.7652050410719481E+85</v>
      </c>
      <c r="RSB56" s="850">
        <f t="shared" si="212"/>
        <v>0</v>
      </c>
      <c r="RSC56" s="850">
        <f t="shared" si="212"/>
        <v>1.8181611923041065E+85</v>
      </c>
      <c r="RSD56" s="850">
        <f t="shared" si="212"/>
        <v>0</v>
      </c>
      <c r="RSE56" s="850">
        <f t="shared" si="212"/>
        <v>1.8727060280732296E+85</v>
      </c>
      <c r="RSF56" s="850">
        <f t="shared" si="212"/>
        <v>0</v>
      </c>
      <c r="RSG56" s="850">
        <f t="shared" si="212"/>
        <v>1.9288872089154265E+85</v>
      </c>
      <c r="RSH56" s="850">
        <f t="shared" si="212"/>
        <v>0</v>
      </c>
      <c r="RSI56" s="850">
        <f t="shared" si="212"/>
        <v>1.9867538251828893E+85</v>
      </c>
      <c r="RSJ56" s="850">
        <f t="shared" si="212"/>
        <v>0</v>
      </c>
      <c r="RSK56" s="850">
        <f t="shared" si="212"/>
        <v>2.0463564399383759E+85</v>
      </c>
      <c r="RSL56" s="850">
        <f t="shared" si="212"/>
        <v>0</v>
      </c>
      <c r="RSM56" s="850">
        <f t="shared" si="212"/>
        <v>2.1077471331365273E+85</v>
      </c>
      <c r="RSN56" s="850">
        <f t="shared" si="212"/>
        <v>0</v>
      </c>
      <c r="RSO56" s="850">
        <f t="shared" si="212"/>
        <v>2.1709795471306232E+85</v>
      </c>
      <c r="RSP56" s="850">
        <f t="shared" si="212"/>
        <v>0</v>
      </c>
      <c r="RSQ56" s="850">
        <f t="shared" si="212"/>
        <v>2.2361089335445418E+85</v>
      </c>
      <c r="RSR56" s="850">
        <f t="shared" si="212"/>
        <v>0</v>
      </c>
      <c r="RSS56" s="850">
        <f t="shared" si="212"/>
        <v>2.3031922015508783E+85</v>
      </c>
      <c r="RST56" s="850">
        <f t="shared" ref="RST56:RVE56" si="213">RSR56*$C$56</f>
        <v>0</v>
      </c>
      <c r="RSU56" s="850">
        <f t="shared" si="213"/>
        <v>2.3722879675974047E+85</v>
      </c>
      <c r="RSV56" s="850">
        <f t="shared" si="213"/>
        <v>0</v>
      </c>
      <c r="RSW56" s="850">
        <f t="shared" si="213"/>
        <v>2.4434566066253269E+85</v>
      </c>
      <c r="RSX56" s="850">
        <f t="shared" si="213"/>
        <v>0</v>
      </c>
      <c r="RSY56" s="850">
        <f t="shared" si="213"/>
        <v>2.5167603048240868E+85</v>
      </c>
      <c r="RSZ56" s="850">
        <f t="shared" si="213"/>
        <v>0</v>
      </c>
      <c r="RTA56" s="850">
        <f t="shared" si="213"/>
        <v>2.5922631139688096E+85</v>
      </c>
      <c r="RTB56" s="850">
        <f t="shared" si="213"/>
        <v>0</v>
      </c>
      <c r="RTC56" s="850">
        <f t="shared" si="213"/>
        <v>2.670031007387874E+85</v>
      </c>
      <c r="RTD56" s="850">
        <f t="shared" si="213"/>
        <v>0</v>
      </c>
      <c r="RTE56" s="850">
        <f t="shared" si="213"/>
        <v>2.7501319376095104E+85</v>
      </c>
      <c r="RTF56" s="850">
        <f t="shared" si="213"/>
        <v>0</v>
      </c>
      <c r="RTG56" s="850">
        <f t="shared" si="213"/>
        <v>2.8326358957377958E+85</v>
      </c>
      <c r="RTH56" s="850">
        <f t="shared" si="213"/>
        <v>0</v>
      </c>
      <c r="RTI56" s="850">
        <f t="shared" si="213"/>
        <v>2.9176149726099298E+85</v>
      </c>
      <c r="RTJ56" s="850">
        <f t="shared" si="213"/>
        <v>0</v>
      </c>
      <c r="RTK56" s="850">
        <f t="shared" si="213"/>
        <v>3.0051434217882277E+85</v>
      </c>
      <c r="RTL56" s="850">
        <f t="shared" si="213"/>
        <v>0</v>
      </c>
      <c r="RTM56" s="850">
        <f t="shared" si="213"/>
        <v>3.0952977244418744E+85</v>
      </c>
      <c r="RTN56" s="850">
        <f t="shared" si="213"/>
        <v>0</v>
      </c>
      <c r="RTO56" s="850">
        <f t="shared" si="213"/>
        <v>3.1881566561751311E+85</v>
      </c>
      <c r="RTP56" s="850">
        <f t="shared" si="213"/>
        <v>0</v>
      </c>
      <c r="RTQ56" s="850">
        <f t="shared" si="213"/>
        <v>3.2838013558603851E+85</v>
      </c>
      <c r="RTR56" s="850">
        <f t="shared" si="213"/>
        <v>0</v>
      </c>
      <c r="RTS56" s="850">
        <f t="shared" si="213"/>
        <v>3.3823153965361967E+85</v>
      </c>
      <c r="RTT56" s="850">
        <f t="shared" si="213"/>
        <v>0</v>
      </c>
      <c r="RTU56" s="850">
        <f t="shared" si="213"/>
        <v>3.4837848584322824E+85</v>
      </c>
      <c r="RTV56" s="850">
        <f t="shared" si="213"/>
        <v>0</v>
      </c>
      <c r="RTW56" s="850">
        <f t="shared" si="213"/>
        <v>3.5882984041852511E+85</v>
      </c>
      <c r="RTX56" s="850">
        <f t="shared" si="213"/>
        <v>0</v>
      </c>
      <c r="RTY56" s="850">
        <f t="shared" si="213"/>
        <v>3.6959473563108088E+85</v>
      </c>
      <c r="RTZ56" s="850">
        <f t="shared" si="213"/>
        <v>0</v>
      </c>
      <c r="RUA56" s="850">
        <f t="shared" si="213"/>
        <v>3.8068257770001332E+85</v>
      </c>
      <c r="RUB56" s="850">
        <f t="shared" si="213"/>
        <v>0</v>
      </c>
      <c r="RUC56" s="850">
        <f t="shared" si="213"/>
        <v>3.9210305503101372E+85</v>
      </c>
      <c r="RUD56" s="850">
        <f t="shared" si="213"/>
        <v>0</v>
      </c>
      <c r="RUE56" s="850">
        <f t="shared" si="213"/>
        <v>4.0386614668194415E+85</v>
      </c>
      <c r="RUF56" s="850">
        <f t="shared" si="213"/>
        <v>0</v>
      </c>
      <c r="RUG56" s="850">
        <f t="shared" si="213"/>
        <v>4.1598213108240247E+85</v>
      </c>
      <c r="RUH56" s="850">
        <f t="shared" si="213"/>
        <v>0</v>
      </c>
      <c r="RUI56" s="850">
        <f t="shared" si="213"/>
        <v>4.2846159501487456E+85</v>
      </c>
      <c r="RUJ56" s="850">
        <f t="shared" si="213"/>
        <v>0</v>
      </c>
      <c r="RUK56" s="850">
        <f t="shared" si="213"/>
        <v>4.4131544286532077E+85</v>
      </c>
      <c r="RUL56" s="850">
        <f t="shared" si="213"/>
        <v>0</v>
      </c>
      <c r="RUM56" s="850">
        <f t="shared" si="213"/>
        <v>4.5455490615128038E+85</v>
      </c>
      <c r="RUN56" s="850">
        <f t="shared" si="213"/>
        <v>0</v>
      </c>
      <c r="RUO56" s="850">
        <f t="shared" si="213"/>
        <v>4.6819155333581878E+85</v>
      </c>
      <c r="RUP56" s="850">
        <f t="shared" si="213"/>
        <v>0</v>
      </c>
      <c r="RUQ56" s="850">
        <f t="shared" si="213"/>
        <v>4.8223729993589337E+85</v>
      </c>
      <c r="RUR56" s="850">
        <f t="shared" si="213"/>
        <v>0</v>
      </c>
      <c r="RUS56" s="850">
        <f t="shared" si="213"/>
        <v>4.9670441893397018E+85</v>
      </c>
      <c r="RUT56" s="850">
        <f t="shared" si="213"/>
        <v>0</v>
      </c>
      <c r="RUU56" s="850">
        <f t="shared" si="213"/>
        <v>5.1160555150198933E+85</v>
      </c>
      <c r="RUV56" s="850">
        <f t="shared" si="213"/>
        <v>0</v>
      </c>
      <c r="RUW56" s="850">
        <f t="shared" si="213"/>
        <v>5.2695371804704901E+85</v>
      </c>
      <c r="RUX56" s="850">
        <f t="shared" si="213"/>
        <v>0</v>
      </c>
      <c r="RUY56" s="850">
        <f t="shared" si="213"/>
        <v>5.4276232958846052E+85</v>
      </c>
      <c r="RUZ56" s="850">
        <f t="shared" si="213"/>
        <v>0</v>
      </c>
      <c r="RVA56" s="850">
        <f t="shared" si="213"/>
        <v>5.5904519947611437E+85</v>
      </c>
      <c r="RVB56" s="850">
        <f t="shared" si="213"/>
        <v>0</v>
      </c>
      <c r="RVC56" s="850">
        <f t="shared" si="213"/>
        <v>5.7581655546039779E+85</v>
      </c>
      <c r="RVD56" s="850">
        <f t="shared" si="213"/>
        <v>0</v>
      </c>
      <c r="RVE56" s="850">
        <f t="shared" si="213"/>
        <v>5.9309105212420975E+85</v>
      </c>
      <c r="RVF56" s="850">
        <f t="shared" ref="RVF56:RXQ56" si="214">RVD56*$C$56</f>
        <v>0</v>
      </c>
      <c r="RVG56" s="850">
        <f t="shared" si="214"/>
        <v>6.1088378368793608E+85</v>
      </c>
      <c r="RVH56" s="850">
        <f t="shared" si="214"/>
        <v>0</v>
      </c>
      <c r="RVI56" s="850">
        <f t="shared" si="214"/>
        <v>6.2921029719857419E+85</v>
      </c>
      <c r="RVJ56" s="850">
        <f t="shared" si="214"/>
        <v>0</v>
      </c>
      <c r="RVK56" s="850">
        <f t="shared" si="214"/>
        <v>6.4808660611453139E+85</v>
      </c>
      <c r="RVL56" s="850">
        <f t="shared" si="214"/>
        <v>0</v>
      </c>
      <c r="RVM56" s="850">
        <f t="shared" si="214"/>
        <v>6.6752920429796732E+85</v>
      </c>
      <c r="RVN56" s="850">
        <f t="shared" si="214"/>
        <v>0</v>
      </c>
      <c r="RVO56" s="850">
        <f t="shared" si="214"/>
        <v>6.8755508042690639E+85</v>
      </c>
      <c r="RVP56" s="850">
        <f t="shared" si="214"/>
        <v>0</v>
      </c>
      <c r="RVQ56" s="850">
        <f t="shared" si="214"/>
        <v>7.0818173283971359E+85</v>
      </c>
      <c r="RVR56" s="850">
        <f t="shared" si="214"/>
        <v>0</v>
      </c>
      <c r="RVS56" s="850">
        <f t="shared" si="214"/>
        <v>7.2942718482490497E+85</v>
      </c>
      <c r="RVT56" s="850">
        <f t="shared" si="214"/>
        <v>0</v>
      </c>
      <c r="RVU56" s="850">
        <f t="shared" si="214"/>
        <v>7.5131000036965218E+85</v>
      </c>
      <c r="RVV56" s="850">
        <f t="shared" si="214"/>
        <v>0</v>
      </c>
      <c r="RVW56" s="850">
        <f t="shared" si="214"/>
        <v>7.7384930038074175E+85</v>
      </c>
      <c r="RVX56" s="850">
        <f t="shared" si="214"/>
        <v>0</v>
      </c>
      <c r="RVY56" s="850">
        <f t="shared" si="214"/>
        <v>7.9706477939216404E+85</v>
      </c>
      <c r="RVZ56" s="850">
        <f t="shared" si="214"/>
        <v>0</v>
      </c>
      <c r="RWA56" s="850">
        <f t="shared" si="214"/>
        <v>8.2097672277392896E+85</v>
      </c>
      <c r="RWB56" s="850">
        <f t="shared" si="214"/>
        <v>0</v>
      </c>
      <c r="RWC56" s="850">
        <f t="shared" si="214"/>
        <v>8.4560602445714682E+85</v>
      </c>
      <c r="RWD56" s="850">
        <f t="shared" si="214"/>
        <v>0</v>
      </c>
      <c r="RWE56" s="850">
        <f t="shared" si="214"/>
        <v>8.7097420519086124E+85</v>
      </c>
      <c r="RWF56" s="850">
        <f t="shared" si="214"/>
        <v>0</v>
      </c>
      <c r="RWG56" s="850">
        <f t="shared" si="214"/>
        <v>8.9710343134658714E+85</v>
      </c>
      <c r="RWH56" s="850">
        <f t="shared" si="214"/>
        <v>0</v>
      </c>
      <c r="RWI56" s="850">
        <f t="shared" si="214"/>
        <v>9.2401653428698479E+85</v>
      </c>
      <c r="RWJ56" s="850">
        <f t="shared" si="214"/>
        <v>0</v>
      </c>
      <c r="RWK56" s="850">
        <f t="shared" si="214"/>
        <v>9.5173703031559438E+85</v>
      </c>
      <c r="RWL56" s="850">
        <f t="shared" si="214"/>
        <v>0</v>
      </c>
      <c r="RWM56" s="850">
        <f t="shared" si="214"/>
        <v>9.8028914122506218E+85</v>
      </c>
      <c r="RWN56" s="850">
        <f t="shared" si="214"/>
        <v>0</v>
      </c>
      <c r="RWO56" s="850">
        <f t="shared" si="214"/>
        <v>1.009697815461814E+86</v>
      </c>
      <c r="RWP56" s="850">
        <f t="shared" si="214"/>
        <v>0</v>
      </c>
      <c r="RWQ56" s="850">
        <f t="shared" si="214"/>
        <v>1.0399887499256684E+86</v>
      </c>
      <c r="RWR56" s="850">
        <f t="shared" si="214"/>
        <v>0</v>
      </c>
      <c r="RWS56" s="850">
        <f t="shared" si="214"/>
        <v>1.0711884124234386E+86</v>
      </c>
      <c r="RWT56" s="850">
        <f t="shared" si="214"/>
        <v>0</v>
      </c>
      <c r="RWU56" s="850">
        <f t="shared" si="214"/>
        <v>1.1033240647961417E+86</v>
      </c>
      <c r="RWV56" s="850">
        <f t="shared" si="214"/>
        <v>0</v>
      </c>
      <c r="RWW56" s="850">
        <f t="shared" si="214"/>
        <v>1.136423786740026E+86</v>
      </c>
      <c r="RWX56" s="850">
        <f t="shared" si="214"/>
        <v>0</v>
      </c>
      <c r="RWY56" s="850">
        <f t="shared" si="214"/>
        <v>1.1705165003422268E+86</v>
      </c>
      <c r="RWZ56" s="850">
        <f t="shared" si="214"/>
        <v>0</v>
      </c>
      <c r="RXA56" s="850">
        <f t="shared" si="214"/>
        <v>1.2056319953524937E+86</v>
      </c>
      <c r="RXB56" s="850">
        <f t="shared" si="214"/>
        <v>0</v>
      </c>
      <c r="RXC56" s="850">
        <f t="shared" si="214"/>
        <v>1.2418009552130686E+86</v>
      </c>
      <c r="RXD56" s="850">
        <f t="shared" si="214"/>
        <v>0</v>
      </c>
      <c r="RXE56" s="850">
        <f t="shared" si="214"/>
        <v>1.2790549838694606E+86</v>
      </c>
      <c r="RXF56" s="850">
        <f t="shared" si="214"/>
        <v>0</v>
      </c>
      <c r="RXG56" s="850">
        <f t="shared" si="214"/>
        <v>1.3174266333855446E+86</v>
      </c>
      <c r="RXH56" s="850">
        <f t="shared" si="214"/>
        <v>0</v>
      </c>
      <c r="RXI56" s="850">
        <f t="shared" si="214"/>
        <v>1.3569494323871109E+86</v>
      </c>
      <c r="RXJ56" s="850">
        <f t="shared" si="214"/>
        <v>0</v>
      </c>
      <c r="RXK56" s="850">
        <f t="shared" si="214"/>
        <v>1.3976579153587242E+86</v>
      </c>
      <c r="RXL56" s="850">
        <f t="shared" si="214"/>
        <v>0</v>
      </c>
      <c r="RXM56" s="850">
        <f t="shared" si="214"/>
        <v>1.4395876528194861E+86</v>
      </c>
      <c r="RXN56" s="850">
        <f t="shared" si="214"/>
        <v>0</v>
      </c>
      <c r="RXO56" s="850">
        <f t="shared" si="214"/>
        <v>1.4827752824040706E+86</v>
      </c>
      <c r="RXP56" s="850">
        <f t="shared" si="214"/>
        <v>0</v>
      </c>
      <c r="RXQ56" s="850">
        <f t="shared" si="214"/>
        <v>1.5272585408761928E+86</v>
      </c>
      <c r="RXR56" s="850">
        <f t="shared" ref="RXR56:SAC56" si="215">RXP56*$C$56</f>
        <v>0</v>
      </c>
      <c r="RXS56" s="850">
        <f t="shared" si="215"/>
        <v>1.5730762971024787E+86</v>
      </c>
      <c r="RXT56" s="850">
        <f t="shared" si="215"/>
        <v>0</v>
      </c>
      <c r="RXU56" s="850">
        <f t="shared" si="215"/>
        <v>1.620268586015553E+86</v>
      </c>
      <c r="RXV56" s="850">
        <f t="shared" si="215"/>
        <v>0</v>
      </c>
      <c r="RXW56" s="850">
        <f t="shared" si="215"/>
        <v>1.6688766435960195E+86</v>
      </c>
      <c r="RXX56" s="850">
        <f t="shared" si="215"/>
        <v>0</v>
      </c>
      <c r="RXY56" s="850">
        <f t="shared" si="215"/>
        <v>1.7189429429039E+86</v>
      </c>
      <c r="RXZ56" s="850">
        <f t="shared" si="215"/>
        <v>0</v>
      </c>
      <c r="RYA56" s="850">
        <f t="shared" si="215"/>
        <v>1.770511231191017E+86</v>
      </c>
      <c r="RYB56" s="850">
        <f t="shared" si="215"/>
        <v>0</v>
      </c>
      <c r="RYC56" s="850">
        <f t="shared" si="215"/>
        <v>1.8236265681267477E+86</v>
      </c>
      <c r="RYD56" s="850">
        <f t="shared" si="215"/>
        <v>0</v>
      </c>
      <c r="RYE56" s="850">
        <f t="shared" si="215"/>
        <v>1.8783353651705503E+86</v>
      </c>
      <c r="RYF56" s="850">
        <f t="shared" si="215"/>
        <v>0</v>
      </c>
      <c r="RYG56" s="850">
        <f t="shared" si="215"/>
        <v>1.9346854261256669E+86</v>
      </c>
      <c r="RYH56" s="850">
        <f t="shared" si="215"/>
        <v>0</v>
      </c>
      <c r="RYI56" s="850">
        <f t="shared" si="215"/>
        <v>1.992725988909437E+86</v>
      </c>
      <c r="RYJ56" s="850">
        <f t="shared" si="215"/>
        <v>0</v>
      </c>
      <c r="RYK56" s="850">
        <f t="shared" si="215"/>
        <v>2.0525077685767203E+86</v>
      </c>
      <c r="RYL56" s="850">
        <f t="shared" si="215"/>
        <v>0</v>
      </c>
      <c r="RYM56" s="850">
        <f t="shared" si="215"/>
        <v>2.1140830016340218E+86</v>
      </c>
      <c r="RYN56" s="850">
        <f t="shared" si="215"/>
        <v>0</v>
      </c>
      <c r="RYO56" s="850">
        <f t="shared" si="215"/>
        <v>2.1775054916830426E+86</v>
      </c>
      <c r="RYP56" s="850">
        <f t="shared" si="215"/>
        <v>0</v>
      </c>
      <c r="RYQ56" s="850">
        <f t="shared" si="215"/>
        <v>2.2428306564335339E+86</v>
      </c>
      <c r="RYR56" s="850">
        <f t="shared" si="215"/>
        <v>0</v>
      </c>
      <c r="RYS56" s="850">
        <f t="shared" si="215"/>
        <v>2.3101155761265399E+86</v>
      </c>
      <c r="RYT56" s="850">
        <f t="shared" si="215"/>
        <v>0</v>
      </c>
      <c r="RYU56" s="850">
        <f t="shared" si="215"/>
        <v>2.3794190434103362E+86</v>
      </c>
      <c r="RYV56" s="850">
        <f t="shared" si="215"/>
        <v>0</v>
      </c>
      <c r="RYW56" s="850">
        <f t="shared" si="215"/>
        <v>2.4508016147126462E+86</v>
      </c>
      <c r="RYX56" s="850">
        <f t="shared" si="215"/>
        <v>0</v>
      </c>
      <c r="RYY56" s="850">
        <f t="shared" si="215"/>
        <v>2.5243256631540254E+86</v>
      </c>
      <c r="RYZ56" s="850">
        <f t="shared" si="215"/>
        <v>0</v>
      </c>
      <c r="RZA56" s="850">
        <f t="shared" si="215"/>
        <v>2.6000554330486464E+86</v>
      </c>
      <c r="RZB56" s="850">
        <f t="shared" si="215"/>
        <v>0</v>
      </c>
      <c r="RZC56" s="850">
        <f t="shared" si="215"/>
        <v>2.6780570960401057E+86</v>
      </c>
      <c r="RZD56" s="850">
        <f t="shared" si="215"/>
        <v>0</v>
      </c>
      <c r="RZE56" s="850">
        <f t="shared" si="215"/>
        <v>2.758398808921309E+86</v>
      </c>
      <c r="RZF56" s="850">
        <f t="shared" si="215"/>
        <v>0</v>
      </c>
      <c r="RZG56" s="850">
        <f t="shared" si="215"/>
        <v>2.8411507731889481E+86</v>
      </c>
      <c r="RZH56" s="850">
        <f t="shared" si="215"/>
        <v>0</v>
      </c>
      <c r="RZI56" s="850">
        <f t="shared" si="215"/>
        <v>2.9263852963846165E+86</v>
      </c>
      <c r="RZJ56" s="850">
        <f t="shared" si="215"/>
        <v>0</v>
      </c>
      <c r="RZK56" s="850">
        <f t="shared" si="215"/>
        <v>3.0141768552761552E+86</v>
      </c>
      <c r="RZL56" s="850">
        <f t="shared" si="215"/>
        <v>0</v>
      </c>
      <c r="RZM56" s="850">
        <f t="shared" si="215"/>
        <v>3.10460216093444E+86</v>
      </c>
      <c r="RZN56" s="850">
        <f t="shared" si="215"/>
        <v>0</v>
      </c>
      <c r="RZO56" s="850">
        <f t="shared" si="215"/>
        <v>3.197740225762473E+86</v>
      </c>
      <c r="RZP56" s="850">
        <f t="shared" si="215"/>
        <v>0</v>
      </c>
      <c r="RZQ56" s="850">
        <f t="shared" si="215"/>
        <v>3.2936724325353472E+86</v>
      </c>
      <c r="RZR56" s="850">
        <f t="shared" si="215"/>
        <v>0</v>
      </c>
      <c r="RZS56" s="850">
        <f t="shared" si="215"/>
        <v>3.3924826055114078E+86</v>
      </c>
      <c r="RZT56" s="850">
        <f t="shared" si="215"/>
        <v>0</v>
      </c>
      <c r="RZU56" s="850">
        <f t="shared" si="215"/>
        <v>3.4942570836767499E+86</v>
      </c>
      <c r="RZV56" s="850">
        <f t="shared" si="215"/>
        <v>0</v>
      </c>
      <c r="RZW56" s="850">
        <f t="shared" si="215"/>
        <v>3.5990847961870527E+86</v>
      </c>
      <c r="RZX56" s="850">
        <f t="shared" si="215"/>
        <v>0</v>
      </c>
      <c r="RZY56" s="850">
        <f t="shared" si="215"/>
        <v>3.7070573400726646E+86</v>
      </c>
      <c r="RZZ56" s="850">
        <f t="shared" si="215"/>
        <v>0</v>
      </c>
      <c r="SAA56" s="850">
        <f t="shared" si="215"/>
        <v>3.8182690602748444E+86</v>
      </c>
      <c r="SAB56" s="850">
        <f t="shared" si="215"/>
        <v>0</v>
      </c>
      <c r="SAC56" s="850">
        <f t="shared" si="215"/>
        <v>3.9328171320830901E+86</v>
      </c>
      <c r="SAD56" s="850">
        <f t="shared" ref="SAD56:SCO56" si="216">SAB56*$C$56</f>
        <v>0</v>
      </c>
      <c r="SAE56" s="850">
        <f t="shared" si="216"/>
        <v>4.050801646045583E+86</v>
      </c>
      <c r="SAF56" s="850">
        <f t="shared" si="216"/>
        <v>0</v>
      </c>
      <c r="SAG56" s="850">
        <f t="shared" si="216"/>
        <v>4.1723256954269506E+86</v>
      </c>
      <c r="SAH56" s="850">
        <f t="shared" si="216"/>
        <v>0</v>
      </c>
      <c r="SAI56" s="850">
        <f t="shared" si="216"/>
        <v>4.2974954662897593E+86</v>
      </c>
      <c r="SAJ56" s="850">
        <f t="shared" si="216"/>
        <v>0</v>
      </c>
      <c r="SAK56" s="850">
        <f t="shared" si="216"/>
        <v>4.4264203302784521E+86</v>
      </c>
      <c r="SAL56" s="850">
        <f t="shared" si="216"/>
        <v>0</v>
      </c>
      <c r="SAM56" s="850">
        <f t="shared" si="216"/>
        <v>4.5592129401868058E+86</v>
      </c>
      <c r="SAN56" s="850">
        <f t="shared" si="216"/>
        <v>0</v>
      </c>
      <c r="SAO56" s="850">
        <f t="shared" si="216"/>
        <v>4.6959893283924099E+86</v>
      </c>
      <c r="SAP56" s="850">
        <f t="shared" si="216"/>
        <v>0</v>
      </c>
      <c r="SAQ56" s="850">
        <f t="shared" si="216"/>
        <v>4.8368690082441822E+86</v>
      </c>
      <c r="SAR56" s="850">
        <f t="shared" si="216"/>
        <v>0</v>
      </c>
      <c r="SAS56" s="850">
        <f t="shared" si="216"/>
        <v>4.9819750784915083E+86</v>
      </c>
      <c r="SAT56" s="850">
        <f t="shared" si="216"/>
        <v>0</v>
      </c>
      <c r="SAU56" s="850">
        <f t="shared" si="216"/>
        <v>5.1314343308462537E+86</v>
      </c>
      <c r="SAV56" s="850">
        <f t="shared" si="216"/>
        <v>0</v>
      </c>
      <c r="SAW56" s="850">
        <f t="shared" si="216"/>
        <v>5.2853773607716416E+86</v>
      </c>
      <c r="SAX56" s="850">
        <f t="shared" si="216"/>
        <v>0</v>
      </c>
      <c r="SAY56" s="850">
        <f t="shared" si="216"/>
        <v>5.4439386815947906E+86</v>
      </c>
      <c r="SAZ56" s="850">
        <f t="shared" si="216"/>
        <v>0</v>
      </c>
      <c r="SBA56" s="850">
        <f t="shared" si="216"/>
        <v>5.607256842042634E+86</v>
      </c>
      <c r="SBB56" s="850">
        <f t="shared" si="216"/>
        <v>0</v>
      </c>
      <c r="SBC56" s="850">
        <f t="shared" si="216"/>
        <v>5.7754745473039127E+86</v>
      </c>
      <c r="SBD56" s="850">
        <f t="shared" si="216"/>
        <v>0</v>
      </c>
      <c r="SBE56" s="850">
        <f t="shared" si="216"/>
        <v>5.9487387837230305E+86</v>
      </c>
      <c r="SBF56" s="850">
        <f t="shared" si="216"/>
        <v>0</v>
      </c>
      <c r="SBG56" s="850">
        <f t="shared" si="216"/>
        <v>6.1272009472347213E+86</v>
      </c>
      <c r="SBH56" s="850">
        <f t="shared" si="216"/>
        <v>0</v>
      </c>
      <c r="SBI56" s="850">
        <f t="shared" si="216"/>
        <v>6.3110169756517628E+86</v>
      </c>
      <c r="SBJ56" s="850">
        <f t="shared" si="216"/>
        <v>0</v>
      </c>
      <c r="SBK56" s="850">
        <f t="shared" si="216"/>
        <v>6.5003474849213161E+86</v>
      </c>
      <c r="SBL56" s="850">
        <f t="shared" si="216"/>
        <v>0</v>
      </c>
      <c r="SBM56" s="850">
        <f t="shared" si="216"/>
        <v>6.6953579094689562E+86</v>
      </c>
      <c r="SBN56" s="850">
        <f t="shared" si="216"/>
        <v>0</v>
      </c>
      <c r="SBO56" s="850">
        <f t="shared" si="216"/>
        <v>6.896218646753025E+86</v>
      </c>
      <c r="SBP56" s="850">
        <f t="shared" si="216"/>
        <v>0</v>
      </c>
      <c r="SBQ56" s="850">
        <f t="shared" si="216"/>
        <v>7.1031052061556156E+86</v>
      </c>
      <c r="SBR56" s="850">
        <f t="shared" si="216"/>
        <v>0</v>
      </c>
      <c r="SBS56" s="850">
        <f t="shared" si="216"/>
        <v>7.3161983623402846E+86</v>
      </c>
      <c r="SBT56" s="850">
        <f t="shared" si="216"/>
        <v>0</v>
      </c>
      <c r="SBU56" s="850">
        <f t="shared" si="216"/>
        <v>7.5356843132104937E+86</v>
      </c>
      <c r="SBV56" s="850">
        <f t="shared" si="216"/>
        <v>0</v>
      </c>
      <c r="SBW56" s="850">
        <f t="shared" si="216"/>
        <v>7.7617548426068088E+86</v>
      </c>
      <c r="SBX56" s="850">
        <f t="shared" si="216"/>
        <v>0</v>
      </c>
      <c r="SBY56" s="850">
        <f t="shared" si="216"/>
        <v>7.9946074878850128E+86</v>
      </c>
      <c r="SBZ56" s="850">
        <f t="shared" si="216"/>
        <v>0</v>
      </c>
      <c r="SCA56" s="850">
        <f t="shared" si="216"/>
        <v>8.2344457125215631E+86</v>
      </c>
      <c r="SCB56" s="850">
        <f t="shared" si="216"/>
        <v>0</v>
      </c>
      <c r="SCC56" s="850">
        <f t="shared" si="216"/>
        <v>8.4814790838972106E+86</v>
      </c>
      <c r="SCD56" s="850">
        <f t="shared" si="216"/>
        <v>0</v>
      </c>
      <c r="SCE56" s="850">
        <f t="shared" si="216"/>
        <v>8.7359234564141269E+86</v>
      </c>
      <c r="SCF56" s="850">
        <f t="shared" si="216"/>
        <v>0</v>
      </c>
      <c r="SCG56" s="850">
        <f t="shared" si="216"/>
        <v>8.9980011601065509E+86</v>
      </c>
      <c r="SCH56" s="850">
        <f t="shared" si="216"/>
        <v>0</v>
      </c>
      <c r="SCI56" s="850">
        <f t="shared" si="216"/>
        <v>9.2679411949097473E+86</v>
      </c>
      <c r="SCJ56" s="850">
        <f t="shared" si="216"/>
        <v>0</v>
      </c>
      <c r="SCK56" s="850">
        <f t="shared" si="216"/>
        <v>9.5459794307570404E+86</v>
      </c>
      <c r="SCL56" s="850">
        <f t="shared" si="216"/>
        <v>0</v>
      </c>
      <c r="SCM56" s="850">
        <f t="shared" si="216"/>
        <v>9.8323588136797517E+86</v>
      </c>
      <c r="SCN56" s="850">
        <f t="shared" si="216"/>
        <v>0</v>
      </c>
      <c r="SCO56" s="850">
        <f t="shared" si="216"/>
        <v>1.0127329578090145E+87</v>
      </c>
      <c r="SCP56" s="850">
        <f t="shared" ref="SCP56:SFA56" si="217">SCN56*$C$56</f>
        <v>0</v>
      </c>
      <c r="SCQ56" s="850">
        <f t="shared" si="217"/>
        <v>1.043114946543285E+87</v>
      </c>
      <c r="SCR56" s="850">
        <f t="shared" si="217"/>
        <v>0</v>
      </c>
      <c r="SCS56" s="850">
        <f t="shared" si="217"/>
        <v>1.0744083949395835E+87</v>
      </c>
      <c r="SCT56" s="850">
        <f t="shared" si="217"/>
        <v>0</v>
      </c>
      <c r="SCU56" s="850">
        <f t="shared" si="217"/>
        <v>1.1066406467877711E+87</v>
      </c>
      <c r="SCV56" s="850">
        <f t="shared" si="217"/>
        <v>0</v>
      </c>
      <c r="SCW56" s="850">
        <f t="shared" si="217"/>
        <v>1.1398398661914042E+87</v>
      </c>
      <c r="SCX56" s="850">
        <f t="shared" si="217"/>
        <v>0</v>
      </c>
      <c r="SCY56" s="850">
        <f t="shared" si="217"/>
        <v>1.1740350621771463E+87</v>
      </c>
      <c r="SCZ56" s="850">
        <f t="shared" si="217"/>
        <v>0</v>
      </c>
      <c r="SDA56" s="850">
        <f t="shared" si="217"/>
        <v>1.2092561140424607E+87</v>
      </c>
      <c r="SDB56" s="850">
        <f t="shared" si="217"/>
        <v>0</v>
      </c>
      <c r="SDC56" s="850">
        <f t="shared" si="217"/>
        <v>1.2455337974637345E+87</v>
      </c>
      <c r="SDD56" s="850">
        <f t="shared" si="217"/>
        <v>0</v>
      </c>
      <c r="SDE56" s="850">
        <f t="shared" si="217"/>
        <v>1.2828998113876465E+87</v>
      </c>
      <c r="SDF56" s="850">
        <f t="shared" si="217"/>
        <v>0</v>
      </c>
      <c r="SDG56" s="850">
        <f t="shared" si="217"/>
        <v>1.321386805729276E+87</v>
      </c>
      <c r="SDH56" s="850">
        <f t="shared" si="217"/>
        <v>0</v>
      </c>
      <c r="SDI56" s="850">
        <f t="shared" si="217"/>
        <v>1.3610284099011543E+87</v>
      </c>
      <c r="SDJ56" s="850">
        <f t="shared" si="217"/>
        <v>0</v>
      </c>
      <c r="SDK56" s="850">
        <f t="shared" si="217"/>
        <v>1.4018592621981889E+87</v>
      </c>
      <c r="SDL56" s="850">
        <f t="shared" si="217"/>
        <v>0</v>
      </c>
      <c r="SDM56" s="850">
        <f t="shared" si="217"/>
        <v>1.4439150400641346E+87</v>
      </c>
      <c r="SDN56" s="850">
        <f t="shared" si="217"/>
        <v>0</v>
      </c>
      <c r="SDO56" s="850">
        <f t="shared" si="217"/>
        <v>1.4872324912660586E+87</v>
      </c>
      <c r="SDP56" s="850">
        <f t="shared" si="217"/>
        <v>0</v>
      </c>
      <c r="SDQ56" s="850">
        <f t="shared" si="217"/>
        <v>1.5318494660040404E+87</v>
      </c>
      <c r="SDR56" s="850">
        <f t="shared" si="217"/>
        <v>0</v>
      </c>
      <c r="SDS56" s="850">
        <f t="shared" si="217"/>
        <v>1.5778049499841617E+87</v>
      </c>
      <c r="SDT56" s="850">
        <f t="shared" si="217"/>
        <v>0</v>
      </c>
      <c r="SDU56" s="850">
        <f t="shared" si="217"/>
        <v>1.6251390984836865E+87</v>
      </c>
      <c r="SDV56" s="850">
        <f t="shared" si="217"/>
        <v>0</v>
      </c>
      <c r="SDW56" s="850">
        <f t="shared" si="217"/>
        <v>1.6738932714381972E+87</v>
      </c>
      <c r="SDX56" s="850">
        <f t="shared" si="217"/>
        <v>0</v>
      </c>
      <c r="SDY56" s="850">
        <f t="shared" si="217"/>
        <v>1.7241100695813431E+87</v>
      </c>
      <c r="SDZ56" s="850">
        <f t="shared" si="217"/>
        <v>0</v>
      </c>
      <c r="SEA56" s="850">
        <f t="shared" si="217"/>
        <v>1.7758333716687835E+87</v>
      </c>
      <c r="SEB56" s="850">
        <f t="shared" si="217"/>
        <v>0</v>
      </c>
      <c r="SEC56" s="850">
        <f t="shared" si="217"/>
        <v>1.8291083728188471E+87</v>
      </c>
      <c r="SED56" s="850">
        <f t="shared" si="217"/>
        <v>0</v>
      </c>
      <c r="SEE56" s="850">
        <f t="shared" si="217"/>
        <v>1.8839816240034125E+87</v>
      </c>
      <c r="SEF56" s="850">
        <f t="shared" si="217"/>
        <v>0</v>
      </c>
      <c r="SEG56" s="850">
        <f t="shared" si="217"/>
        <v>1.9405010727235148E+87</v>
      </c>
      <c r="SEH56" s="850">
        <f t="shared" si="217"/>
        <v>0</v>
      </c>
      <c r="SEI56" s="850">
        <f t="shared" si="217"/>
        <v>1.9987161049052203E+87</v>
      </c>
      <c r="SEJ56" s="850">
        <f t="shared" si="217"/>
        <v>0</v>
      </c>
      <c r="SEK56" s="850">
        <f t="shared" si="217"/>
        <v>2.0586775880523771E+87</v>
      </c>
      <c r="SEL56" s="850">
        <f t="shared" si="217"/>
        <v>0</v>
      </c>
      <c r="SEM56" s="850">
        <f t="shared" si="217"/>
        <v>2.1204379156939483E+87</v>
      </c>
      <c r="SEN56" s="850">
        <f t="shared" si="217"/>
        <v>0</v>
      </c>
      <c r="SEO56" s="850">
        <f t="shared" si="217"/>
        <v>2.184051053164767E+87</v>
      </c>
      <c r="SEP56" s="850">
        <f t="shared" si="217"/>
        <v>0</v>
      </c>
      <c r="SEQ56" s="850">
        <f t="shared" si="217"/>
        <v>2.2495725847597099E+87</v>
      </c>
      <c r="SER56" s="850">
        <f t="shared" si="217"/>
        <v>0</v>
      </c>
      <c r="SES56" s="850">
        <f t="shared" si="217"/>
        <v>2.3170597623025013E+87</v>
      </c>
      <c r="SET56" s="850">
        <f t="shared" si="217"/>
        <v>0</v>
      </c>
      <c r="SEU56" s="850">
        <f t="shared" si="217"/>
        <v>2.3865715551715765E+87</v>
      </c>
      <c r="SEV56" s="850">
        <f t="shared" si="217"/>
        <v>0</v>
      </c>
      <c r="SEW56" s="850">
        <f t="shared" si="217"/>
        <v>2.4581687018267236E+87</v>
      </c>
      <c r="SEX56" s="850">
        <f t="shared" si="217"/>
        <v>0</v>
      </c>
      <c r="SEY56" s="850">
        <f t="shared" si="217"/>
        <v>2.5319137628815255E+87</v>
      </c>
      <c r="SEZ56" s="850">
        <f t="shared" si="217"/>
        <v>0</v>
      </c>
      <c r="SFA56" s="850">
        <f t="shared" si="217"/>
        <v>2.6078711757679716E+87</v>
      </c>
      <c r="SFB56" s="850">
        <f t="shared" ref="SFB56:SHM56" si="218">SEZ56*$C$56</f>
        <v>0</v>
      </c>
      <c r="SFC56" s="850">
        <f t="shared" si="218"/>
        <v>2.6861073110410106E+87</v>
      </c>
      <c r="SFD56" s="850">
        <f t="shared" si="218"/>
        <v>0</v>
      </c>
      <c r="SFE56" s="850">
        <f t="shared" si="218"/>
        <v>2.766690530372241E+87</v>
      </c>
      <c r="SFF56" s="850">
        <f t="shared" si="218"/>
        <v>0</v>
      </c>
      <c r="SFG56" s="850">
        <f t="shared" si="218"/>
        <v>2.8496912462834082E+87</v>
      </c>
      <c r="SFH56" s="850">
        <f t="shared" si="218"/>
        <v>0</v>
      </c>
      <c r="SFI56" s="850">
        <f t="shared" si="218"/>
        <v>2.9351819836719104E+87</v>
      </c>
      <c r="SFJ56" s="850">
        <f t="shared" si="218"/>
        <v>0</v>
      </c>
      <c r="SFK56" s="850">
        <f t="shared" si="218"/>
        <v>3.0232374431820677E+87</v>
      </c>
      <c r="SFL56" s="850">
        <f t="shared" si="218"/>
        <v>0</v>
      </c>
      <c r="SFM56" s="850">
        <f t="shared" si="218"/>
        <v>3.1139345664775299E+87</v>
      </c>
      <c r="SFN56" s="850">
        <f t="shared" si="218"/>
        <v>0</v>
      </c>
      <c r="SFO56" s="850">
        <f t="shared" si="218"/>
        <v>3.2073526034718557E+87</v>
      </c>
      <c r="SFP56" s="850">
        <f t="shared" si="218"/>
        <v>0</v>
      </c>
      <c r="SFQ56" s="850">
        <f t="shared" si="218"/>
        <v>3.3035731815760116E+87</v>
      </c>
      <c r="SFR56" s="850">
        <f t="shared" si="218"/>
        <v>0</v>
      </c>
      <c r="SFS56" s="850">
        <f t="shared" si="218"/>
        <v>3.4026803770232921E+87</v>
      </c>
      <c r="SFT56" s="850">
        <f t="shared" si="218"/>
        <v>0</v>
      </c>
      <c r="SFU56" s="850">
        <f t="shared" si="218"/>
        <v>3.5047607883339908E+87</v>
      </c>
      <c r="SFV56" s="850">
        <f t="shared" si="218"/>
        <v>0</v>
      </c>
      <c r="SFW56" s="850">
        <f t="shared" si="218"/>
        <v>3.6099036119840107E+87</v>
      </c>
      <c r="SFX56" s="850">
        <f t="shared" si="218"/>
        <v>0</v>
      </c>
      <c r="SFY56" s="850">
        <f t="shared" si="218"/>
        <v>3.7182007203435313E+87</v>
      </c>
      <c r="SFZ56" s="850">
        <f t="shared" si="218"/>
        <v>0</v>
      </c>
      <c r="SGA56" s="850">
        <f t="shared" si="218"/>
        <v>3.8297467419538373E+87</v>
      </c>
      <c r="SGB56" s="850">
        <f t="shared" si="218"/>
        <v>0</v>
      </c>
      <c r="SGC56" s="850">
        <f t="shared" si="218"/>
        <v>3.9446391442124524E+87</v>
      </c>
      <c r="SGD56" s="850">
        <f t="shared" si="218"/>
        <v>0</v>
      </c>
      <c r="SGE56" s="850">
        <f t="shared" si="218"/>
        <v>4.0629783185388264E+87</v>
      </c>
      <c r="SGF56" s="850">
        <f t="shared" si="218"/>
        <v>0</v>
      </c>
      <c r="SGG56" s="850">
        <f t="shared" si="218"/>
        <v>4.1848676680949914E+87</v>
      </c>
      <c r="SGH56" s="850">
        <f t="shared" si="218"/>
        <v>0</v>
      </c>
      <c r="SGI56" s="850">
        <f t="shared" si="218"/>
        <v>4.3104136981378412E+87</v>
      </c>
      <c r="SGJ56" s="850">
        <f t="shared" si="218"/>
        <v>0</v>
      </c>
      <c r="SGK56" s="850">
        <f t="shared" si="218"/>
        <v>4.4397261090819764E+87</v>
      </c>
      <c r="SGL56" s="850">
        <f t="shared" si="218"/>
        <v>0</v>
      </c>
      <c r="SGM56" s="850">
        <f t="shared" si="218"/>
        <v>4.5729178923544358E+87</v>
      </c>
      <c r="SGN56" s="850">
        <f t="shared" si="218"/>
        <v>0</v>
      </c>
      <c r="SGO56" s="850">
        <f t="shared" si="218"/>
        <v>4.7101054291250688E+87</v>
      </c>
      <c r="SGP56" s="850">
        <f t="shared" si="218"/>
        <v>0</v>
      </c>
      <c r="SGQ56" s="850">
        <f t="shared" si="218"/>
        <v>4.8514085919988209E+87</v>
      </c>
      <c r="SGR56" s="850">
        <f t="shared" si="218"/>
        <v>0</v>
      </c>
      <c r="SGS56" s="850">
        <f t="shared" si="218"/>
        <v>4.9969508497587859E+87</v>
      </c>
      <c r="SGT56" s="850">
        <f t="shared" si="218"/>
        <v>0</v>
      </c>
      <c r="SGU56" s="850">
        <f t="shared" si="218"/>
        <v>5.1468593752515499E+87</v>
      </c>
      <c r="SGV56" s="850">
        <f t="shared" si="218"/>
        <v>0</v>
      </c>
      <c r="SGW56" s="850">
        <f t="shared" si="218"/>
        <v>5.3012651565090963E+87</v>
      </c>
      <c r="SGX56" s="850">
        <f t="shared" si="218"/>
        <v>0</v>
      </c>
      <c r="SGY56" s="850">
        <f t="shared" si="218"/>
        <v>5.4603031112043695E+87</v>
      </c>
      <c r="SGZ56" s="850">
        <f t="shared" si="218"/>
        <v>0</v>
      </c>
      <c r="SHA56" s="850">
        <f t="shared" si="218"/>
        <v>5.6241122045405007E+87</v>
      </c>
      <c r="SHB56" s="850">
        <f t="shared" si="218"/>
        <v>0</v>
      </c>
      <c r="SHC56" s="850">
        <f t="shared" si="218"/>
        <v>5.792835570676716E+87</v>
      </c>
      <c r="SHD56" s="850">
        <f t="shared" si="218"/>
        <v>0</v>
      </c>
      <c r="SHE56" s="850">
        <f t="shared" si="218"/>
        <v>5.9666206377970172E+87</v>
      </c>
      <c r="SHF56" s="850">
        <f t="shared" si="218"/>
        <v>0</v>
      </c>
      <c r="SHG56" s="850">
        <f t="shared" si="218"/>
        <v>6.1456192569309277E+87</v>
      </c>
      <c r="SHH56" s="850">
        <f t="shared" si="218"/>
        <v>0</v>
      </c>
      <c r="SHI56" s="850">
        <f t="shared" si="218"/>
        <v>6.3299878346388556E+87</v>
      </c>
      <c r="SHJ56" s="850">
        <f t="shared" si="218"/>
        <v>0</v>
      </c>
      <c r="SHK56" s="850">
        <f t="shared" si="218"/>
        <v>6.5198874696780212E+87</v>
      </c>
      <c r="SHL56" s="850">
        <f t="shared" si="218"/>
        <v>0</v>
      </c>
      <c r="SHM56" s="850">
        <f t="shared" si="218"/>
        <v>6.715484093768362E+87</v>
      </c>
      <c r="SHN56" s="850">
        <f t="shared" ref="SHN56:SJY56" si="219">SHL56*$C$56</f>
        <v>0</v>
      </c>
      <c r="SHO56" s="850">
        <f t="shared" si="219"/>
        <v>6.9169486165814129E+87</v>
      </c>
      <c r="SHP56" s="850">
        <f t="shared" si="219"/>
        <v>0</v>
      </c>
      <c r="SHQ56" s="850">
        <f t="shared" si="219"/>
        <v>7.1244570750788555E+87</v>
      </c>
      <c r="SHR56" s="850">
        <f t="shared" si="219"/>
        <v>0</v>
      </c>
      <c r="SHS56" s="850">
        <f t="shared" si="219"/>
        <v>7.3381907873312216E+87</v>
      </c>
      <c r="SHT56" s="850">
        <f t="shared" si="219"/>
        <v>0</v>
      </c>
      <c r="SHU56" s="850">
        <f t="shared" si="219"/>
        <v>7.5583365109511587E+87</v>
      </c>
      <c r="SHV56" s="850">
        <f t="shared" si="219"/>
        <v>0</v>
      </c>
      <c r="SHW56" s="850">
        <f t="shared" si="219"/>
        <v>7.7850866062796936E+87</v>
      </c>
      <c r="SHX56" s="850">
        <f t="shared" si="219"/>
        <v>0</v>
      </c>
      <c r="SHY56" s="850">
        <f t="shared" si="219"/>
        <v>8.0186392044680853E+87</v>
      </c>
      <c r="SHZ56" s="850">
        <f t="shared" si="219"/>
        <v>0</v>
      </c>
      <c r="SIA56" s="850">
        <f t="shared" si="219"/>
        <v>8.2591983806021288E+87</v>
      </c>
      <c r="SIB56" s="850">
        <f t="shared" si="219"/>
        <v>0</v>
      </c>
      <c r="SIC56" s="850">
        <f t="shared" si="219"/>
        <v>8.5069743320201925E+87</v>
      </c>
      <c r="SID56" s="850">
        <f t="shared" si="219"/>
        <v>0</v>
      </c>
      <c r="SIE56" s="850">
        <f t="shared" si="219"/>
        <v>8.7621835619807978E+87</v>
      </c>
      <c r="SIF56" s="850">
        <f t="shared" si="219"/>
        <v>0</v>
      </c>
      <c r="SIG56" s="850">
        <f t="shared" si="219"/>
        <v>9.0250490688402216E+87</v>
      </c>
      <c r="SIH56" s="850">
        <f t="shared" si="219"/>
        <v>0</v>
      </c>
      <c r="SII56" s="850">
        <f t="shared" si="219"/>
        <v>9.2958005409054288E+87</v>
      </c>
      <c r="SIJ56" s="850">
        <f t="shared" si="219"/>
        <v>0</v>
      </c>
      <c r="SIK56" s="850">
        <f t="shared" si="219"/>
        <v>9.5746745571325921E+87</v>
      </c>
      <c r="SIL56" s="850">
        <f t="shared" si="219"/>
        <v>0</v>
      </c>
      <c r="SIM56" s="850">
        <f t="shared" si="219"/>
        <v>9.8619147938465698E+87</v>
      </c>
      <c r="SIN56" s="850">
        <f t="shared" si="219"/>
        <v>0</v>
      </c>
      <c r="SIO56" s="850">
        <f t="shared" si="219"/>
        <v>1.0157772237661967E+88</v>
      </c>
      <c r="SIP56" s="850">
        <f t="shared" si="219"/>
        <v>0</v>
      </c>
      <c r="SIQ56" s="850">
        <f t="shared" si="219"/>
        <v>1.0462505404791825E+88</v>
      </c>
      <c r="SIR56" s="850">
        <f t="shared" si="219"/>
        <v>0</v>
      </c>
      <c r="SIS56" s="850">
        <f t="shared" si="219"/>
        <v>1.077638056693558E+88</v>
      </c>
      <c r="SIT56" s="850">
        <f t="shared" si="219"/>
        <v>0</v>
      </c>
      <c r="SIU56" s="850">
        <f t="shared" si="219"/>
        <v>1.1099671983943649E+88</v>
      </c>
      <c r="SIV56" s="850">
        <f t="shared" si="219"/>
        <v>0</v>
      </c>
      <c r="SIW56" s="850">
        <f t="shared" si="219"/>
        <v>1.1432662143461958E+88</v>
      </c>
      <c r="SIX56" s="850">
        <f t="shared" si="219"/>
        <v>0</v>
      </c>
      <c r="SIY56" s="850">
        <f t="shared" si="219"/>
        <v>1.1775642007765817E+88</v>
      </c>
      <c r="SIZ56" s="850">
        <f t="shared" si="219"/>
        <v>0</v>
      </c>
      <c r="SJA56" s="850">
        <f t="shared" si="219"/>
        <v>1.2128911267998791E+88</v>
      </c>
      <c r="SJB56" s="850">
        <f t="shared" si="219"/>
        <v>0</v>
      </c>
      <c r="SJC56" s="850">
        <f t="shared" si="219"/>
        <v>1.2492778606038754E+88</v>
      </c>
      <c r="SJD56" s="850">
        <f t="shared" si="219"/>
        <v>0</v>
      </c>
      <c r="SJE56" s="850">
        <f t="shared" si="219"/>
        <v>1.2867561964219917E+88</v>
      </c>
      <c r="SJF56" s="850">
        <f t="shared" si="219"/>
        <v>0</v>
      </c>
      <c r="SJG56" s="850">
        <f t="shared" si="219"/>
        <v>1.3253588823146515E+88</v>
      </c>
      <c r="SJH56" s="850">
        <f t="shared" si="219"/>
        <v>0</v>
      </c>
      <c r="SJI56" s="850">
        <f t="shared" si="219"/>
        <v>1.3651196487840911E+88</v>
      </c>
      <c r="SJJ56" s="850">
        <f t="shared" si="219"/>
        <v>0</v>
      </c>
      <c r="SJK56" s="850">
        <f t="shared" si="219"/>
        <v>1.4060732382476139E+88</v>
      </c>
      <c r="SJL56" s="850">
        <f t="shared" si="219"/>
        <v>0</v>
      </c>
      <c r="SJM56" s="850">
        <f t="shared" si="219"/>
        <v>1.4482554353950424E+88</v>
      </c>
      <c r="SJN56" s="850">
        <f t="shared" si="219"/>
        <v>0</v>
      </c>
      <c r="SJO56" s="850">
        <f t="shared" si="219"/>
        <v>1.4917030984568936E+88</v>
      </c>
      <c r="SJP56" s="850">
        <f t="shared" si="219"/>
        <v>0</v>
      </c>
      <c r="SJQ56" s="850">
        <f t="shared" si="219"/>
        <v>1.5364541914106004E+88</v>
      </c>
      <c r="SJR56" s="850">
        <f t="shared" si="219"/>
        <v>0</v>
      </c>
      <c r="SJS56" s="850">
        <f t="shared" si="219"/>
        <v>1.5825478171529184E+88</v>
      </c>
      <c r="SJT56" s="850">
        <f t="shared" si="219"/>
        <v>0</v>
      </c>
      <c r="SJU56" s="850">
        <f t="shared" si="219"/>
        <v>1.6300242516675061E+88</v>
      </c>
      <c r="SJV56" s="850">
        <f t="shared" si="219"/>
        <v>0</v>
      </c>
      <c r="SJW56" s="850">
        <f t="shared" si="219"/>
        <v>1.6789249792175315E+88</v>
      </c>
      <c r="SJX56" s="850">
        <f t="shared" si="219"/>
        <v>0</v>
      </c>
      <c r="SJY56" s="850">
        <f t="shared" si="219"/>
        <v>1.7292927285940573E+88</v>
      </c>
      <c r="SJZ56" s="850">
        <f t="shared" ref="SJZ56:SMK56" si="220">SJX56*$C$56</f>
        <v>0</v>
      </c>
      <c r="SKA56" s="850">
        <f t="shared" si="220"/>
        <v>1.7811715104518792E+88</v>
      </c>
      <c r="SKB56" s="850">
        <f t="shared" si="220"/>
        <v>0</v>
      </c>
      <c r="SKC56" s="850">
        <f t="shared" si="220"/>
        <v>1.8346066557654357E+88</v>
      </c>
      <c r="SKD56" s="850">
        <f t="shared" si="220"/>
        <v>0</v>
      </c>
      <c r="SKE56" s="850">
        <f t="shared" si="220"/>
        <v>1.8896448554383988E+88</v>
      </c>
      <c r="SKF56" s="850">
        <f t="shared" si="220"/>
        <v>0</v>
      </c>
      <c r="SKG56" s="850">
        <f t="shared" si="220"/>
        <v>1.9463342011015509E+88</v>
      </c>
      <c r="SKH56" s="850">
        <f t="shared" si="220"/>
        <v>0</v>
      </c>
      <c r="SKI56" s="850">
        <f t="shared" si="220"/>
        <v>2.0047242271345974E+88</v>
      </c>
      <c r="SKJ56" s="850">
        <f t="shared" si="220"/>
        <v>0</v>
      </c>
      <c r="SKK56" s="850">
        <f t="shared" si="220"/>
        <v>2.0648659539486356E+88</v>
      </c>
      <c r="SKL56" s="850">
        <f t="shared" si="220"/>
        <v>0</v>
      </c>
      <c r="SKM56" s="850">
        <f t="shared" si="220"/>
        <v>2.1268119325670947E+88</v>
      </c>
      <c r="SKN56" s="850">
        <f t="shared" si="220"/>
        <v>0</v>
      </c>
      <c r="SKO56" s="850">
        <f t="shared" si="220"/>
        <v>2.1906162905441076E+88</v>
      </c>
      <c r="SKP56" s="850">
        <f t="shared" si="220"/>
        <v>0</v>
      </c>
      <c r="SKQ56" s="850">
        <f t="shared" si="220"/>
        <v>2.256334779260431E+88</v>
      </c>
      <c r="SKR56" s="850">
        <f t="shared" si="220"/>
        <v>0</v>
      </c>
      <c r="SKS56" s="850">
        <f t="shared" si="220"/>
        <v>2.324024822638244E+88</v>
      </c>
      <c r="SKT56" s="850">
        <f t="shared" si="220"/>
        <v>0</v>
      </c>
      <c r="SKU56" s="850">
        <f t="shared" si="220"/>
        <v>2.3937455673173915E+88</v>
      </c>
      <c r="SKV56" s="850">
        <f t="shared" si="220"/>
        <v>0</v>
      </c>
      <c r="SKW56" s="850">
        <f t="shared" si="220"/>
        <v>2.4655579343369133E+88</v>
      </c>
      <c r="SKX56" s="850">
        <f t="shared" si="220"/>
        <v>0</v>
      </c>
      <c r="SKY56" s="850">
        <f t="shared" si="220"/>
        <v>2.5395246723670208E+88</v>
      </c>
      <c r="SKZ56" s="850">
        <f t="shared" si="220"/>
        <v>0</v>
      </c>
      <c r="SLA56" s="850">
        <f t="shared" si="220"/>
        <v>2.6157104125380314E+88</v>
      </c>
      <c r="SLB56" s="850">
        <f t="shared" si="220"/>
        <v>0</v>
      </c>
      <c r="SLC56" s="850">
        <f t="shared" si="220"/>
        <v>2.6941817249141723E+88</v>
      </c>
      <c r="SLD56" s="850">
        <f t="shared" si="220"/>
        <v>0</v>
      </c>
      <c r="SLE56" s="850">
        <f t="shared" si="220"/>
        <v>2.7750071766615973E+88</v>
      </c>
      <c r="SLF56" s="850">
        <f t="shared" si="220"/>
        <v>0</v>
      </c>
      <c r="SLG56" s="850">
        <f t="shared" si="220"/>
        <v>2.8582573919614453E+88</v>
      </c>
      <c r="SLH56" s="850">
        <f t="shared" si="220"/>
        <v>0</v>
      </c>
      <c r="SLI56" s="850">
        <f t="shared" si="220"/>
        <v>2.9440051137202886E+88</v>
      </c>
      <c r="SLJ56" s="850">
        <f t="shared" si="220"/>
        <v>0</v>
      </c>
      <c r="SLK56" s="850">
        <f t="shared" si="220"/>
        <v>3.0323252671318974E+88</v>
      </c>
      <c r="SLL56" s="850">
        <f t="shared" si="220"/>
        <v>0</v>
      </c>
      <c r="SLM56" s="850">
        <f t="shared" si="220"/>
        <v>3.1232950251458544E+88</v>
      </c>
      <c r="SLN56" s="850">
        <f t="shared" si="220"/>
        <v>0</v>
      </c>
      <c r="SLO56" s="850">
        <f t="shared" si="220"/>
        <v>3.2169938759002303E+88</v>
      </c>
      <c r="SLP56" s="850">
        <f t="shared" si="220"/>
        <v>0</v>
      </c>
      <c r="SLQ56" s="850">
        <f t="shared" si="220"/>
        <v>3.3135036921772372E+88</v>
      </c>
      <c r="SLR56" s="850">
        <f t="shared" si="220"/>
        <v>0</v>
      </c>
      <c r="SLS56" s="850">
        <f t="shared" si="220"/>
        <v>3.4129088029425542E+88</v>
      </c>
      <c r="SLT56" s="850">
        <f t="shared" si="220"/>
        <v>0</v>
      </c>
      <c r="SLU56" s="850">
        <f t="shared" si="220"/>
        <v>3.5152960670308311E+88</v>
      </c>
      <c r="SLV56" s="850">
        <f t="shared" si="220"/>
        <v>0</v>
      </c>
      <c r="SLW56" s="850">
        <f t="shared" si="220"/>
        <v>3.6207549490417563E+88</v>
      </c>
      <c r="SLX56" s="850">
        <f t="shared" si="220"/>
        <v>0</v>
      </c>
      <c r="SLY56" s="850">
        <f t="shared" si="220"/>
        <v>3.7293775975130091E+88</v>
      </c>
      <c r="SLZ56" s="850">
        <f t="shared" si="220"/>
        <v>0</v>
      </c>
      <c r="SMA56" s="850">
        <f t="shared" si="220"/>
        <v>3.8412589254383992E+88</v>
      </c>
      <c r="SMB56" s="850">
        <f t="shared" si="220"/>
        <v>0</v>
      </c>
      <c r="SMC56" s="850">
        <f t="shared" si="220"/>
        <v>3.9564966932015514E+88</v>
      </c>
      <c r="SMD56" s="850">
        <f t="shared" si="220"/>
        <v>0</v>
      </c>
      <c r="SME56" s="850">
        <f t="shared" si="220"/>
        <v>4.0751915939975978E+88</v>
      </c>
      <c r="SMF56" s="850">
        <f t="shared" si="220"/>
        <v>0</v>
      </c>
      <c r="SMG56" s="850">
        <f t="shared" si="220"/>
        <v>4.197447341817526E+88</v>
      </c>
      <c r="SMH56" s="850">
        <f t="shared" si="220"/>
        <v>0</v>
      </c>
      <c r="SMI56" s="850">
        <f t="shared" si="220"/>
        <v>4.3233707620720521E+88</v>
      </c>
      <c r="SMJ56" s="850">
        <f t="shared" si="220"/>
        <v>0</v>
      </c>
      <c r="SMK56" s="850">
        <f t="shared" si="220"/>
        <v>4.4530718849342141E+88</v>
      </c>
      <c r="SML56" s="850">
        <f t="shared" ref="SML56:SOW56" si="221">SMJ56*$C$56</f>
        <v>0</v>
      </c>
      <c r="SMM56" s="850">
        <f t="shared" si="221"/>
        <v>4.5866640414822408E+88</v>
      </c>
      <c r="SMN56" s="850">
        <f t="shared" si="221"/>
        <v>0</v>
      </c>
      <c r="SMO56" s="850">
        <f t="shared" si="221"/>
        <v>4.7242639627267083E+88</v>
      </c>
      <c r="SMP56" s="850">
        <f t="shared" si="221"/>
        <v>0</v>
      </c>
      <c r="SMQ56" s="850">
        <f t="shared" si="221"/>
        <v>4.8659918816085097E+88</v>
      </c>
      <c r="SMR56" s="850">
        <f t="shared" si="221"/>
        <v>0</v>
      </c>
      <c r="SMS56" s="850">
        <f t="shared" si="221"/>
        <v>5.011971638056765E+88</v>
      </c>
      <c r="SMT56" s="850">
        <f t="shared" si="221"/>
        <v>0</v>
      </c>
      <c r="SMU56" s="850">
        <f t="shared" si="221"/>
        <v>5.1623307871984679E+88</v>
      </c>
      <c r="SMV56" s="850">
        <f t="shared" si="221"/>
        <v>0</v>
      </c>
      <c r="SMW56" s="850">
        <f t="shared" si="221"/>
        <v>5.317200710814422E+88</v>
      </c>
      <c r="SMX56" s="850">
        <f t="shared" si="221"/>
        <v>0</v>
      </c>
      <c r="SMY56" s="850">
        <f t="shared" si="221"/>
        <v>5.476716732138855E+88</v>
      </c>
      <c r="SMZ56" s="850">
        <f t="shared" si="221"/>
        <v>0</v>
      </c>
      <c r="SNA56" s="850">
        <f t="shared" si="221"/>
        <v>5.641018234103021E+88</v>
      </c>
      <c r="SNB56" s="850">
        <f t="shared" si="221"/>
        <v>0</v>
      </c>
      <c r="SNC56" s="850">
        <f t="shared" si="221"/>
        <v>5.8102487811261119E+88</v>
      </c>
      <c r="SND56" s="850">
        <f t="shared" si="221"/>
        <v>0</v>
      </c>
      <c r="SNE56" s="850">
        <f t="shared" si="221"/>
        <v>5.9845562445598954E+88</v>
      </c>
      <c r="SNF56" s="850">
        <f t="shared" si="221"/>
        <v>0</v>
      </c>
      <c r="SNG56" s="850">
        <f t="shared" si="221"/>
        <v>6.1640929318966922E+88</v>
      </c>
      <c r="SNH56" s="850">
        <f t="shared" si="221"/>
        <v>0</v>
      </c>
      <c r="SNI56" s="850">
        <f t="shared" si="221"/>
        <v>6.3490157198535931E+88</v>
      </c>
      <c r="SNJ56" s="850">
        <f t="shared" si="221"/>
        <v>0</v>
      </c>
      <c r="SNK56" s="850">
        <f t="shared" si="221"/>
        <v>6.5394861914492011E+88</v>
      </c>
      <c r="SNL56" s="850">
        <f t="shared" si="221"/>
        <v>0</v>
      </c>
      <c r="SNM56" s="850">
        <f t="shared" si="221"/>
        <v>6.7356707771926776E+88</v>
      </c>
      <c r="SNN56" s="850">
        <f t="shared" si="221"/>
        <v>0</v>
      </c>
      <c r="SNO56" s="850">
        <f t="shared" si="221"/>
        <v>6.9377409005084576E+88</v>
      </c>
      <c r="SNP56" s="850">
        <f t="shared" si="221"/>
        <v>0</v>
      </c>
      <c r="SNQ56" s="850">
        <f t="shared" si="221"/>
        <v>7.1458731275237116E+88</v>
      </c>
      <c r="SNR56" s="850">
        <f t="shared" si="221"/>
        <v>0</v>
      </c>
      <c r="SNS56" s="850">
        <f t="shared" si="221"/>
        <v>7.3602493213494233E+88</v>
      </c>
      <c r="SNT56" s="850">
        <f t="shared" si="221"/>
        <v>0</v>
      </c>
      <c r="SNU56" s="850">
        <f t="shared" si="221"/>
        <v>7.5810568009899059E+88</v>
      </c>
      <c r="SNV56" s="850">
        <f t="shared" si="221"/>
        <v>0</v>
      </c>
      <c r="SNW56" s="850">
        <f t="shared" si="221"/>
        <v>7.8084885050196029E+88</v>
      </c>
      <c r="SNX56" s="850">
        <f t="shared" si="221"/>
        <v>0</v>
      </c>
      <c r="SNY56" s="850">
        <f t="shared" si="221"/>
        <v>8.0427431601701917E+88</v>
      </c>
      <c r="SNZ56" s="850">
        <f t="shared" si="221"/>
        <v>0</v>
      </c>
      <c r="SOA56" s="850">
        <f t="shared" si="221"/>
        <v>8.2840254549752981E+88</v>
      </c>
      <c r="SOB56" s="850">
        <f t="shared" si="221"/>
        <v>0</v>
      </c>
      <c r="SOC56" s="850">
        <f t="shared" si="221"/>
        <v>8.5325462186245579E+88</v>
      </c>
      <c r="SOD56" s="850">
        <f t="shared" si="221"/>
        <v>0</v>
      </c>
      <c r="SOE56" s="850">
        <f t="shared" si="221"/>
        <v>8.7885226051832947E+88</v>
      </c>
      <c r="SOF56" s="850">
        <f t="shared" si="221"/>
        <v>0</v>
      </c>
      <c r="SOG56" s="850">
        <f t="shared" si="221"/>
        <v>9.0521782833387933E+88</v>
      </c>
      <c r="SOH56" s="850">
        <f t="shared" si="221"/>
        <v>0</v>
      </c>
      <c r="SOI56" s="850">
        <f t="shared" si="221"/>
        <v>9.3237436318389579E+88</v>
      </c>
      <c r="SOJ56" s="850">
        <f t="shared" si="221"/>
        <v>0</v>
      </c>
      <c r="SOK56" s="850">
        <f t="shared" si="221"/>
        <v>9.6034559407941274E+88</v>
      </c>
      <c r="SOL56" s="850">
        <f t="shared" si="221"/>
        <v>0</v>
      </c>
      <c r="SOM56" s="850">
        <f t="shared" si="221"/>
        <v>9.891559619017952E+88</v>
      </c>
      <c r="SON56" s="850">
        <f t="shared" si="221"/>
        <v>0</v>
      </c>
      <c r="SOO56" s="850">
        <f t="shared" si="221"/>
        <v>1.0188306407588491E+89</v>
      </c>
      <c r="SOP56" s="850">
        <f t="shared" si="221"/>
        <v>0</v>
      </c>
      <c r="SOQ56" s="850">
        <f t="shared" si="221"/>
        <v>1.0493955599816146E+89</v>
      </c>
      <c r="SOR56" s="850">
        <f t="shared" si="221"/>
        <v>0</v>
      </c>
      <c r="SOS56" s="850">
        <f t="shared" si="221"/>
        <v>1.0808774267810631E+89</v>
      </c>
      <c r="SOT56" s="850">
        <f t="shared" si="221"/>
        <v>0</v>
      </c>
      <c r="SOU56" s="850">
        <f t="shared" si="221"/>
        <v>1.1133037495844951E+89</v>
      </c>
      <c r="SOV56" s="850">
        <f t="shared" si="221"/>
        <v>0</v>
      </c>
      <c r="SOW56" s="850">
        <f t="shared" si="221"/>
        <v>1.14670286207203E+89</v>
      </c>
      <c r="SOX56" s="850">
        <f t="shared" ref="SOX56:SRI56" si="222">SOV56*$C$56</f>
        <v>0</v>
      </c>
      <c r="SOY56" s="850">
        <f t="shared" si="222"/>
        <v>1.1811039479341909E+89</v>
      </c>
      <c r="SOZ56" s="850">
        <f t="shared" si="222"/>
        <v>0</v>
      </c>
      <c r="SPA56" s="850">
        <f t="shared" si="222"/>
        <v>1.2165370663722167E+89</v>
      </c>
      <c r="SPB56" s="850">
        <f t="shared" si="222"/>
        <v>0</v>
      </c>
      <c r="SPC56" s="850">
        <f t="shared" si="222"/>
        <v>1.2530331783633832E+89</v>
      </c>
      <c r="SPD56" s="850">
        <f t="shared" si="222"/>
        <v>0</v>
      </c>
      <c r="SPE56" s="850">
        <f t="shared" si="222"/>
        <v>1.2906241737142846E+89</v>
      </c>
      <c r="SPF56" s="850">
        <f t="shared" si="222"/>
        <v>0</v>
      </c>
      <c r="SPG56" s="850">
        <f t="shared" si="222"/>
        <v>1.3293428989257132E+89</v>
      </c>
      <c r="SPH56" s="850">
        <f t="shared" si="222"/>
        <v>0</v>
      </c>
      <c r="SPI56" s="850">
        <f t="shared" si="222"/>
        <v>1.3692231858934847E+89</v>
      </c>
      <c r="SPJ56" s="850">
        <f t="shared" si="222"/>
        <v>0</v>
      </c>
      <c r="SPK56" s="850">
        <f t="shared" si="222"/>
        <v>1.4102998814702895E+89</v>
      </c>
      <c r="SPL56" s="850">
        <f t="shared" si="222"/>
        <v>0</v>
      </c>
      <c r="SPM56" s="850">
        <f t="shared" si="222"/>
        <v>1.4526088779143983E+89</v>
      </c>
      <c r="SPN56" s="850">
        <f t="shared" si="222"/>
        <v>0</v>
      </c>
      <c r="SPO56" s="850">
        <f t="shared" si="222"/>
        <v>1.4961871442518302E+89</v>
      </c>
      <c r="SPP56" s="850">
        <f t="shared" si="222"/>
        <v>0</v>
      </c>
      <c r="SPQ56" s="850">
        <f t="shared" si="222"/>
        <v>1.541072758579385E+89</v>
      </c>
      <c r="SPR56" s="850">
        <f t="shared" si="222"/>
        <v>0</v>
      </c>
      <c r="SPS56" s="850">
        <f t="shared" si="222"/>
        <v>1.5873049413367666E+89</v>
      </c>
      <c r="SPT56" s="850">
        <f t="shared" si="222"/>
        <v>0</v>
      </c>
      <c r="SPU56" s="850">
        <f t="shared" si="222"/>
        <v>1.6349240895768695E+89</v>
      </c>
      <c r="SPV56" s="850">
        <f t="shared" si="222"/>
        <v>0</v>
      </c>
      <c r="SPW56" s="850">
        <f t="shared" si="222"/>
        <v>1.6839718122641757E+89</v>
      </c>
      <c r="SPX56" s="850">
        <f t="shared" si="222"/>
        <v>0</v>
      </c>
      <c r="SPY56" s="850">
        <f t="shared" si="222"/>
        <v>1.734490966632101E+89</v>
      </c>
      <c r="SPZ56" s="850">
        <f t="shared" si="222"/>
        <v>0</v>
      </c>
      <c r="SQA56" s="850">
        <f t="shared" si="222"/>
        <v>1.7865256956310641E+89</v>
      </c>
      <c r="SQB56" s="850">
        <f t="shared" si="222"/>
        <v>0</v>
      </c>
      <c r="SQC56" s="850">
        <f t="shared" si="222"/>
        <v>1.840121466499996E+89</v>
      </c>
      <c r="SQD56" s="850">
        <f t="shared" si="222"/>
        <v>0</v>
      </c>
      <c r="SQE56" s="850">
        <f t="shared" si="222"/>
        <v>1.895325110494996E+89</v>
      </c>
      <c r="SQF56" s="850">
        <f t="shared" si="222"/>
        <v>0</v>
      </c>
      <c r="SQG56" s="850">
        <f t="shared" si="222"/>
        <v>1.952184863809846E+89</v>
      </c>
      <c r="SQH56" s="850">
        <f t="shared" si="222"/>
        <v>0</v>
      </c>
      <c r="SQI56" s="850">
        <f t="shared" si="222"/>
        <v>2.0107504097241414E+89</v>
      </c>
      <c r="SQJ56" s="850">
        <f t="shared" si="222"/>
        <v>0</v>
      </c>
      <c r="SQK56" s="850">
        <f t="shared" si="222"/>
        <v>2.0710729220158658E+89</v>
      </c>
      <c r="SQL56" s="850">
        <f t="shared" si="222"/>
        <v>0</v>
      </c>
      <c r="SQM56" s="850">
        <f t="shared" si="222"/>
        <v>2.1332051096763417E+89</v>
      </c>
      <c r="SQN56" s="850">
        <f t="shared" si="222"/>
        <v>0</v>
      </c>
      <c r="SQO56" s="850">
        <f t="shared" si="222"/>
        <v>2.1972012629666321E+89</v>
      </c>
      <c r="SQP56" s="850">
        <f t="shared" si="222"/>
        <v>0</v>
      </c>
      <c r="SQQ56" s="850">
        <f t="shared" si="222"/>
        <v>2.263117300855631E+89</v>
      </c>
      <c r="SQR56" s="850">
        <f t="shared" si="222"/>
        <v>0</v>
      </c>
      <c r="SQS56" s="850">
        <f t="shared" si="222"/>
        <v>2.3310108198813E+89</v>
      </c>
      <c r="SQT56" s="850">
        <f t="shared" si="222"/>
        <v>0</v>
      </c>
      <c r="SQU56" s="850">
        <f t="shared" si="222"/>
        <v>2.4009411444777391E+89</v>
      </c>
      <c r="SQV56" s="850">
        <f t="shared" si="222"/>
        <v>0</v>
      </c>
      <c r="SQW56" s="850">
        <f t="shared" si="222"/>
        <v>2.4729693788120713E+89</v>
      </c>
      <c r="SQX56" s="850">
        <f t="shared" si="222"/>
        <v>0</v>
      </c>
      <c r="SQY56" s="850">
        <f t="shared" si="222"/>
        <v>2.5471584601764336E+89</v>
      </c>
      <c r="SQZ56" s="850">
        <f t="shared" si="222"/>
        <v>0</v>
      </c>
      <c r="SRA56" s="850">
        <f t="shared" si="222"/>
        <v>2.6235732139817266E+89</v>
      </c>
      <c r="SRB56" s="850">
        <f t="shared" si="222"/>
        <v>0</v>
      </c>
      <c r="SRC56" s="850">
        <f t="shared" si="222"/>
        <v>2.7022804104011787E+89</v>
      </c>
      <c r="SRD56" s="850">
        <f t="shared" si="222"/>
        <v>0</v>
      </c>
      <c r="SRE56" s="850">
        <f t="shared" si="222"/>
        <v>2.7833488227132139E+89</v>
      </c>
      <c r="SRF56" s="850">
        <f t="shared" si="222"/>
        <v>0</v>
      </c>
      <c r="SRG56" s="850">
        <f t="shared" si="222"/>
        <v>2.8668492873946104E+89</v>
      </c>
      <c r="SRH56" s="850">
        <f t="shared" si="222"/>
        <v>0</v>
      </c>
      <c r="SRI56" s="850">
        <f t="shared" si="222"/>
        <v>2.9528547660164491E+89</v>
      </c>
      <c r="SRJ56" s="850">
        <f t="shared" ref="SRJ56:STU56" si="223">SRH56*$C$56</f>
        <v>0</v>
      </c>
      <c r="SRK56" s="850">
        <f t="shared" si="223"/>
        <v>3.0414404089969427E+89</v>
      </c>
      <c r="SRL56" s="850">
        <f t="shared" si="223"/>
        <v>0</v>
      </c>
      <c r="SRM56" s="850">
        <f t="shared" si="223"/>
        <v>3.1326836212668512E+89</v>
      </c>
      <c r="SRN56" s="850">
        <f t="shared" si="223"/>
        <v>0</v>
      </c>
      <c r="SRO56" s="850">
        <f t="shared" si="223"/>
        <v>3.2266641299048571E+89</v>
      </c>
      <c r="SRP56" s="850">
        <f t="shared" si="223"/>
        <v>0</v>
      </c>
      <c r="SRQ56" s="850">
        <f t="shared" si="223"/>
        <v>3.3234640538020027E+89</v>
      </c>
      <c r="SRR56" s="850">
        <f t="shared" si="223"/>
        <v>0</v>
      </c>
      <c r="SRS56" s="850">
        <f t="shared" si="223"/>
        <v>3.4231679754160631E+89</v>
      </c>
      <c r="SRT56" s="850">
        <f t="shared" si="223"/>
        <v>0</v>
      </c>
      <c r="SRU56" s="850">
        <f t="shared" si="223"/>
        <v>3.5258630146785451E+89</v>
      </c>
      <c r="SRV56" s="850">
        <f t="shared" si="223"/>
        <v>0</v>
      </c>
      <c r="SRW56" s="850">
        <f t="shared" si="223"/>
        <v>3.6316389051189014E+89</v>
      </c>
      <c r="SRX56" s="850">
        <f t="shared" si="223"/>
        <v>0</v>
      </c>
      <c r="SRY56" s="850">
        <f t="shared" si="223"/>
        <v>3.7405880722724687E+89</v>
      </c>
      <c r="SRZ56" s="850">
        <f t="shared" si="223"/>
        <v>0</v>
      </c>
      <c r="SSA56" s="850">
        <f t="shared" si="223"/>
        <v>3.8528057144406426E+89</v>
      </c>
      <c r="SSB56" s="850">
        <f t="shared" si="223"/>
        <v>0</v>
      </c>
      <c r="SSC56" s="850">
        <f t="shared" si="223"/>
        <v>3.9683898858738618E+89</v>
      </c>
      <c r="SSD56" s="850">
        <f t="shared" si="223"/>
        <v>0</v>
      </c>
      <c r="SSE56" s="850">
        <f t="shared" si="223"/>
        <v>4.0874415824500779E+89</v>
      </c>
      <c r="SSF56" s="850">
        <f t="shared" si="223"/>
        <v>0</v>
      </c>
      <c r="SSG56" s="850">
        <f t="shared" si="223"/>
        <v>4.2100648299235807E+89</v>
      </c>
      <c r="SSH56" s="850">
        <f t="shared" si="223"/>
        <v>0</v>
      </c>
      <c r="SSI56" s="850">
        <f t="shared" si="223"/>
        <v>4.336366774821288E+89</v>
      </c>
      <c r="SSJ56" s="850">
        <f t="shared" si="223"/>
        <v>0</v>
      </c>
      <c r="SSK56" s="850">
        <f t="shared" si="223"/>
        <v>4.4664577780659271E+89</v>
      </c>
      <c r="SSL56" s="850">
        <f t="shared" si="223"/>
        <v>0</v>
      </c>
      <c r="SSM56" s="850">
        <f t="shared" si="223"/>
        <v>4.600451511407905E+89</v>
      </c>
      <c r="SSN56" s="850">
        <f t="shared" si="223"/>
        <v>0</v>
      </c>
      <c r="SSO56" s="850">
        <f t="shared" si="223"/>
        <v>4.738465056750142E+89</v>
      </c>
      <c r="SSP56" s="850">
        <f t="shared" si="223"/>
        <v>0</v>
      </c>
      <c r="SSQ56" s="850">
        <f t="shared" si="223"/>
        <v>4.8806190084526462E+89</v>
      </c>
      <c r="SSR56" s="850">
        <f t="shared" si="223"/>
        <v>0</v>
      </c>
      <c r="SSS56" s="850">
        <f t="shared" si="223"/>
        <v>5.0270375787062257E+89</v>
      </c>
      <c r="SST56" s="850">
        <f t="shared" si="223"/>
        <v>0</v>
      </c>
      <c r="SSU56" s="850">
        <f t="shared" si="223"/>
        <v>5.177848706067413E+89</v>
      </c>
      <c r="SSV56" s="850">
        <f t="shared" si="223"/>
        <v>0</v>
      </c>
      <c r="SSW56" s="850">
        <f t="shared" si="223"/>
        <v>5.3331841672494358E+89</v>
      </c>
      <c r="SSX56" s="850">
        <f t="shared" si="223"/>
        <v>0</v>
      </c>
      <c r="SSY56" s="850">
        <f t="shared" si="223"/>
        <v>5.4931796922669192E+89</v>
      </c>
      <c r="SSZ56" s="850">
        <f t="shared" si="223"/>
        <v>0</v>
      </c>
      <c r="STA56" s="850">
        <f t="shared" si="223"/>
        <v>5.6579750830349265E+89</v>
      </c>
      <c r="STB56" s="850">
        <f t="shared" si="223"/>
        <v>0</v>
      </c>
      <c r="STC56" s="850">
        <f t="shared" si="223"/>
        <v>5.8277143355259748E+89</v>
      </c>
      <c r="STD56" s="850">
        <f t="shared" si="223"/>
        <v>0</v>
      </c>
      <c r="STE56" s="850">
        <f t="shared" si="223"/>
        <v>6.0025457655917544E+89</v>
      </c>
      <c r="STF56" s="850">
        <f t="shared" si="223"/>
        <v>0</v>
      </c>
      <c r="STG56" s="850">
        <f t="shared" si="223"/>
        <v>6.1826221385595077E+89</v>
      </c>
      <c r="STH56" s="850">
        <f t="shared" si="223"/>
        <v>0</v>
      </c>
      <c r="STI56" s="850">
        <f t="shared" si="223"/>
        <v>6.3681008027162936E+89</v>
      </c>
      <c r="STJ56" s="850">
        <f t="shared" si="223"/>
        <v>0</v>
      </c>
      <c r="STK56" s="850">
        <f t="shared" si="223"/>
        <v>6.5591438267977825E+89</v>
      </c>
      <c r="STL56" s="850">
        <f t="shared" si="223"/>
        <v>0</v>
      </c>
      <c r="STM56" s="850">
        <f t="shared" si="223"/>
        <v>6.7559181416017165E+89</v>
      </c>
      <c r="STN56" s="850">
        <f t="shared" si="223"/>
        <v>0</v>
      </c>
      <c r="STO56" s="850">
        <f t="shared" si="223"/>
        <v>6.9585956858497685E+89</v>
      </c>
      <c r="STP56" s="850">
        <f t="shared" si="223"/>
        <v>0</v>
      </c>
      <c r="STQ56" s="850">
        <f t="shared" si="223"/>
        <v>7.1673535564252615E+89</v>
      </c>
      <c r="STR56" s="850">
        <f t="shared" si="223"/>
        <v>0</v>
      </c>
      <c r="STS56" s="850">
        <f t="shared" si="223"/>
        <v>7.3823741631180192E+89</v>
      </c>
      <c r="STT56" s="850">
        <f t="shared" si="223"/>
        <v>0</v>
      </c>
      <c r="STU56" s="850">
        <f t="shared" si="223"/>
        <v>7.6038453880115601E+89</v>
      </c>
      <c r="STV56" s="850">
        <f t="shared" ref="STV56:SWG56" si="224">STT56*$C$56</f>
        <v>0</v>
      </c>
      <c r="STW56" s="850">
        <f t="shared" si="224"/>
        <v>7.8319607496519072E+89</v>
      </c>
      <c r="STX56" s="850">
        <f t="shared" si="224"/>
        <v>0</v>
      </c>
      <c r="STY56" s="850">
        <f t="shared" si="224"/>
        <v>8.0669195721414652E+89</v>
      </c>
      <c r="STZ56" s="850">
        <f t="shared" si="224"/>
        <v>0</v>
      </c>
      <c r="SUA56" s="850">
        <f t="shared" si="224"/>
        <v>8.3089271593057088E+89</v>
      </c>
      <c r="SUB56" s="850">
        <f t="shared" si="224"/>
        <v>0</v>
      </c>
      <c r="SUC56" s="850">
        <f t="shared" si="224"/>
        <v>8.5581949740848805E+89</v>
      </c>
      <c r="SUD56" s="850">
        <f t="shared" si="224"/>
        <v>0</v>
      </c>
      <c r="SUE56" s="850">
        <f t="shared" si="224"/>
        <v>8.8149408233074272E+89</v>
      </c>
      <c r="SUF56" s="850">
        <f t="shared" si="224"/>
        <v>0</v>
      </c>
      <c r="SUG56" s="850">
        <f t="shared" si="224"/>
        <v>9.07938904800665E+89</v>
      </c>
      <c r="SUH56" s="850">
        <f t="shared" si="224"/>
        <v>0</v>
      </c>
      <c r="SUI56" s="850">
        <f t="shared" si="224"/>
        <v>9.3517707194468496E+89</v>
      </c>
      <c r="SUJ56" s="850">
        <f t="shared" si="224"/>
        <v>0</v>
      </c>
      <c r="SUK56" s="850">
        <f t="shared" si="224"/>
        <v>9.6323238410302553E+89</v>
      </c>
      <c r="SUL56" s="850">
        <f t="shared" si="224"/>
        <v>0</v>
      </c>
      <c r="SUM56" s="850">
        <f t="shared" si="224"/>
        <v>9.9212935562611638E+89</v>
      </c>
      <c r="SUN56" s="850">
        <f t="shared" si="224"/>
        <v>0</v>
      </c>
      <c r="SUO56" s="850">
        <f t="shared" si="224"/>
        <v>1.0218932362948998E+90</v>
      </c>
      <c r="SUP56" s="850">
        <f t="shared" si="224"/>
        <v>0</v>
      </c>
      <c r="SUQ56" s="850">
        <f t="shared" si="224"/>
        <v>1.0525500333837468E+90</v>
      </c>
      <c r="SUR56" s="850">
        <f t="shared" si="224"/>
        <v>0</v>
      </c>
      <c r="SUS56" s="850">
        <f t="shared" si="224"/>
        <v>1.0841265343852593E+90</v>
      </c>
      <c r="SUT56" s="850">
        <f t="shared" si="224"/>
        <v>0</v>
      </c>
      <c r="SUU56" s="850">
        <f t="shared" si="224"/>
        <v>1.1166503304168171E+90</v>
      </c>
      <c r="SUV56" s="850">
        <f t="shared" si="224"/>
        <v>0</v>
      </c>
      <c r="SUW56" s="850">
        <f t="shared" si="224"/>
        <v>1.1501498403293217E+90</v>
      </c>
      <c r="SUX56" s="850">
        <f t="shared" si="224"/>
        <v>0</v>
      </c>
      <c r="SUY56" s="850">
        <f t="shared" si="224"/>
        <v>1.1846543355392015E+90</v>
      </c>
      <c r="SUZ56" s="850">
        <f t="shared" si="224"/>
        <v>0</v>
      </c>
      <c r="SVA56" s="850">
        <f t="shared" si="224"/>
        <v>1.2201939656053776E+90</v>
      </c>
      <c r="SVB56" s="850">
        <f t="shared" si="224"/>
        <v>0</v>
      </c>
      <c r="SVC56" s="850">
        <f t="shared" si="224"/>
        <v>1.2567997845735389E+90</v>
      </c>
      <c r="SVD56" s="850">
        <f t="shared" si="224"/>
        <v>0</v>
      </c>
      <c r="SVE56" s="850">
        <f t="shared" si="224"/>
        <v>1.2945037781107451E+90</v>
      </c>
      <c r="SVF56" s="850">
        <f t="shared" si="224"/>
        <v>0</v>
      </c>
      <c r="SVG56" s="850">
        <f t="shared" si="224"/>
        <v>1.3333388914540674E+90</v>
      </c>
      <c r="SVH56" s="850">
        <f t="shared" si="224"/>
        <v>0</v>
      </c>
      <c r="SVI56" s="850">
        <f t="shared" si="224"/>
        <v>1.3733390581976894E+90</v>
      </c>
      <c r="SVJ56" s="850">
        <f t="shared" si="224"/>
        <v>0</v>
      </c>
      <c r="SVK56" s="850">
        <f t="shared" si="224"/>
        <v>1.4145392299436201E+90</v>
      </c>
      <c r="SVL56" s="850">
        <f t="shared" si="224"/>
        <v>0</v>
      </c>
      <c r="SVM56" s="850">
        <f t="shared" si="224"/>
        <v>1.4569754068419286E+90</v>
      </c>
      <c r="SVN56" s="850">
        <f t="shared" si="224"/>
        <v>0</v>
      </c>
      <c r="SVO56" s="850">
        <f t="shared" si="224"/>
        <v>1.5006846690471864E+90</v>
      </c>
      <c r="SVP56" s="850">
        <f t="shared" si="224"/>
        <v>0</v>
      </c>
      <c r="SVQ56" s="850">
        <f t="shared" si="224"/>
        <v>1.5457052091186021E+90</v>
      </c>
      <c r="SVR56" s="850">
        <f t="shared" si="224"/>
        <v>0</v>
      </c>
      <c r="SVS56" s="850">
        <f t="shared" si="224"/>
        <v>1.5920763653921601E+90</v>
      </c>
      <c r="SVT56" s="850">
        <f t="shared" si="224"/>
        <v>0</v>
      </c>
      <c r="SVU56" s="850">
        <f t="shared" si="224"/>
        <v>1.639838656353925E+90</v>
      </c>
      <c r="SVV56" s="850">
        <f t="shared" si="224"/>
        <v>0</v>
      </c>
      <c r="SVW56" s="850">
        <f t="shared" si="224"/>
        <v>1.6890338160445427E+90</v>
      </c>
      <c r="SVX56" s="850">
        <f t="shared" si="224"/>
        <v>0</v>
      </c>
      <c r="SVY56" s="850">
        <f t="shared" si="224"/>
        <v>1.739704830525879E+90</v>
      </c>
      <c r="SVZ56" s="850">
        <f t="shared" si="224"/>
        <v>0</v>
      </c>
      <c r="SWA56" s="850">
        <f t="shared" si="224"/>
        <v>1.7918959754416554E+90</v>
      </c>
      <c r="SWB56" s="850">
        <f t="shared" si="224"/>
        <v>0</v>
      </c>
      <c r="SWC56" s="850">
        <f t="shared" si="224"/>
        <v>1.8456528547049051E+90</v>
      </c>
      <c r="SWD56" s="850">
        <f t="shared" si="224"/>
        <v>0</v>
      </c>
      <c r="SWE56" s="850">
        <f t="shared" si="224"/>
        <v>1.9010224403460522E+90</v>
      </c>
      <c r="SWF56" s="850">
        <f t="shared" si="224"/>
        <v>0</v>
      </c>
      <c r="SWG56" s="850">
        <f t="shared" si="224"/>
        <v>1.9580531135564338E+90</v>
      </c>
      <c r="SWH56" s="850">
        <f t="shared" ref="SWH56:SYS56" si="225">SWF56*$C$56</f>
        <v>0</v>
      </c>
      <c r="SWI56" s="850">
        <f t="shared" si="225"/>
        <v>2.0167947069631269E+90</v>
      </c>
      <c r="SWJ56" s="850">
        <f t="shared" si="225"/>
        <v>0</v>
      </c>
      <c r="SWK56" s="850">
        <f t="shared" si="225"/>
        <v>2.0772985481720206E+90</v>
      </c>
      <c r="SWL56" s="850">
        <f t="shared" si="225"/>
        <v>0</v>
      </c>
      <c r="SWM56" s="850">
        <f t="shared" si="225"/>
        <v>2.1396175046171812E+90</v>
      </c>
      <c r="SWN56" s="850">
        <f t="shared" si="225"/>
        <v>0</v>
      </c>
      <c r="SWO56" s="850">
        <f t="shared" si="225"/>
        <v>2.2038060297556967E+90</v>
      </c>
      <c r="SWP56" s="850">
        <f t="shared" si="225"/>
        <v>0</v>
      </c>
      <c r="SWQ56" s="850">
        <f t="shared" si="225"/>
        <v>2.2699202106483675E+90</v>
      </c>
      <c r="SWR56" s="850">
        <f t="shared" si="225"/>
        <v>0</v>
      </c>
      <c r="SWS56" s="850">
        <f t="shared" si="225"/>
        <v>2.3380178169678188E+90</v>
      </c>
      <c r="SWT56" s="850">
        <f t="shared" si="225"/>
        <v>0</v>
      </c>
      <c r="SWU56" s="850">
        <f t="shared" si="225"/>
        <v>2.4081583514768534E+90</v>
      </c>
      <c r="SWV56" s="850">
        <f t="shared" si="225"/>
        <v>0</v>
      </c>
      <c r="SWW56" s="850">
        <f t="shared" si="225"/>
        <v>2.4804031020211591E+90</v>
      </c>
      <c r="SWX56" s="850">
        <f t="shared" si="225"/>
        <v>0</v>
      </c>
      <c r="SWY56" s="850">
        <f t="shared" si="225"/>
        <v>2.5548151950817938E+90</v>
      </c>
      <c r="SWZ56" s="850">
        <f t="shared" si="225"/>
        <v>0</v>
      </c>
      <c r="SXA56" s="850">
        <f t="shared" si="225"/>
        <v>2.6314596509342476E+90</v>
      </c>
      <c r="SXB56" s="850">
        <f t="shared" si="225"/>
        <v>0</v>
      </c>
      <c r="SXC56" s="850">
        <f t="shared" si="225"/>
        <v>2.7104034404622751E+90</v>
      </c>
      <c r="SXD56" s="850">
        <f t="shared" si="225"/>
        <v>0</v>
      </c>
      <c r="SXE56" s="850">
        <f t="shared" si="225"/>
        <v>2.7917155436761433E+90</v>
      </c>
      <c r="SXF56" s="850">
        <f t="shared" si="225"/>
        <v>0</v>
      </c>
      <c r="SXG56" s="850">
        <f t="shared" si="225"/>
        <v>2.8754670099864277E+90</v>
      </c>
      <c r="SXH56" s="850">
        <f t="shared" si="225"/>
        <v>0</v>
      </c>
      <c r="SXI56" s="850">
        <f t="shared" si="225"/>
        <v>2.9617310202860206E+90</v>
      </c>
      <c r="SXJ56" s="850">
        <f t="shared" si="225"/>
        <v>0</v>
      </c>
      <c r="SXK56" s="850">
        <f t="shared" si="225"/>
        <v>3.0505829508946013E+90</v>
      </c>
      <c r="SXL56" s="850">
        <f t="shared" si="225"/>
        <v>0</v>
      </c>
      <c r="SXM56" s="850">
        <f t="shared" si="225"/>
        <v>3.1421004394214393E+90</v>
      </c>
      <c r="SXN56" s="850">
        <f t="shared" si="225"/>
        <v>0</v>
      </c>
      <c r="SXO56" s="850">
        <f t="shared" si="225"/>
        <v>3.2363634526040828E+90</v>
      </c>
      <c r="SXP56" s="850">
        <f t="shared" si="225"/>
        <v>0</v>
      </c>
      <c r="SXQ56" s="850">
        <f t="shared" si="225"/>
        <v>3.3334543561822054E+90</v>
      </c>
      <c r="SXR56" s="850">
        <f t="shared" si="225"/>
        <v>0</v>
      </c>
      <c r="SXS56" s="850">
        <f t="shared" si="225"/>
        <v>3.4334579868676717E+90</v>
      </c>
      <c r="SXT56" s="850">
        <f t="shared" si="225"/>
        <v>0</v>
      </c>
      <c r="SXU56" s="850">
        <f t="shared" si="225"/>
        <v>3.5364617264737019E+90</v>
      </c>
      <c r="SXV56" s="850">
        <f t="shared" si="225"/>
        <v>0</v>
      </c>
      <c r="SXW56" s="850">
        <f t="shared" si="225"/>
        <v>3.6425555782679129E+90</v>
      </c>
      <c r="SXX56" s="850">
        <f t="shared" si="225"/>
        <v>0</v>
      </c>
      <c r="SXY56" s="850">
        <f t="shared" si="225"/>
        <v>3.7518322456159504E+90</v>
      </c>
      <c r="SXZ56" s="850">
        <f t="shared" si="225"/>
        <v>0</v>
      </c>
      <c r="SYA56" s="850">
        <f t="shared" si="225"/>
        <v>3.8643872129844289E+90</v>
      </c>
      <c r="SYB56" s="850">
        <f t="shared" si="225"/>
        <v>0</v>
      </c>
      <c r="SYC56" s="850">
        <f t="shared" si="225"/>
        <v>3.9803188293739617E+90</v>
      </c>
      <c r="SYD56" s="850">
        <f t="shared" si="225"/>
        <v>0</v>
      </c>
      <c r="SYE56" s="850">
        <f t="shared" si="225"/>
        <v>4.0997283942551805E+90</v>
      </c>
      <c r="SYF56" s="850">
        <f t="shared" si="225"/>
        <v>0</v>
      </c>
      <c r="SYG56" s="850">
        <f t="shared" si="225"/>
        <v>4.2227202460828363E+90</v>
      </c>
      <c r="SYH56" s="850">
        <f t="shared" si="225"/>
        <v>0</v>
      </c>
      <c r="SYI56" s="850">
        <f t="shared" si="225"/>
        <v>4.3494018534653213E+90</v>
      </c>
      <c r="SYJ56" s="850">
        <f t="shared" si="225"/>
        <v>0</v>
      </c>
      <c r="SYK56" s="850">
        <f t="shared" si="225"/>
        <v>4.4798839090692808E+90</v>
      </c>
      <c r="SYL56" s="850">
        <f t="shared" si="225"/>
        <v>0</v>
      </c>
      <c r="SYM56" s="850">
        <f t="shared" si="225"/>
        <v>4.6142804263413598E+90</v>
      </c>
      <c r="SYN56" s="850">
        <f t="shared" si="225"/>
        <v>0</v>
      </c>
      <c r="SYO56" s="850">
        <f t="shared" si="225"/>
        <v>4.7527088391316006E+90</v>
      </c>
      <c r="SYP56" s="850">
        <f t="shared" si="225"/>
        <v>0</v>
      </c>
      <c r="SYQ56" s="850">
        <f t="shared" si="225"/>
        <v>4.895290104305549E+90</v>
      </c>
      <c r="SYR56" s="850">
        <f t="shared" si="225"/>
        <v>0</v>
      </c>
      <c r="SYS56" s="850">
        <f t="shared" si="225"/>
        <v>5.042148807434716E+90</v>
      </c>
      <c r="SYT56" s="850">
        <f t="shared" ref="SYT56:TBE56" si="226">SYR56*$C$56</f>
        <v>0</v>
      </c>
      <c r="SYU56" s="850">
        <f t="shared" si="226"/>
        <v>5.1934132716577578E+90</v>
      </c>
      <c r="SYV56" s="850">
        <f t="shared" si="226"/>
        <v>0</v>
      </c>
      <c r="SYW56" s="850">
        <f t="shared" si="226"/>
        <v>5.3492156698074911E+90</v>
      </c>
      <c r="SYX56" s="850">
        <f t="shared" si="226"/>
        <v>0</v>
      </c>
      <c r="SYY56" s="850">
        <f t="shared" si="226"/>
        <v>5.5096921399017157E+90</v>
      </c>
      <c r="SYZ56" s="850">
        <f t="shared" si="226"/>
        <v>0</v>
      </c>
      <c r="SZA56" s="850">
        <f t="shared" si="226"/>
        <v>5.6749829040987675E+90</v>
      </c>
      <c r="SZB56" s="850">
        <f t="shared" si="226"/>
        <v>0</v>
      </c>
      <c r="SZC56" s="850">
        <f t="shared" si="226"/>
        <v>5.8452323912217304E+90</v>
      </c>
      <c r="SZD56" s="850">
        <f t="shared" si="226"/>
        <v>0</v>
      </c>
      <c r="SZE56" s="850">
        <f t="shared" si="226"/>
        <v>6.0205893629583821E+90</v>
      </c>
      <c r="SZF56" s="850">
        <f t="shared" si="226"/>
        <v>0</v>
      </c>
      <c r="SZG56" s="850">
        <f t="shared" si="226"/>
        <v>6.2012070438471342E+90</v>
      </c>
      <c r="SZH56" s="850">
        <f t="shared" si="226"/>
        <v>0</v>
      </c>
      <c r="SZI56" s="850">
        <f t="shared" si="226"/>
        <v>6.3872432551625484E+90</v>
      </c>
      <c r="SZJ56" s="850">
        <f t="shared" si="226"/>
        <v>0</v>
      </c>
      <c r="SZK56" s="850">
        <f t="shared" si="226"/>
        <v>6.5788605528174251E+90</v>
      </c>
      <c r="SZL56" s="850">
        <f t="shared" si="226"/>
        <v>0</v>
      </c>
      <c r="SZM56" s="850">
        <f t="shared" si="226"/>
        <v>6.7762263694019483E+90</v>
      </c>
      <c r="SZN56" s="850">
        <f t="shared" si="226"/>
        <v>0</v>
      </c>
      <c r="SZO56" s="850">
        <f t="shared" si="226"/>
        <v>6.9795131604840071E+90</v>
      </c>
      <c r="SZP56" s="850">
        <f t="shared" si="226"/>
        <v>0</v>
      </c>
      <c r="SZQ56" s="850">
        <f t="shared" si="226"/>
        <v>7.1888985552985274E+90</v>
      </c>
      <c r="SZR56" s="850">
        <f t="shared" si="226"/>
        <v>0</v>
      </c>
      <c r="SZS56" s="850">
        <f t="shared" si="226"/>
        <v>7.4045655119574834E+90</v>
      </c>
      <c r="SZT56" s="850">
        <f t="shared" si="226"/>
        <v>0</v>
      </c>
      <c r="SZU56" s="850">
        <f t="shared" si="226"/>
        <v>7.6267024773162084E+90</v>
      </c>
      <c r="SZV56" s="850">
        <f t="shared" si="226"/>
        <v>0</v>
      </c>
      <c r="SZW56" s="850">
        <f t="shared" si="226"/>
        <v>7.8555035516356945E+90</v>
      </c>
      <c r="SZX56" s="850">
        <f t="shared" si="226"/>
        <v>0</v>
      </c>
      <c r="SZY56" s="850">
        <f t="shared" si="226"/>
        <v>8.0911686581847657E+90</v>
      </c>
      <c r="SZZ56" s="850">
        <f t="shared" si="226"/>
        <v>0</v>
      </c>
      <c r="TAA56" s="850">
        <f t="shared" si="226"/>
        <v>8.3339037179303096E+90</v>
      </c>
      <c r="TAB56" s="850">
        <f t="shared" si="226"/>
        <v>0</v>
      </c>
      <c r="TAC56" s="850">
        <f t="shared" si="226"/>
        <v>8.5839208294682191E+90</v>
      </c>
      <c r="TAD56" s="850">
        <f t="shared" si="226"/>
        <v>0</v>
      </c>
      <c r="TAE56" s="850">
        <f t="shared" si="226"/>
        <v>8.8414384543522667E+90</v>
      </c>
      <c r="TAF56" s="850">
        <f t="shared" si="226"/>
        <v>0</v>
      </c>
      <c r="TAG56" s="850">
        <f t="shared" si="226"/>
        <v>9.1066816079828341E+90</v>
      </c>
      <c r="TAH56" s="850">
        <f t="shared" si="226"/>
        <v>0</v>
      </c>
      <c r="TAI56" s="850">
        <f t="shared" si="226"/>
        <v>9.379882056222319E+90</v>
      </c>
      <c r="TAJ56" s="850">
        <f t="shared" si="226"/>
        <v>0</v>
      </c>
      <c r="TAK56" s="850">
        <f t="shared" si="226"/>
        <v>9.661278517908988E+90</v>
      </c>
      <c r="TAL56" s="850">
        <f t="shared" si="226"/>
        <v>0</v>
      </c>
      <c r="TAM56" s="850">
        <f t="shared" si="226"/>
        <v>9.9511168734462574E+90</v>
      </c>
      <c r="TAN56" s="850">
        <f t="shared" si="226"/>
        <v>0</v>
      </c>
      <c r="TAO56" s="850">
        <f t="shared" si="226"/>
        <v>1.0249650379649646E+91</v>
      </c>
      <c r="TAP56" s="850">
        <f t="shared" si="226"/>
        <v>0</v>
      </c>
      <c r="TAQ56" s="850">
        <f t="shared" si="226"/>
        <v>1.0557139891039136E+91</v>
      </c>
      <c r="TAR56" s="850">
        <f t="shared" si="226"/>
        <v>0</v>
      </c>
      <c r="TAS56" s="850">
        <f t="shared" si="226"/>
        <v>1.087385408777031E+91</v>
      </c>
      <c r="TAT56" s="850">
        <f t="shared" si="226"/>
        <v>0</v>
      </c>
      <c r="TAU56" s="850">
        <f t="shared" si="226"/>
        <v>1.1200069710403419E+91</v>
      </c>
      <c r="TAV56" s="850">
        <f t="shared" si="226"/>
        <v>0</v>
      </c>
      <c r="TAW56" s="850">
        <f t="shared" si="226"/>
        <v>1.1536071801715523E+91</v>
      </c>
      <c r="TAX56" s="850">
        <f t="shared" si="226"/>
        <v>0</v>
      </c>
      <c r="TAY56" s="850">
        <f t="shared" si="226"/>
        <v>1.1882153955766989E+91</v>
      </c>
      <c r="TAZ56" s="850">
        <f t="shared" si="226"/>
        <v>0</v>
      </c>
      <c r="TBA56" s="850">
        <f t="shared" si="226"/>
        <v>1.2238618574439999E+91</v>
      </c>
      <c r="TBB56" s="850">
        <f t="shared" si="226"/>
        <v>0</v>
      </c>
      <c r="TBC56" s="850">
        <f t="shared" si="226"/>
        <v>1.2605777131673198E+91</v>
      </c>
      <c r="TBD56" s="850">
        <f t="shared" si="226"/>
        <v>0</v>
      </c>
      <c r="TBE56" s="850">
        <f t="shared" si="226"/>
        <v>1.2983950445623395E+91</v>
      </c>
      <c r="TBF56" s="850">
        <f t="shared" ref="TBF56:TDQ56" si="227">TBD56*$C$56</f>
        <v>0</v>
      </c>
      <c r="TBG56" s="850">
        <f t="shared" si="227"/>
        <v>1.3373468958992097E+91</v>
      </c>
      <c r="TBH56" s="850">
        <f t="shared" si="227"/>
        <v>0</v>
      </c>
      <c r="TBI56" s="850">
        <f t="shared" si="227"/>
        <v>1.377467302776186E+91</v>
      </c>
      <c r="TBJ56" s="850">
        <f t="shared" si="227"/>
        <v>0</v>
      </c>
      <c r="TBK56" s="850">
        <f t="shared" si="227"/>
        <v>1.4187913218594716E+91</v>
      </c>
      <c r="TBL56" s="850">
        <f t="shared" si="227"/>
        <v>0</v>
      </c>
      <c r="TBM56" s="850">
        <f t="shared" si="227"/>
        <v>1.4613550615152557E+91</v>
      </c>
      <c r="TBN56" s="850">
        <f t="shared" si="227"/>
        <v>0</v>
      </c>
      <c r="TBO56" s="850">
        <f t="shared" si="227"/>
        <v>1.5051957133607134E+91</v>
      </c>
      <c r="TBP56" s="850">
        <f t="shared" si="227"/>
        <v>0</v>
      </c>
      <c r="TBQ56" s="850">
        <f t="shared" si="227"/>
        <v>1.5503515847615348E+91</v>
      </c>
      <c r="TBR56" s="850">
        <f t="shared" si="227"/>
        <v>0</v>
      </c>
      <c r="TBS56" s="850">
        <f t="shared" si="227"/>
        <v>1.5968621323043809E+91</v>
      </c>
      <c r="TBT56" s="850">
        <f t="shared" si="227"/>
        <v>0</v>
      </c>
      <c r="TBU56" s="850">
        <f t="shared" si="227"/>
        <v>1.6447679962735122E+91</v>
      </c>
      <c r="TBV56" s="850">
        <f t="shared" si="227"/>
        <v>0</v>
      </c>
      <c r="TBW56" s="850">
        <f t="shared" si="227"/>
        <v>1.6941110361617177E+91</v>
      </c>
      <c r="TBX56" s="850">
        <f t="shared" si="227"/>
        <v>0</v>
      </c>
      <c r="TBY56" s="850">
        <f t="shared" si="227"/>
        <v>1.7449343672465693E+91</v>
      </c>
      <c r="TBZ56" s="850">
        <f t="shared" si="227"/>
        <v>0</v>
      </c>
      <c r="TCA56" s="850">
        <f t="shared" si="227"/>
        <v>1.7972823982639664E+91</v>
      </c>
      <c r="TCB56" s="850">
        <f t="shared" si="227"/>
        <v>0</v>
      </c>
      <c r="TCC56" s="850">
        <f t="shared" si="227"/>
        <v>1.8512008702118853E+91</v>
      </c>
      <c r="TCD56" s="850">
        <f t="shared" si="227"/>
        <v>0</v>
      </c>
      <c r="TCE56" s="850">
        <f t="shared" si="227"/>
        <v>1.906736896318242E+91</v>
      </c>
      <c r="TCF56" s="850">
        <f t="shared" si="227"/>
        <v>0</v>
      </c>
      <c r="TCG56" s="850">
        <f t="shared" si="227"/>
        <v>1.9639390032077893E+91</v>
      </c>
      <c r="TCH56" s="850">
        <f t="shared" si="227"/>
        <v>0</v>
      </c>
      <c r="TCI56" s="850">
        <f t="shared" si="227"/>
        <v>2.0228571733040231E+91</v>
      </c>
      <c r="TCJ56" s="850">
        <f t="shared" si="227"/>
        <v>0</v>
      </c>
      <c r="TCK56" s="850">
        <f t="shared" si="227"/>
        <v>2.0835428885031437E+91</v>
      </c>
      <c r="TCL56" s="850">
        <f t="shared" si="227"/>
        <v>0</v>
      </c>
      <c r="TCM56" s="850">
        <f t="shared" si="227"/>
        <v>2.1460491751582382E+91</v>
      </c>
      <c r="TCN56" s="850">
        <f t="shared" si="227"/>
        <v>0</v>
      </c>
      <c r="TCO56" s="850">
        <f t="shared" si="227"/>
        <v>2.2104306504129853E+91</v>
      </c>
      <c r="TCP56" s="850">
        <f t="shared" si="227"/>
        <v>0</v>
      </c>
      <c r="TCQ56" s="850">
        <f t="shared" si="227"/>
        <v>2.276743569925375E+91</v>
      </c>
      <c r="TCR56" s="850">
        <f t="shared" si="227"/>
        <v>0</v>
      </c>
      <c r="TCS56" s="850">
        <f t="shared" si="227"/>
        <v>2.3450458770231364E+91</v>
      </c>
      <c r="TCT56" s="850">
        <f t="shared" si="227"/>
        <v>0</v>
      </c>
      <c r="TCU56" s="850">
        <f t="shared" si="227"/>
        <v>2.4153972533338307E+91</v>
      </c>
      <c r="TCV56" s="850">
        <f t="shared" si="227"/>
        <v>0</v>
      </c>
      <c r="TCW56" s="850">
        <f t="shared" si="227"/>
        <v>2.4878591709338456E+91</v>
      </c>
      <c r="TCX56" s="850">
        <f t="shared" si="227"/>
        <v>0</v>
      </c>
      <c r="TCY56" s="850">
        <f t="shared" si="227"/>
        <v>2.5624949460618609E+91</v>
      </c>
      <c r="TCZ56" s="850">
        <f t="shared" si="227"/>
        <v>0</v>
      </c>
      <c r="TDA56" s="850">
        <f t="shared" si="227"/>
        <v>2.6393697944437169E+91</v>
      </c>
      <c r="TDB56" s="850">
        <f t="shared" si="227"/>
        <v>0</v>
      </c>
      <c r="TDC56" s="850">
        <f t="shared" si="227"/>
        <v>2.7185508882770285E+91</v>
      </c>
      <c r="TDD56" s="850">
        <f t="shared" si="227"/>
        <v>0</v>
      </c>
      <c r="TDE56" s="850">
        <f t="shared" si="227"/>
        <v>2.8001074149253395E+91</v>
      </c>
      <c r="TDF56" s="850">
        <f t="shared" si="227"/>
        <v>0</v>
      </c>
      <c r="TDG56" s="850">
        <f t="shared" si="227"/>
        <v>2.8841106373730996E+91</v>
      </c>
      <c r="TDH56" s="850">
        <f t="shared" si="227"/>
        <v>0</v>
      </c>
      <c r="TDI56" s="850">
        <f t="shared" si="227"/>
        <v>2.9706339564942927E+91</v>
      </c>
      <c r="TDJ56" s="850">
        <f t="shared" si="227"/>
        <v>0</v>
      </c>
      <c r="TDK56" s="850">
        <f t="shared" si="227"/>
        <v>3.0597529751891217E+91</v>
      </c>
      <c r="TDL56" s="850">
        <f t="shared" si="227"/>
        <v>0</v>
      </c>
      <c r="TDM56" s="850">
        <f t="shared" si="227"/>
        <v>3.1515455644447955E+91</v>
      </c>
      <c r="TDN56" s="850">
        <f t="shared" si="227"/>
        <v>0</v>
      </c>
      <c r="TDO56" s="850">
        <f t="shared" si="227"/>
        <v>3.2460919313781394E+91</v>
      </c>
      <c r="TDP56" s="850">
        <f t="shared" si="227"/>
        <v>0</v>
      </c>
      <c r="TDQ56" s="850">
        <f t="shared" si="227"/>
        <v>3.3434746893194838E+91</v>
      </c>
      <c r="TDR56" s="850">
        <f t="shared" ref="TDR56:TGC56" si="228">TDP56*$C$56</f>
        <v>0</v>
      </c>
      <c r="TDS56" s="850">
        <f t="shared" si="228"/>
        <v>3.4437789299990687E+91</v>
      </c>
      <c r="TDT56" s="850">
        <f t="shared" si="228"/>
        <v>0</v>
      </c>
      <c r="TDU56" s="850">
        <f t="shared" si="228"/>
        <v>3.5470922978990409E+91</v>
      </c>
      <c r="TDV56" s="850">
        <f t="shared" si="228"/>
        <v>0</v>
      </c>
      <c r="TDW56" s="850">
        <f t="shared" si="228"/>
        <v>3.653505066836012E+91</v>
      </c>
      <c r="TDX56" s="850">
        <f t="shared" si="228"/>
        <v>0</v>
      </c>
      <c r="TDY56" s="850">
        <f t="shared" si="228"/>
        <v>3.7631102188410927E+91</v>
      </c>
      <c r="TDZ56" s="850">
        <f t="shared" si="228"/>
        <v>0</v>
      </c>
      <c r="TEA56" s="850">
        <f t="shared" si="228"/>
        <v>3.8760035254063254E+91</v>
      </c>
      <c r="TEB56" s="850">
        <f t="shared" si="228"/>
        <v>0</v>
      </c>
      <c r="TEC56" s="850">
        <f t="shared" si="228"/>
        <v>3.9922836311685154E+91</v>
      </c>
      <c r="TED56" s="850">
        <f t="shared" si="228"/>
        <v>0</v>
      </c>
      <c r="TEE56" s="850">
        <f t="shared" si="228"/>
        <v>4.1120521401035709E+91</v>
      </c>
      <c r="TEF56" s="850">
        <f t="shared" si="228"/>
        <v>0</v>
      </c>
      <c r="TEG56" s="850">
        <f t="shared" si="228"/>
        <v>4.235413704306678E+91</v>
      </c>
      <c r="TEH56" s="850">
        <f t="shared" si="228"/>
        <v>0</v>
      </c>
      <c r="TEI56" s="850">
        <f t="shared" si="228"/>
        <v>4.3624761154358782E+91</v>
      </c>
      <c r="TEJ56" s="850">
        <f t="shared" si="228"/>
        <v>0</v>
      </c>
      <c r="TEK56" s="850">
        <f t="shared" si="228"/>
        <v>4.4933503988989546E+91</v>
      </c>
      <c r="TEL56" s="850">
        <f t="shared" si="228"/>
        <v>0</v>
      </c>
      <c r="TEM56" s="850">
        <f t="shared" si="228"/>
        <v>4.6281509108659235E+91</v>
      </c>
      <c r="TEN56" s="850">
        <f t="shared" si="228"/>
        <v>0</v>
      </c>
      <c r="TEO56" s="850">
        <f t="shared" si="228"/>
        <v>4.7669954381919015E+91</v>
      </c>
      <c r="TEP56" s="850">
        <f t="shared" si="228"/>
        <v>0</v>
      </c>
      <c r="TEQ56" s="850">
        <f t="shared" si="228"/>
        <v>4.9100053013376589E+91</v>
      </c>
      <c r="TER56" s="850">
        <f t="shared" si="228"/>
        <v>0</v>
      </c>
      <c r="TES56" s="850">
        <f t="shared" si="228"/>
        <v>5.0573054603777888E+91</v>
      </c>
      <c r="TET56" s="850">
        <f t="shared" si="228"/>
        <v>0</v>
      </c>
      <c r="TEU56" s="850">
        <f t="shared" si="228"/>
        <v>5.2090246241891225E+91</v>
      </c>
      <c r="TEV56" s="850">
        <f t="shared" si="228"/>
        <v>0</v>
      </c>
      <c r="TEW56" s="850">
        <f t="shared" si="228"/>
        <v>5.3652953629147963E+91</v>
      </c>
      <c r="TEX56" s="850">
        <f t="shared" si="228"/>
        <v>0</v>
      </c>
      <c r="TEY56" s="850">
        <f t="shared" si="228"/>
        <v>5.52625422380224E+91</v>
      </c>
      <c r="TEZ56" s="850">
        <f t="shared" si="228"/>
        <v>0</v>
      </c>
      <c r="TFA56" s="850">
        <f t="shared" si="228"/>
        <v>5.6920418505163071E+91</v>
      </c>
      <c r="TFB56" s="850">
        <f t="shared" si="228"/>
        <v>0</v>
      </c>
      <c r="TFC56" s="850">
        <f t="shared" si="228"/>
        <v>5.8628031060317967E+91</v>
      </c>
      <c r="TFD56" s="850">
        <f t="shared" si="228"/>
        <v>0</v>
      </c>
      <c r="TFE56" s="850">
        <f t="shared" si="228"/>
        <v>6.0386871992127507E+91</v>
      </c>
      <c r="TFF56" s="850">
        <f t="shared" si="228"/>
        <v>0</v>
      </c>
      <c r="TFG56" s="850">
        <f t="shared" si="228"/>
        <v>6.2198478151891332E+91</v>
      </c>
      <c r="TFH56" s="850">
        <f t="shared" si="228"/>
        <v>0</v>
      </c>
      <c r="TFI56" s="850">
        <f t="shared" si="228"/>
        <v>6.4064432496448076E+91</v>
      </c>
      <c r="TFJ56" s="850">
        <f t="shared" si="228"/>
        <v>0</v>
      </c>
      <c r="TFK56" s="850">
        <f t="shared" si="228"/>
        <v>6.5986365471341526E+91</v>
      </c>
      <c r="TFL56" s="850">
        <f t="shared" si="228"/>
        <v>0</v>
      </c>
      <c r="TFM56" s="850">
        <f t="shared" si="228"/>
        <v>6.7965956435481777E+91</v>
      </c>
      <c r="TFN56" s="850">
        <f t="shared" si="228"/>
        <v>0</v>
      </c>
      <c r="TFO56" s="850">
        <f t="shared" si="228"/>
        <v>7.0004935128546239E+91</v>
      </c>
      <c r="TFP56" s="850">
        <f t="shared" si="228"/>
        <v>0</v>
      </c>
      <c r="TFQ56" s="850">
        <f t="shared" si="228"/>
        <v>7.2105083182402632E+91</v>
      </c>
      <c r="TFR56" s="850">
        <f t="shared" si="228"/>
        <v>0</v>
      </c>
      <c r="TFS56" s="850">
        <f t="shared" si="228"/>
        <v>7.426823567787472E+91</v>
      </c>
      <c r="TFT56" s="850">
        <f t="shared" si="228"/>
        <v>0</v>
      </c>
      <c r="TFU56" s="850">
        <f t="shared" si="228"/>
        <v>7.6496282748210958E+91</v>
      </c>
      <c r="TFV56" s="850">
        <f t="shared" si="228"/>
        <v>0</v>
      </c>
      <c r="TFW56" s="850">
        <f t="shared" si="228"/>
        <v>7.8791171230657285E+91</v>
      </c>
      <c r="TFX56" s="850">
        <f t="shared" si="228"/>
        <v>0</v>
      </c>
      <c r="TFY56" s="850">
        <f t="shared" si="228"/>
        <v>8.1154906367577011E+91</v>
      </c>
      <c r="TFZ56" s="850">
        <f t="shared" si="228"/>
        <v>0</v>
      </c>
      <c r="TGA56" s="850">
        <f t="shared" si="228"/>
        <v>8.3589553558604327E+91</v>
      </c>
      <c r="TGB56" s="850">
        <f t="shared" si="228"/>
        <v>0</v>
      </c>
      <c r="TGC56" s="850">
        <f t="shared" si="228"/>
        <v>8.6097240165362466E+91</v>
      </c>
      <c r="TGD56" s="850">
        <f t="shared" ref="TGD56:TIO56" si="229">TGB56*$C$56</f>
        <v>0</v>
      </c>
      <c r="TGE56" s="850">
        <f t="shared" si="229"/>
        <v>8.8680157370323336E+91</v>
      </c>
      <c r="TGF56" s="850">
        <f t="shared" si="229"/>
        <v>0</v>
      </c>
      <c r="TGG56" s="850">
        <f t="shared" si="229"/>
        <v>9.1340562091433034E+91</v>
      </c>
      <c r="TGH56" s="850">
        <f t="shared" si="229"/>
        <v>0</v>
      </c>
      <c r="TGI56" s="850">
        <f t="shared" si="229"/>
        <v>9.4080778954176031E+91</v>
      </c>
      <c r="TGJ56" s="850">
        <f t="shared" si="229"/>
        <v>0</v>
      </c>
      <c r="TGK56" s="850">
        <f t="shared" si="229"/>
        <v>9.6903202322801311E+91</v>
      </c>
      <c r="TGL56" s="850">
        <f t="shared" si="229"/>
        <v>0</v>
      </c>
      <c r="TGM56" s="850">
        <f t="shared" si="229"/>
        <v>9.9810298392485356E+91</v>
      </c>
      <c r="TGN56" s="850">
        <f t="shared" si="229"/>
        <v>0</v>
      </c>
      <c r="TGO56" s="850">
        <f t="shared" si="229"/>
        <v>1.0280460734425991E+92</v>
      </c>
      <c r="TGP56" s="850">
        <f t="shared" si="229"/>
        <v>0</v>
      </c>
      <c r="TGQ56" s="850">
        <f t="shared" si="229"/>
        <v>1.0588874556458771E+92</v>
      </c>
      <c r="TGR56" s="850">
        <f t="shared" si="229"/>
        <v>0</v>
      </c>
      <c r="TGS56" s="850">
        <f t="shared" si="229"/>
        <v>1.0906540793152534E+92</v>
      </c>
      <c r="TGT56" s="850">
        <f t="shared" si="229"/>
        <v>0</v>
      </c>
      <c r="TGU56" s="850">
        <f t="shared" si="229"/>
        <v>1.123373701694711E+92</v>
      </c>
      <c r="TGV56" s="850">
        <f t="shared" si="229"/>
        <v>0</v>
      </c>
      <c r="TGW56" s="850">
        <f t="shared" si="229"/>
        <v>1.1570749127455524E+92</v>
      </c>
      <c r="TGX56" s="850">
        <f t="shared" si="229"/>
        <v>0</v>
      </c>
      <c r="TGY56" s="850">
        <f t="shared" si="229"/>
        <v>1.1917871601279189E+92</v>
      </c>
      <c r="TGZ56" s="850">
        <f t="shared" si="229"/>
        <v>0</v>
      </c>
      <c r="THA56" s="850">
        <f t="shared" si="229"/>
        <v>1.2275407749317565E+92</v>
      </c>
      <c r="THB56" s="850">
        <f t="shared" si="229"/>
        <v>0</v>
      </c>
      <c r="THC56" s="850">
        <f t="shared" si="229"/>
        <v>1.2643669981797093E+92</v>
      </c>
      <c r="THD56" s="850">
        <f t="shared" si="229"/>
        <v>0</v>
      </c>
      <c r="THE56" s="850">
        <f t="shared" si="229"/>
        <v>1.3022980081251005E+92</v>
      </c>
      <c r="THF56" s="850">
        <f t="shared" si="229"/>
        <v>0</v>
      </c>
      <c r="THG56" s="850">
        <f t="shared" si="229"/>
        <v>1.3413669483688537E+92</v>
      </c>
      <c r="THH56" s="850">
        <f t="shared" si="229"/>
        <v>0</v>
      </c>
      <c r="THI56" s="850">
        <f t="shared" si="229"/>
        <v>1.3816079568199193E+92</v>
      </c>
      <c r="THJ56" s="850">
        <f t="shared" si="229"/>
        <v>0</v>
      </c>
      <c r="THK56" s="850">
        <f t="shared" si="229"/>
        <v>1.4230561955245169E+92</v>
      </c>
      <c r="THL56" s="850">
        <f t="shared" si="229"/>
        <v>0</v>
      </c>
      <c r="THM56" s="850">
        <f t="shared" si="229"/>
        <v>1.4657478813902525E+92</v>
      </c>
      <c r="THN56" s="850">
        <f t="shared" si="229"/>
        <v>0</v>
      </c>
      <c r="THO56" s="850">
        <f t="shared" si="229"/>
        <v>1.5097203178319602E+92</v>
      </c>
      <c r="THP56" s="850">
        <f t="shared" si="229"/>
        <v>0</v>
      </c>
      <c r="THQ56" s="850">
        <f t="shared" si="229"/>
        <v>1.555011927366919E+92</v>
      </c>
      <c r="THR56" s="850">
        <f t="shared" si="229"/>
        <v>0</v>
      </c>
      <c r="THS56" s="850">
        <f t="shared" si="229"/>
        <v>1.6016622851879266E+92</v>
      </c>
      <c r="THT56" s="850">
        <f t="shared" si="229"/>
        <v>0</v>
      </c>
      <c r="THU56" s="850">
        <f t="shared" si="229"/>
        <v>1.6497121537435644E+92</v>
      </c>
      <c r="THV56" s="850">
        <f t="shared" si="229"/>
        <v>0</v>
      </c>
      <c r="THW56" s="850">
        <f t="shared" si="229"/>
        <v>1.6992035183558714E+92</v>
      </c>
      <c r="THX56" s="850">
        <f t="shared" si="229"/>
        <v>0</v>
      </c>
      <c r="THY56" s="850">
        <f t="shared" si="229"/>
        <v>1.7501796239065476E+92</v>
      </c>
      <c r="THZ56" s="850">
        <f t="shared" si="229"/>
        <v>0</v>
      </c>
      <c r="TIA56" s="850">
        <f t="shared" si="229"/>
        <v>1.802685012623744E+92</v>
      </c>
      <c r="TIB56" s="850">
        <f t="shared" si="229"/>
        <v>0</v>
      </c>
      <c r="TIC56" s="850">
        <f t="shared" si="229"/>
        <v>1.8567655630024565E+92</v>
      </c>
      <c r="TID56" s="850">
        <f t="shared" si="229"/>
        <v>0</v>
      </c>
      <c r="TIE56" s="850">
        <f t="shared" si="229"/>
        <v>1.9124685298925303E+92</v>
      </c>
      <c r="TIF56" s="850">
        <f t="shared" si="229"/>
        <v>0</v>
      </c>
      <c r="TIG56" s="850">
        <f t="shared" si="229"/>
        <v>1.9698425857893062E+92</v>
      </c>
      <c r="TIH56" s="850">
        <f t="shared" si="229"/>
        <v>0</v>
      </c>
      <c r="TII56" s="850">
        <f t="shared" si="229"/>
        <v>2.0289378633629856E+92</v>
      </c>
      <c r="TIJ56" s="850">
        <f t="shared" si="229"/>
        <v>0</v>
      </c>
      <c r="TIK56" s="850">
        <f t="shared" si="229"/>
        <v>2.0898059992638751E+92</v>
      </c>
      <c r="TIL56" s="850">
        <f t="shared" si="229"/>
        <v>0</v>
      </c>
      <c r="TIM56" s="850">
        <f t="shared" si="229"/>
        <v>2.1525001792417914E+92</v>
      </c>
      <c r="TIN56" s="850">
        <f t="shared" si="229"/>
        <v>0</v>
      </c>
      <c r="TIO56" s="850">
        <f t="shared" si="229"/>
        <v>2.2170751846190454E+92</v>
      </c>
      <c r="TIP56" s="850">
        <f t="shared" ref="TIP56:TLA56" si="230">TIN56*$C$56</f>
        <v>0</v>
      </c>
      <c r="TIQ56" s="850">
        <f t="shared" si="230"/>
        <v>2.2835874401576169E+92</v>
      </c>
      <c r="TIR56" s="850">
        <f t="shared" si="230"/>
        <v>0</v>
      </c>
      <c r="TIS56" s="850">
        <f t="shared" si="230"/>
        <v>2.3520950633623454E+92</v>
      </c>
      <c r="TIT56" s="850">
        <f t="shared" si="230"/>
        <v>0</v>
      </c>
      <c r="TIU56" s="850">
        <f t="shared" si="230"/>
        <v>2.4226579152632157E+92</v>
      </c>
      <c r="TIV56" s="850">
        <f t="shared" si="230"/>
        <v>0</v>
      </c>
      <c r="TIW56" s="850">
        <f t="shared" si="230"/>
        <v>2.4953376527211121E+92</v>
      </c>
      <c r="TIX56" s="850">
        <f t="shared" si="230"/>
        <v>0</v>
      </c>
      <c r="TIY56" s="850">
        <f t="shared" si="230"/>
        <v>2.5701977823027455E+92</v>
      </c>
      <c r="TIZ56" s="850">
        <f t="shared" si="230"/>
        <v>0</v>
      </c>
      <c r="TJA56" s="850">
        <f t="shared" si="230"/>
        <v>2.6473037157718278E+92</v>
      </c>
      <c r="TJB56" s="850">
        <f t="shared" si="230"/>
        <v>0</v>
      </c>
      <c r="TJC56" s="850">
        <f t="shared" si="230"/>
        <v>2.7267228272449826E+92</v>
      </c>
      <c r="TJD56" s="850">
        <f t="shared" si="230"/>
        <v>0</v>
      </c>
      <c r="TJE56" s="850">
        <f t="shared" si="230"/>
        <v>2.808524512062332E+92</v>
      </c>
      <c r="TJF56" s="850">
        <f t="shared" si="230"/>
        <v>0</v>
      </c>
      <c r="TJG56" s="850">
        <f t="shared" si="230"/>
        <v>2.8927802474242019E+92</v>
      </c>
      <c r="TJH56" s="850">
        <f t="shared" si="230"/>
        <v>0</v>
      </c>
      <c r="TJI56" s="850">
        <f t="shared" si="230"/>
        <v>2.9795636548469278E+92</v>
      </c>
      <c r="TJJ56" s="850">
        <f t="shared" si="230"/>
        <v>0</v>
      </c>
      <c r="TJK56" s="850">
        <f t="shared" si="230"/>
        <v>3.0689505644923357E+92</v>
      </c>
      <c r="TJL56" s="850">
        <f t="shared" si="230"/>
        <v>0</v>
      </c>
      <c r="TJM56" s="850">
        <f t="shared" si="230"/>
        <v>3.1610190814271056E+92</v>
      </c>
      <c r="TJN56" s="850">
        <f t="shared" si="230"/>
        <v>0</v>
      </c>
      <c r="TJO56" s="850">
        <f t="shared" si="230"/>
        <v>3.2558496538699189E+92</v>
      </c>
      <c r="TJP56" s="850">
        <f t="shared" si="230"/>
        <v>0</v>
      </c>
      <c r="TJQ56" s="850">
        <f t="shared" si="230"/>
        <v>3.3535251434860164E+92</v>
      </c>
      <c r="TJR56" s="850">
        <f t="shared" si="230"/>
        <v>0</v>
      </c>
      <c r="TJS56" s="850">
        <f t="shared" si="230"/>
        <v>3.4541308977905968E+92</v>
      </c>
      <c r="TJT56" s="850">
        <f t="shared" si="230"/>
        <v>0</v>
      </c>
      <c r="TJU56" s="850">
        <f t="shared" si="230"/>
        <v>3.5577548247243148E+92</v>
      </c>
      <c r="TJV56" s="850">
        <f t="shared" si="230"/>
        <v>0</v>
      </c>
      <c r="TJW56" s="850">
        <f t="shared" si="230"/>
        <v>3.6644874694660442E+92</v>
      </c>
      <c r="TJX56" s="850">
        <f t="shared" si="230"/>
        <v>0</v>
      </c>
      <c r="TJY56" s="850">
        <f t="shared" si="230"/>
        <v>3.7744220935500258E+92</v>
      </c>
      <c r="TJZ56" s="850">
        <f t="shared" si="230"/>
        <v>0</v>
      </c>
      <c r="TKA56" s="850">
        <f t="shared" si="230"/>
        <v>3.8876547563565267E+92</v>
      </c>
      <c r="TKB56" s="850">
        <f t="shared" si="230"/>
        <v>0</v>
      </c>
      <c r="TKC56" s="850">
        <f t="shared" si="230"/>
        <v>4.0042843990472227E+92</v>
      </c>
      <c r="TKD56" s="850">
        <f t="shared" si="230"/>
        <v>0</v>
      </c>
      <c r="TKE56" s="850">
        <f t="shared" si="230"/>
        <v>4.1244129310186392E+92</v>
      </c>
      <c r="TKF56" s="850">
        <f t="shared" si="230"/>
        <v>0</v>
      </c>
      <c r="TKG56" s="850">
        <f t="shared" si="230"/>
        <v>4.2481453189491987E+92</v>
      </c>
      <c r="TKH56" s="850">
        <f t="shared" si="230"/>
        <v>0</v>
      </c>
      <c r="TKI56" s="850">
        <f t="shared" si="230"/>
        <v>4.375589678517675E+92</v>
      </c>
      <c r="TKJ56" s="850">
        <f t="shared" si="230"/>
        <v>0</v>
      </c>
      <c r="TKK56" s="850">
        <f t="shared" si="230"/>
        <v>4.5068573688732053E+92</v>
      </c>
      <c r="TKL56" s="850">
        <f t="shared" si="230"/>
        <v>0</v>
      </c>
      <c r="TKM56" s="850">
        <f t="shared" si="230"/>
        <v>4.6420630899394016E+92</v>
      </c>
      <c r="TKN56" s="850">
        <f t="shared" si="230"/>
        <v>0</v>
      </c>
      <c r="TKO56" s="850">
        <f t="shared" si="230"/>
        <v>4.7813249826375841E+92</v>
      </c>
      <c r="TKP56" s="850">
        <f t="shared" si="230"/>
        <v>0</v>
      </c>
      <c r="TKQ56" s="850">
        <f t="shared" si="230"/>
        <v>4.9247647321167115E+92</v>
      </c>
      <c r="TKR56" s="850">
        <f t="shared" si="230"/>
        <v>0</v>
      </c>
      <c r="TKS56" s="850">
        <f t="shared" si="230"/>
        <v>5.072507674080213E+92</v>
      </c>
      <c r="TKT56" s="850">
        <f t="shared" si="230"/>
        <v>0</v>
      </c>
      <c r="TKU56" s="850">
        <f t="shared" si="230"/>
        <v>5.2246829043026195E+92</v>
      </c>
      <c r="TKV56" s="850">
        <f t="shared" si="230"/>
        <v>0</v>
      </c>
      <c r="TKW56" s="850">
        <f t="shared" si="230"/>
        <v>5.3814233914316988E+92</v>
      </c>
      <c r="TKX56" s="850">
        <f t="shared" si="230"/>
        <v>0</v>
      </c>
      <c r="TKY56" s="850">
        <f t="shared" si="230"/>
        <v>5.5428660931746504E+92</v>
      </c>
      <c r="TKZ56" s="850">
        <f t="shared" si="230"/>
        <v>0</v>
      </c>
      <c r="TLA56" s="850">
        <f t="shared" si="230"/>
        <v>5.7091520759698896E+92</v>
      </c>
      <c r="TLB56" s="850">
        <f t="shared" ref="TLB56:TNM56" si="231">TKZ56*$C$56</f>
        <v>0</v>
      </c>
      <c r="TLC56" s="850">
        <f t="shared" si="231"/>
        <v>5.8804266382489862E+92</v>
      </c>
      <c r="TLD56" s="850">
        <f t="shared" si="231"/>
        <v>0</v>
      </c>
      <c r="TLE56" s="850">
        <f t="shared" si="231"/>
        <v>6.056839437396456E+92</v>
      </c>
      <c r="TLF56" s="850">
        <f t="shared" si="231"/>
        <v>0</v>
      </c>
      <c r="TLG56" s="850">
        <f t="shared" si="231"/>
        <v>6.2385446205183501E+92</v>
      </c>
      <c r="TLH56" s="850">
        <f t="shared" si="231"/>
        <v>0</v>
      </c>
      <c r="TLI56" s="850">
        <f t="shared" si="231"/>
        <v>6.4257009591339011E+92</v>
      </c>
      <c r="TLJ56" s="850">
        <f t="shared" si="231"/>
        <v>0</v>
      </c>
      <c r="TLK56" s="850">
        <f t="shared" si="231"/>
        <v>6.6184719879079179E+92</v>
      </c>
      <c r="TLL56" s="850">
        <f t="shared" si="231"/>
        <v>0</v>
      </c>
      <c r="TLM56" s="850">
        <f t="shared" si="231"/>
        <v>6.8170261475451551E+92</v>
      </c>
      <c r="TLN56" s="850">
        <f t="shared" si="231"/>
        <v>0</v>
      </c>
      <c r="TLO56" s="850">
        <f t="shared" si="231"/>
        <v>7.0215369319715094E+92</v>
      </c>
      <c r="TLP56" s="850">
        <f t="shared" si="231"/>
        <v>0</v>
      </c>
      <c r="TLQ56" s="850">
        <f t="shared" si="231"/>
        <v>7.2321830399306547E+92</v>
      </c>
      <c r="TLR56" s="850">
        <f t="shared" si="231"/>
        <v>0</v>
      </c>
      <c r="TLS56" s="850">
        <f t="shared" si="231"/>
        <v>7.449148531128575E+92</v>
      </c>
      <c r="TLT56" s="850">
        <f t="shared" si="231"/>
        <v>0</v>
      </c>
      <c r="TLU56" s="850">
        <f t="shared" si="231"/>
        <v>7.6726229870624326E+92</v>
      </c>
      <c r="TLV56" s="850">
        <f t="shared" si="231"/>
        <v>0</v>
      </c>
      <c r="TLW56" s="850">
        <f t="shared" si="231"/>
        <v>7.9028016766743054E+92</v>
      </c>
      <c r="TLX56" s="850">
        <f t="shared" si="231"/>
        <v>0</v>
      </c>
      <c r="TLY56" s="850">
        <f t="shared" si="231"/>
        <v>8.1398857269745347E+92</v>
      </c>
      <c r="TLZ56" s="850">
        <f t="shared" si="231"/>
        <v>0</v>
      </c>
      <c r="TMA56" s="850">
        <f t="shared" si="231"/>
        <v>8.3840822987837711E+92</v>
      </c>
      <c r="TMB56" s="850">
        <f t="shared" si="231"/>
        <v>0</v>
      </c>
      <c r="TMC56" s="850">
        <f t="shared" si="231"/>
        <v>8.6356047677472841E+92</v>
      </c>
      <c r="TMD56" s="850">
        <f t="shared" si="231"/>
        <v>0</v>
      </c>
      <c r="TME56" s="850">
        <f t="shared" si="231"/>
        <v>8.8946729107797023E+92</v>
      </c>
      <c r="TMF56" s="850">
        <f t="shared" si="231"/>
        <v>0</v>
      </c>
      <c r="TMG56" s="850">
        <f t="shared" si="231"/>
        <v>9.1615130981030933E+92</v>
      </c>
      <c r="TMH56" s="850">
        <f t="shared" si="231"/>
        <v>0</v>
      </c>
      <c r="TMI56" s="850">
        <f t="shared" si="231"/>
        <v>9.4363584910461867E+92</v>
      </c>
      <c r="TMJ56" s="850">
        <f t="shared" si="231"/>
        <v>0</v>
      </c>
      <c r="TMK56" s="850">
        <f t="shared" si="231"/>
        <v>9.7194492457775727E+92</v>
      </c>
      <c r="TML56" s="850">
        <f t="shared" si="231"/>
        <v>0</v>
      </c>
      <c r="TMM56" s="850">
        <f t="shared" si="231"/>
        <v>1.00110327231509E+93</v>
      </c>
      <c r="TMN56" s="850">
        <f t="shared" si="231"/>
        <v>0</v>
      </c>
      <c r="TMO56" s="850">
        <f t="shared" si="231"/>
        <v>1.0311363704845427E+93</v>
      </c>
      <c r="TMP56" s="850">
        <f t="shared" si="231"/>
        <v>0</v>
      </c>
      <c r="TMQ56" s="850">
        <f t="shared" si="231"/>
        <v>1.062070461599079E+93</v>
      </c>
      <c r="TMR56" s="850">
        <f t="shared" si="231"/>
        <v>0</v>
      </c>
      <c r="TMS56" s="850">
        <f t="shared" si="231"/>
        <v>1.0939325754470514E+93</v>
      </c>
      <c r="TMT56" s="850">
        <f t="shared" si="231"/>
        <v>0</v>
      </c>
      <c r="TMU56" s="850">
        <f t="shared" si="231"/>
        <v>1.126750552710463E+93</v>
      </c>
      <c r="TMV56" s="850">
        <f t="shared" si="231"/>
        <v>0</v>
      </c>
      <c r="TMW56" s="850">
        <f t="shared" si="231"/>
        <v>1.1605530692917769E+93</v>
      </c>
      <c r="TMX56" s="850">
        <f t="shared" si="231"/>
        <v>0</v>
      </c>
      <c r="TMY56" s="850">
        <f t="shared" si="231"/>
        <v>1.1953696613705303E+93</v>
      </c>
      <c r="TMZ56" s="850">
        <f t="shared" si="231"/>
        <v>0</v>
      </c>
      <c r="TNA56" s="850">
        <f t="shared" si="231"/>
        <v>1.2312307512116462E+93</v>
      </c>
      <c r="TNB56" s="850">
        <f t="shared" si="231"/>
        <v>0</v>
      </c>
      <c r="TNC56" s="850">
        <f t="shared" si="231"/>
        <v>1.2681676737479956E+93</v>
      </c>
      <c r="TND56" s="850">
        <f t="shared" si="231"/>
        <v>0</v>
      </c>
      <c r="TNE56" s="850">
        <f t="shared" si="231"/>
        <v>1.3062127039604355E+93</v>
      </c>
      <c r="TNF56" s="850">
        <f t="shared" si="231"/>
        <v>0</v>
      </c>
      <c r="TNG56" s="850">
        <f t="shared" si="231"/>
        <v>1.3453990850792486E+93</v>
      </c>
      <c r="TNH56" s="850">
        <f t="shared" si="231"/>
        <v>0</v>
      </c>
      <c r="TNI56" s="850">
        <f t="shared" si="231"/>
        <v>1.3857610576316261E+93</v>
      </c>
      <c r="TNJ56" s="850">
        <f t="shared" si="231"/>
        <v>0</v>
      </c>
      <c r="TNK56" s="850">
        <f t="shared" si="231"/>
        <v>1.4273338893605749E+93</v>
      </c>
      <c r="TNL56" s="850">
        <f t="shared" si="231"/>
        <v>0</v>
      </c>
      <c r="TNM56" s="850">
        <f t="shared" si="231"/>
        <v>1.4701539060413922E+93</v>
      </c>
      <c r="TNN56" s="850">
        <f t="shared" ref="TNN56:TPY56" si="232">TNL56*$C$56</f>
        <v>0</v>
      </c>
      <c r="TNO56" s="850">
        <f t="shared" si="232"/>
        <v>1.5142585232226339E+93</v>
      </c>
      <c r="TNP56" s="850">
        <f t="shared" si="232"/>
        <v>0</v>
      </c>
      <c r="TNQ56" s="850">
        <f t="shared" si="232"/>
        <v>1.559686278919313E+93</v>
      </c>
      <c r="TNR56" s="850">
        <f t="shared" si="232"/>
        <v>0</v>
      </c>
      <c r="TNS56" s="850">
        <f t="shared" si="232"/>
        <v>1.6064768672868925E+93</v>
      </c>
      <c r="TNT56" s="850">
        <f t="shared" si="232"/>
        <v>0</v>
      </c>
      <c r="TNU56" s="850">
        <f t="shared" si="232"/>
        <v>1.6546711733054994E+93</v>
      </c>
      <c r="TNV56" s="850">
        <f t="shared" si="232"/>
        <v>0</v>
      </c>
      <c r="TNW56" s="850">
        <f t="shared" si="232"/>
        <v>1.7043113085046644E+93</v>
      </c>
      <c r="TNX56" s="850">
        <f t="shared" si="232"/>
        <v>0</v>
      </c>
      <c r="TNY56" s="850">
        <f t="shared" si="232"/>
        <v>1.7554406477598044E+93</v>
      </c>
      <c r="TNZ56" s="850">
        <f t="shared" si="232"/>
        <v>0</v>
      </c>
      <c r="TOA56" s="850">
        <f t="shared" si="232"/>
        <v>1.8081038671925986E+93</v>
      </c>
      <c r="TOB56" s="850">
        <f t="shared" si="232"/>
        <v>0</v>
      </c>
      <c r="TOC56" s="850">
        <f t="shared" si="232"/>
        <v>1.8623469832083766E+93</v>
      </c>
      <c r="TOD56" s="850">
        <f t="shared" si="232"/>
        <v>0</v>
      </c>
      <c r="TOE56" s="850">
        <f t="shared" si="232"/>
        <v>1.918217392704628E+93</v>
      </c>
      <c r="TOF56" s="850">
        <f t="shared" si="232"/>
        <v>0</v>
      </c>
      <c r="TOG56" s="850">
        <f t="shared" si="232"/>
        <v>1.975763914485767E+93</v>
      </c>
      <c r="TOH56" s="850">
        <f t="shared" si="232"/>
        <v>0</v>
      </c>
      <c r="TOI56" s="850">
        <f t="shared" si="232"/>
        <v>2.0350368319203401E+93</v>
      </c>
      <c r="TOJ56" s="850">
        <f t="shared" si="232"/>
        <v>0</v>
      </c>
      <c r="TOK56" s="850">
        <f t="shared" si="232"/>
        <v>2.0960879368779504E+93</v>
      </c>
      <c r="TOL56" s="850">
        <f t="shared" si="232"/>
        <v>0</v>
      </c>
      <c r="TOM56" s="850">
        <f t="shared" si="232"/>
        <v>2.1589705749842888E+93</v>
      </c>
      <c r="TON56" s="850">
        <f t="shared" si="232"/>
        <v>0</v>
      </c>
      <c r="TOO56" s="850">
        <f t="shared" si="232"/>
        <v>2.2237396922338174E+93</v>
      </c>
      <c r="TOP56" s="850">
        <f t="shared" si="232"/>
        <v>0</v>
      </c>
      <c r="TOQ56" s="850">
        <f t="shared" si="232"/>
        <v>2.2904518830008319E+93</v>
      </c>
      <c r="TOR56" s="850">
        <f t="shared" si="232"/>
        <v>0</v>
      </c>
      <c r="TOS56" s="850">
        <f t="shared" si="232"/>
        <v>2.3591654394908569E+93</v>
      </c>
      <c r="TOT56" s="850">
        <f t="shared" si="232"/>
        <v>0</v>
      </c>
      <c r="TOU56" s="850">
        <f t="shared" si="232"/>
        <v>2.4299404026755827E+93</v>
      </c>
      <c r="TOV56" s="850">
        <f t="shared" si="232"/>
        <v>0</v>
      </c>
      <c r="TOW56" s="850">
        <f t="shared" si="232"/>
        <v>2.5028386147558502E+93</v>
      </c>
      <c r="TOX56" s="850">
        <f t="shared" si="232"/>
        <v>0</v>
      </c>
      <c r="TOY56" s="850">
        <f t="shared" si="232"/>
        <v>2.5779237731985259E+93</v>
      </c>
      <c r="TOZ56" s="850">
        <f t="shared" si="232"/>
        <v>0</v>
      </c>
      <c r="TPA56" s="850">
        <f t="shared" si="232"/>
        <v>2.6552614863944819E+93</v>
      </c>
      <c r="TPB56" s="850">
        <f t="shared" si="232"/>
        <v>0</v>
      </c>
      <c r="TPC56" s="850">
        <f t="shared" si="232"/>
        <v>2.7349193309863163E+93</v>
      </c>
      <c r="TPD56" s="850">
        <f t="shared" si="232"/>
        <v>0</v>
      </c>
      <c r="TPE56" s="850">
        <f t="shared" si="232"/>
        <v>2.8169669109159059E+93</v>
      </c>
      <c r="TPF56" s="850">
        <f t="shared" si="232"/>
        <v>0</v>
      </c>
      <c r="TPG56" s="850">
        <f t="shared" si="232"/>
        <v>2.901475918243383E+93</v>
      </c>
      <c r="TPH56" s="850">
        <f t="shared" si="232"/>
        <v>0</v>
      </c>
      <c r="TPI56" s="850">
        <f t="shared" si="232"/>
        <v>2.9885201957906847E+93</v>
      </c>
      <c r="TPJ56" s="850">
        <f t="shared" si="232"/>
        <v>0</v>
      </c>
      <c r="TPK56" s="850">
        <f t="shared" si="232"/>
        <v>3.0781758016644054E+93</v>
      </c>
      <c r="TPL56" s="850">
        <f t="shared" si="232"/>
        <v>0</v>
      </c>
      <c r="TPM56" s="850">
        <f t="shared" si="232"/>
        <v>3.1705210757143377E+93</v>
      </c>
      <c r="TPN56" s="850">
        <f t="shared" si="232"/>
        <v>0</v>
      </c>
      <c r="TPO56" s="850">
        <f t="shared" si="232"/>
        <v>3.2656367079857679E+93</v>
      </c>
      <c r="TPP56" s="850">
        <f t="shared" si="232"/>
        <v>0</v>
      </c>
      <c r="TPQ56" s="850">
        <f t="shared" si="232"/>
        <v>3.3636058092253408E+93</v>
      </c>
      <c r="TPR56" s="850">
        <f t="shared" si="232"/>
        <v>0</v>
      </c>
      <c r="TPS56" s="850">
        <f t="shared" si="232"/>
        <v>3.4645139835021012E+93</v>
      </c>
      <c r="TPT56" s="850">
        <f t="shared" si="232"/>
        <v>0</v>
      </c>
      <c r="TPU56" s="850">
        <f t="shared" si="232"/>
        <v>3.5684494030071643E+93</v>
      </c>
      <c r="TPV56" s="850">
        <f t="shared" si="232"/>
        <v>0</v>
      </c>
      <c r="TPW56" s="850">
        <f t="shared" si="232"/>
        <v>3.6755028850973792E+93</v>
      </c>
      <c r="TPX56" s="850">
        <f t="shared" si="232"/>
        <v>0</v>
      </c>
      <c r="TPY56" s="850">
        <f t="shared" si="232"/>
        <v>3.7857679716503007E+93</v>
      </c>
      <c r="TPZ56" s="850">
        <f t="shared" ref="TPZ56:TSK56" si="233">TPX56*$C$56</f>
        <v>0</v>
      </c>
      <c r="TQA56" s="850">
        <f t="shared" si="233"/>
        <v>3.8993410107998097E+93</v>
      </c>
      <c r="TQB56" s="850">
        <f t="shared" si="233"/>
        <v>0</v>
      </c>
      <c r="TQC56" s="850">
        <f t="shared" si="233"/>
        <v>4.0163212411238044E+93</v>
      </c>
      <c r="TQD56" s="850">
        <f t="shared" si="233"/>
        <v>0</v>
      </c>
      <c r="TQE56" s="850">
        <f t="shared" si="233"/>
        <v>4.1368108783575186E+93</v>
      </c>
      <c r="TQF56" s="850">
        <f t="shared" si="233"/>
        <v>0</v>
      </c>
      <c r="TQG56" s="850">
        <f t="shared" si="233"/>
        <v>4.2609152047082438E+93</v>
      </c>
      <c r="TQH56" s="850">
        <f t="shared" si="233"/>
        <v>0</v>
      </c>
      <c r="TQI56" s="850">
        <f t="shared" si="233"/>
        <v>4.3887426608494909E+93</v>
      </c>
      <c r="TQJ56" s="850">
        <f t="shared" si="233"/>
        <v>0</v>
      </c>
      <c r="TQK56" s="850">
        <f t="shared" si="233"/>
        <v>4.5204049406749755E+93</v>
      </c>
      <c r="TQL56" s="850">
        <f t="shared" si="233"/>
        <v>0</v>
      </c>
      <c r="TQM56" s="850">
        <f t="shared" si="233"/>
        <v>4.6560170888952253E+93</v>
      </c>
      <c r="TQN56" s="850">
        <f t="shared" si="233"/>
        <v>0</v>
      </c>
      <c r="TQO56" s="850">
        <f t="shared" si="233"/>
        <v>4.7956976015620825E+93</v>
      </c>
      <c r="TQP56" s="850">
        <f t="shared" si="233"/>
        <v>0</v>
      </c>
      <c r="TQQ56" s="850">
        <f t="shared" si="233"/>
        <v>4.9395685296089449E+93</v>
      </c>
      <c r="TQR56" s="850">
        <f t="shared" si="233"/>
        <v>0</v>
      </c>
      <c r="TQS56" s="850">
        <f t="shared" si="233"/>
        <v>5.0877555854972134E+93</v>
      </c>
      <c r="TQT56" s="850">
        <f t="shared" si="233"/>
        <v>0</v>
      </c>
      <c r="TQU56" s="850">
        <f t="shared" si="233"/>
        <v>5.2403882530621295E+93</v>
      </c>
      <c r="TQV56" s="850">
        <f t="shared" si="233"/>
        <v>0</v>
      </c>
      <c r="TQW56" s="850">
        <f t="shared" si="233"/>
        <v>5.3975999006539939E+93</v>
      </c>
      <c r="TQX56" s="850">
        <f t="shared" si="233"/>
        <v>0</v>
      </c>
      <c r="TQY56" s="850">
        <f t="shared" si="233"/>
        <v>5.5595278976736142E+93</v>
      </c>
      <c r="TQZ56" s="850">
        <f t="shared" si="233"/>
        <v>0</v>
      </c>
      <c r="TRA56" s="850">
        <f t="shared" si="233"/>
        <v>5.7263137346038226E+93</v>
      </c>
      <c r="TRB56" s="850">
        <f t="shared" si="233"/>
        <v>0</v>
      </c>
      <c r="TRC56" s="850">
        <f t="shared" si="233"/>
        <v>5.8981031466419372E+93</v>
      </c>
      <c r="TRD56" s="850">
        <f t="shared" si="233"/>
        <v>0</v>
      </c>
      <c r="TRE56" s="850">
        <f t="shared" si="233"/>
        <v>6.0750462410411957E+93</v>
      </c>
      <c r="TRF56" s="850">
        <f t="shared" si="233"/>
        <v>0</v>
      </c>
      <c r="TRG56" s="850">
        <f t="shared" si="233"/>
        <v>6.257297628272432E+93</v>
      </c>
      <c r="TRH56" s="850">
        <f t="shared" si="233"/>
        <v>0</v>
      </c>
      <c r="TRI56" s="850">
        <f t="shared" si="233"/>
        <v>6.4450165571206055E+93</v>
      </c>
      <c r="TRJ56" s="850">
        <f t="shared" si="233"/>
        <v>0</v>
      </c>
      <c r="TRK56" s="850">
        <f t="shared" si="233"/>
        <v>6.6383670538342236E+93</v>
      </c>
      <c r="TRL56" s="850">
        <f t="shared" si="233"/>
        <v>0</v>
      </c>
      <c r="TRM56" s="850">
        <f t="shared" si="233"/>
        <v>6.8375180654492505E+93</v>
      </c>
      <c r="TRN56" s="850">
        <f t="shared" si="233"/>
        <v>0</v>
      </c>
      <c r="TRO56" s="850">
        <f t="shared" si="233"/>
        <v>7.0426436074127287E+93</v>
      </c>
      <c r="TRP56" s="850">
        <f t="shared" si="233"/>
        <v>0</v>
      </c>
      <c r="TRQ56" s="850">
        <f t="shared" si="233"/>
        <v>7.2539229156351104E+93</v>
      </c>
      <c r="TRR56" s="850">
        <f t="shared" si="233"/>
        <v>0</v>
      </c>
      <c r="TRS56" s="850">
        <f t="shared" si="233"/>
        <v>7.4715406031041636E+93</v>
      </c>
      <c r="TRT56" s="850">
        <f t="shared" si="233"/>
        <v>0</v>
      </c>
      <c r="TRU56" s="850">
        <f t="shared" si="233"/>
        <v>7.6956868211972891E+93</v>
      </c>
      <c r="TRV56" s="850">
        <f t="shared" si="233"/>
        <v>0</v>
      </c>
      <c r="TRW56" s="850">
        <f t="shared" si="233"/>
        <v>7.9265574258332084E+93</v>
      </c>
      <c r="TRX56" s="850">
        <f t="shared" si="233"/>
        <v>0</v>
      </c>
      <c r="TRY56" s="850">
        <f t="shared" si="233"/>
        <v>8.164354148608205E+93</v>
      </c>
      <c r="TRZ56" s="850">
        <f t="shared" si="233"/>
        <v>0</v>
      </c>
      <c r="TSA56" s="850">
        <f t="shared" si="233"/>
        <v>8.4092847730664511E+93</v>
      </c>
      <c r="TSB56" s="850">
        <f t="shared" si="233"/>
        <v>0</v>
      </c>
      <c r="TSC56" s="850">
        <f t="shared" si="233"/>
        <v>8.6615633162584444E+93</v>
      </c>
      <c r="TSD56" s="850">
        <f t="shared" si="233"/>
        <v>0</v>
      </c>
      <c r="TSE56" s="850">
        <f t="shared" si="233"/>
        <v>8.9214102157461984E+93</v>
      </c>
      <c r="TSF56" s="850">
        <f t="shared" si="233"/>
        <v>0</v>
      </c>
      <c r="TSG56" s="850">
        <f t="shared" si="233"/>
        <v>9.1890525222185851E+93</v>
      </c>
      <c r="TSH56" s="850">
        <f t="shared" si="233"/>
        <v>0</v>
      </c>
      <c r="TSI56" s="850">
        <f t="shared" si="233"/>
        <v>9.4647240978851427E+93</v>
      </c>
      <c r="TSJ56" s="850">
        <f t="shared" si="233"/>
        <v>0</v>
      </c>
      <c r="TSK56" s="850">
        <f t="shared" si="233"/>
        <v>9.7486658208216978E+93</v>
      </c>
      <c r="TSL56" s="850">
        <f t="shared" ref="TSL56:TUW56" si="234">TSJ56*$C$56</f>
        <v>0</v>
      </c>
      <c r="TSM56" s="850">
        <f t="shared" si="234"/>
        <v>1.0041125795446349E+94</v>
      </c>
      <c r="TSN56" s="850">
        <f t="shared" si="234"/>
        <v>0</v>
      </c>
      <c r="TSO56" s="850">
        <f t="shared" si="234"/>
        <v>1.034235956930974E+94</v>
      </c>
      <c r="TSP56" s="850">
        <f t="shared" si="234"/>
        <v>0</v>
      </c>
      <c r="TSQ56" s="850">
        <f t="shared" si="234"/>
        <v>1.0652630356389032E+94</v>
      </c>
      <c r="TSR56" s="850">
        <f t="shared" si="234"/>
        <v>0</v>
      </c>
      <c r="TSS56" s="850">
        <f t="shared" si="234"/>
        <v>1.0972209267080704E+94</v>
      </c>
      <c r="TST56" s="850">
        <f t="shared" si="234"/>
        <v>0</v>
      </c>
      <c r="TSU56" s="850">
        <f t="shared" si="234"/>
        <v>1.1301375545093126E+94</v>
      </c>
      <c r="TSV56" s="850">
        <f t="shared" si="234"/>
        <v>0</v>
      </c>
      <c r="TSW56" s="850">
        <f t="shared" si="234"/>
        <v>1.1640416811445921E+94</v>
      </c>
      <c r="TSX56" s="850">
        <f t="shared" si="234"/>
        <v>0</v>
      </c>
      <c r="TSY56" s="850">
        <f t="shared" si="234"/>
        <v>1.1989629315789299E+94</v>
      </c>
      <c r="TSZ56" s="850">
        <f t="shared" si="234"/>
        <v>0</v>
      </c>
      <c r="TTA56" s="850">
        <f t="shared" si="234"/>
        <v>1.2349318195262978E+94</v>
      </c>
      <c r="TTB56" s="850">
        <f t="shared" si="234"/>
        <v>0</v>
      </c>
      <c r="TTC56" s="850">
        <f t="shared" si="234"/>
        <v>1.2719797741120869E+94</v>
      </c>
      <c r="TTD56" s="850">
        <f t="shared" si="234"/>
        <v>0</v>
      </c>
      <c r="TTE56" s="850">
        <f t="shared" si="234"/>
        <v>1.3101391673354494E+94</v>
      </c>
      <c r="TTF56" s="850">
        <f t="shared" si="234"/>
        <v>0</v>
      </c>
      <c r="TTG56" s="850">
        <f t="shared" si="234"/>
        <v>1.349443342355513E+94</v>
      </c>
      <c r="TTH56" s="850">
        <f t="shared" si="234"/>
        <v>0</v>
      </c>
      <c r="TTI56" s="850">
        <f t="shared" si="234"/>
        <v>1.3899266426261784E+94</v>
      </c>
      <c r="TTJ56" s="850">
        <f t="shared" si="234"/>
        <v>0</v>
      </c>
      <c r="TTK56" s="850">
        <f t="shared" si="234"/>
        <v>1.4316244419049638E+94</v>
      </c>
      <c r="TTL56" s="850">
        <f t="shared" si="234"/>
        <v>0</v>
      </c>
      <c r="TTM56" s="850">
        <f t="shared" si="234"/>
        <v>1.4745731751621126E+94</v>
      </c>
      <c r="TTN56" s="850">
        <f t="shared" si="234"/>
        <v>0</v>
      </c>
      <c r="TTO56" s="850">
        <f t="shared" si="234"/>
        <v>1.518810370416976E+94</v>
      </c>
      <c r="TTP56" s="850">
        <f t="shared" si="234"/>
        <v>0</v>
      </c>
      <c r="TTQ56" s="850">
        <f t="shared" si="234"/>
        <v>1.5643746815294853E+94</v>
      </c>
      <c r="TTR56" s="850">
        <f t="shared" si="234"/>
        <v>0</v>
      </c>
      <c r="TTS56" s="850">
        <f t="shared" si="234"/>
        <v>1.6113059219753699E+94</v>
      </c>
      <c r="TTT56" s="850">
        <f t="shared" si="234"/>
        <v>0</v>
      </c>
      <c r="TTU56" s="850">
        <f t="shared" si="234"/>
        <v>1.659645099634631E+94</v>
      </c>
      <c r="TTV56" s="850">
        <f t="shared" si="234"/>
        <v>0</v>
      </c>
      <c r="TTW56" s="850">
        <f t="shared" si="234"/>
        <v>1.7094344526236699E+94</v>
      </c>
      <c r="TTX56" s="850">
        <f t="shared" si="234"/>
        <v>0</v>
      </c>
      <c r="TTY56" s="850">
        <f t="shared" si="234"/>
        <v>1.7607174862023802E+94</v>
      </c>
      <c r="TTZ56" s="850">
        <f t="shared" si="234"/>
        <v>0</v>
      </c>
      <c r="TUA56" s="850">
        <f t="shared" si="234"/>
        <v>1.8135390107884516E+94</v>
      </c>
      <c r="TUB56" s="850">
        <f t="shared" si="234"/>
        <v>0</v>
      </c>
      <c r="TUC56" s="850">
        <f t="shared" si="234"/>
        <v>1.8679451811121052E+94</v>
      </c>
      <c r="TUD56" s="850">
        <f t="shared" si="234"/>
        <v>0</v>
      </c>
      <c r="TUE56" s="850">
        <f t="shared" si="234"/>
        <v>1.9239835365454682E+94</v>
      </c>
      <c r="TUF56" s="850">
        <f t="shared" si="234"/>
        <v>0</v>
      </c>
      <c r="TUG56" s="850">
        <f t="shared" si="234"/>
        <v>1.9817030426418323E+94</v>
      </c>
      <c r="TUH56" s="850">
        <f t="shared" si="234"/>
        <v>0</v>
      </c>
      <c r="TUI56" s="850">
        <f t="shared" si="234"/>
        <v>2.0411541339210874E+94</v>
      </c>
      <c r="TUJ56" s="850">
        <f t="shared" si="234"/>
        <v>0</v>
      </c>
      <c r="TUK56" s="850">
        <f t="shared" si="234"/>
        <v>2.1023887579387199E+94</v>
      </c>
      <c r="TUL56" s="850">
        <f t="shared" si="234"/>
        <v>0</v>
      </c>
      <c r="TUM56" s="850">
        <f t="shared" si="234"/>
        <v>2.1654604206768817E+94</v>
      </c>
      <c r="TUN56" s="850">
        <f t="shared" si="234"/>
        <v>0</v>
      </c>
      <c r="TUO56" s="850">
        <f t="shared" si="234"/>
        <v>2.2304242332971881E+94</v>
      </c>
      <c r="TUP56" s="850">
        <f t="shared" si="234"/>
        <v>0</v>
      </c>
      <c r="TUQ56" s="850">
        <f t="shared" si="234"/>
        <v>2.2973369602961037E+94</v>
      </c>
      <c r="TUR56" s="850">
        <f t="shared" si="234"/>
        <v>0</v>
      </c>
      <c r="TUS56" s="850">
        <f t="shared" si="234"/>
        <v>2.3662570691049867E+94</v>
      </c>
      <c r="TUT56" s="850">
        <f t="shared" si="234"/>
        <v>0</v>
      </c>
      <c r="TUU56" s="850">
        <f t="shared" si="234"/>
        <v>2.4372447811781364E+94</v>
      </c>
      <c r="TUV56" s="850">
        <f t="shared" si="234"/>
        <v>0</v>
      </c>
      <c r="TUW56" s="850">
        <f t="shared" si="234"/>
        <v>2.5103621246134807E+94</v>
      </c>
      <c r="TUX56" s="850">
        <f t="shared" ref="TUX56:TXI56" si="235">TUV56*$C$56</f>
        <v>0</v>
      </c>
      <c r="TUY56" s="850">
        <f t="shared" si="235"/>
        <v>2.5856729883518852E+94</v>
      </c>
      <c r="TUZ56" s="850">
        <f t="shared" si="235"/>
        <v>0</v>
      </c>
      <c r="TVA56" s="850">
        <f t="shared" si="235"/>
        <v>2.663243178002442E+94</v>
      </c>
      <c r="TVB56" s="850">
        <f t="shared" si="235"/>
        <v>0</v>
      </c>
      <c r="TVC56" s="850">
        <f t="shared" si="235"/>
        <v>2.7431404733425155E+94</v>
      </c>
      <c r="TVD56" s="850">
        <f t="shared" si="235"/>
        <v>0</v>
      </c>
      <c r="TVE56" s="850">
        <f t="shared" si="235"/>
        <v>2.8254346875427912E+94</v>
      </c>
      <c r="TVF56" s="850">
        <f t="shared" si="235"/>
        <v>0</v>
      </c>
      <c r="TVG56" s="850">
        <f t="shared" si="235"/>
        <v>2.910197728169075E+94</v>
      </c>
      <c r="TVH56" s="850">
        <f t="shared" si="235"/>
        <v>0</v>
      </c>
      <c r="TVI56" s="850">
        <f t="shared" si="235"/>
        <v>2.9975036600141473E+94</v>
      </c>
      <c r="TVJ56" s="850">
        <f t="shared" si="235"/>
        <v>0</v>
      </c>
      <c r="TVK56" s="850">
        <f t="shared" si="235"/>
        <v>3.0874287698145717E+94</v>
      </c>
      <c r="TVL56" s="850">
        <f t="shared" si="235"/>
        <v>0</v>
      </c>
      <c r="TVM56" s="850">
        <f t="shared" si="235"/>
        <v>3.1800516329090087E+94</v>
      </c>
      <c r="TVN56" s="850">
        <f t="shared" si="235"/>
        <v>0</v>
      </c>
      <c r="TVO56" s="850">
        <f t="shared" si="235"/>
        <v>3.2754531818962793E+94</v>
      </c>
      <c r="TVP56" s="850">
        <f t="shared" si="235"/>
        <v>0</v>
      </c>
      <c r="TVQ56" s="850">
        <f t="shared" si="235"/>
        <v>3.3737167773531678E+94</v>
      </c>
      <c r="TVR56" s="850">
        <f t="shared" si="235"/>
        <v>0</v>
      </c>
      <c r="TVS56" s="850">
        <f t="shared" si="235"/>
        <v>3.4749282806737631E+94</v>
      </c>
      <c r="TVT56" s="850">
        <f t="shared" si="235"/>
        <v>0</v>
      </c>
      <c r="TVU56" s="850">
        <f t="shared" si="235"/>
        <v>3.5791761290939758E+94</v>
      </c>
      <c r="TVV56" s="850">
        <f t="shared" si="235"/>
        <v>0</v>
      </c>
      <c r="TVW56" s="850">
        <f t="shared" si="235"/>
        <v>3.686551412966795E+94</v>
      </c>
      <c r="TVX56" s="850">
        <f t="shared" si="235"/>
        <v>0</v>
      </c>
      <c r="TVY56" s="850">
        <f t="shared" si="235"/>
        <v>3.797147955355799E+94</v>
      </c>
      <c r="TVZ56" s="850">
        <f t="shared" si="235"/>
        <v>0</v>
      </c>
      <c r="TWA56" s="850">
        <f t="shared" si="235"/>
        <v>3.9110623940164733E+94</v>
      </c>
      <c r="TWB56" s="850">
        <f t="shared" si="235"/>
        <v>0</v>
      </c>
      <c r="TWC56" s="850">
        <f t="shared" si="235"/>
        <v>4.028394265836968E+94</v>
      </c>
      <c r="TWD56" s="850">
        <f t="shared" si="235"/>
        <v>0</v>
      </c>
      <c r="TWE56" s="850">
        <f t="shared" si="235"/>
        <v>4.149246093812077E+94</v>
      </c>
      <c r="TWF56" s="850">
        <f t="shared" si="235"/>
        <v>0</v>
      </c>
      <c r="TWG56" s="850">
        <f t="shared" si="235"/>
        <v>4.2737234766264393E+94</v>
      </c>
      <c r="TWH56" s="850">
        <f t="shared" si="235"/>
        <v>0</v>
      </c>
      <c r="TWI56" s="850">
        <f t="shared" si="235"/>
        <v>4.4019351809252328E+94</v>
      </c>
      <c r="TWJ56" s="850">
        <f t="shared" si="235"/>
        <v>0</v>
      </c>
      <c r="TWK56" s="850">
        <f t="shared" si="235"/>
        <v>4.5339932363529899E+94</v>
      </c>
      <c r="TWL56" s="850">
        <f t="shared" si="235"/>
        <v>0</v>
      </c>
      <c r="TWM56" s="850">
        <f t="shared" si="235"/>
        <v>4.6700130334435795E+94</v>
      </c>
      <c r="TWN56" s="850">
        <f t="shared" si="235"/>
        <v>0</v>
      </c>
      <c r="TWO56" s="850">
        <f t="shared" si="235"/>
        <v>4.8101134244468869E+94</v>
      </c>
      <c r="TWP56" s="850">
        <f t="shared" si="235"/>
        <v>0</v>
      </c>
      <c r="TWQ56" s="850">
        <f t="shared" si="235"/>
        <v>4.9544168271802939E+94</v>
      </c>
      <c r="TWR56" s="850">
        <f t="shared" si="235"/>
        <v>0</v>
      </c>
      <c r="TWS56" s="850">
        <f t="shared" si="235"/>
        <v>5.1030493319957027E+94</v>
      </c>
      <c r="TWT56" s="850">
        <f t="shared" si="235"/>
        <v>0</v>
      </c>
      <c r="TWU56" s="850">
        <f t="shared" si="235"/>
        <v>5.2561408119555738E+94</v>
      </c>
      <c r="TWV56" s="850">
        <f t="shared" si="235"/>
        <v>0</v>
      </c>
      <c r="TWW56" s="850">
        <f t="shared" si="235"/>
        <v>5.4138250363142412E+94</v>
      </c>
      <c r="TWX56" s="850">
        <f t="shared" si="235"/>
        <v>0</v>
      </c>
      <c r="TWY56" s="850">
        <f t="shared" si="235"/>
        <v>5.5762397874036685E+94</v>
      </c>
      <c r="TWZ56" s="850">
        <f t="shared" si="235"/>
        <v>0</v>
      </c>
      <c r="TXA56" s="850">
        <f t="shared" si="235"/>
        <v>5.7435269810257791E+94</v>
      </c>
      <c r="TXB56" s="850">
        <f t="shared" si="235"/>
        <v>0</v>
      </c>
      <c r="TXC56" s="850">
        <f t="shared" si="235"/>
        <v>5.9158327904565528E+94</v>
      </c>
      <c r="TXD56" s="850">
        <f t="shared" si="235"/>
        <v>0</v>
      </c>
      <c r="TXE56" s="850">
        <f t="shared" si="235"/>
        <v>6.0933077741702497E+94</v>
      </c>
      <c r="TXF56" s="850">
        <f t="shared" si="235"/>
        <v>0</v>
      </c>
      <c r="TXG56" s="850">
        <f t="shared" si="235"/>
        <v>6.2761070073953571E+94</v>
      </c>
      <c r="TXH56" s="850">
        <f t="shared" si="235"/>
        <v>0</v>
      </c>
      <c r="TXI56" s="850">
        <f t="shared" si="235"/>
        <v>6.464390217617218E+94</v>
      </c>
      <c r="TXJ56" s="850">
        <f t="shared" ref="TXJ56:TZU56" si="236">TXH56*$C$56</f>
        <v>0</v>
      </c>
      <c r="TXK56" s="850">
        <f t="shared" si="236"/>
        <v>6.658321924145735E+94</v>
      </c>
      <c r="TXL56" s="850">
        <f t="shared" si="236"/>
        <v>0</v>
      </c>
      <c r="TXM56" s="850">
        <f t="shared" si="236"/>
        <v>6.8580715818701077E+94</v>
      </c>
      <c r="TXN56" s="850">
        <f t="shared" si="236"/>
        <v>0</v>
      </c>
      <c r="TXO56" s="850">
        <f t="shared" si="236"/>
        <v>7.0638137293262109E+94</v>
      </c>
      <c r="TXP56" s="850">
        <f t="shared" si="236"/>
        <v>0</v>
      </c>
      <c r="TXQ56" s="850">
        <f t="shared" si="236"/>
        <v>7.2757281412059968E+94</v>
      </c>
      <c r="TXR56" s="850">
        <f t="shared" si="236"/>
        <v>0</v>
      </c>
      <c r="TXS56" s="850">
        <f t="shared" si="236"/>
        <v>7.4939999854421774E+94</v>
      </c>
      <c r="TXT56" s="850">
        <f t="shared" si="236"/>
        <v>0</v>
      </c>
      <c r="TXU56" s="850">
        <f t="shared" si="236"/>
        <v>7.7188199850054422E+94</v>
      </c>
      <c r="TXV56" s="850">
        <f t="shared" si="236"/>
        <v>0</v>
      </c>
      <c r="TXW56" s="850">
        <f t="shared" si="236"/>
        <v>7.9503845845556058E+94</v>
      </c>
      <c r="TXX56" s="850">
        <f t="shared" si="236"/>
        <v>0</v>
      </c>
      <c r="TXY56" s="850">
        <f t="shared" si="236"/>
        <v>8.188896122092274E+94</v>
      </c>
      <c r="TXZ56" s="850">
        <f t="shared" si="236"/>
        <v>0</v>
      </c>
      <c r="TYA56" s="850">
        <f t="shared" si="236"/>
        <v>8.4345630057550419E+94</v>
      </c>
      <c r="TYB56" s="850">
        <f t="shared" si="236"/>
        <v>0</v>
      </c>
      <c r="TYC56" s="850">
        <f t="shared" si="236"/>
        <v>8.6875998959276937E+94</v>
      </c>
      <c r="TYD56" s="850">
        <f t="shared" si="236"/>
        <v>0</v>
      </c>
      <c r="TYE56" s="850">
        <f t="shared" si="236"/>
        <v>8.9482278928055252E+94</v>
      </c>
      <c r="TYF56" s="850">
        <f t="shared" si="236"/>
        <v>0</v>
      </c>
      <c r="TYG56" s="850">
        <f t="shared" si="236"/>
        <v>9.2166747295896918E+94</v>
      </c>
      <c r="TYH56" s="850">
        <f t="shared" si="236"/>
        <v>0</v>
      </c>
      <c r="TYI56" s="850">
        <f t="shared" si="236"/>
        <v>9.4931749714773826E+94</v>
      </c>
      <c r="TYJ56" s="850">
        <f t="shared" si="236"/>
        <v>0</v>
      </c>
      <c r="TYK56" s="850">
        <f t="shared" si="236"/>
        <v>9.7779702206217044E+94</v>
      </c>
      <c r="TYL56" s="850">
        <f t="shared" si="236"/>
        <v>0</v>
      </c>
      <c r="TYM56" s="850">
        <f t="shared" si="236"/>
        <v>1.0071309327240355E+95</v>
      </c>
      <c r="TYN56" s="850">
        <f t="shared" si="236"/>
        <v>0</v>
      </c>
      <c r="TYO56" s="850">
        <f t="shared" si="236"/>
        <v>1.0373448607057566E+95</v>
      </c>
      <c r="TYP56" s="850">
        <f t="shared" si="236"/>
        <v>0</v>
      </c>
      <c r="TYQ56" s="850">
        <f t="shared" si="236"/>
        <v>1.0684652065269293E+95</v>
      </c>
      <c r="TYR56" s="850">
        <f t="shared" si="236"/>
        <v>0</v>
      </c>
      <c r="TYS56" s="850">
        <f t="shared" si="236"/>
        <v>1.1005191627227372E+95</v>
      </c>
      <c r="TYT56" s="850">
        <f t="shared" si="236"/>
        <v>0</v>
      </c>
      <c r="TYU56" s="850">
        <f t="shared" si="236"/>
        <v>1.1335347376044192E+95</v>
      </c>
      <c r="TYV56" s="850">
        <f t="shared" si="236"/>
        <v>0</v>
      </c>
      <c r="TYW56" s="850">
        <f t="shared" si="236"/>
        <v>1.1675407797325518E+95</v>
      </c>
      <c r="TYX56" s="850">
        <f t="shared" si="236"/>
        <v>0</v>
      </c>
      <c r="TYY56" s="850">
        <f t="shared" si="236"/>
        <v>1.2025670031245283E+95</v>
      </c>
      <c r="TYZ56" s="850">
        <f t="shared" si="236"/>
        <v>0</v>
      </c>
      <c r="TZA56" s="850">
        <f t="shared" si="236"/>
        <v>1.2386440132182642E+95</v>
      </c>
      <c r="TZB56" s="850">
        <f t="shared" si="236"/>
        <v>0</v>
      </c>
      <c r="TZC56" s="850">
        <f t="shared" si="236"/>
        <v>1.2758033336148121E+95</v>
      </c>
      <c r="TZD56" s="850">
        <f t="shared" si="236"/>
        <v>0</v>
      </c>
      <c r="TZE56" s="850">
        <f t="shared" si="236"/>
        <v>1.3140774336232565E+95</v>
      </c>
      <c r="TZF56" s="850">
        <f t="shared" si="236"/>
        <v>0</v>
      </c>
      <c r="TZG56" s="850">
        <f t="shared" si="236"/>
        <v>1.3534997566319544E+95</v>
      </c>
      <c r="TZH56" s="850">
        <f t="shared" si="236"/>
        <v>0</v>
      </c>
      <c r="TZI56" s="850">
        <f t="shared" si="236"/>
        <v>1.3941047493309131E+95</v>
      </c>
      <c r="TZJ56" s="850">
        <f t="shared" si="236"/>
        <v>0</v>
      </c>
      <c r="TZK56" s="850">
        <f t="shared" si="236"/>
        <v>1.4359278918108405E+95</v>
      </c>
      <c r="TZL56" s="850">
        <f t="shared" si="236"/>
        <v>0</v>
      </c>
      <c r="TZM56" s="850">
        <f t="shared" si="236"/>
        <v>1.4790057285651659E+95</v>
      </c>
      <c r="TZN56" s="850">
        <f t="shared" si="236"/>
        <v>0</v>
      </c>
      <c r="TZO56" s="850">
        <f t="shared" si="236"/>
        <v>1.5233759004221208E+95</v>
      </c>
      <c r="TZP56" s="850">
        <f t="shared" si="236"/>
        <v>0</v>
      </c>
      <c r="TZQ56" s="850">
        <f t="shared" si="236"/>
        <v>1.5690771774347846E+95</v>
      </c>
      <c r="TZR56" s="850">
        <f t="shared" si="236"/>
        <v>0</v>
      </c>
      <c r="TZS56" s="850">
        <f t="shared" si="236"/>
        <v>1.616149492757828E+95</v>
      </c>
      <c r="TZT56" s="850">
        <f t="shared" si="236"/>
        <v>0</v>
      </c>
      <c r="TZU56" s="850">
        <f t="shared" si="236"/>
        <v>1.664633977540563E+95</v>
      </c>
      <c r="TZV56" s="850">
        <f t="shared" ref="TZV56:UCG56" si="237">TZT56*$C$56</f>
        <v>0</v>
      </c>
      <c r="TZW56" s="850">
        <f t="shared" si="237"/>
        <v>1.71457299686678E+95</v>
      </c>
      <c r="TZX56" s="850">
        <f t="shared" si="237"/>
        <v>0</v>
      </c>
      <c r="TZY56" s="850">
        <f t="shared" si="237"/>
        <v>1.7660101867727835E+95</v>
      </c>
      <c r="TZZ56" s="850">
        <f t="shared" si="237"/>
        <v>0</v>
      </c>
      <c r="UAA56" s="850">
        <f t="shared" si="237"/>
        <v>1.8189904923759671E+95</v>
      </c>
      <c r="UAB56" s="850">
        <f t="shared" si="237"/>
        <v>0</v>
      </c>
      <c r="UAC56" s="850">
        <f t="shared" si="237"/>
        <v>1.873560207147246E+95</v>
      </c>
      <c r="UAD56" s="850">
        <f t="shared" si="237"/>
        <v>0</v>
      </c>
      <c r="UAE56" s="850">
        <f t="shared" si="237"/>
        <v>1.9297670133616634E+95</v>
      </c>
      <c r="UAF56" s="850">
        <f t="shared" si="237"/>
        <v>0</v>
      </c>
      <c r="UAG56" s="850">
        <f t="shared" si="237"/>
        <v>1.9876600237625132E+95</v>
      </c>
      <c r="UAH56" s="850">
        <f t="shared" si="237"/>
        <v>0</v>
      </c>
      <c r="UAI56" s="850">
        <f t="shared" si="237"/>
        <v>2.0472898244753887E+95</v>
      </c>
      <c r="UAJ56" s="850">
        <f t="shared" si="237"/>
        <v>0</v>
      </c>
      <c r="UAK56" s="850">
        <f t="shared" si="237"/>
        <v>2.1087085192096505E+95</v>
      </c>
      <c r="UAL56" s="850">
        <f t="shared" si="237"/>
        <v>0</v>
      </c>
      <c r="UAM56" s="850">
        <f t="shared" si="237"/>
        <v>2.1719697747859401E+95</v>
      </c>
      <c r="UAN56" s="850">
        <f t="shared" si="237"/>
        <v>0</v>
      </c>
      <c r="UAO56" s="850">
        <f t="shared" si="237"/>
        <v>2.2371288680295182E+95</v>
      </c>
      <c r="UAP56" s="850">
        <f t="shared" si="237"/>
        <v>0</v>
      </c>
      <c r="UAQ56" s="850">
        <f t="shared" si="237"/>
        <v>2.3042427340704037E+95</v>
      </c>
      <c r="UAR56" s="850">
        <f t="shared" si="237"/>
        <v>0</v>
      </c>
      <c r="UAS56" s="850">
        <f t="shared" si="237"/>
        <v>2.373370016092516E+95</v>
      </c>
      <c r="UAT56" s="850">
        <f t="shared" si="237"/>
        <v>0</v>
      </c>
      <c r="UAU56" s="850">
        <f t="shared" si="237"/>
        <v>2.4445711165752915E+95</v>
      </c>
      <c r="UAV56" s="850">
        <f t="shared" si="237"/>
        <v>0</v>
      </c>
      <c r="UAW56" s="850">
        <f t="shared" si="237"/>
        <v>2.5179082500725504E+95</v>
      </c>
      <c r="UAX56" s="850">
        <f t="shared" si="237"/>
        <v>0</v>
      </c>
      <c r="UAY56" s="850">
        <f t="shared" si="237"/>
        <v>2.5934454975747269E+95</v>
      </c>
      <c r="UAZ56" s="850">
        <f t="shared" si="237"/>
        <v>0</v>
      </c>
      <c r="UBA56" s="850">
        <f t="shared" si="237"/>
        <v>2.6712488625019689E+95</v>
      </c>
      <c r="UBB56" s="850">
        <f t="shared" si="237"/>
        <v>0</v>
      </c>
      <c r="UBC56" s="850">
        <f t="shared" si="237"/>
        <v>2.7513863283770282E+95</v>
      </c>
      <c r="UBD56" s="850">
        <f t="shared" si="237"/>
        <v>0</v>
      </c>
      <c r="UBE56" s="850">
        <f t="shared" si="237"/>
        <v>2.8339279182283392E+95</v>
      </c>
      <c r="UBF56" s="850">
        <f t="shared" si="237"/>
        <v>0</v>
      </c>
      <c r="UBG56" s="850">
        <f t="shared" si="237"/>
        <v>2.9189457557751896E+95</v>
      </c>
      <c r="UBH56" s="850">
        <f t="shared" si="237"/>
        <v>0</v>
      </c>
      <c r="UBI56" s="850">
        <f t="shared" si="237"/>
        <v>3.0065141284484456E+95</v>
      </c>
      <c r="UBJ56" s="850">
        <f t="shared" si="237"/>
        <v>0</v>
      </c>
      <c r="UBK56" s="850">
        <f t="shared" si="237"/>
        <v>3.096709552301899E+95</v>
      </c>
      <c r="UBL56" s="850">
        <f t="shared" si="237"/>
        <v>0</v>
      </c>
      <c r="UBM56" s="850">
        <f t="shared" si="237"/>
        <v>3.1896108388709559E+95</v>
      </c>
      <c r="UBN56" s="850">
        <f t="shared" si="237"/>
        <v>0</v>
      </c>
      <c r="UBO56" s="850">
        <f t="shared" si="237"/>
        <v>3.2852991640370848E+95</v>
      </c>
      <c r="UBP56" s="850">
        <f t="shared" si="237"/>
        <v>0</v>
      </c>
      <c r="UBQ56" s="850">
        <f t="shared" si="237"/>
        <v>3.3838581389581974E+95</v>
      </c>
      <c r="UBR56" s="850">
        <f t="shared" si="237"/>
        <v>0</v>
      </c>
      <c r="UBS56" s="850">
        <f t="shared" si="237"/>
        <v>3.4853738831269433E+95</v>
      </c>
      <c r="UBT56" s="850">
        <f t="shared" si="237"/>
        <v>0</v>
      </c>
      <c r="UBU56" s="850">
        <f t="shared" si="237"/>
        <v>3.5899350996207515E+95</v>
      </c>
      <c r="UBV56" s="850">
        <f t="shared" si="237"/>
        <v>0</v>
      </c>
      <c r="UBW56" s="850">
        <f t="shared" si="237"/>
        <v>3.697633152609374E+95</v>
      </c>
      <c r="UBX56" s="850">
        <f t="shared" si="237"/>
        <v>0</v>
      </c>
      <c r="UBY56" s="850">
        <f t="shared" si="237"/>
        <v>3.8085621471876553E+95</v>
      </c>
      <c r="UBZ56" s="850">
        <f t="shared" si="237"/>
        <v>0</v>
      </c>
      <c r="UCA56" s="850">
        <f t="shared" si="237"/>
        <v>3.9228190116032849E+95</v>
      </c>
      <c r="UCB56" s="850">
        <f t="shared" si="237"/>
        <v>0</v>
      </c>
      <c r="UCC56" s="850">
        <f t="shared" si="237"/>
        <v>4.0405035819513835E+95</v>
      </c>
      <c r="UCD56" s="850">
        <f t="shared" si="237"/>
        <v>0</v>
      </c>
      <c r="UCE56" s="850">
        <f t="shared" si="237"/>
        <v>4.1617186894099254E+95</v>
      </c>
      <c r="UCF56" s="850">
        <f t="shared" si="237"/>
        <v>0</v>
      </c>
      <c r="UCG56" s="850">
        <f t="shared" si="237"/>
        <v>4.2865702500922234E+95</v>
      </c>
      <c r="UCH56" s="850">
        <f t="shared" ref="UCH56:UES56" si="238">UCF56*$C$56</f>
        <v>0</v>
      </c>
      <c r="UCI56" s="850">
        <f t="shared" si="238"/>
        <v>4.4151673575949902E+95</v>
      </c>
      <c r="UCJ56" s="850">
        <f t="shared" si="238"/>
        <v>0</v>
      </c>
      <c r="UCK56" s="850">
        <f t="shared" si="238"/>
        <v>4.54762237832284E+95</v>
      </c>
      <c r="UCL56" s="850">
        <f t="shared" si="238"/>
        <v>0</v>
      </c>
      <c r="UCM56" s="850">
        <f t="shared" si="238"/>
        <v>4.6840510496725252E+95</v>
      </c>
      <c r="UCN56" s="850">
        <f t="shared" si="238"/>
        <v>0</v>
      </c>
      <c r="UCO56" s="850">
        <f t="shared" si="238"/>
        <v>4.8245725811627013E+95</v>
      </c>
      <c r="UCP56" s="850">
        <f t="shared" si="238"/>
        <v>0</v>
      </c>
      <c r="UCQ56" s="850">
        <f t="shared" si="238"/>
        <v>4.9693097585975823E+95</v>
      </c>
      <c r="UCR56" s="850">
        <f t="shared" si="238"/>
        <v>0</v>
      </c>
      <c r="UCS56" s="850">
        <f t="shared" si="238"/>
        <v>5.1183890513555101E+95</v>
      </c>
      <c r="UCT56" s="850">
        <f t="shared" si="238"/>
        <v>0</v>
      </c>
      <c r="UCU56" s="850">
        <f t="shared" si="238"/>
        <v>5.2719407228961756E+95</v>
      </c>
      <c r="UCV56" s="850">
        <f t="shared" si="238"/>
        <v>0</v>
      </c>
      <c r="UCW56" s="850">
        <f t="shared" si="238"/>
        <v>5.4300989445830605E+95</v>
      </c>
      <c r="UCX56" s="850">
        <f t="shared" si="238"/>
        <v>0</v>
      </c>
      <c r="UCY56" s="850">
        <f t="shared" si="238"/>
        <v>5.593001912920552E+95</v>
      </c>
      <c r="UCZ56" s="850">
        <f t="shared" si="238"/>
        <v>0</v>
      </c>
      <c r="UDA56" s="850">
        <f t="shared" si="238"/>
        <v>5.7607919703081685E+95</v>
      </c>
      <c r="UDB56" s="850">
        <f t="shared" si="238"/>
        <v>0</v>
      </c>
      <c r="UDC56" s="850">
        <f t="shared" si="238"/>
        <v>5.9336157294174135E+95</v>
      </c>
      <c r="UDD56" s="850">
        <f t="shared" si="238"/>
        <v>0</v>
      </c>
      <c r="UDE56" s="850">
        <f t="shared" si="238"/>
        <v>6.111624201299936E+95</v>
      </c>
      <c r="UDF56" s="850">
        <f t="shared" si="238"/>
        <v>0</v>
      </c>
      <c r="UDG56" s="850">
        <f t="shared" si="238"/>
        <v>6.2949729273389341E+95</v>
      </c>
      <c r="UDH56" s="850">
        <f t="shared" si="238"/>
        <v>0</v>
      </c>
      <c r="UDI56" s="850">
        <f t="shared" si="238"/>
        <v>6.4838221151591029E+95</v>
      </c>
      <c r="UDJ56" s="850">
        <f t="shared" si="238"/>
        <v>0</v>
      </c>
      <c r="UDK56" s="850">
        <f t="shared" si="238"/>
        <v>6.6783367786138761E+95</v>
      </c>
      <c r="UDL56" s="850">
        <f t="shared" si="238"/>
        <v>0</v>
      </c>
      <c r="UDM56" s="850">
        <f t="shared" si="238"/>
        <v>6.8786868819722929E+95</v>
      </c>
      <c r="UDN56" s="850">
        <f t="shared" si="238"/>
        <v>0</v>
      </c>
      <c r="UDO56" s="850">
        <f t="shared" si="238"/>
        <v>7.0850474884314615E+95</v>
      </c>
      <c r="UDP56" s="850">
        <f t="shared" si="238"/>
        <v>0</v>
      </c>
      <c r="UDQ56" s="850">
        <f t="shared" si="238"/>
        <v>7.2975989130844058E+95</v>
      </c>
      <c r="UDR56" s="850">
        <f t="shared" si="238"/>
        <v>0</v>
      </c>
      <c r="UDS56" s="850">
        <f t="shared" si="238"/>
        <v>7.5165268804769388E+95</v>
      </c>
      <c r="UDT56" s="850">
        <f t="shared" si="238"/>
        <v>0</v>
      </c>
      <c r="UDU56" s="850">
        <f t="shared" si="238"/>
        <v>7.7420226868912467E+95</v>
      </c>
      <c r="UDV56" s="850">
        <f t="shared" si="238"/>
        <v>0</v>
      </c>
      <c r="UDW56" s="850">
        <f t="shared" si="238"/>
        <v>7.9742833674979847E+95</v>
      </c>
      <c r="UDX56" s="850">
        <f t="shared" si="238"/>
        <v>0</v>
      </c>
      <c r="UDY56" s="850">
        <f t="shared" si="238"/>
        <v>8.2135118685229241E+95</v>
      </c>
      <c r="UDZ56" s="850">
        <f t="shared" si="238"/>
        <v>0</v>
      </c>
      <c r="UEA56" s="850">
        <f t="shared" si="238"/>
        <v>8.4599172245786125E+95</v>
      </c>
      <c r="UEB56" s="850">
        <f t="shared" si="238"/>
        <v>0</v>
      </c>
      <c r="UEC56" s="850">
        <f t="shared" si="238"/>
        <v>8.7137147413159715E+95</v>
      </c>
      <c r="UED56" s="850">
        <f t="shared" si="238"/>
        <v>0</v>
      </c>
      <c r="UEE56" s="850">
        <f t="shared" si="238"/>
        <v>8.9751261835554507E+95</v>
      </c>
      <c r="UEF56" s="850">
        <f t="shared" si="238"/>
        <v>0</v>
      </c>
      <c r="UEG56" s="850">
        <f t="shared" si="238"/>
        <v>9.2443799690621148E+95</v>
      </c>
      <c r="UEH56" s="850">
        <f t="shared" si="238"/>
        <v>0</v>
      </c>
      <c r="UEI56" s="850">
        <f t="shared" si="238"/>
        <v>9.521711368133979E+95</v>
      </c>
      <c r="UEJ56" s="850">
        <f t="shared" si="238"/>
        <v>0</v>
      </c>
      <c r="UEK56" s="850">
        <f t="shared" si="238"/>
        <v>9.8073627091779982E+95</v>
      </c>
      <c r="UEL56" s="850">
        <f t="shared" si="238"/>
        <v>0</v>
      </c>
      <c r="UEM56" s="850">
        <f t="shared" si="238"/>
        <v>1.0101583590453338E+96</v>
      </c>
      <c r="UEN56" s="850">
        <f t="shared" si="238"/>
        <v>0</v>
      </c>
      <c r="UEO56" s="850">
        <f t="shared" si="238"/>
        <v>1.0404631098166938E+96</v>
      </c>
      <c r="UEP56" s="850">
        <f t="shared" si="238"/>
        <v>0</v>
      </c>
      <c r="UEQ56" s="850">
        <f t="shared" si="238"/>
        <v>1.0716770031111947E+96</v>
      </c>
      <c r="UER56" s="850">
        <f t="shared" si="238"/>
        <v>0</v>
      </c>
      <c r="UES56" s="850">
        <f t="shared" si="238"/>
        <v>1.1038273132045306E+96</v>
      </c>
      <c r="UET56" s="850">
        <f t="shared" ref="UET56:UHE56" si="239">UER56*$C$56</f>
        <v>0</v>
      </c>
      <c r="UEU56" s="850">
        <f t="shared" si="239"/>
        <v>1.1369421326006666E+96</v>
      </c>
      <c r="UEV56" s="850">
        <f t="shared" si="239"/>
        <v>0</v>
      </c>
      <c r="UEW56" s="850">
        <f t="shared" si="239"/>
        <v>1.1710503965786867E+96</v>
      </c>
      <c r="UEX56" s="850">
        <f t="shared" si="239"/>
        <v>0</v>
      </c>
      <c r="UEY56" s="850">
        <f t="shared" si="239"/>
        <v>1.2061819084760475E+96</v>
      </c>
      <c r="UEZ56" s="850">
        <f t="shared" si="239"/>
        <v>0</v>
      </c>
      <c r="UFA56" s="850">
        <f t="shared" si="239"/>
        <v>1.242367365730329E+96</v>
      </c>
      <c r="UFB56" s="850">
        <f t="shared" si="239"/>
        <v>0</v>
      </c>
      <c r="UFC56" s="850">
        <f t="shared" si="239"/>
        <v>1.2796383867022389E+96</v>
      </c>
      <c r="UFD56" s="850">
        <f t="shared" si="239"/>
        <v>0</v>
      </c>
      <c r="UFE56" s="850">
        <f t="shared" si="239"/>
        <v>1.318027538303306E+96</v>
      </c>
      <c r="UFF56" s="850">
        <f t="shared" si="239"/>
        <v>0</v>
      </c>
      <c r="UFG56" s="850">
        <f t="shared" si="239"/>
        <v>1.3575683644524053E+96</v>
      </c>
      <c r="UFH56" s="850">
        <f t="shared" si="239"/>
        <v>0</v>
      </c>
      <c r="UFI56" s="850">
        <f t="shared" si="239"/>
        <v>1.3982954153859775E+96</v>
      </c>
      <c r="UFJ56" s="850">
        <f t="shared" si="239"/>
        <v>0</v>
      </c>
      <c r="UFK56" s="850">
        <f t="shared" si="239"/>
        <v>1.4402442778475569E+96</v>
      </c>
      <c r="UFL56" s="850">
        <f t="shared" si="239"/>
        <v>0</v>
      </c>
      <c r="UFM56" s="850">
        <f t="shared" si="239"/>
        <v>1.4834516061829838E+96</v>
      </c>
      <c r="UFN56" s="850">
        <f t="shared" si="239"/>
        <v>0</v>
      </c>
      <c r="UFO56" s="850">
        <f t="shared" si="239"/>
        <v>1.5279551543684732E+96</v>
      </c>
      <c r="UFP56" s="850">
        <f t="shared" si="239"/>
        <v>0</v>
      </c>
      <c r="UFQ56" s="850">
        <f t="shared" si="239"/>
        <v>1.5737938089995275E+96</v>
      </c>
      <c r="UFR56" s="850">
        <f t="shared" si="239"/>
        <v>0</v>
      </c>
      <c r="UFS56" s="850">
        <f t="shared" si="239"/>
        <v>1.6210076232695134E+96</v>
      </c>
      <c r="UFT56" s="850">
        <f t="shared" si="239"/>
        <v>0</v>
      </c>
      <c r="UFU56" s="850">
        <f t="shared" si="239"/>
        <v>1.6696378519675989E+96</v>
      </c>
      <c r="UFV56" s="850">
        <f t="shared" si="239"/>
        <v>0</v>
      </c>
      <c r="UFW56" s="850">
        <f t="shared" si="239"/>
        <v>1.7197269875266269E+96</v>
      </c>
      <c r="UFX56" s="850">
        <f t="shared" si="239"/>
        <v>0</v>
      </c>
      <c r="UFY56" s="850">
        <f t="shared" si="239"/>
        <v>1.7713187971524258E+96</v>
      </c>
      <c r="UFZ56" s="850">
        <f t="shared" si="239"/>
        <v>0</v>
      </c>
      <c r="UGA56" s="850">
        <f t="shared" si="239"/>
        <v>1.8244583610669987E+96</v>
      </c>
      <c r="UGB56" s="850">
        <f t="shared" si="239"/>
        <v>0</v>
      </c>
      <c r="UGC56" s="850">
        <f t="shared" si="239"/>
        <v>1.8791921118990087E+96</v>
      </c>
      <c r="UGD56" s="850">
        <f t="shared" si="239"/>
        <v>0</v>
      </c>
      <c r="UGE56" s="850">
        <f t="shared" si="239"/>
        <v>1.9355678752559789E+96</v>
      </c>
      <c r="UGF56" s="850">
        <f t="shared" si="239"/>
        <v>0</v>
      </c>
      <c r="UGG56" s="850">
        <f t="shared" si="239"/>
        <v>1.9936349115136583E+96</v>
      </c>
      <c r="UGH56" s="850">
        <f t="shared" si="239"/>
        <v>0</v>
      </c>
      <c r="UGI56" s="850">
        <f t="shared" si="239"/>
        <v>2.053443958859068E+96</v>
      </c>
      <c r="UGJ56" s="850">
        <f t="shared" si="239"/>
        <v>0</v>
      </c>
      <c r="UGK56" s="850">
        <f t="shared" si="239"/>
        <v>2.1150472776248402E+96</v>
      </c>
      <c r="UGL56" s="850">
        <f t="shared" si="239"/>
        <v>0</v>
      </c>
      <c r="UGM56" s="850">
        <f t="shared" si="239"/>
        <v>2.1784986959535854E+96</v>
      </c>
      <c r="UGN56" s="850">
        <f t="shared" si="239"/>
        <v>0</v>
      </c>
      <c r="UGO56" s="850">
        <f t="shared" si="239"/>
        <v>2.2438536568321932E+96</v>
      </c>
      <c r="UGP56" s="850">
        <f t="shared" si="239"/>
        <v>0</v>
      </c>
      <c r="UGQ56" s="850">
        <f t="shared" si="239"/>
        <v>2.311169266537159E+96</v>
      </c>
      <c r="UGR56" s="850">
        <f t="shared" si="239"/>
        <v>0</v>
      </c>
      <c r="UGS56" s="850">
        <f t="shared" si="239"/>
        <v>2.3805043445332739E+96</v>
      </c>
      <c r="UGT56" s="850">
        <f t="shared" si="239"/>
        <v>0</v>
      </c>
      <c r="UGU56" s="850">
        <f t="shared" si="239"/>
        <v>2.4519194748692721E+96</v>
      </c>
      <c r="UGV56" s="850">
        <f t="shared" si="239"/>
        <v>0</v>
      </c>
      <c r="UGW56" s="850">
        <f t="shared" si="239"/>
        <v>2.5254770591153502E+96</v>
      </c>
      <c r="UGX56" s="850">
        <f t="shared" si="239"/>
        <v>0</v>
      </c>
      <c r="UGY56" s="850">
        <f t="shared" si="239"/>
        <v>2.6012413708888105E+96</v>
      </c>
      <c r="UGZ56" s="850">
        <f t="shared" si="239"/>
        <v>0</v>
      </c>
      <c r="UHA56" s="850">
        <f t="shared" si="239"/>
        <v>2.6792786120154749E+96</v>
      </c>
      <c r="UHB56" s="850">
        <f t="shared" si="239"/>
        <v>0</v>
      </c>
      <c r="UHC56" s="850">
        <f t="shared" si="239"/>
        <v>2.7596569703759394E+96</v>
      </c>
      <c r="UHD56" s="850">
        <f t="shared" si="239"/>
        <v>0</v>
      </c>
      <c r="UHE56" s="850">
        <f t="shared" si="239"/>
        <v>2.8424466794872175E+96</v>
      </c>
      <c r="UHF56" s="850">
        <f t="shared" ref="UHF56:UJQ56" si="240">UHD56*$C$56</f>
        <v>0</v>
      </c>
      <c r="UHG56" s="850">
        <f t="shared" si="240"/>
        <v>2.9277200798718343E+96</v>
      </c>
      <c r="UHH56" s="850">
        <f t="shared" si="240"/>
        <v>0</v>
      </c>
      <c r="UHI56" s="850">
        <f t="shared" si="240"/>
        <v>3.0155516822679892E+96</v>
      </c>
      <c r="UHJ56" s="850">
        <f t="shared" si="240"/>
        <v>0</v>
      </c>
      <c r="UHK56" s="850">
        <f t="shared" si="240"/>
        <v>3.106018232736029E+96</v>
      </c>
      <c r="UHL56" s="850">
        <f t="shared" si="240"/>
        <v>0</v>
      </c>
      <c r="UHM56" s="850">
        <f t="shared" si="240"/>
        <v>3.1991987797181101E+96</v>
      </c>
      <c r="UHN56" s="850">
        <f t="shared" si="240"/>
        <v>0</v>
      </c>
      <c r="UHO56" s="850">
        <f t="shared" si="240"/>
        <v>3.2951747431096533E+96</v>
      </c>
      <c r="UHP56" s="850">
        <f t="shared" si="240"/>
        <v>0</v>
      </c>
      <c r="UHQ56" s="850">
        <f t="shared" si="240"/>
        <v>3.3940299854029431E+96</v>
      </c>
      <c r="UHR56" s="850">
        <f t="shared" si="240"/>
        <v>0</v>
      </c>
      <c r="UHS56" s="850">
        <f t="shared" si="240"/>
        <v>3.4958508849650315E+96</v>
      </c>
      <c r="UHT56" s="850">
        <f t="shared" si="240"/>
        <v>0</v>
      </c>
      <c r="UHU56" s="850">
        <f t="shared" si="240"/>
        <v>3.6007264115139826E+96</v>
      </c>
      <c r="UHV56" s="850">
        <f t="shared" si="240"/>
        <v>0</v>
      </c>
      <c r="UHW56" s="850">
        <f t="shared" si="240"/>
        <v>3.708748203859402E+96</v>
      </c>
      <c r="UHX56" s="850">
        <f t="shared" si="240"/>
        <v>0</v>
      </c>
      <c r="UHY56" s="850">
        <f t="shared" si="240"/>
        <v>3.8200106499751841E+96</v>
      </c>
      <c r="UHZ56" s="850">
        <f t="shared" si="240"/>
        <v>0</v>
      </c>
      <c r="UIA56" s="850">
        <f t="shared" si="240"/>
        <v>3.9346109694744399E+96</v>
      </c>
      <c r="UIB56" s="850">
        <f t="shared" si="240"/>
        <v>0</v>
      </c>
      <c r="UIC56" s="850">
        <f t="shared" si="240"/>
        <v>4.052649298558673E+96</v>
      </c>
      <c r="UID56" s="850">
        <f t="shared" si="240"/>
        <v>0</v>
      </c>
      <c r="UIE56" s="850">
        <f t="shared" si="240"/>
        <v>4.1742287775154331E+96</v>
      </c>
      <c r="UIF56" s="850">
        <f t="shared" si="240"/>
        <v>0</v>
      </c>
      <c r="UIG56" s="850">
        <f t="shared" si="240"/>
        <v>4.2994556408408965E+96</v>
      </c>
      <c r="UIH56" s="850">
        <f t="shared" si="240"/>
        <v>0</v>
      </c>
      <c r="UII56" s="850">
        <f t="shared" si="240"/>
        <v>4.4284393100661231E+96</v>
      </c>
      <c r="UIJ56" s="850">
        <f t="shared" si="240"/>
        <v>0</v>
      </c>
      <c r="UIK56" s="850">
        <f t="shared" si="240"/>
        <v>4.5612924893681069E+96</v>
      </c>
      <c r="UIL56" s="850">
        <f t="shared" si="240"/>
        <v>0</v>
      </c>
      <c r="UIM56" s="850">
        <f t="shared" si="240"/>
        <v>4.6981312640491503E+96</v>
      </c>
      <c r="UIN56" s="850">
        <f t="shared" si="240"/>
        <v>0</v>
      </c>
      <c r="UIO56" s="850">
        <f t="shared" si="240"/>
        <v>4.8390752019706248E+96</v>
      </c>
      <c r="UIP56" s="850">
        <f t="shared" si="240"/>
        <v>0</v>
      </c>
      <c r="UIQ56" s="850">
        <f t="shared" si="240"/>
        <v>4.9842474580297439E+96</v>
      </c>
      <c r="UIR56" s="850">
        <f t="shared" si="240"/>
        <v>0</v>
      </c>
      <c r="UIS56" s="850">
        <f t="shared" si="240"/>
        <v>5.1337748817706368E+96</v>
      </c>
      <c r="UIT56" s="850">
        <f t="shared" si="240"/>
        <v>0</v>
      </c>
      <c r="UIU56" s="850">
        <f t="shared" si="240"/>
        <v>5.2877881282237561E+96</v>
      </c>
      <c r="UIV56" s="850">
        <f t="shared" si="240"/>
        <v>0</v>
      </c>
      <c r="UIW56" s="850">
        <f t="shared" si="240"/>
        <v>5.446421772070469E+96</v>
      </c>
      <c r="UIX56" s="850">
        <f t="shared" si="240"/>
        <v>0</v>
      </c>
      <c r="UIY56" s="850">
        <f t="shared" si="240"/>
        <v>5.6098144252325834E+96</v>
      </c>
      <c r="UIZ56" s="850">
        <f t="shared" si="240"/>
        <v>0</v>
      </c>
      <c r="UJA56" s="850">
        <f t="shared" si="240"/>
        <v>5.7781088579895612E+96</v>
      </c>
      <c r="UJB56" s="850">
        <f t="shared" si="240"/>
        <v>0</v>
      </c>
      <c r="UJC56" s="850">
        <f t="shared" si="240"/>
        <v>5.9514521237292482E+96</v>
      </c>
      <c r="UJD56" s="850">
        <f t="shared" si="240"/>
        <v>0</v>
      </c>
      <c r="UJE56" s="850">
        <f t="shared" si="240"/>
        <v>6.1299956874411254E+96</v>
      </c>
      <c r="UJF56" s="850">
        <f t="shared" si="240"/>
        <v>0</v>
      </c>
      <c r="UJG56" s="850">
        <f t="shared" si="240"/>
        <v>6.3138955580643598E+96</v>
      </c>
      <c r="UJH56" s="850">
        <f t="shared" si="240"/>
        <v>0</v>
      </c>
      <c r="UJI56" s="850">
        <f t="shared" si="240"/>
        <v>6.5033124248062903E+96</v>
      </c>
      <c r="UJJ56" s="850">
        <f t="shared" si="240"/>
        <v>0</v>
      </c>
      <c r="UJK56" s="850">
        <f t="shared" si="240"/>
        <v>6.6984117975504788E+96</v>
      </c>
      <c r="UJL56" s="850">
        <f t="shared" si="240"/>
        <v>0</v>
      </c>
      <c r="UJM56" s="850">
        <f t="shared" si="240"/>
        <v>6.899364151476993E+96</v>
      </c>
      <c r="UJN56" s="850">
        <f t="shared" si="240"/>
        <v>0</v>
      </c>
      <c r="UJO56" s="850">
        <f t="shared" si="240"/>
        <v>7.1063450760213033E+96</v>
      </c>
      <c r="UJP56" s="850">
        <f t="shared" si="240"/>
        <v>0</v>
      </c>
      <c r="UJQ56" s="850">
        <f t="shared" si="240"/>
        <v>7.319535428301943E+96</v>
      </c>
      <c r="UJR56" s="850">
        <f t="shared" ref="UJR56:UMC56" si="241">UJP56*$C$56</f>
        <v>0</v>
      </c>
      <c r="UJS56" s="850">
        <f t="shared" si="241"/>
        <v>7.5391214911510012E+96</v>
      </c>
      <c r="UJT56" s="850">
        <f t="shared" si="241"/>
        <v>0</v>
      </c>
      <c r="UJU56" s="850">
        <f t="shared" si="241"/>
        <v>7.7652951358855318E+96</v>
      </c>
      <c r="UJV56" s="850">
        <f t="shared" si="241"/>
        <v>0</v>
      </c>
      <c r="UJW56" s="850">
        <f t="shared" si="241"/>
        <v>7.9982539899620984E+96</v>
      </c>
      <c r="UJX56" s="850">
        <f t="shared" si="241"/>
        <v>0</v>
      </c>
      <c r="UJY56" s="850">
        <f t="shared" si="241"/>
        <v>8.2382016096609621E+96</v>
      </c>
      <c r="UJZ56" s="850">
        <f t="shared" si="241"/>
        <v>0</v>
      </c>
      <c r="UKA56" s="850">
        <f t="shared" si="241"/>
        <v>8.4853476579507914E+96</v>
      </c>
      <c r="UKB56" s="850">
        <f t="shared" si="241"/>
        <v>0</v>
      </c>
      <c r="UKC56" s="850">
        <f t="shared" si="241"/>
        <v>8.7399080876893158E+96</v>
      </c>
      <c r="UKD56" s="850">
        <f t="shared" si="241"/>
        <v>0</v>
      </c>
      <c r="UKE56" s="850">
        <f t="shared" si="241"/>
        <v>9.0021053303199949E+96</v>
      </c>
      <c r="UKF56" s="850">
        <f t="shared" si="241"/>
        <v>0</v>
      </c>
      <c r="UKG56" s="850">
        <f t="shared" si="241"/>
        <v>9.2721684902295948E+96</v>
      </c>
      <c r="UKH56" s="850">
        <f t="shared" si="241"/>
        <v>0</v>
      </c>
      <c r="UKI56" s="850">
        <f t="shared" si="241"/>
        <v>9.5503335449364827E+96</v>
      </c>
      <c r="UKJ56" s="850">
        <f t="shared" si="241"/>
        <v>0</v>
      </c>
      <c r="UKK56" s="850">
        <f t="shared" si="241"/>
        <v>9.8368435512845767E+96</v>
      </c>
      <c r="UKL56" s="850">
        <f t="shared" si="241"/>
        <v>0</v>
      </c>
      <c r="UKM56" s="850">
        <f t="shared" si="241"/>
        <v>1.0131948857823114E+97</v>
      </c>
      <c r="UKN56" s="850">
        <f t="shared" si="241"/>
        <v>0</v>
      </c>
      <c r="UKO56" s="850">
        <f t="shared" si="241"/>
        <v>1.0435907323557808E+97</v>
      </c>
      <c r="UKP56" s="850">
        <f t="shared" si="241"/>
        <v>0</v>
      </c>
      <c r="UKQ56" s="850">
        <f t="shared" si="241"/>
        <v>1.0748984543264542E+97</v>
      </c>
      <c r="UKR56" s="850">
        <f t="shared" si="241"/>
        <v>0</v>
      </c>
      <c r="UKS56" s="850">
        <f t="shared" si="241"/>
        <v>1.1071454079562478E+97</v>
      </c>
      <c r="UKT56" s="850">
        <f t="shared" si="241"/>
        <v>0</v>
      </c>
      <c r="UKU56" s="850">
        <f t="shared" si="241"/>
        <v>1.1403597701949352E+97</v>
      </c>
      <c r="UKV56" s="850">
        <f t="shared" si="241"/>
        <v>0</v>
      </c>
      <c r="UKW56" s="850">
        <f t="shared" si="241"/>
        <v>1.1745705633007832E+97</v>
      </c>
      <c r="UKX56" s="850">
        <f t="shared" si="241"/>
        <v>0</v>
      </c>
      <c r="UKY56" s="850">
        <f t="shared" si="241"/>
        <v>1.2098076801998068E+97</v>
      </c>
      <c r="UKZ56" s="850">
        <f t="shared" si="241"/>
        <v>0</v>
      </c>
      <c r="ULA56" s="850">
        <f t="shared" si="241"/>
        <v>1.2461019106058011E+97</v>
      </c>
      <c r="ULB56" s="850">
        <f t="shared" si="241"/>
        <v>0</v>
      </c>
      <c r="ULC56" s="850">
        <f t="shared" si="241"/>
        <v>1.2834849679239753E+97</v>
      </c>
      <c r="ULD56" s="850">
        <f t="shared" si="241"/>
        <v>0</v>
      </c>
      <c r="ULE56" s="850">
        <f t="shared" si="241"/>
        <v>1.3219895169616946E+97</v>
      </c>
      <c r="ULF56" s="850">
        <f t="shared" si="241"/>
        <v>0</v>
      </c>
      <c r="ULG56" s="850">
        <f t="shared" si="241"/>
        <v>1.3616492024705456E+97</v>
      </c>
      <c r="ULH56" s="850">
        <f t="shared" si="241"/>
        <v>0</v>
      </c>
      <c r="ULI56" s="850">
        <f t="shared" si="241"/>
        <v>1.402498678544662E+97</v>
      </c>
      <c r="ULJ56" s="850">
        <f t="shared" si="241"/>
        <v>0</v>
      </c>
      <c r="ULK56" s="850">
        <f t="shared" si="241"/>
        <v>1.4445736389010018E+97</v>
      </c>
      <c r="ULL56" s="850">
        <f t="shared" si="241"/>
        <v>0</v>
      </c>
      <c r="ULM56" s="850">
        <f t="shared" si="241"/>
        <v>1.487910848068032E+97</v>
      </c>
      <c r="ULN56" s="850">
        <f t="shared" si="241"/>
        <v>0</v>
      </c>
      <c r="ULO56" s="850">
        <f t="shared" si="241"/>
        <v>1.5325481735100729E+97</v>
      </c>
      <c r="ULP56" s="850">
        <f t="shared" si="241"/>
        <v>0</v>
      </c>
      <c r="ULQ56" s="850">
        <f t="shared" si="241"/>
        <v>1.5785246187153752E+97</v>
      </c>
      <c r="ULR56" s="850">
        <f t="shared" si="241"/>
        <v>0</v>
      </c>
      <c r="ULS56" s="850">
        <f t="shared" si="241"/>
        <v>1.6258803572768365E+97</v>
      </c>
      <c r="ULT56" s="850">
        <f t="shared" si="241"/>
        <v>0</v>
      </c>
      <c r="ULU56" s="850">
        <f t="shared" si="241"/>
        <v>1.6746567679951417E+97</v>
      </c>
      <c r="ULV56" s="850">
        <f t="shared" si="241"/>
        <v>0</v>
      </c>
      <c r="ULW56" s="850">
        <f t="shared" si="241"/>
        <v>1.7248964710349961E+97</v>
      </c>
      <c r="ULX56" s="850">
        <f t="shared" si="241"/>
        <v>0</v>
      </c>
      <c r="ULY56" s="850">
        <f t="shared" si="241"/>
        <v>1.7766433651660462E+97</v>
      </c>
      <c r="ULZ56" s="850">
        <f t="shared" si="241"/>
        <v>0</v>
      </c>
      <c r="UMA56" s="850">
        <f t="shared" si="241"/>
        <v>1.8299426661210275E+97</v>
      </c>
      <c r="UMB56" s="850">
        <f t="shared" si="241"/>
        <v>0</v>
      </c>
      <c r="UMC56" s="850">
        <f t="shared" si="241"/>
        <v>1.8848409461046585E+97</v>
      </c>
      <c r="UMD56" s="850">
        <f t="shared" ref="UMD56:UOO56" si="242">UMB56*$C$56</f>
        <v>0</v>
      </c>
      <c r="UME56" s="850">
        <f t="shared" si="242"/>
        <v>1.9413861744877982E+97</v>
      </c>
      <c r="UMF56" s="850">
        <f t="shared" si="242"/>
        <v>0</v>
      </c>
      <c r="UMG56" s="850">
        <f t="shared" si="242"/>
        <v>1.9996277597224322E+97</v>
      </c>
      <c r="UMH56" s="850">
        <f t="shared" si="242"/>
        <v>0</v>
      </c>
      <c r="UMI56" s="850">
        <f t="shared" si="242"/>
        <v>2.0596165925141053E+97</v>
      </c>
      <c r="UMJ56" s="850">
        <f t="shared" si="242"/>
        <v>0</v>
      </c>
      <c r="UMK56" s="850">
        <f t="shared" si="242"/>
        <v>2.1214050902895287E+97</v>
      </c>
      <c r="UML56" s="850">
        <f t="shared" si="242"/>
        <v>0</v>
      </c>
      <c r="UMM56" s="850">
        <f t="shared" si="242"/>
        <v>2.1850472429982147E+97</v>
      </c>
      <c r="UMN56" s="850">
        <f t="shared" si="242"/>
        <v>0</v>
      </c>
      <c r="UMO56" s="850">
        <f t="shared" si="242"/>
        <v>2.2505986602881612E+97</v>
      </c>
      <c r="UMP56" s="850">
        <f t="shared" si="242"/>
        <v>0</v>
      </c>
      <c r="UMQ56" s="850">
        <f t="shared" si="242"/>
        <v>2.318116620096806E+97</v>
      </c>
      <c r="UMR56" s="850">
        <f t="shared" si="242"/>
        <v>0</v>
      </c>
      <c r="UMS56" s="850">
        <f t="shared" si="242"/>
        <v>2.3876601186997102E+97</v>
      </c>
      <c r="UMT56" s="850">
        <f t="shared" si="242"/>
        <v>0</v>
      </c>
      <c r="UMU56" s="850">
        <f t="shared" si="242"/>
        <v>2.4592899222607014E+97</v>
      </c>
      <c r="UMV56" s="850">
        <f t="shared" si="242"/>
        <v>0</v>
      </c>
      <c r="UMW56" s="850">
        <f t="shared" si="242"/>
        <v>2.5330686199285227E+97</v>
      </c>
      <c r="UMX56" s="850">
        <f t="shared" si="242"/>
        <v>0</v>
      </c>
      <c r="UMY56" s="850">
        <f t="shared" si="242"/>
        <v>2.6090606785263784E+97</v>
      </c>
      <c r="UMZ56" s="850">
        <f t="shared" si="242"/>
        <v>0</v>
      </c>
      <c r="UNA56" s="850">
        <f t="shared" si="242"/>
        <v>2.6873324988821697E+97</v>
      </c>
      <c r="UNB56" s="850">
        <f t="shared" si="242"/>
        <v>0</v>
      </c>
      <c r="UNC56" s="850">
        <f t="shared" si="242"/>
        <v>2.7679524738486348E+97</v>
      </c>
      <c r="UND56" s="850">
        <f t="shared" si="242"/>
        <v>0</v>
      </c>
      <c r="UNE56" s="850">
        <f t="shared" si="242"/>
        <v>2.8509910480640939E+97</v>
      </c>
      <c r="UNF56" s="850">
        <f t="shared" si="242"/>
        <v>0</v>
      </c>
      <c r="UNG56" s="850">
        <f t="shared" si="242"/>
        <v>2.9365207795060169E+97</v>
      </c>
      <c r="UNH56" s="850">
        <f t="shared" si="242"/>
        <v>0</v>
      </c>
      <c r="UNI56" s="850">
        <f t="shared" si="242"/>
        <v>3.0246164028911973E+97</v>
      </c>
      <c r="UNJ56" s="850">
        <f t="shared" si="242"/>
        <v>0</v>
      </c>
      <c r="UNK56" s="850">
        <f t="shared" si="242"/>
        <v>3.1153548949779334E+97</v>
      </c>
      <c r="UNL56" s="850">
        <f t="shared" si="242"/>
        <v>0</v>
      </c>
      <c r="UNM56" s="850">
        <f t="shared" si="242"/>
        <v>3.2088155418272716E+97</v>
      </c>
      <c r="UNN56" s="850">
        <f t="shared" si="242"/>
        <v>0</v>
      </c>
      <c r="UNO56" s="850">
        <f t="shared" si="242"/>
        <v>3.3050800080820898E+97</v>
      </c>
      <c r="UNP56" s="850">
        <f t="shared" si="242"/>
        <v>0</v>
      </c>
      <c r="UNQ56" s="850">
        <f t="shared" si="242"/>
        <v>3.4042324083245525E+97</v>
      </c>
      <c r="UNR56" s="850">
        <f t="shared" si="242"/>
        <v>0</v>
      </c>
      <c r="UNS56" s="850">
        <f t="shared" si="242"/>
        <v>3.5063593805742889E+97</v>
      </c>
      <c r="UNT56" s="850">
        <f t="shared" si="242"/>
        <v>0</v>
      </c>
      <c r="UNU56" s="850">
        <f t="shared" si="242"/>
        <v>3.6115501619915176E+97</v>
      </c>
      <c r="UNV56" s="850">
        <f t="shared" si="242"/>
        <v>0</v>
      </c>
      <c r="UNW56" s="850">
        <f t="shared" si="242"/>
        <v>3.719896666851263E+97</v>
      </c>
      <c r="UNX56" s="850">
        <f t="shared" si="242"/>
        <v>0</v>
      </c>
      <c r="UNY56" s="850">
        <f t="shared" si="242"/>
        <v>3.8314935668568013E+97</v>
      </c>
      <c r="UNZ56" s="850">
        <f t="shared" si="242"/>
        <v>0</v>
      </c>
      <c r="UOA56" s="850">
        <f t="shared" si="242"/>
        <v>3.9464383738625051E+97</v>
      </c>
      <c r="UOB56" s="850">
        <f t="shared" si="242"/>
        <v>0</v>
      </c>
      <c r="UOC56" s="850">
        <f t="shared" si="242"/>
        <v>4.0648315250783807E+97</v>
      </c>
      <c r="UOD56" s="850">
        <f t="shared" si="242"/>
        <v>0</v>
      </c>
      <c r="UOE56" s="850">
        <f t="shared" si="242"/>
        <v>4.1867764708307324E+97</v>
      </c>
      <c r="UOF56" s="850">
        <f t="shared" si="242"/>
        <v>0</v>
      </c>
      <c r="UOG56" s="850">
        <f t="shared" si="242"/>
        <v>4.3123797649556549E+97</v>
      </c>
      <c r="UOH56" s="850">
        <f t="shared" si="242"/>
        <v>0</v>
      </c>
      <c r="UOI56" s="850">
        <f t="shared" si="242"/>
        <v>4.4417511579043248E+97</v>
      </c>
      <c r="UOJ56" s="850">
        <f t="shared" si="242"/>
        <v>0</v>
      </c>
      <c r="UOK56" s="850">
        <f t="shared" si="242"/>
        <v>4.5750036926414546E+97</v>
      </c>
      <c r="UOL56" s="850">
        <f t="shared" si="242"/>
        <v>0</v>
      </c>
      <c r="UOM56" s="850">
        <f t="shared" si="242"/>
        <v>4.7122538034206983E+97</v>
      </c>
      <c r="UON56" s="850">
        <f t="shared" si="242"/>
        <v>0</v>
      </c>
      <c r="UOO56" s="850">
        <f t="shared" si="242"/>
        <v>4.8536214175233192E+97</v>
      </c>
      <c r="UOP56" s="850">
        <f t="shared" ref="UOP56:URA56" si="243">UON56*$C$56</f>
        <v>0</v>
      </c>
      <c r="UOQ56" s="850">
        <f t="shared" si="243"/>
        <v>4.9992300600490185E+97</v>
      </c>
      <c r="UOR56" s="850">
        <f t="shared" si="243"/>
        <v>0</v>
      </c>
      <c r="UOS56" s="850">
        <f t="shared" si="243"/>
        <v>5.1492069618504893E+97</v>
      </c>
      <c r="UOT56" s="850">
        <f t="shared" si="243"/>
        <v>0</v>
      </c>
      <c r="UOU56" s="850">
        <f t="shared" si="243"/>
        <v>5.3036831707060041E+97</v>
      </c>
      <c r="UOV56" s="850">
        <f t="shared" si="243"/>
        <v>0</v>
      </c>
      <c r="UOW56" s="850">
        <f t="shared" si="243"/>
        <v>5.4627936658271842E+97</v>
      </c>
      <c r="UOX56" s="850">
        <f t="shared" si="243"/>
        <v>0</v>
      </c>
      <c r="UOY56" s="850">
        <f t="shared" si="243"/>
        <v>5.6266774758019996E+97</v>
      </c>
      <c r="UOZ56" s="850">
        <f t="shared" si="243"/>
        <v>0</v>
      </c>
      <c r="UPA56" s="850">
        <f t="shared" si="243"/>
        <v>5.7954778000760595E+97</v>
      </c>
      <c r="UPB56" s="850">
        <f t="shared" si="243"/>
        <v>0</v>
      </c>
      <c r="UPC56" s="850">
        <f t="shared" si="243"/>
        <v>5.9693421340783413E+97</v>
      </c>
      <c r="UPD56" s="850">
        <f t="shared" si="243"/>
        <v>0</v>
      </c>
      <c r="UPE56" s="850">
        <f t="shared" si="243"/>
        <v>6.1484223981006916E+97</v>
      </c>
      <c r="UPF56" s="850">
        <f t="shared" si="243"/>
        <v>0</v>
      </c>
      <c r="UPG56" s="850">
        <f t="shared" si="243"/>
        <v>6.3328750700437123E+97</v>
      </c>
      <c r="UPH56" s="850">
        <f t="shared" si="243"/>
        <v>0</v>
      </c>
      <c r="UPI56" s="850">
        <f t="shared" si="243"/>
        <v>6.5228613221450237E+97</v>
      </c>
      <c r="UPJ56" s="850">
        <f t="shared" si="243"/>
        <v>0</v>
      </c>
      <c r="UPK56" s="850">
        <f t="shared" si="243"/>
        <v>6.7185471618093744E+97</v>
      </c>
      <c r="UPL56" s="850">
        <f t="shared" si="243"/>
        <v>0</v>
      </c>
      <c r="UPM56" s="850">
        <f t="shared" si="243"/>
        <v>6.9201035766636555E+97</v>
      </c>
      <c r="UPN56" s="850">
        <f t="shared" si="243"/>
        <v>0</v>
      </c>
      <c r="UPO56" s="850">
        <f t="shared" si="243"/>
        <v>7.1277066839635654E+97</v>
      </c>
      <c r="UPP56" s="850">
        <f t="shared" si="243"/>
        <v>0</v>
      </c>
      <c r="UPQ56" s="850">
        <f t="shared" si="243"/>
        <v>7.3415378844824732E+97</v>
      </c>
      <c r="UPR56" s="850">
        <f t="shared" si="243"/>
        <v>0</v>
      </c>
      <c r="UPS56" s="850">
        <f t="shared" si="243"/>
        <v>7.5617840210169479E+97</v>
      </c>
      <c r="UPT56" s="850">
        <f t="shared" si="243"/>
        <v>0</v>
      </c>
      <c r="UPU56" s="850">
        <f t="shared" si="243"/>
        <v>7.7886375416474566E+97</v>
      </c>
      <c r="UPV56" s="850">
        <f t="shared" si="243"/>
        <v>0</v>
      </c>
      <c r="UPW56" s="850">
        <f t="shared" si="243"/>
        <v>8.02229666789688E+97</v>
      </c>
      <c r="UPX56" s="850">
        <f t="shared" si="243"/>
        <v>0</v>
      </c>
      <c r="UPY56" s="850">
        <f t="shared" si="243"/>
        <v>8.2629655679337861E+97</v>
      </c>
      <c r="UPZ56" s="850">
        <f t="shared" si="243"/>
        <v>0</v>
      </c>
      <c r="UQA56" s="850">
        <f t="shared" si="243"/>
        <v>8.5108545349718006E+97</v>
      </c>
      <c r="UQB56" s="850">
        <f t="shared" si="243"/>
        <v>0</v>
      </c>
      <c r="UQC56" s="850">
        <f t="shared" si="243"/>
        <v>8.7661801710209554E+97</v>
      </c>
      <c r="UQD56" s="850">
        <f t="shared" si="243"/>
        <v>0</v>
      </c>
      <c r="UQE56" s="850">
        <f t="shared" si="243"/>
        <v>9.0291655761515841E+97</v>
      </c>
      <c r="UQF56" s="850">
        <f t="shared" si="243"/>
        <v>0</v>
      </c>
      <c r="UQG56" s="850">
        <f t="shared" si="243"/>
        <v>9.3000405434361316E+97</v>
      </c>
      <c r="UQH56" s="850">
        <f t="shared" si="243"/>
        <v>0</v>
      </c>
      <c r="UQI56" s="850">
        <f t="shared" si="243"/>
        <v>9.5790417597392154E+97</v>
      </c>
      <c r="UQJ56" s="850">
        <f t="shared" si="243"/>
        <v>0</v>
      </c>
      <c r="UQK56" s="850">
        <f t="shared" si="243"/>
        <v>9.8664130125313921E+97</v>
      </c>
      <c r="UQL56" s="850">
        <f t="shared" si="243"/>
        <v>0</v>
      </c>
      <c r="UQM56" s="850">
        <f t="shared" si="243"/>
        <v>1.0162405402907334E+98</v>
      </c>
      <c r="UQN56" s="850">
        <f t="shared" si="243"/>
        <v>0</v>
      </c>
      <c r="UQO56" s="850">
        <f t="shared" si="243"/>
        <v>1.0467277564994555E+98</v>
      </c>
      <c r="UQP56" s="850">
        <f t="shared" si="243"/>
        <v>0</v>
      </c>
      <c r="UQQ56" s="850">
        <f t="shared" si="243"/>
        <v>1.0781295891944392E+98</v>
      </c>
      <c r="UQR56" s="850">
        <f t="shared" si="243"/>
        <v>0</v>
      </c>
      <c r="UQS56" s="850">
        <f t="shared" si="243"/>
        <v>1.1104734768702724E+98</v>
      </c>
      <c r="UQT56" s="850">
        <f t="shared" si="243"/>
        <v>0</v>
      </c>
      <c r="UQU56" s="850">
        <f t="shared" si="243"/>
        <v>1.1437876811763807E+98</v>
      </c>
      <c r="UQV56" s="850">
        <f t="shared" si="243"/>
        <v>0</v>
      </c>
      <c r="UQW56" s="850">
        <f t="shared" si="243"/>
        <v>1.1781013116116722E+98</v>
      </c>
      <c r="UQX56" s="850">
        <f t="shared" si="243"/>
        <v>0</v>
      </c>
      <c r="UQY56" s="850">
        <f t="shared" si="243"/>
        <v>1.2134443509600224E+98</v>
      </c>
      <c r="UQZ56" s="850">
        <f t="shared" si="243"/>
        <v>0</v>
      </c>
      <c r="URA56" s="850">
        <f t="shared" si="243"/>
        <v>1.2498476814888231E+98</v>
      </c>
      <c r="URB56" s="850">
        <f t="shared" ref="URB56:UTM56" si="244">UQZ56*$C$56</f>
        <v>0</v>
      </c>
      <c r="URC56" s="850">
        <f t="shared" si="244"/>
        <v>1.2873431119334878E+98</v>
      </c>
      <c r="URD56" s="850">
        <f t="shared" si="244"/>
        <v>0</v>
      </c>
      <c r="URE56" s="850">
        <f t="shared" si="244"/>
        <v>1.3259634052914926E+98</v>
      </c>
      <c r="URF56" s="850">
        <f t="shared" si="244"/>
        <v>0</v>
      </c>
      <c r="URG56" s="850">
        <f t="shared" si="244"/>
        <v>1.3657423074502374E+98</v>
      </c>
      <c r="URH56" s="850">
        <f t="shared" si="244"/>
        <v>0</v>
      </c>
      <c r="URI56" s="850">
        <f t="shared" si="244"/>
        <v>1.4067145766737445E+98</v>
      </c>
      <c r="URJ56" s="850">
        <f t="shared" si="244"/>
        <v>0</v>
      </c>
      <c r="URK56" s="850">
        <f t="shared" si="244"/>
        <v>1.4489160139739569E+98</v>
      </c>
      <c r="URL56" s="850">
        <f t="shared" si="244"/>
        <v>0</v>
      </c>
      <c r="URM56" s="850">
        <f t="shared" si="244"/>
        <v>1.4923834943931757E+98</v>
      </c>
      <c r="URN56" s="850">
        <f t="shared" si="244"/>
        <v>0</v>
      </c>
      <c r="URO56" s="850">
        <f t="shared" si="244"/>
        <v>1.5371549992249711E+98</v>
      </c>
      <c r="URP56" s="850">
        <f t="shared" si="244"/>
        <v>0</v>
      </c>
      <c r="URQ56" s="850">
        <f t="shared" si="244"/>
        <v>1.5832696492017202E+98</v>
      </c>
      <c r="URR56" s="850">
        <f t="shared" si="244"/>
        <v>0</v>
      </c>
      <c r="URS56" s="850">
        <f t="shared" si="244"/>
        <v>1.6307677386777718E+98</v>
      </c>
      <c r="URT56" s="850">
        <f t="shared" si="244"/>
        <v>0</v>
      </c>
      <c r="URU56" s="850">
        <f t="shared" si="244"/>
        <v>1.6796907708381049E+98</v>
      </c>
      <c r="URV56" s="850">
        <f t="shared" si="244"/>
        <v>0</v>
      </c>
      <c r="URW56" s="850">
        <f t="shared" si="244"/>
        <v>1.730081493963248E+98</v>
      </c>
      <c r="URX56" s="850">
        <f t="shared" si="244"/>
        <v>0</v>
      </c>
      <c r="URY56" s="850">
        <f t="shared" si="244"/>
        <v>1.7819839387821454E+98</v>
      </c>
      <c r="URZ56" s="850">
        <f t="shared" si="244"/>
        <v>0</v>
      </c>
      <c r="USA56" s="850">
        <f t="shared" si="244"/>
        <v>1.8354434569456099E+98</v>
      </c>
      <c r="USB56" s="850">
        <f t="shared" si="244"/>
        <v>0</v>
      </c>
      <c r="USC56" s="850">
        <f t="shared" si="244"/>
        <v>1.8905067606539783E+98</v>
      </c>
      <c r="USD56" s="850">
        <f t="shared" si="244"/>
        <v>0</v>
      </c>
      <c r="USE56" s="850">
        <f t="shared" si="244"/>
        <v>1.9472219634735977E+98</v>
      </c>
      <c r="USF56" s="850">
        <f t="shared" si="244"/>
        <v>0</v>
      </c>
      <c r="USG56" s="850">
        <f t="shared" si="244"/>
        <v>2.0056386223778055E+98</v>
      </c>
      <c r="USH56" s="850">
        <f t="shared" si="244"/>
        <v>0</v>
      </c>
      <c r="USI56" s="850">
        <f t="shared" si="244"/>
        <v>2.0658077810491398E+98</v>
      </c>
      <c r="USJ56" s="850">
        <f t="shared" si="244"/>
        <v>0</v>
      </c>
      <c r="USK56" s="850">
        <f t="shared" si="244"/>
        <v>2.127782014480614E+98</v>
      </c>
      <c r="USL56" s="850">
        <f t="shared" si="244"/>
        <v>0</v>
      </c>
      <c r="USM56" s="850">
        <f t="shared" si="244"/>
        <v>2.1916154749150326E+98</v>
      </c>
      <c r="USN56" s="850">
        <f t="shared" si="244"/>
        <v>0</v>
      </c>
      <c r="USO56" s="850">
        <f t="shared" si="244"/>
        <v>2.2573639391624837E+98</v>
      </c>
      <c r="USP56" s="850">
        <f t="shared" si="244"/>
        <v>0</v>
      </c>
      <c r="USQ56" s="850">
        <f t="shared" si="244"/>
        <v>2.3250848573373583E+98</v>
      </c>
      <c r="USR56" s="850">
        <f t="shared" si="244"/>
        <v>0</v>
      </c>
      <c r="USS56" s="850">
        <f t="shared" si="244"/>
        <v>2.3948374030574791E+98</v>
      </c>
      <c r="UST56" s="850">
        <f t="shared" si="244"/>
        <v>0</v>
      </c>
      <c r="USU56" s="850">
        <f t="shared" si="244"/>
        <v>2.4666825251492033E+98</v>
      </c>
      <c r="USV56" s="850">
        <f t="shared" si="244"/>
        <v>0</v>
      </c>
      <c r="USW56" s="850">
        <f t="shared" si="244"/>
        <v>2.5406830009036795E+98</v>
      </c>
      <c r="USX56" s="850">
        <f t="shared" si="244"/>
        <v>0</v>
      </c>
      <c r="USY56" s="850">
        <f t="shared" si="244"/>
        <v>2.61690349093079E+98</v>
      </c>
      <c r="USZ56" s="850">
        <f t="shared" si="244"/>
        <v>0</v>
      </c>
      <c r="UTA56" s="850">
        <f t="shared" si="244"/>
        <v>2.6954105956587139E+98</v>
      </c>
      <c r="UTB56" s="850">
        <f t="shared" si="244"/>
        <v>0</v>
      </c>
      <c r="UTC56" s="850">
        <f t="shared" si="244"/>
        <v>2.7762729135284751E+98</v>
      </c>
      <c r="UTD56" s="850">
        <f t="shared" si="244"/>
        <v>0</v>
      </c>
      <c r="UTE56" s="850">
        <f t="shared" si="244"/>
        <v>2.8595611009343294E+98</v>
      </c>
      <c r="UTF56" s="850">
        <f t="shared" si="244"/>
        <v>0</v>
      </c>
      <c r="UTG56" s="850">
        <f t="shared" si="244"/>
        <v>2.9453479339623594E+98</v>
      </c>
      <c r="UTH56" s="850">
        <f t="shared" si="244"/>
        <v>0</v>
      </c>
      <c r="UTI56" s="850">
        <f t="shared" si="244"/>
        <v>3.0337083719812305E+98</v>
      </c>
      <c r="UTJ56" s="850">
        <f t="shared" si="244"/>
        <v>0</v>
      </c>
      <c r="UTK56" s="850">
        <f t="shared" si="244"/>
        <v>3.1247196231406674E+98</v>
      </c>
      <c r="UTL56" s="850">
        <f t="shared" si="244"/>
        <v>0</v>
      </c>
      <c r="UTM56" s="850">
        <f t="shared" si="244"/>
        <v>3.2184612118348873E+98</v>
      </c>
      <c r="UTN56" s="850">
        <f t="shared" ref="UTN56:UVY56" si="245">UTL56*$C$56</f>
        <v>0</v>
      </c>
      <c r="UTO56" s="850">
        <f t="shared" si="245"/>
        <v>3.3150150481899341E+98</v>
      </c>
      <c r="UTP56" s="850">
        <f t="shared" si="245"/>
        <v>0</v>
      </c>
      <c r="UTQ56" s="850">
        <f t="shared" si="245"/>
        <v>3.4144654996356322E+98</v>
      </c>
      <c r="UTR56" s="850">
        <f t="shared" si="245"/>
        <v>0</v>
      </c>
      <c r="UTS56" s="850">
        <f t="shared" si="245"/>
        <v>3.5168994646247012E+98</v>
      </c>
      <c r="UTT56" s="850">
        <f t="shared" si="245"/>
        <v>0</v>
      </c>
      <c r="UTU56" s="850">
        <f t="shared" si="245"/>
        <v>3.622406448563442E+98</v>
      </c>
      <c r="UTV56" s="850">
        <f t="shared" si="245"/>
        <v>0</v>
      </c>
      <c r="UTW56" s="850">
        <f t="shared" si="245"/>
        <v>3.7310786420203456E+98</v>
      </c>
      <c r="UTX56" s="850">
        <f t="shared" si="245"/>
        <v>0</v>
      </c>
      <c r="UTY56" s="850">
        <f t="shared" si="245"/>
        <v>3.8430110012809563E+98</v>
      </c>
      <c r="UTZ56" s="850">
        <f t="shared" si="245"/>
        <v>0</v>
      </c>
      <c r="UUA56" s="850">
        <f t="shared" si="245"/>
        <v>3.958301331319385E+98</v>
      </c>
      <c r="UUB56" s="850">
        <f t="shared" si="245"/>
        <v>0</v>
      </c>
      <c r="UUC56" s="850">
        <f t="shared" si="245"/>
        <v>4.0770503712589664E+98</v>
      </c>
      <c r="UUD56" s="850">
        <f t="shared" si="245"/>
        <v>0</v>
      </c>
      <c r="UUE56" s="850">
        <f t="shared" si="245"/>
        <v>4.1993618823967358E+98</v>
      </c>
      <c r="UUF56" s="850">
        <f t="shared" si="245"/>
        <v>0</v>
      </c>
      <c r="UUG56" s="850">
        <f t="shared" si="245"/>
        <v>4.3253427388686378E+98</v>
      </c>
      <c r="UUH56" s="850">
        <f t="shared" si="245"/>
        <v>0</v>
      </c>
      <c r="UUI56" s="850">
        <f t="shared" si="245"/>
        <v>4.4551030210346973E+98</v>
      </c>
      <c r="UUJ56" s="850">
        <f t="shared" si="245"/>
        <v>0</v>
      </c>
      <c r="UUK56" s="850">
        <f t="shared" si="245"/>
        <v>4.5887561116657387E+98</v>
      </c>
      <c r="UUL56" s="850">
        <f t="shared" si="245"/>
        <v>0</v>
      </c>
      <c r="UUM56" s="850">
        <f t="shared" si="245"/>
        <v>4.726418795015711E+98</v>
      </c>
      <c r="UUN56" s="850">
        <f t="shared" si="245"/>
        <v>0</v>
      </c>
      <c r="UUO56" s="850">
        <f t="shared" si="245"/>
        <v>4.8682113588661826E+98</v>
      </c>
      <c r="UUP56" s="850">
        <f t="shared" si="245"/>
        <v>0</v>
      </c>
      <c r="UUQ56" s="850">
        <f t="shared" si="245"/>
        <v>5.0142576996321684E+98</v>
      </c>
      <c r="UUR56" s="850">
        <f t="shared" si="245"/>
        <v>0</v>
      </c>
      <c r="UUS56" s="850">
        <f t="shared" si="245"/>
        <v>5.1646854306211337E+98</v>
      </c>
      <c r="UUT56" s="850">
        <f t="shared" si="245"/>
        <v>0</v>
      </c>
      <c r="UUU56" s="850">
        <f t="shared" si="245"/>
        <v>5.3196259935397676E+98</v>
      </c>
      <c r="UUV56" s="850">
        <f t="shared" si="245"/>
        <v>0</v>
      </c>
      <c r="UUW56" s="850">
        <f t="shared" si="245"/>
        <v>5.4792147733459603E+98</v>
      </c>
      <c r="UUX56" s="850">
        <f t="shared" si="245"/>
        <v>0</v>
      </c>
      <c r="UUY56" s="850">
        <f t="shared" si="245"/>
        <v>5.6435912165463388E+98</v>
      </c>
      <c r="UUZ56" s="850">
        <f t="shared" si="245"/>
        <v>0</v>
      </c>
      <c r="UVA56" s="850">
        <f t="shared" si="245"/>
        <v>5.8128989530427297E+98</v>
      </c>
      <c r="UVB56" s="850">
        <f t="shared" si="245"/>
        <v>0</v>
      </c>
      <c r="UVC56" s="850">
        <f t="shared" si="245"/>
        <v>5.9872859216340114E+98</v>
      </c>
      <c r="UVD56" s="850">
        <f t="shared" si="245"/>
        <v>0</v>
      </c>
      <c r="UVE56" s="850">
        <f t="shared" si="245"/>
        <v>6.166904499283032E+98</v>
      </c>
      <c r="UVF56" s="850">
        <f t="shared" si="245"/>
        <v>0</v>
      </c>
      <c r="UVG56" s="850">
        <f t="shared" si="245"/>
        <v>6.3519116342615233E+98</v>
      </c>
      <c r="UVH56" s="850">
        <f t="shared" si="245"/>
        <v>0</v>
      </c>
      <c r="UVI56" s="850">
        <f t="shared" si="245"/>
        <v>6.5424689832893687E+98</v>
      </c>
      <c r="UVJ56" s="850">
        <f t="shared" si="245"/>
        <v>0</v>
      </c>
      <c r="UVK56" s="850">
        <f t="shared" si="245"/>
        <v>6.73874305278805E+98</v>
      </c>
      <c r="UVL56" s="850">
        <f t="shared" si="245"/>
        <v>0</v>
      </c>
      <c r="UVM56" s="850">
        <f t="shared" si="245"/>
        <v>6.940905344371692E+98</v>
      </c>
      <c r="UVN56" s="850">
        <f t="shared" si="245"/>
        <v>0</v>
      </c>
      <c r="UVO56" s="850">
        <f t="shared" si="245"/>
        <v>7.1491325047028433E+98</v>
      </c>
      <c r="UVP56" s="850">
        <f t="shared" si="245"/>
        <v>0</v>
      </c>
      <c r="UVQ56" s="850">
        <f t="shared" si="245"/>
        <v>7.3636064798439294E+98</v>
      </c>
      <c r="UVR56" s="850">
        <f t="shared" si="245"/>
        <v>0</v>
      </c>
      <c r="UVS56" s="850">
        <f t="shared" si="245"/>
        <v>7.5845146742392478E+98</v>
      </c>
      <c r="UVT56" s="850">
        <f t="shared" si="245"/>
        <v>0</v>
      </c>
      <c r="UVU56" s="850">
        <f t="shared" si="245"/>
        <v>7.8120501144664252E+98</v>
      </c>
      <c r="UVV56" s="850">
        <f t="shared" si="245"/>
        <v>0</v>
      </c>
      <c r="UVW56" s="850">
        <f t="shared" si="245"/>
        <v>8.0464116179004181E+98</v>
      </c>
      <c r="UVX56" s="850">
        <f t="shared" si="245"/>
        <v>0</v>
      </c>
      <c r="UVY56" s="850">
        <f t="shared" si="245"/>
        <v>8.287803966437431E+98</v>
      </c>
      <c r="UVZ56" s="850">
        <f t="shared" ref="UVZ56:UYK56" si="246">UVX56*$C$56</f>
        <v>0</v>
      </c>
      <c r="UWA56" s="850">
        <f t="shared" si="246"/>
        <v>8.5364380854305545E+98</v>
      </c>
      <c r="UWB56" s="850">
        <f t="shared" si="246"/>
        <v>0</v>
      </c>
      <c r="UWC56" s="850">
        <f t="shared" si="246"/>
        <v>8.7925312279934718E+98</v>
      </c>
      <c r="UWD56" s="850">
        <f t="shared" si="246"/>
        <v>0</v>
      </c>
      <c r="UWE56" s="850">
        <f t="shared" si="246"/>
        <v>9.0563071648332763E+98</v>
      </c>
      <c r="UWF56" s="850">
        <f t="shared" si="246"/>
        <v>0</v>
      </c>
      <c r="UWG56" s="850">
        <f t="shared" si="246"/>
        <v>9.3279963797782747E+98</v>
      </c>
      <c r="UWH56" s="850">
        <f t="shared" si="246"/>
        <v>0</v>
      </c>
      <c r="UWI56" s="850">
        <f t="shared" si="246"/>
        <v>9.6078362711716227E+98</v>
      </c>
      <c r="UWJ56" s="850">
        <f t="shared" si="246"/>
        <v>0</v>
      </c>
      <c r="UWK56" s="850">
        <f t="shared" si="246"/>
        <v>9.8960713593067722E+98</v>
      </c>
      <c r="UWL56" s="850">
        <f t="shared" si="246"/>
        <v>0</v>
      </c>
      <c r="UWM56" s="850">
        <f t="shared" si="246"/>
        <v>1.0192953500085976E+99</v>
      </c>
      <c r="UWN56" s="850">
        <f t="shared" si="246"/>
        <v>0</v>
      </c>
      <c r="UWO56" s="850">
        <f t="shared" si="246"/>
        <v>1.0498742105088555E+99</v>
      </c>
      <c r="UWP56" s="850">
        <f t="shared" si="246"/>
        <v>0</v>
      </c>
      <c r="UWQ56" s="850">
        <f t="shared" si="246"/>
        <v>1.0813704368241213E+99</v>
      </c>
      <c r="UWR56" s="850">
        <f t="shared" si="246"/>
        <v>0</v>
      </c>
      <c r="UWS56" s="850">
        <f t="shared" si="246"/>
        <v>1.1138115499288449E+99</v>
      </c>
      <c r="UWT56" s="850">
        <f t="shared" si="246"/>
        <v>0</v>
      </c>
      <c r="UWU56" s="850">
        <f t="shared" si="246"/>
        <v>1.1472258964267102E+99</v>
      </c>
      <c r="UWV56" s="850">
        <f t="shared" si="246"/>
        <v>0</v>
      </c>
      <c r="UWW56" s="850">
        <f t="shared" si="246"/>
        <v>1.1816426733195116E+99</v>
      </c>
      <c r="UWX56" s="850">
        <f t="shared" si="246"/>
        <v>0</v>
      </c>
      <c r="UWY56" s="850">
        <f t="shared" si="246"/>
        <v>1.217091953519097E+99</v>
      </c>
      <c r="UWZ56" s="850">
        <f t="shared" si="246"/>
        <v>0</v>
      </c>
      <c r="UXA56" s="850">
        <f t="shared" si="246"/>
        <v>1.25360471212467E+99</v>
      </c>
      <c r="UXB56" s="850">
        <f t="shared" si="246"/>
        <v>0</v>
      </c>
      <c r="UXC56" s="850">
        <f t="shared" si="246"/>
        <v>1.2912128534884102E+99</v>
      </c>
      <c r="UXD56" s="850">
        <f t="shared" si="246"/>
        <v>0</v>
      </c>
      <c r="UXE56" s="850">
        <f t="shared" si="246"/>
        <v>1.3299492390930627E+99</v>
      </c>
      <c r="UXF56" s="850">
        <f t="shared" si="246"/>
        <v>0</v>
      </c>
      <c r="UXG56" s="850">
        <f t="shared" si="246"/>
        <v>1.3698477162658547E+99</v>
      </c>
      <c r="UXH56" s="850">
        <f t="shared" si="246"/>
        <v>0</v>
      </c>
      <c r="UXI56" s="850">
        <f t="shared" si="246"/>
        <v>1.4109431477538304E+99</v>
      </c>
      <c r="UXJ56" s="850">
        <f t="shared" si="246"/>
        <v>0</v>
      </c>
      <c r="UXK56" s="850">
        <f t="shared" si="246"/>
        <v>1.4532714421864454E+99</v>
      </c>
      <c r="UXL56" s="850">
        <f t="shared" si="246"/>
        <v>0</v>
      </c>
      <c r="UXM56" s="850">
        <f t="shared" si="246"/>
        <v>1.4968695854520389E+99</v>
      </c>
      <c r="UXN56" s="850">
        <f t="shared" si="246"/>
        <v>0</v>
      </c>
      <c r="UXO56" s="850">
        <f t="shared" si="246"/>
        <v>1.5417756730156E+99</v>
      </c>
      <c r="UXP56" s="850">
        <f t="shared" si="246"/>
        <v>0</v>
      </c>
      <c r="UXQ56" s="850">
        <f t="shared" si="246"/>
        <v>1.588028943206068E+99</v>
      </c>
      <c r="UXR56" s="850">
        <f t="shared" si="246"/>
        <v>0</v>
      </c>
      <c r="UXS56" s="850">
        <f t="shared" si="246"/>
        <v>1.63566981150225E+99</v>
      </c>
      <c r="UXT56" s="850">
        <f t="shared" si="246"/>
        <v>0</v>
      </c>
      <c r="UXU56" s="850">
        <f t="shared" si="246"/>
        <v>1.6847399058473177E+99</v>
      </c>
      <c r="UXV56" s="850">
        <f t="shared" si="246"/>
        <v>0</v>
      </c>
      <c r="UXW56" s="850">
        <f t="shared" si="246"/>
        <v>1.7352821030227371E+99</v>
      </c>
      <c r="UXX56" s="850">
        <f t="shared" si="246"/>
        <v>0</v>
      </c>
      <c r="UXY56" s="850">
        <f t="shared" si="246"/>
        <v>1.7873405661134193E+99</v>
      </c>
      <c r="UXZ56" s="850">
        <f t="shared" si="246"/>
        <v>0</v>
      </c>
      <c r="UYA56" s="850">
        <f t="shared" si="246"/>
        <v>1.8409607830968219E+99</v>
      </c>
      <c r="UYB56" s="850">
        <f t="shared" si="246"/>
        <v>0</v>
      </c>
      <c r="UYC56" s="850">
        <f t="shared" si="246"/>
        <v>1.8961896065897265E+99</v>
      </c>
      <c r="UYD56" s="850">
        <f t="shared" si="246"/>
        <v>0</v>
      </c>
      <c r="UYE56" s="850">
        <f t="shared" si="246"/>
        <v>1.9530752947874182E+99</v>
      </c>
      <c r="UYF56" s="850">
        <f t="shared" si="246"/>
        <v>0</v>
      </c>
      <c r="UYG56" s="850">
        <f t="shared" si="246"/>
        <v>2.0116675536310409E+99</v>
      </c>
      <c r="UYH56" s="850">
        <f t="shared" si="246"/>
        <v>0</v>
      </c>
      <c r="UYI56" s="850">
        <f t="shared" si="246"/>
        <v>2.0720175802399721E+99</v>
      </c>
      <c r="UYJ56" s="850">
        <f t="shared" si="246"/>
        <v>0</v>
      </c>
      <c r="UYK56" s="850">
        <f t="shared" si="246"/>
        <v>2.1341781076471713E+99</v>
      </c>
      <c r="UYL56" s="850">
        <f t="shared" ref="UYL56:VAW56" si="247">UYJ56*$C$56</f>
        <v>0</v>
      </c>
      <c r="UYM56" s="850">
        <f t="shared" si="247"/>
        <v>2.1982034508765866E+99</v>
      </c>
      <c r="UYN56" s="850">
        <f t="shared" si="247"/>
        <v>0</v>
      </c>
      <c r="UYO56" s="850">
        <f t="shared" si="247"/>
        <v>2.2641495544028842E+99</v>
      </c>
      <c r="UYP56" s="850">
        <f t="shared" si="247"/>
        <v>0</v>
      </c>
      <c r="UYQ56" s="850">
        <f t="shared" si="247"/>
        <v>2.3320740410349709E+99</v>
      </c>
      <c r="UYR56" s="850">
        <f t="shared" si="247"/>
        <v>0</v>
      </c>
      <c r="UYS56" s="850">
        <f t="shared" si="247"/>
        <v>2.4020362622660199E+99</v>
      </c>
      <c r="UYT56" s="850">
        <f t="shared" si="247"/>
        <v>0</v>
      </c>
      <c r="UYU56" s="850">
        <f t="shared" si="247"/>
        <v>2.4740973501340008E+99</v>
      </c>
      <c r="UYV56" s="850">
        <f t="shared" si="247"/>
        <v>0</v>
      </c>
      <c r="UYW56" s="850">
        <f t="shared" si="247"/>
        <v>2.5483202706380207E+99</v>
      </c>
      <c r="UYX56" s="850">
        <f t="shared" si="247"/>
        <v>0</v>
      </c>
      <c r="UYY56" s="850">
        <f t="shared" si="247"/>
        <v>2.6247698787571615E+99</v>
      </c>
      <c r="UYZ56" s="850">
        <f t="shared" si="247"/>
        <v>0</v>
      </c>
      <c r="UZA56" s="850">
        <f t="shared" si="247"/>
        <v>2.7035129751198764E+99</v>
      </c>
      <c r="UZB56" s="850">
        <f t="shared" si="247"/>
        <v>0</v>
      </c>
      <c r="UZC56" s="850">
        <f t="shared" si="247"/>
        <v>2.7846183643734725E+99</v>
      </c>
      <c r="UZD56" s="850">
        <f t="shared" si="247"/>
        <v>0</v>
      </c>
      <c r="UZE56" s="850">
        <f t="shared" si="247"/>
        <v>2.8681569153046769E+99</v>
      </c>
      <c r="UZF56" s="850">
        <f t="shared" si="247"/>
        <v>0</v>
      </c>
      <c r="UZG56" s="850">
        <f t="shared" si="247"/>
        <v>2.9542016227638174E+99</v>
      </c>
      <c r="UZH56" s="850">
        <f t="shared" si="247"/>
        <v>0</v>
      </c>
      <c r="UZI56" s="850">
        <f t="shared" si="247"/>
        <v>3.0428276714467319E+99</v>
      </c>
      <c r="UZJ56" s="850">
        <f t="shared" si="247"/>
        <v>0</v>
      </c>
      <c r="UZK56" s="850">
        <f t="shared" si="247"/>
        <v>3.1341125015901342E+99</v>
      </c>
      <c r="UZL56" s="850">
        <f t="shared" si="247"/>
        <v>0</v>
      </c>
      <c r="UZM56" s="850">
        <f t="shared" si="247"/>
        <v>3.2281358766378381E+99</v>
      </c>
      <c r="UZN56" s="850">
        <f t="shared" si="247"/>
        <v>0</v>
      </c>
      <c r="UZO56" s="850">
        <f t="shared" si="247"/>
        <v>3.3249799529369735E+99</v>
      </c>
      <c r="UZP56" s="850">
        <f t="shared" si="247"/>
        <v>0</v>
      </c>
      <c r="UZQ56" s="850">
        <f t="shared" si="247"/>
        <v>3.4247293515250826E+99</v>
      </c>
      <c r="UZR56" s="850">
        <f t="shared" si="247"/>
        <v>0</v>
      </c>
      <c r="UZS56" s="850">
        <f t="shared" si="247"/>
        <v>3.5274712320708354E+99</v>
      </c>
      <c r="UZT56" s="850">
        <f t="shared" si="247"/>
        <v>0</v>
      </c>
      <c r="UZU56" s="850">
        <f t="shared" si="247"/>
        <v>3.6332953690329607E+99</v>
      </c>
      <c r="UZV56" s="850">
        <f t="shared" si="247"/>
        <v>0</v>
      </c>
      <c r="UZW56" s="850">
        <f t="shared" si="247"/>
        <v>3.7422942301039496E+99</v>
      </c>
      <c r="UZX56" s="850">
        <f t="shared" si="247"/>
        <v>0</v>
      </c>
      <c r="UZY56" s="850">
        <f t="shared" si="247"/>
        <v>3.8545630570070681E+99</v>
      </c>
      <c r="UZZ56" s="850">
        <f t="shared" si="247"/>
        <v>0</v>
      </c>
      <c r="VAA56" s="850">
        <f t="shared" si="247"/>
        <v>3.9701999487172802E+99</v>
      </c>
      <c r="VAB56" s="850">
        <f t="shared" si="247"/>
        <v>0</v>
      </c>
      <c r="VAC56" s="850">
        <f t="shared" si="247"/>
        <v>4.0893059471787988E+99</v>
      </c>
      <c r="VAD56" s="850">
        <f t="shared" si="247"/>
        <v>0</v>
      </c>
      <c r="VAE56" s="850">
        <f t="shared" si="247"/>
        <v>4.211985125594163E+99</v>
      </c>
      <c r="VAF56" s="850">
        <f t="shared" si="247"/>
        <v>0</v>
      </c>
      <c r="VAG56" s="850">
        <f t="shared" si="247"/>
        <v>4.3383446793619878E+99</v>
      </c>
      <c r="VAH56" s="850">
        <f t="shared" si="247"/>
        <v>0</v>
      </c>
      <c r="VAI56" s="850">
        <f t="shared" si="247"/>
        <v>4.4684950197428476E+99</v>
      </c>
      <c r="VAJ56" s="850">
        <f t="shared" si="247"/>
        <v>0</v>
      </c>
      <c r="VAK56" s="850">
        <f t="shared" si="247"/>
        <v>4.6025498703351328E+99</v>
      </c>
      <c r="VAL56" s="850">
        <f t="shared" si="247"/>
        <v>0</v>
      </c>
      <c r="VAM56" s="850">
        <f t="shared" si="247"/>
        <v>4.7406263664451865E+99</v>
      </c>
      <c r="VAN56" s="850">
        <f t="shared" si="247"/>
        <v>0</v>
      </c>
      <c r="VAO56" s="850">
        <f t="shared" si="247"/>
        <v>4.8828451574385421E+99</v>
      </c>
      <c r="VAP56" s="850">
        <f t="shared" si="247"/>
        <v>0</v>
      </c>
      <c r="VAQ56" s="850">
        <f t="shared" si="247"/>
        <v>5.0293305121616985E+99</v>
      </c>
      <c r="VAR56" s="850">
        <f t="shared" si="247"/>
        <v>0</v>
      </c>
      <c r="VAS56" s="850">
        <f t="shared" si="247"/>
        <v>5.18021042752655E+99</v>
      </c>
      <c r="VAT56" s="850">
        <f t="shared" si="247"/>
        <v>0</v>
      </c>
      <c r="VAU56" s="850">
        <f t="shared" si="247"/>
        <v>5.3356167403523462E+99</v>
      </c>
      <c r="VAV56" s="850">
        <f t="shared" si="247"/>
        <v>0</v>
      </c>
      <c r="VAW56" s="850">
        <f t="shared" si="247"/>
        <v>5.4956852425629163E+99</v>
      </c>
      <c r="VAX56" s="850">
        <f t="shared" ref="VAX56:VDI56" si="248">VAV56*$C$56</f>
        <v>0</v>
      </c>
      <c r="VAY56" s="850">
        <f t="shared" si="248"/>
        <v>5.6605557998398036E+99</v>
      </c>
      <c r="VAZ56" s="850">
        <f t="shared" si="248"/>
        <v>0</v>
      </c>
      <c r="VBA56" s="850">
        <f t="shared" si="248"/>
        <v>5.8303724738349978E+99</v>
      </c>
      <c r="VBB56" s="850">
        <f t="shared" si="248"/>
        <v>0</v>
      </c>
      <c r="VBC56" s="850">
        <f t="shared" si="248"/>
        <v>6.0052836480500478E+99</v>
      </c>
      <c r="VBD56" s="850">
        <f t="shared" si="248"/>
        <v>0</v>
      </c>
      <c r="VBE56" s="850">
        <f t="shared" si="248"/>
        <v>6.1854421574915496E+99</v>
      </c>
      <c r="VBF56" s="850">
        <f t="shared" si="248"/>
        <v>0</v>
      </c>
      <c r="VBG56" s="850">
        <f t="shared" si="248"/>
        <v>6.3710054222162963E+99</v>
      </c>
      <c r="VBH56" s="850">
        <f t="shared" si="248"/>
        <v>0</v>
      </c>
      <c r="VBI56" s="850">
        <f t="shared" si="248"/>
        <v>6.5621355848827854E+99</v>
      </c>
      <c r="VBJ56" s="850">
        <f t="shared" si="248"/>
        <v>0</v>
      </c>
      <c r="VBK56" s="850">
        <f t="shared" si="248"/>
        <v>6.7589996524292693E+99</v>
      </c>
      <c r="VBL56" s="850">
        <f t="shared" si="248"/>
        <v>0</v>
      </c>
      <c r="VBM56" s="850">
        <f t="shared" si="248"/>
        <v>6.9617696420021481E+99</v>
      </c>
      <c r="VBN56" s="850">
        <f t="shared" si="248"/>
        <v>0</v>
      </c>
      <c r="VBO56" s="850">
        <f t="shared" si="248"/>
        <v>7.1706227312622128E+99</v>
      </c>
      <c r="VBP56" s="850">
        <f t="shared" si="248"/>
        <v>0</v>
      </c>
      <c r="VBQ56" s="850">
        <f t="shared" si="248"/>
        <v>7.3857414132000796E+99</v>
      </c>
      <c r="VBR56" s="850">
        <f t="shared" si="248"/>
        <v>0</v>
      </c>
      <c r="VBS56" s="850">
        <f t="shared" si="248"/>
        <v>7.6073136555960826E+99</v>
      </c>
      <c r="VBT56" s="850">
        <f t="shared" si="248"/>
        <v>0</v>
      </c>
      <c r="VBU56" s="850">
        <f t="shared" si="248"/>
        <v>7.8355330652639657E+99</v>
      </c>
      <c r="VBV56" s="850">
        <f t="shared" si="248"/>
        <v>0</v>
      </c>
      <c r="VBW56" s="850">
        <f t="shared" si="248"/>
        <v>8.0705990572218854E+99</v>
      </c>
      <c r="VBX56" s="850">
        <f t="shared" si="248"/>
        <v>0</v>
      </c>
      <c r="VBY56" s="850">
        <f t="shared" si="248"/>
        <v>8.3127170289385417E+99</v>
      </c>
      <c r="VBZ56" s="850">
        <f t="shared" si="248"/>
        <v>0</v>
      </c>
      <c r="VCA56" s="850">
        <f t="shared" si="248"/>
        <v>8.5620985398066987E+99</v>
      </c>
      <c r="VCB56" s="850">
        <f t="shared" si="248"/>
        <v>0</v>
      </c>
      <c r="VCC56" s="850">
        <f t="shared" si="248"/>
        <v>8.818961496000899E+99</v>
      </c>
      <c r="VCD56" s="850">
        <f t="shared" si="248"/>
        <v>0</v>
      </c>
      <c r="VCE56" s="850">
        <f t="shared" si="248"/>
        <v>9.0835303408809255E+99</v>
      </c>
      <c r="VCF56" s="850">
        <f t="shared" si="248"/>
        <v>0</v>
      </c>
      <c r="VCG56" s="850">
        <f t="shared" si="248"/>
        <v>9.356036251107353E+99</v>
      </c>
      <c r="VCH56" s="850">
        <f t="shared" si="248"/>
        <v>0</v>
      </c>
      <c r="VCI56" s="850">
        <f t="shared" si="248"/>
        <v>9.6367173386405736E+99</v>
      </c>
      <c r="VCJ56" s="850">
        <f t="shared" si="248"/>
        <v>0</v>
      </c>
      <c r="VCK56" s="850">
        <f t="shared" si="248"/>
        <v>9.9258188587997903E+99</v>
      </c>
      <c r="VCL56" s="850">
        <f t="shared" si="248"/>
        <v>0</v>
      </c>
      <c r="VCM56" s="850">
        <f t="shared" si="248"/>
        <v>1.0223593424563783E+100</v>
      </c>
      <c r="VCN56" s="850">
        <f t="shared" si="248"/>
        <v>0</v>
      </c>
      <c r="VCO56" s="850">
        <f t="shared" si="248"/>
        <v>1.0530301227300697E+100</v>
      </c>
      <c r="VCP56" s="850">
        <f t="shared" si="248"/>
        <v>0</v>
      </c>
      <c r="VCQ56" s="850">
        <f t="shared" si="248"/>
        <v>1.0846210264119718E+100</v>
      </c>
      <c r="VCR56" s="850">
        <f t="shared" si="248"/>
        <v>0</v>
      </c>
      <c r="VCS56" s="850">
        <f t="shared" si="248"/>
        <v>1.1171596572043311E+100</v>
      </c>
      <c r="VCT56" s="850">
        <f t="shared" si="248"/>
        <v>0</v>
      </c>
      <c r="VCU56" s="850">
        <f t="shared" si="248"/>
        <v>1.1506744469204611E+100</v>
      </c>
      <c r="VCV56" s="850">
        <f t="shared" si="248"/>
        <v>0</v>
      </c>
      <c r="VCW56" s="850">
        <f t="shared" si="248"/>
        <v>1.185194680328075E+100</v>
      </c>
      <c r="VCX56" s="850">
        <f t="shared" si="248"/>
        <v>0</v>
      </c>
      <c r="VCY56" s="850">
        <f t="shared" si="248"/>
        <v>1.2207505207379174E+100</v>
      </c>
      <c r="VCZ56" s="850">
        <f t="shared" si="248"/>
        <v>0</v>
      </c>
      <c r="VDA56" s="850">
        <f t="shared" si="248"/>
        <v>1.257373036360055E+100</v>
      </c>
      <c r="VDB56" s="850">
        <f t="shared" si="248"/>
        <v>0</v>
      </c>
      <c r="VDC56" s="850">
        <f t="shared" si="248"/>
        <v>1.2950942274508567E+100</v>
      </c>
      <c r="VDD56" s="850">
        <f t="shared" si="248"/>
        <v>0</v>
      </c>
      <c r="VDE56" s="850">
        <f t="shared" si="248"/>
        <v>1.3339470542743824E+100</v>
      </c>
      <c r="VDF56" s="850">
        <f t="shared" si="248"/>
        <v>0</v>
      </c>
      <c r="VDG56" s="850">
        <f t="shared" si="248"/>
        <v>1.373965465902614E+100</v>
      </c>
      <c r="VDH56" s="850">
        <f t="shared" si="248"/>
        <v>0</v>
      </c>
      <c r="VDI56" s="850">
        <f t="shared" si="248"/>
        <v>1.4151844298796924E+100</v>
      </c>
      <c r="VDJ56" s="850">
        <f t="shared" ref="VDJ56:VFU56" si="249">VDH56*$C$56</f>
        <v>0</v>
      </c>
      <c r="VDK56" s="850">
        <f t="shared" si="249"/>
        <v>1.4576399627760832E+100</v>
      </c>
      <c r="VDL56" s="850">
        <f t="shared" si="249"/>
        <v>0</v>
      </c>
      <c r="VDM56" s="850">
        <f t="shared" si="249"/>
        <v>1.5013691616593657E+100</v>
      </c>
      <c r="VDN56" s="850">
        <f t="shared" si="249"/>
        <v>0</v>
      </c>
      <c r="VDO56" s="850">
        <f t="shared" si="249"/>
        <v>1.5464102365091468E+100</v>
      </c>
      <c r="VDP56" s="850">
        <f t="shared" si="249"/>
        <v>0</v>
      </c>
      <c r="VDQ56" s="850">
        <f t="shared" si="249"/>
        <v>1.5928025436044211E+100</v>
      </c>
      <c r="VDR56" s="850">
        <f t="shared" si="249"/>
        <v>0</v>
      </c>
      <c r="VDS56" s="850">
        <f t="shared" si="249"/>
        <v>1.6405866199125538E+100</v>
      </c>
      <c r="VDT56" s="850">
        <f t="shared" si="249"/>
        <v>0</v>
      </c>
      <c r="VDU56" s="850">
        <f t="shared" si="249"/>
        <v>1.6898042185099304E+100</v>
      </c>
      <c r="VDV56" s="850">
        <f t="shared" si="249"/>
        <v>0</v>
      </c>
      <c r="VDW56" s="850">
        <f t="shared" si="249"/>
        <v>1.7404983450652285E+100</v>
      </c>
      <c r="VDX56" s="850">
        <f t="shared" si="249"/>
        <v>0</v>
      </c>
      <c r="VDY56" s="850">
        <f t="shared" si="249"/>
        <v>1.7927132954171855E+100</v>
      </c>
      <c r="VDZ56" s="850">
        <f t="shared" si="249"/>
        <v>0</v>
      </c>
      <c r="VEA56" s="850">
        <f t="shared" si="249"/>
        <v>1.8464946942797013E+100</v>
      </c>
      <c r="VEB56" s="850">
        <f t="shared" si="249"/>
        <v>0</v>
      </c>
      <c r="VEC56" s="850">
        <f t="shared" si="249"/>
        <v>1.9018895351080923E+100</v>
      </c>
      <c r="VED56" s="850">
        <f t="shared" si="249"/>
        <v>0</v>
      </c>
      <c r="VEE56" s="850">
        <f t="shared" si="249"/>
        <v>1.958946221161335E+100</v>
      </c>
      <c r="VEF56" s="850">
        <f t="shared" si="249"/>
        <v>0</v>
      </c>
      <c r="VEG56" s="850">
        <f t="shared" si="249"/>
        <v>2.017714607796175E+100</v>
      </c>
      <c r="VEH56" s="850">
        <f t="shared" si="249"/>
        <v>0</v>
      </c>
      <c r="VEI56" s="850">
        <f t="shared" si="249"/>
        <v>2.0782460460300604E+100</v>
      </c>
      <c r="VEJ56" s="850">
        <f t="shared" si="249"/>
        <v>0</v>
      </c>
      <c r="VEK56" s="850">
        <f t="shared" si="249"/>
        <v>2.1405934274109624E+100</v>
      </c>
      <c r="VEL56" s="850">
        <f t="shared" si="249"/>
        <v>0</v>
      </c>
      <c r="VEM56" s="850">
        <f t="shared" si="249"/>
        <v>2.2048112302332912E+100</v>
      </c>
      <c r="VEN56" s="850">
        <f t="shared" si="249"/>
        <v>0</v>
      </c>
      <c r="VEO56" s="850">
        <f t="shared" si="249"/>
        <v>2.2709555671402901E+100</v>
      </c>
      <c r="VEP56" s="850">
        <f t="shared" si="249"/>
        <v>0</v>
      </c>
      <c r="VEQ56" s="850">
        <f t="shared" si="249"/>
        <v>2.3390842341544987E+100</v>
      </c>
      <c r="VER56" s="850">
        <f t="shared" si="249"/>
        <v>0</v>
      </c>
      <c r="VES56" s="850">
        <f t="shared" si="249"/>
        <v>2.4092567611791337E+100</v>
      </c>
      <c r="VET56" s="850">
        <f t="shared" si="249"/>
        <v>0</v>
      </c>
      <c r="VEU56" s="850">
        <f t="shared" si="249"/>
        <v>2.4815344640145076E+100</v>
      </c>
      <c r="VEV56" s="850">
        <f t="shared" si="249"/>
        <v>0</v>
      </c>
      <c r="VEW56" s="850">
        <f t="shared" si="249"/>
        <v>2.5559804979349431E+100</v>
      </c>
      <c r="VEX56" s="850">
        <f t="shared" si="249"/>
        <v>0</v>
      </c>
      <c r="VEY56" s="850">
        <f t="shared" si="249"/>
        <v>2.6326599128729913E+100</v>
      </c>
      <c r="VEZ56" s="850">
        <f t="shared" si="249"/>
        <v>0</v>
      </c>
      <c r="VFA56" s="850">
        <f t="shared" si="249"/>
        <v>2.711639710259181E+100</v>
      </c>
      <c r="VFB56" s="850">
        <f t="shared" si="249"/>
        <v>0</v>
      </c>
      <c r="VFC56" s="850">
        <f t="shared" si="249"/>
        <v>2.7929889015669564E+100</v>
      </c>
      <c r="VFD56" s="850">
        <f t="shared" si="249"/>
        <v>0</v>
      </c>
      <c r="VFE56" s="850">
        <f t="shared" si="249"/>
        <v>2.8767785686139653E+100</v>
      </c>
      <c r="VFF56" s="850">
        <f t="shared" si="249"/>
        <v>0</v>
      </c>
      <c r="VFG56" s="850">
        <f t="shared" si="249"/>
        <v>2.9630819256723843E+100</v>
      </c>
      <c r="VFH56" s="850">
        <f t="shared" si="249"/>
        <v>0</v>
      </c>
      <c r="VFI56" s="850">
        <f t="shared" si="249"/>
        <v>3.0519743834425561E+100</v>
      </c>
      <c r="VFJ56" s="850">
        <f t="shared" si="249"/>
        <v>0</v>
      </c>
      <c r="VFK56" s="850">
        <f t="shared" si="249"/>
        <v>3.1435336149458328E+100</v>
      </c>
      <c r="VFL56" s="850">
        <f t="shared" si="249"/>
        <v>0</v>
      </c>
      <c r="VFM56" s="850">
        <f t="shared" si="249"/>
        <v>3.237839623394208E+100</v>
      </c>
      <c r="VFN56" s="850">
        <f t="shared" si="249"/>
        <v>0</v>
      </c>
      <c r="VFO56" s="850">
        <f t="shared" si="249"/>
        <v>3.3349748120960345E+100</v>
      </c>
      <c r="VFP56" s="850">
        <f t="shared" si="249"/>
        <v>0</v>
      </c>
      <c r="VFQ56" s="850">
        <f t="shared" si="249"/>
        <v>3.4350240564589156E+100</v>
      </c>
      <c r="VFR56" s="850">
        <f t="shared" si="249"/>
        <v>0</v>
      </c>
      <c r="VFS56" s="850">
        <f t="shared" si="249"/>
        <v>3.538074778152683E+100</v>
      </c>
      <c r="VFT56" s="850">
        <f t="shared" si="249"/>
        <v>0</v>
      </c>
      <c r="VFU56" s="850">
        <f t="shared" si="249"/>
        <v>3.6442170214972639E+100</v>
      </c>
      <c r="VFV56" s="850">
        <f t="shared" ref="VFV56:VIG56" si="250">VFT56*$C$56</f>
        <v>0</v>
      </c>
      <c r="VFW56" s="850">
        <f t="shared" si="250"/>
        <v>3.7535435321421817E+100</v>
      </c>
      <c r="VFX56" s="850">
        <f t="shared" si="250"/>
        <v>0</v>
      </c>
      <c r="VFY56" s="850">
        <f t="shared" si="250"/>
        <v>3.8661498381064477E+100</v>
      </c>
      <c r="VFZ56" s="850">
        <f t="shared" si="250"/>
        <v>0</v>
      </c>
      <c r="VGA56" s="850">
        <f t="shared" si="250"/>
        <v>3.9821343332496413E+100</v>
      </c>
      <c r="VGB56" s="850">
        <f t="shared" si="250"/>
        <v>0</v>
      </c>
      <c r="VGC56" s="850">
        <f t="shared" si="250"/>
        <v>4.1015983632471305E+100</v>
      </c>
      <c r="VGD56" s="850">
        <f t="shared" si="250"/>
        <v>0</v>
      </c>
      <c r="VGE56" s="850">
        <f t="shared" si="250"/>
        <v>4.2246463141445444E+100</v>
      </c>
      <c r="VGF56" s="850">
        <f t="shared" si="250"/>
        <v>0</v>
      </c>
      <c r="VGG56" s="850">
        <f t="shared" si="250"/>
        <v>4.351385703568881E+100</v>
      </c>
      <c r="VGH56" s="850">
        <f t="shared" si="250"/>
        <v>0</v>
      </c>
      <c r="VGI56" s="850">
        <f t="shared" si="250"/>
        <v>4.4819272746759474E+100</v>
      </c>
      <c r="VGJ56" s="850">
        <f t="shared" si="250"/>
        <v>0</v>
      </c>
      <c r="VGK56" s="850">
        <f t="shared" si="250"/>
        <v>4.6163850929162262E+100</v>
      </c>
      <c r="VGL56" s="850">
        <f t="shared" si="250"/>
        <v>0</v>
      </c>
      <c r="VGM56" s="850">
        <f t="shared" si="250"/>
        <v>4.754876645703713E+100</v>
      </c>
      <c r="VGN56" s="850">
        <f t="shared" si="250"/>
        <v>0</v>
      </c>
      <c r="VGO56" s="850">
        <f t="shared" si="250"/>
        <v>4.8975229450748242E+100</v>
      </c>
      <c r="VGP56" s="850">
        <f t="shared" si="250"/>
        <v>0</v>
      </c>
      <c r="VGQ56" s="850">
        <f t="shared" si="250"/>
        <v>5.044448633427069E+100</v>
      </c>
      <c r="VGR56" s="850">
        <f t="shared" si="250"/>
        <v>0</v>
      </c>
      <c r="VGS56" s="850">
        <f t="shared" si="250"/>
        <v>5.1957820924298815E+100</v>
      </c>
      <c r="VGT56" s="850">
        <f t="shared" si="250"/>
        <v>0</v>
      </c>
      <c r="VGU56" s="850">
        <f t="shared" si="250"/>
        <v>5.3516555552027784E+100</v>
      </c>
      <c r="VGV56" s="850">
        <f t="shared" si="250"/>
        <v>0</v>
      </c>
      <c r="VGW56" s="850">
        <f t="shared" si="250"/>
        <v>5.5122052218588618E+100</v>
      </c>
      <c r="VGX56" s="850">
        <f t="shared" si="250"/>
        <v>0</v>
      </c>
      <c r="VGY56" s="850">
        <f t="shared" si="250"/>
        <v>5.6775713785146279E+100</v>
      </c>
      <c r="VGZ56" s="850">
        <f t="shared" si="250"/>
        <v>0</v>
      </c>
      <c r="VHA56" s="850">
        <f t="shared" si="250"/>
        <v>5.8478985198700669E+100</v>
      </c>
      <c r="VHB56" s="850">
        <f t="shared" si="250"/>
        <v>0</v>
      </c>
      <c r="VHC56" s="850">
        <f t="shared" si="250"/>
        <v>6.0233354754661689E+100</v>
      </c>
      <c r="VHD56" s="850">
        <f t="shared" si="250"/>
        <v>0</v>
      </c>
      <c r="VHE56" s="850">
        <f t="shared" si="250"/>
        <v>6.2040355397301538E+100</v>
      </c>
      <c r="VHF56" s="850">
        <f t="shared" si="250"/>
        <v>0</v>
      </c>
      <c r="VHG56" s="850">
        <f t="shared" si="250"/>
        <v>6.3901566059220584E+100</v>
      </c>
      <c r="VHH56" s="850">
        <f t="shared" si="250"/>
        <v>0</v>
      </c>
      <c r="VHI56" s="850">
        <f t="shared" si="250"/>
        <v>6.58186130409972E+100</v>
      </c>
      <c r="VHJ56" s="850">
        <f t="shared" si="250"/>
        <v>0</v>
      </c>
      <c r="VHK56" s="850">
        <f t="shared" si="250"/>
        <v>6.7793171432227121E+100</v>
      </c>
      <c r="VHL56" s="850">
        <f t="shared" si="250"/>
        <v>0</v>
      </c>
      <c r="VHM56" s="850">
        <f t="shared" si="250"/>
        <v>6.9826966575193935E+100</v>
      </c>
      <c r="VHN56" s="850">
        <f t="shared" si="250"/>
        <v>0</v>
      </c>
      <c r="VHO56" s="850">
        <f t="shared" si="250"/>
        <v>7.192177557244975E+100</v>
      </c>
      <c r="VHP56" s="850">
        <f t="shared" si="250"/>
        <v>0</v>
      </c>
      <c r="VHQ56" s="850">
        <f t="shared" si="250"/>
        <v>7.407942883962325E+100</v>
      </c>
      <c r="VHR56" s="850">
        <f t="shared" si="250"/>
        <v>0</v>
      </c>
      <c r="VHS56" s="850">
        <f t="shared" si="250"/>
        <v>7.6301811704811943E+100</v>
      </c>
      <c r="VHT56" s="850">
        <f t="shared" si="250"/>
        <v>0</v>
      </c>
      <c r="VHU56" s="850">
        <f t="shared" si="250"/>
        <v>7.859086605595631E+100</v>
      </c>
      <c r="VHV56" s="850">
        <f t="shared" si="250"/>
        <v>0</v>
      </c>
      <c r="VHW56" s="850">
        <f t="shared" si="250"/>
        <v>8.0948592037634996E+100</v>
      </c>
      <c r="VHX56" s="850">
        <f t="shared" si="250"/>
        <v>0</v>
      </c>
      <c r="VHY56" s="850">
        <f t="shared" si="250"/>
        <v>8.337704979876405E+100</v>
      </c>
      <c r="VHZ56" s="850">
        <f t="shared" si="250"/>
        <v>0</v>
      </c>
      <c r="VIA56" s="850">
        <f t="shared" si="250"/>
        <v>8.5878361292726977E+100</v>
      </c>
      <c r="VIB56" s="850">
        <f t="shared" si="250"/>
        <v>0</v>
      </c>
      <c r="VIC56" s="850">
        <f t="shared" si="250"/>
        <v>8.8454712131508782E+100</v>
      </c>
      <c r="VID56" s="850">
        <f t="shared" si="250"/>
        <v>0</v>
      </c>
      <c r="VIE56" s="850">
        <f t="shared" si="250"/>
        <v>9.1108353495454043E+100</v>
      </c>
      <c r="VIF56" s="850">
        <f t="shared" si="250"/>
        <v>0</v>
      </c>
      <c r="VIG56" s="850">
        <f t="shared" si="250"/>
        <v>9.3841604100317669E+100</v>
      </c>
      <c r="VIH56" s="850">
        <f t="shared" ref="VIH56:VKS56" si="251">VIF56*$C$56</f>
        <v>0</v>
      </c>
      <c r="VII56" s="850">
        <f t="shared" si="251"/>
        <v>9.6656852223327205E+100</v>
      </c>
      <c r="VIJ56" s="850">
        <f t="shared" si="251"/>
        <v>0</v>
      </c>
      <c r="VIK56" s="850">
        <f t="shared" si="251"/>
        <v>9.9556557790027019E+100</v>
      </c>
      <c r="VIL56" s="850">
        <f t="shared" si="251"/>
        <v>0</v>
      </c>
      <c r="VIM56" s="850">
        <f t="shared" si="251"/>
        <v>1.0254325452372783E+101</v>
      </c>
      <c r="VIN56" s="850">
        <f t="shared" si="251"/>
        <v>0</v>
      </c>
      <c r="VIO56" s="850">
        <f t="shared" si="251"/>
        <v>1.0561955215943967E+101</v>
      </c>
      <c r="VIP56" s="850">
        <f t="shared" si="251"/>
        <v>0</v>
      </c>
      <c r="VIQ56" s="850">
        <f t="shared" si="251"/>
        <v>1.0878813872422286E+101</v>
      </c>
      <c r="VIR56" s="850">
        <f t="shared" si="251"/>
        <v>0</v>
      </c>
      <c r="VIS56" s="850">
        <f t="shared" si="251"/>
        <v>1.1205178288594954E+101</v>
      </c>
      <c r="VIT56" s="850">
        <f t="shared" si="251"/>
        <v>0</v>
      </c>
      <c r="VIU56" s="850">
        <f t="shared" si="251"/>
        <v>1.1541333637252804E+101</v>
      </c>
      <c r="VIV56" s="850">
        <f t="shared" si="251"/>
        <v>0</v>
      </c>
      <c r="VIW56" s="850">
        <f t="shared" si="251"/>
        <v>1.1887573646370389E+101</v>
      </c>
      <c r="VIX56" s="850">
        <f t="shared" si="251"/>
        <v>0</v>
      </c>
      <c r="VIY56" s="850">
        <f t="shared" si="251"/>
        <v>1.2244200855761501E+101</v>
      </c>
      <c r="VIZ56" s="850">
        <f t="shared" si="251"/>
        <v>0</v>
      </c>
      <c r="VJA56" s="850">
        <f t="shared" si="251"/>
        <v>1.2611526881434346E+101</v>
      </c>
      <c r="VJB56" s="850">
        <f t="shared" si="251"/>
        <v>0</v>
      </c>
      <c r="VJC56" s="850">
        <f t="shared" si="251"/>
        <v>1.2989872687877377E+101</v>
      </c>
      <c r="VJD56" s="850">
        <f t="shared" si="251"/>
        <v>0</v>
      </c>
      <c r="VJE56" s="850">
        <f t="shared" si="251"/>
        <v>1.3379568868513698E+101</v>
      </c>
      <c r="VJF56" s="850">
        <f t="shared" si="251"/>
        <v>0</v>
      </c>
      <c r="VJG56" s="850">
        <f t="shared" si="251"/>
        <v>1.378095593456911E+101</v>
      </c>
      <c r="VJH56" s="850">
        <f t="shared" si="251"/>
        <v>0</v>
      </c>
      <c r="VJI56" s="850">
        <f t="shared" si="251"/>
        <v>1.4194384612606184E+101</v>
      </c>
      <c r="VJJ56" s="850">
        <f t="shared" si="251"/>
        <v>0</v>
      </c>
      <c r="VJK56" s="850">
        <f t="shared" si="251"/>
        <v>1.4620216150984369E+101</v>
      </c>
      <c r="VJL56" s="850">
        <f t="shared" si="251"/>
        <v>0</v>
      </c>
      <c r="VJM56" s="850">
        <f t="shared" si="251"/>
        <v>1.5058822635513901E+101</v>
      </c>
      <c r="VJN56" s="850">
        <f t="shared" si="251"/>
        <v>0</v>
      </c>
      <c r="VJO56" s="850">
        <f t="shared" si="251"/>
        <v>1.551058731457932E+101</v>
      </c>
      <c r="VJP56" s="850">
        <f t="shared" si="251"/>
        <v>0</v>
      </c>
      <c r="VJQ56" s="850">
        <f t="shared" si="251"/>
        <v>1.59759049340167E+101</v>
      </c>
      <c r="VJR56" s="850">
        <f t="shared" si="251"/>
        <v>0</v>
      </c>
      <c r="VJS56" s="850">
        <f t="shared" si="251"/>
        <v>1.64551820820372E+101</v>
      </c>
      <c r="VJT56" s="850">
        <f t="shared" si="251"/>
        <v>0</v>
      </c>
      <c r="VJU56" s="850">
        <f t="shared" si="251"/>
        <v>1.6948837544498316E+101</v>
      </c>
      <c r="VJV56" s="850">
        <f t="shared" si="251"/>
        <v>0</v>
      </c>
      <c r="VJW56" s="850">
        <f t="shared" si="251"/>
        <v>1.7457302670833266E+101</v>
      </c>
      <c r="VJX56" s="850">
        <f t="shared" si="251"/>
        <v>0</v>
      </c>
      <c r="VJY56" s="850">
        <f t="shared" si="251"/>
        <v>1.7981021750958266E+101</v>
      </c>
      <c r="VJZ56" s="850">
        <f t="shared" si="251"/>
        <v>0</v>
      </c>
      <c r="VKA56" s="850">
        <f t="shared" si="251"/>
        <v>1.8520452403487014E+101</v>
      </c>
      <c r="VKB56" s="850">
        <f t="shared" si="251"/>
        <v>0</v>
      </c>
      <c r="VKC56" s="850">
        <f t="shared" si="251"/>
        <v>1.9076065975591624E+101</v>
      </c>
      <c r="VKD56" s="850">
        <f t="shared" si="251"/>
        <v>0</v>
      </c>
      <c r="VKE56" s="850">
        <f t="shared" si="251"/>
        <v>1.9648347954859373E+101</v>
      </c>
      <c r="VKF56" s="850">
        <f t="shared" si="251"/>
        <v>0</v>
      </c>
      <c r="VKG56" s="850">
        <f t="shared" si="251"/>
        <v>2.0237798393505155E+101</v>
      </c>
      <c r="VKH56" s="850">
        <f t="shared" si="251"/>
        <v>0</v>
      </c>
      <c r="VKI56" s="850">
        <f t="shared" si="251"/>
        <v>2.0844932345310309E+101</v>
      </c>
      <c r="VKJ56" s="850">
        <f t="shared" si="251"/>
        <v>0</v>
      </c>
      <c r="VKK56" s="850">
        <f t="shared" si="251"/>
        <v>2.1470280315669618E+101</v>
      </c>
      <c r="VKL56" s="850">
        <f t="shared" si="251"/>
        <v>0</v>
      </c>
      <c r="VKM56" s="850">
        <f t="shared" si="251"/>
        <v>2.2114388725139706E+101</v>
      </c>
      <c r="VKN56" s="850">
        <f t="shared" si="251"/>
        <v>0</v>
      </c>
      <c r="VKO56" s="850">
        <f t="shared" si="251"/>
        <v>2.2777820386893898E+101</v>
      </c>
      <c r="VKP56" s="850">
        <f t="shared" si="251"/>
        <v>0</v>
      </c>
      <c r="VKQ56" s="850">
        <f t="shared" si="251"/>
        <v>2.3461154998500716E+101</v>
      </c>
      <c r="VKR56" s="850">
        <f t="shared" si="251"/>
        <v>0</v>
      </c>
      <c r="VKS56" s="850">
        <f t="shared" si="251"/>
        <v>2.4164989648455738E+101</v>
      </c>
      <c r="VKT56" s="850">
        <f t="shared" ref="VKT56:VNE56" si="252">VKR56*$C$56</f>
        <v>0</v>
      </c>
      <c r="VKU56" s="850">
        <f t="shared" si="252"/>
        <v>2.488993933790941E+101</v>
      </c>
      <c r="VKV56" s="850">
        <f t="shared" si="252"/>
        <v>0</v>
      </c>
      <c r="VKW56" s="850">
        <f t="shared" si="252"/>
        <v>2.5636637518046692E+101</v>
      </c>
      <c r="VKX56" s="850">
        <f t="shared" si="252"/>
        <v>0</v>
      </c>
      <c r="VKY56" s="850">
        <f t="shared" si="252"/>
        <v>2.6405736643588095E+101</v>
      </c>
      <c r="VKZ56" s="850">
        <f t="shared" si="252"/>
        <v>0</v>
      </c>
      <c r="VLA56" s="850">
        <f t="shared" si="252"/>
        <v>2.719790874289574E+101</v>
      </c>
      <c r="VLB56" s="850">
        <f t="shared" si="252"/>
        <v>0</v>
      </c>
      <c r="VLC56" s="850">
        <f t="shared" si="252"/>
        <v>2.801384600518261E+101</v>
      </c>
      <c r="VLD56" s="850">
        <f t="shared" si="252"/>
        <v>0</v>
      </c>
      <c r="VLE56" s="850">
        <f t="shared" si="252"/>
        <v>2.8854261385338089E+101</v>
      </c>
      <c r="VLF56" s="850">
        <f t="shared" si="252"/>
        <v>0</v>
      </c>
      <c r="VLG56" s="850">
        <f t="shared" si="252"/>
        <v>2.9719889226898235E+101</v>
      </c>
      <c r="VLH56" s="850">
        <f t="shared" si="252"/>
        <v>0</v>
      </c>
      <c r="VLI56" s="850">
        <f t="shared" si="252"/>
        <v>3.0611485903705183E+101</v>
      </c>
      <c r="VLJ56" s="850">
        <f t="shared" si="252"/>
        <v>0</v>
      </c>
      <c r="VLK56" s="850">
        <f t="shared" si="252"/>
        <v>3.1529830480816337E+101</v>
      </c>
      <c r="VLL56" s="850">
        <f t="shared" si="252"/>
        <v>0</v>
      </c>
      <c r="VLM56" s="850">
        <f t="shared" si="252"/>
        <v>3.2475725395240827E+101</v>
      </c>
      <c r="VLN56" s="850">
        <f t="shared" si="252"/>
        <v>0</v>
      </c>
      <c r="VLO56" s="850">
        <f t="shared" si="252"/>
        <v>3.3449997157098051E+101</v>
      </c>
      <c r="VLP56" s="850">
        <f t="shared" si="252"/>
        <v>0</v>
      </c>
      <c r="VLQ56" s="850">
        <f t="shared" si="252"/>
        <v>3.4453497071810995E+101</v>
      </c>
      <c r="VLR56" s="850">
        <f t="shared" si="252"/>
        <v>0</v>
      </c>
      <c r="VLS56" s="850">
        <f t="shared" si="252"/>
        <v>3.5487101983965325E+101</v>
      </c>
      <c r="VLT56" s="850">
        <f t="shared" si="252"/>
        <v>0</v>
      </c>
      <c r="VLU56" s="850">
        <f t="shared" si="252"/>
        <v>3.6551715043484285E+101</v>
      </c>
      <c r="VLV56" s="850">
        <f t="shared" si="252"/>
        <v>0</v>
      </c>
      <c r="VLW56" s="850">
        <f t="shared" si="252"/>
        <v>3.7648266494788812E+101</v>
      </c>
      <c r="VLX56" s="850">
        <f t="shared" si="252"/>
        <v>0</v>
      </c>
      <c r="VLY56" s="850">
        <f t="shared" si="252"/>
        <v>3.8777714489632475E+101</v>
      </c>
      <c r="VLZ56" s="850">
        <f t="shared" si="252"/>
        <v>0</v>
      </c>
      <c r="VMA56" s="850">
        <f t="shared" si="252"/>
        <v>3.9941045924321451E+101</v>
      </c>
      <c r="VMB56" s="850">
        <f t="shared" si="252"/>
        <v>0</v>
      </c>
      <c r="VMC56" s="850">
        <f t="shared" si="252"/>
        <v>4.1139277302051098E+101</v>
      </c>
      <c r="VMD56" s="850">
        <f t="shared" si="252"/>
        <v>0</v>
      </c>
      <c r="VME56" s="850">
        <f t="shared" si="252"/>
        <v>4.2373455621112629E+101</v>
      </c>
      <c r="VMF56" s="850">
        <f t="shared" si="252"/>
        <v>0</v>
      </c>
      <c r="VMG56" s="850">
        <f t="shared" si="252"/>
        <v>4.3644659289746006E+101</v>
      </c>
      <c r="VMH56" s="850">
        <f t="shared" si="252"/>
        <v>0</v>
      </c>
      <c r="VMI56" s="850">
        <f t="shared" si="252"/>
        <v>4.4953999068438387E+101</v>
      </c>
      <c r="VMJ56" s="850">
        <f t="shared" si="252"/>
        <v>0</v>
      </c>
      <c r="VMK56" s="850">
        <f t="shared" si="252"/>
        <v>4.630261904049154E+101</v>
      </c>
      <c r="VML56" s="850">
        <f t="shared" si="252"/>
        <v>0</v>
      </c>
      <c r="VMM56" s="850">
        <f t="shared" si="252"/>
        <v>4.7691697611706286E+101</v>
      </c>
      <c r="VMN56" s="850">
        <f t="shared" si="252"/>
        <v>0</v>
      </c>
      <c r="VMO56" s="850">
        <f t="shared" si="252"/>
        <v>4.9122448540057478E+101</v>
      </c>
      <c r="VMP56" s="850">
        <f t="shared" si="252"/>
        <v>0</v>
      </c>
      <c r="VMQ56" s="850">
        <f t="shared" si="252"/>
        <v>5.0596121996259203E+101</v>
      </c>
      <c r="VMR56" s="850">
        <f t="shared" si="252"/>
        <v>0</v>
      </c>
      <c r="VMS56" s="850">
        <f t="shared" si="252"/>
        <v>5.2114005656146979E+101</v>
      </c>
      <c r="VMT56" s="850">
        <f t="shared" si="252"/>
        <v>0</v>
      </c>
      <c r="VMU56" s="850">
        <f t="shared" si="252"/>
        <v>5.3677425825831387E+101</v>
      </c>
      <c r="VMV56" s="850">
        <f t="shared" si="252"/>
        <v>0</v>
      </c>
      <c r="VMW56" s="850">
        <f t="shared" si="252"/>
        <v>5.5287748600606332E+101</v>
      </c>
      <c r="VMX56" s="850">
        <f t="shared" si="252"/>
        <v>0</v>
      </c>
      <c r="VMY56" s="850">
        <f t="shared" si="252"/>
        <v>5.694638105862452E+101</v>
      </c>
      <c r="VMZ56" s="850">
        <f t="shared" si="252"/>
        <v>0</v>
      </c>
      <c r="VNA56" s="850">
        <f t="shared" si="252"/>
        <v>5.8654772490383257E+101</v>
      </c>
      <c r="VNB56" s="850">
        <f t="shared" si="252"/>
        <v>0</v>
      </c>
      <c r="VNC56" s="850">
        <f t="shared" si="252"/>
        <v>6.0414415665094762E+101</v>
      </c>
      <c r="VND56" s="850">
        <f t="shared" si="252"/>
        <v>0</v>
      </c>
      <c r="VNE56" s="850">
        <f t="shared" si="252"/>
        <v>6.222684813504761E+101</v>
      </c>
      <c r="VNF56" s="850">
        <f t="shared" ref="VNF56:VPQ56" si="253">VND56*$C$56</f>
        <v>0</v>
      </c>
      <c r="VNG56" s="850">
        <f t="shared" si="253"/>
        <v>6.4093653579099045E+101</v>
      </c>
      <c r="VNH56" s="850">
        <f t="shared" si="253"/>
        <v>0</v>
      </c>
      <c r="VNI56" s="850">
        <f t="shared" si="253"/>
        <v>6.6016463186472017E+101</v>
      </c>
      <c r="VNJ56" s="850">
        <f t="shared" si="253"/>
        <v>0</v>
      </c>
      <c r="VNK56" s="850">
        <f t="shared" si="253"/>
        <v>6.7996957082066179E+101</v>
      </c>
      <c r="VNL56" s="850">
        <f t="shared" si="253"/>
        <v>0</v>
      </c>
      <c r="VNM56" s="850">
        <f t="shared" si="253"/>
        <v>7.0036865794528171E+101</v>
      </c>
      <c r="VNN56" s="850">
        <f t="shared" si="253"/>
        <v>0</v>
      </c>
      <c r="VNO56" s="850">
        <f t="shared" si="253"/>
        <v>7.2137971768364024E+101</v>
      </c>
      <c r="VNP56" s="850">
        <f t="shared" si="253"/>
        <v>0</v>
      </c>
      <c r="VNQ56" s="850">
        <f t="shared" si="253"/>
        <v>7.4302110921414947E+101</v>
      </c>
      <c r="VNR56" s="850">
        <f t="shared" si="253"/>
        <v>0</v>
      </c>
      <c r="VNS56" s="850">
        <f t="shared" si="253"/>
        <v>7.6531174249057397E+101</v>
      </c>
      <c r="VNT56" s="850">
        <f t="shared" si="253"/>
        <v>0</v>
      </c>
      <c r="VNU56" s="850">
        <f t="shared" si="253"/>
        <v>7.882710947652912E+101</v>
      </c>
      <c r="VNV56" s="850">
        <f t="shared" si="253"/>
        <v>0</v>
      </c>
      <c r="VNW56" s="850">
        <f t="shared" si="253"/>
        <v>8.1191922760824992E+101</v>
      </c>
      <c r="VNX56" s="850">
        <f t="shared" si="253"/>
        <v>0</v>
      </c>
      <c r="VNY56" s="850">
        <f t="shared" si="253"/>
        <v>8.3627680443649742E+101</v>
      </c>
      <c r="VNZ56" s="850">
        <f t="shared" si="253"/>
        <v>0</v>
      </c>
      <c r="VOA56" s="850">
        <f t="shared" si="253"/>
        <v>8.6136510856959234E+101</v>
      </c>
      <c r="VOB56" s="850">
        <f t="shared" si="253"/>
        <v>0</v>
      </c>
      <c r="VOC56" s="850">
        <f t="shared" si="253"/>
        <v>8.8720606182668014E+101</v>
      </c>
      <c r="VOD56" s="850">
        <f t="shared" si="253"/>
        <v>0</v>
      </c>
      <c r="VOE56" s="850">
        <f t="shared" si="253"/>
        <v>9.1382224368148051E+101</v>
      </c>
      <c r="VOF56" s="850">
        <f t="shared" si="253"/>
        <v>0</v>
      </c>
      <c r="VOG56" s="850">
        <f t="shared" si="253"/>
        <v>9.4123691099192498E+101</v>
      </c>
      <c r="VOH56" s="850">
        <f t="shared" si="253"/>
        <v>0</v>
      </c>
      <c r="VOI56" s="850">
        <f t="shared" si="253"/>
        <v>9.6947401832168278E+101</v>
      </c>
      <c r="VOJ56" s="850">
        <f t="shared" si="253"/>
        <v>0</v>
      </c>
      <c r="VOK56" s="850">
        <f t="shared" si="253"/>
        <v>9.9855823887133323E+101</v>
      </c>
      <c r="VOL56" s="850">
        <f t="shared" si="253"/>
        <v>0</v>
      </c>
      <c r="VOM56" s="850">
        <f t="shared" si="253"/>
        <v>1.0285149860374733E+102</v>
      </c>
      <c r="VON56" s="850">
        <f t="shared" si="253"/>
        <v>0</v>
      </c>
      <c r="VOO56" s="850">
        <f t="shared" si="253"/>
        <v>1.0593704356185974E+102</v>
      </c>
      <c r="VOP56" s="850">
        <f t="shared" si="253"/>
        <v>0</v>
      </c>
      <c r="VOQ56" s="850">
        <f t="shared" si="253"/>
        <v>1.0911515486871554E+102</v>
      </c>
      <c r="VOR56" s="850">
        <f t="shared" si="253"/>
        <v>0</v>
      </c>
      <c r="VOS56" s="850">
        <f t="shared" si="253"/>
        <v>1.1238860951477702E+102</v>
      </c>
      <c r="VOT56" s="850">
        <f t="shared" si="253"/>
        <v>0</v>
      </c>
      <c r="VOU56" s="850">
        <f t="shared" si="253"/>
        <v>1.1576026780022034E+102</v>
      </c>
      <c r="VOV56" s="850">
        <f t="shared" si="253"/>
        <v>0</v>
      </c>
      <c r="VOW56" s="850">
        <f t="shared" si="253"/>
        <v>1.1923307583422696E+102</v>
      </c>
      <c r="VOX56" s="850">
        <f t="shared" si="253"/>
        <v>0</v>
      </c>
      <c r="VOY56" s="850">
        <f t="shared" si="253"/>
        <v>1.2281006810925376E+102</v>
      </c>
      <c r="VOZ56" s="850">
        <f t="shared" si="253"/>
        <v>0</v>
      </c>
      <c r="VPA56" s="850">
        <f t="shared" si="253"/>
        <v>1.2649437015253137E+102</v>
      </c>
      <c r="VPB56" s="850">
        <f t="shared" si="253"/>
        <v>0</v>
      </c>
      <c r="VPC56" s="850">
        <f t="shared" si="253"/>
        <v>1.3028920125710731E+102</v>
      </c>
      <c r="VPD56" s="850">
        <f t="shared" si="253"/>
        <v>0</v>
      </c>
      <c r="VPE56" s="850">
        <f t="shared" si="253"/>
        <v>1.3419787729482053E+102</v>
      </c>
      <c r="VPF56" s="850">
        <f t="shared" si="253"/>
        <v>0</v>
      </c>
      <c r="VPG56" s="850">
        <f t="shared" si="253"/>
        <v>1.3822381361366515E+102</v>
      </c>
      <c r="VPH56" s="850">
        <f t="shared" si="253"/>
        <v>0</v>
      </c>
      <c r="VPI56" s="850">
        <f t="shared" si="253"/>
        <v>1.4237052802207511E+102</v>
      </c>
      <c r="VPJ56" s="850">
        <f t="shared" si="253"/>
        <v>0</v>
      </c>
      <c r="VPK56" s="850">
        <f t="shared" si="253"/>
        <v>1.4664164386273736E+102</v>
      </c>
      <c r="VPL56" s="850">
        <f t="shared" si="253"/>
        <v>0</v>
      </c>
      <c r="VPM56" s="850">
        <f t="shared" si="253"/>
        <v>1.5104089317861947E+102</v>
      </c>
      <c r="VPN56" s="850">
        <f t="shared" si="253"/>
        <v>0</v>
      </c>
      <c r="VPO56" s="850">
        <f t="shared" si="253"/>
        <v>1.5557211997397807E+102</v>
      </c>
      <c r="VPP56" s="850">
        <f t="shared" si="253"/>
        <v>0</v>
      </c>
      <c r="VPQ56" s="850">
        <f t="shared" si="253"/>
        <v>1.6023928357319741E+102</v>
      </c>
      <c r="VPR56" s="850">
        <f t="shared" ref="VPR56:VSC56" si="254">VPP56*$C$56</f>
        <v>0</v>
      </c>
      <c r="VPS56" s="850">
        <f t="shared" si="254"/>
        <v>1.6504646208039333E+102</v>
      </c>
      <c r="VPT56" s="850">
        <f t="shared" si="254"/>
        <v>0</v>
      </c>
      <c r="VPU56" s="850">
        <f t="shared" si="254"/>
        <v>1.6999785594280513E+102</v>
      </c>
      <c r="VPV56" s="850">
        <f t="shared" si="254"/>
        <v>0</v>
      </c>
      <c r="VPW56" s="850">
        <f t="shared" si="254"/>
        <v>1.7509779162108929E+102</v>
      </c>
      <c r="VPX56" s="850">
        <f t="shared" si="254"/>
        <v>0</v>
      </c>
      <c r="VPY56" s="850">
        <f t="shared" si="254"/>
        <v>1.8035072536972197E+102</v>
      </c>
      <c r="VPZ56" s="850">
        <f t="shared" si="254"/>
        <v>0</v>
      </c>
      <c r="VQA56" s="850">
        <f t="shared" si="254"/>
        <v>1.8576124713081363E+102</v>
      </c>
      <c r="VQB56" s="850">
        <f t="shared" si="254"/>
        <v>0</v>
      </c>
      <c r="VQC56" s="850">
        <f t="shared" si="254"/>
        <v>1.9133408454473804E+102</v>
      </c>
      <c r="VQD56" s="850">
        <f t="shared" si="254"/>
        <v>0</v>
      </c>
      <c r="VQE56" s="850">
        <f t="shared" si="254"/>
        <v>1.970741070810802E+102</v>
      </c>
      <c r="VQF56" s="850">
        <f t="shared" si="254"/>
        <v>0</v>
      </c>
      <c r="VQG56" s="850">
        <f t="shared" si="254"/>
        <v>2.0298633029351261E+102</v>
      </c>
      <c r="VQH56" s="850">
        <f t="shared" si="254"/>
        <v>0</v>
      </c>
      <c r="VQI56" s="850">
        <f t="shared" si="254"/>
        <v>2.09075920202318E+102</v>
      </c>
      <c r="VQJ56" s="850">
        <f t="shared" si="254"/>
        <v>0</v>
      </c>
      <c r="VQK56" s="850">
        <f t="shared" si="254"/>
        <v>2.1534819780838754E+102</v>
      </c>
      <c r="VQL56" s="850">
        <f t="shared" si="254"/>
        <v>0</v>
      </c>
      <c r="VQM56" s="850">
        <f t="shared" si="254"/>
        <v>2.2180864374263916E+102</v>
      </c>
      <c r="VQN56" s="850">
        <f t="shared" si="254"/>
        <v>0</v>
      </c>
      <c r="VQO56" s="850">
        <f t="shared" si="254"/>
        <v>2.2846290305491835E+102</v>
      </c>
      <c r="VQP56" s="850">
        <f t="shared" si="254"/>
        <v>0</v>
      </c>
      <c r="VQQ56" s="850">
        <f t="shared" si="254"/>
        <v>2.3531679014656588E+102</v>
      </c>
      <c r="VQR56" s="850">
        <f t="shared" si="254"/>
        <v>0</v>
      </c>
      <c r="VQS56" s="850">
        <f t="shared" si="254"/>
        <v>2.4237629385096285E+102</v>
      </c>
      <c r="VQT56" s="850">
        <f t="shared" si="254"/>
        <v>0</v>
      </c>
      <c r="VQU56" s="850">
        <f t="shared" si="254"/>
        <v>2.4964758266649172E+102</v>
      </c>
      <c r="VQV56" s="850">
        <f t="shared" si="254"/>
        <v>0</v>
      </c>
      <c r="VQW56" s="850">
        <f t="shared" si="254"/>
        <v>2.5713701014648648E+102</v>
      </c>
      <c r="VQX56" s="850">
        <f t="shared" si="254"/>
        <v>0</v>
      </c>
      <c r="VQY56" s="850">
        <f t="shared" si="254"/>
        <v>2.6485112045088109E+102</v>
      </c>
      <c r="VQZ56" s="850">
        <f t="shared" si="254"/>
        <v>0</v>
      </c>
      <c r="VRA56" s="850">
        <f t="shared" si="254"/>
        <v>2.7279665406440753E+102</v>
      </c>
      <c r="VRB56" s="850">
        <f t="shared" si="254"/>
        <v>0</v>
      </c>
      <c r="VRC56" s="850">
        <f t="shared" si="254"/>
        <v>2.8098055368633978E+102</v>
      </c>
      <c r="VRD56" s="850">
        <f t="shared" si="254"/>
        <v>0</v>
      </c>
      <c r="VRE56" s="850">
        <f t="shared" si="254"/>
        <v>2.8940997029693E+102</v>
      </c>
      <c r="VRF56" s="850">
        <f t="shared" si="254"/>
        <v>0</v>
      </c>
      <c r="VRG56" s="850">
        <f t="shared" si="254"/>
        <v>2.980922694058379E+102</v>
      </c>
      <c r="VRH56" s="850">
        <f t="shared" si="254"/>
        <v>0</v>
      </c>
      <c r="VRI56" s="850">
        <f t="shared" si="254"/>
        <v>3.0703503748801306E+102</v>
      </c>
      <c r="VRJ56" s="850">
        <f t="shared" si="254"/>
        <v>0</v>
      </c>
      <c r="VRK56" s="850">
        <f t="shared" si="254"/>
        <v>3.1624608861265344E+102</v>
      </c>
      <c r="VRL56" s="850">
        <f t="shared" si="254"/>
        <v>0</v>
      </c>
      <c r="VRM56" s="850">
        <f t="shared" si="254"/>
        <v>3.2573347127103304E+102</v>
      </c>
      <c r="VRN56" s="850">
        <f t="shared" si="254"/>
        <v>0</v>
      </c>
      <c r="VRO56" s="850">
        <f t="shared" si="254"/>
        <v>3.3550547540916406E+102</v>
      </c>
      <c r="VRP56" s="850">
        <f t="shared" si="254"/>
        <v>0</v>
      </c>
      <c r="VRQ56" s="850">
        <f t="shared" si="254"/>
        <v>3.4557063967143898E+102</v>
      </c>
      <c r="VRR56" s="850">
        <f t="shared" si="254"/>
        <v>0</v>
      </c>
      <c r="VRS56" s="850">
        <f t="shared" si="254"/>
        <v>3.5593775886158214E+102</v>
      </c>
      <c r="VRT56" s="850">
        <f t="shared" si="254"/>
        <v>0</v>
      </c>
      <c r="VRU56" s="850">
        <f t="shared" si="254"/>
        <v>3.666158916274296E+102</v>
      </c>
      <c r="VRV56" s="850">
        <f t="shared" si="254"/>
        <v>0</v>
      </c>
      <c r="VRW56" s="850">
        <f t="shared" si="254"/>
        <v>3.776143683762525E+102</v>
      </c>
      <c r="VRX56" s="850">
        <f t="shared" si="254"/>
        <v>0</v>
      </c>
      <c r="VRY56" s="850">
        <f t="shared" si="254"/>
        <v>3.8894279942754007E+102</v>
      </c>
      <c r="VRZ56" s="850">
        <f t="shared" si="254"/>
        <v>0</v>
      </c>
      <c r="VSA56" s="850">
        <f t="shared" si="254"/>
        <v>4.0061108341036629E+102</v>
      </c>
      <c r="VSB56" s="850">
        <f t="shared" si="254"/>
        <v>0</v>
      </c>
      <c r="VSC56" s="850">
        <f t="shared" si="254"/>
        <v>4.1262941591267727E+102</v>
      </c>
      <c r="VSD56" s="850">
        <f t="shared" ref="VSD56:VUO56" si="255">VSB56*$C$56</f>
        <v>0</v>
      </c>
      <c r="VSE56" s="850">
        <f t="shared" si="255"/>
        <v>4.2500829839005759E+102</v>
      </c>
      <c r="VSF56" s="850">
        <f t="shared" si="255"/>
        <v>0</v>
      </c>
      <c r="VSG56" s="850">
        <f t="shared" si="255"/>
        <v>4.3775854734175934E+102</v>
      </c>
      <c r="VSH56" s="850">
        <f t="shared" si="255"/>
        <v>0</v>
      </c>
      <c r="VSI56" s="850">
        <f t="shared" si="255"/>
        <v>4.5089130376201214E+102</v>
      </c>
      <c r="VSJ56" s="850">
        <f t="shared" si="255"/>
        <v>0</v>
      </c>
      <c r="VSK56" s="850">
        <f t="shared" si="255"/>
        <v>4.644180428748725E+102</v>
      </c>
      <c r="VSL56" s="850">
        <f t="shared" si="255"/>
        <v>0</v>
      </c>
      <c r="VSM56" s="850">
        <f t="shared" si="255"/>
        <v>4.7835058416111865E+102</v>
      </c>
      <c r="VSN56" s="850">
        <f t="shared" si="255"/>
        <v>0</v>
      </c>
      <c r="VSO56" s="850">
        <f t="shared" si="255"/>
        <v>4.9270110168595218E+102</v>
      </c>
      <c r="VSP56" s="850">
        <f t="shared" si="255"/>
        <v>0</v>
      </c>
      <c r="VSQ56" s="850">
        <f t="shared" si="255"/>
        <v>5.0748213473653072E+102</v>
      </c>
      <c r="VSR56" s="850">
        <f t="shared" si="255"/>
        <v>0</v>
      </c>
      <c r="VSS56" s="850">
        <f t="shared" si="255"/>
        <v>5.2270659877862666E+102</v>
      </c>
      <c r="VST56" s="850">
        <f t="shared" si="255"/>
        <v>0</v>
      </c>
      <c r="VSU56" s="850">
        <f t="shared" si="255"/>
        <v>5.3838779674198549E+102</v>
      </c>
      <c r="VSV56" s="850">
        <f t="shared" si="255"/>
        <v>0</v>
      </c>
      <c r="VSW56" s="850">
        <f t="shared" si="255"/>
        <v>5.545394306442451E+102</v>
      </c>
      <c r="VSX56" s="850">
        <f t="shared" si="255"/>
        <v>0</v>
      </c>
      <c r="VSY56" s="850">
        <f t="shared" si="255"/>
        <v>5.7117561356357245E+102</v>
      </c>
      <c r="VSZ56" s="850">
        <f t="shared" si="255"/>
        <v>0</v>
      </c>
      <c r="VTA56" s="850">
        <f t="shared" si="255"/>
        <v>5.8831088197047965E+102</v>
      </c>
      <c r="VTB56" s="850">
        <f t="shared" si="255"/>
        <v>0</v>
      </c>
      <c r="VTC56" s="850">
        <f t="shared" si="255"/>
        <v>6.0596020842959404E+102</v>
      </c>
      <c r="VTD56" s="850">
        <f t="shared" si="255"/>
        <v>0</v>
      </c>
      <c r="VTE56" s="850">
        <f t="shared" si="255"/>
        <v>6.2413901468248192E+102</v>
      </c>
      <c r="VTF56" s="850">
        <f t="shared" si="255"/>
        <v>0</v>
      </c>
      <c r="VTG56" s="850">
        <f t="shared" si="255"/>
        <v>6.4286318512295639E+102</v>
      </c>
      <c r="VTH56" s="850">
        <f t="shared" si="255"/>
        <v>0</v>
      </c>
      <c r="VTI56" s="850">
        <f t="shared" si="255"/>
        <v>6.6214908067664512E+102</v>
      </c>
      <c r="VTJ56" s="850">
        <f t="shared" si="255"/>
        <v>0</v>
      </c>
      <c r="VTK56" s="850">
        <f t="shared" si="255"/>
        <v>6.8201355309694451E+102</v>
      </c>
      <c r="VTL56" s="850">
        <f t="shared" si="255"/>
        <v>0</v>
      </c>
      <c r="VTM56" s="850">
        <f t="shared" si="255"/>
        <v>7.0247395968985289E+102</v>
      </c>
      <c r="VTN56" s="850">
        <f t="shared" si="255"/>
        <v>0</v>
      </c>
      <c r="VTO56" s="850">
        <f t="shared" si="255"/>
        <v>7.2354817848054846E+102</v>
      </c>
      <c r="VTP56" s="850">
        <f t="shared" si="255"/>
        <v>0</v>
      </c>
      <c r="VTQ56" s="850">
        <f t="shared" si="255"/>
        <v>7.4525462383496492E+102</v>
      </c>
      <c r="VTR56" s="850">
        <f t="shared" si="255"/>
        <v>0</v>
      </c>
      <c r="VTS56" s="850">
        <f t="shared" si="255"/>
        <v>7.6761226255001385E+102</v>
      </c>
      <c r="VTT56" s="850">
        <f t="shared" si="255"/>
        <v>0</v>
      </c>
      <c r="VTU56" s="850">
        <f t="shared" si="255"/>
        <v>7.9064063042651431E+102</v>
      </c>
      <c r="VTV56" s="850">
        <f t="shared" si="255"/>
        <v>0</v>
      </c>
      <c r="VTW56" s="850">
        <f t="shared" si="255"/>
        <v>8.1435984933930978E+102</v>
      </c>
      <c r="VTX56" s="850">
        <f t="shared" si="255"/>
        <v>0</v>
      </c>
      <c r="VTY56" s="850">
        <f t="shared" si="255"/>
        <v>8.3879064481948908E+102</v>
      </c>
      <c r="VTZ56" s="850">
        <f t="shared" si="255"/>
        <v>0</v>
      </c>
      <c r="VUA56" s="850">
        <f t="shared" si="255"/>
        <v>8.6395436416407382E+102</v>
      </c>
      <c r="VUB56" s="850">
        <f t="shared" si="255"/>
        <v>0</v>
      </c>
      <c r="VUC56" s="850">
        <f t="shared" si="255"/>
        <v>8.8987299508899609E+102</v>
      </c>
      <c r="VUD56" s="850">
        <f t="shared" si="255"/>
        <v>0</v>
      </c>
      <c r="VUE56" s="850">
        <f t="shared" si="255"/>
        <v>9.1656918494166591E+102</v>
      </c>
      <c r="VUF56" s="850">
        <f t="shared" si="255"/>
        <v>0</v>
      </c>
      <c r="VUG56" s="850">
        <f t="shared" si="255"/>
        <v>9.440662604899159E+102</v>
      </c>
      <c r="VUH56" s="850">
        <f t="shared" si="255"/>
        <v>0</v>
      </c>
      <c r="VUI56" s="850">
        <f t="shared" si="255"/>
        <v>9.7238824830461334E+102</v>
      </c>
      <c r="VUJ56" s="850">
        <f t="shared" si="255"/>
        <v>0</v>
      </c>
      <c r="VUK56" s="850">
        <f t="shared" si="255"/>
        <v>1.0015598957537517E+103</v>
      </c>
      <c r="VUL56" s="850">
        <f t="shared" si="255"/>
        <v>0</v>
      </c>
      <c r="VUM56" s="850">
        <f t="shared" si="255"/>
        <v>1.0316066926263643E+103</v>
      </c>
      <c r="VUN56" s="850">
        <f t="shared" si="255"/>
        <v>0</v>
      </c>
      <c r="VUO56" s="850">
        <f t="shared" si="255"/>
        <v>1.0625548934051553E+103</v>
      </c>
      <c r="VUP56" s="850">
        <f t="shared" ref="VUP56:VXA56" si="256">VUN56*$C$56</f>
        <v>0</v>
      </c>
      <c r="VUQ56" s="850">
        <f t="shared" si="256"/>
        <v>1.09443154020731E+103</v>
      </c>
      <c r="VUR56" s="850">
        <f t="shared" si="256"/>
        <v>0</v>
      </c>
      <c r="VUS56" s="850">
        <f t="shared" si="256"/>
        <v>1.1272644864135293E+103</v>
      </c>
      <c r="VUT56" s="850">
        <f t="shared" si="256"/>
        <v>0</v>
      </c>
      <c r="VUU56" s="850">
        <f t="shared" si="256"/>
        <v>1.1610824210059351E+103</v>
      </c>
      <c r="VUV56" s="850">
        <f t="shared" si="256"/>
        <v>0</v>
      </c>
      <c r="VUW56" s="850">
        <f t="shared" si="256"/>
        <v>1.1959148936361131E+103</v>
      </c>
      <c r="VUX56" s="850">
        <f t="shared" si="256"/>
        <v>0</v>
      </c>
      <c r="VUY56" s="850">
        <f t="shared" si="256"/>
        <v>1.2317923404451965E+103</v>
      </c>
      <c r="VUZ56" s="850">
        <f t="shared" si="256"/>
        <v>0</v>
      </c>
      <c r="VVA56" s="850">
        <f t="shared" si="256"/>
        <v>1.2687461106585524E+103</v>
      </c>
      <c r="VVB56" s="850">
        <f t="shared" si="256"/>
        <v>0</v>
      </c>
      <c r="VVC56" s="850">
        <f t="shared" si="256"/>
        <v>1.3068084939783091E+103</v>
      </c>
      <c r="VVD56" s="850">
        <f t="shared" si="256"/>
        <v>0</v>
      </c>
      <c r="VVE56" s="850">
        <f t="shared" si="256"/>
        <v>1.3460127487976583E+103</v>
      </c>
      <c r="VVF56" s="850">
        <f t="shared" si="256"/>
        <v>0</v>
      </c>
      <c r="VVG56" s="850">
        <f t="shared" si="256"/>
        <v>1.386393131261588E+103</v>
      </c>
      <c r="VVH56" s="850">
        <f t="shared" si="256"/>
        <v>0</v>
      </c>
      <c r="VVI56" s="850">
        <f t="shared" si="256"/>
        <v>1.4279849251994357E+103</v>
      </c>
      <c r="VVJ56" s="850">
        <f t="shared" si="256"/>
        <v>0</v>
      </c>
      <c r="VVK56" s="850">
        <f t="shared" si="256"/>
        <v>1.470824472955419E+103</v>
      </c>
      <c r="VVL56" s="850">
        <f t="shared" si="256"/>
        <v>0</v>
      </c>
      <c r="VVM56" s="850">
        <f t="shared" si="256"/>
        <v>1.5149492071440815E+103</v>
      </c>
      <c r="VVN56" s="850">
        <f t="shared" si="256"/>
        <v>0</v>
      </c>
      <c r="VVO56" s="850">
        <f t="shared" si="256"/>
        <v>1.560397683358404E+103</v>
      </c>
      <c r="VVP56" s="850">
        <f t="shared" si="256"/>
        <v>0</v>
      </c>
      <c r="VVQ56" s="850">
        <f t="shared" si="256"/>
        <v>1.6072096138591562E+103</v>
      </c>
      <c r="VVR56" s="850">
        <f t="shared" si="256"/>
        <v>0</v>
      </c>
      <c r="VVS56" s="850">
        <f t="shared" si="256"/>
        <v>1.6554259022749309E+103</v>
      </c>
      <c r="VVT56" s="850">
        <f t="shared" si="256"/>
        <v>0</v>
      </c>
      <c r="VVU56" s="850">
        <f t="shared" si="256"/>
        <v>1.7050886793431788E+103</v>
      </c>
      <c r="VVV56" s="850">
        <f t="shared" si="256"/>
        <v>0</v>
      </c>
      <c r="VVW56" s="850">
        <f t="shared" si="256"/>
        <v>1.7562413397234741E+103</v>
      </c>
      <c r="VVX56" s="850">
        <f t="shared" si="256"/>
        <v>0</v>
      </c>
      <c r="VVY56" s="850">
        <f t="shared" si="256"/>
        <v>1.8089285799151784E+103</v>
      </c>
      <c r="VVZ56" s="850">
        <f t="shared" si="256"/>
        <v>0</v>
      </c>
      <c r="VWA56" s="850">
        <f t="shared" si="256"/>
        <v>1.8631964373126337E+103</v>
      </c>
      <c r="VWB56" s="850">
        <f t="shared" si="256"/>
        <v>0</v>
      </c>
      <c r="VWC56" s="850">
        <f t="shared" si="256"/>
        <v>1.9190923304320128E+103</v>
      </c>
      <c r="VWD56" s="850">
        <f t="shared" si="256"/>
        <v>0</v>
      </c>
      <c r="VWE56" s="850">
        <f t="shared" si="256"/>
        <v>1.976665100344973E+103</v>
      </c>
      <c r="VWF56" s="850">
        <f t="shared" si="256"/>
        <v>0</v>
      </c>
      <c r="VWG56" s="850">
        <f t="shared" si="256"/>
        <v>2.0359650533553224E+103</v>
      </c>
      <c r="VWH56" s="850">
        <f t="shared" si="256"/>
        <v>0</v>
      </c>
      <c r="VWI56" s="850">
        <f t="shared" si="256"/>
        <v>2.0970440049559822E+103</v>
      </c>
      <c r="VWJ56" s="850">
        <f t="shared" si="256"/>
        <v>0</v>
      </c>
      <c r="VWK56" s="850">
        <f t="shared" si="256"/>
        <v>2.1599553251046619E+103</v>
      </c>
      <c r="VWL56" s="850">
        <f t="shared" si="256"/>
        <v>0</v>
      </c>
      <c r="VWM56" s="850">
        <f t="shared" si="256"/>
        <v>2.2247539848578017E+103</v>
      </c>
      <c r="VWN56" s="850">
        <f t="shared" si="256"/>
        <v>0</v>
      </c>
      <c r="VWO56" s="850">
        <f t="shared" si="256"/>
        <v>2.291496604403536E+103</v>
      </c>
      <c r="VWP56" s="850">
        <f t="shared" si="256"/>
        <v>0</v>
      </c>
      <c r="VWQ56" s="850">
        <f t="shared" si="256"/>
        <v>2.3602415025356423E+103</v>
      </c>
      <c r="VWR56" s="850">
        <f t="shared" si="256"/>
        <v>0</v>
      </c>
      <c r="VWS56" s="850">
        <f t="shared" si="256"/>
        <v>2.4310487476117115E+103</v>
      </c>
      <c r="VWT56" s="850">
        <f t="shared" si="256"/>
        <v>0</v>
      </c>
      <c r="VWU56" s="850">
        <f t="shared" si="256"/>
        <v>2.503980210040063E+103</v>
      </c>
      <c r="VWV56" s="850">
        <f t="shared" si="256"/>
        <v>0</v>
      </c>
      <c r="VWW56" s="850">
        <f t="shared" si="256"/>
        <v>2.5790996163412649E+103</v>
      </c>
      <c r="VWX56" s="850">
        <f t="shared" si="256"/>
        <v>0</v>
      </c>
      <c r="VWY56" s="850">
        <f t="shared" si="256"/>
        <v>2.6564726048315031E+103</v>
      </c>
      <c r="VWZ56" s="850">
        <f t="shared" si="256"/>
        <v>0</v>
      </c>
      <c r="VXA56" s="850">
        <f t="shared" si="256"/>
        <v>2.7361667829764482E+103</v>
      </c>
      <c r="VXB56" s="850">
        <f t="shared" ref="VXB56:VZM56" si="257">VWZ56*$C$56</f>
        <v>0</v>
      </c>
      <c r="VXC56" s="850">
        <f t="shared" si="257"/>
        <v>2.8182517864657419E+103</v>
      </c>
      <c r="VXD56" s="850">
        <f t="shared" si="257"/>
        <v>0</v>
      </c>
      <c r="VXE56" s="850">
        <f t="shared" si="257"/>
        <v>2.902799340059714E+103</v>
      </c>
      <c r="VXF56" s="850">
        <f t="shared" si="257"/>
        <v>0</v>
      </c>
      <c r="VXG56" s="850">
        <f t="shared" si="257"/>
        <v>2.9898833202615054E+103</v>
      </c>
      <c r="VXH56" s="850">
        <f t="shared" si="257"/>
        <v>0</v>
      </c>
      <c r="VXI56" s="850">
        <f t="shared" si="257"/>
        <v>3.0795798198693506E+103</v>
      </c>
      <c r="VXJ56" s="850">
        <f t="shared" si="257"/>
        <v>0</v>
      </c>
      <c r="VXK56" s="850">
        <f t="shared" si="257"/>
        <v>3.1719672144654312E+103</v>
      </c>
      <c r="VXL56" s="850">
        <f t="shared" si="257"/>
        <v>0</v>
      </c>
      <c r="VXM56" s="850">
        <f t="shared" si="257"/>
        <v>3.2671262308993943E+103</v>
      </c>
      <c r="VXN56" s="850">
        <f t="shared" si="257"/>
        <v>0</v>
      </c>
      <c r="VXO56" s="850">
        <f t="shared" si="257"/>
        <v>3.3651400178263761E+103</v>
      </c>
      <c r="VXP56" s="850">
        <f t="shared" si="257"/>
        <v>0</v>
      </c>
      <c r="VXQ56" s="850">
        <f t="shared" si="257"/>
        <v>3.4660942183611676E+103</v>
      </c>
      <c r="VXR56" s="850">
        <f t="shared" si="257"/>
        <v>0</v>
      </c>
      <c r="VXS56" s="850">
        <f t="shared" si="257"/>
        <v>3.5700770449120029E+103</v>
      </c>
      <c r="VXT56" s="850">
        <f t="shared" si="257"/>
        <v>0</v>
      </c>
      <c r="VXU56" s="850">
        <f t="shared" si="257"/>
        <v>3.6771793562593629E+103</v>
      </c>
      <c r="VXV56" s="850">
        <f t="shared" si="257"/>
        <v>0</v>
      </c>
      <c r="VXW56" s="850">
        <f t="shared" si="257"/>
        <v>3.7874947369471435E+103</v>
      </c>
      <c r="VXX56" s="850">
        <f t="shared" si="257"/>
        <v>0</v>
      </c>
      <c r="VXY56" s="850">
        <f t="shared" si="257"/>
        <v>3.9011195790555577E+103</v>
      </c>
      <c r="VXZ56" s="850">
        <f t="shared" si="257"/>
        <v>0</v>
      </c>
      <c r="VYA56" s="850">
        <f t="shared" si="257"/>
        <v>4.0181531664272249E+103</v>
      </c>
      <c r="VYB56" s="850">
        <f t="shared" si="257"/>
        <v>0</v>
      </c>
      <c r="VYC56" s="850">
        <f t="shared" si="257"/>
        <v>4.1386977614200419E+103</v>
      </c>
      <c r="VYD56" s="850">
        <f t="shared" si="257"/>
        <v>0</v>
      </c>
      <c r="VYE56" s="850">
        <f t="shared" si="257"/>
        <v>4.262858694262643E+103</v>
      </c>
      <c r="VYF56" s="850">
        <f t="shared" si="257"/>
        <v>0</v>
      </c>
      <c r="VYG56" s="850">
        <f t="shared" si="257"/>
        <v>4.3907444550905221E+103</v>
      </c>
      <c r="VYH56" s="850">
        <f t="shared" si="257"/>
        <v>0</v>
      </c>
      <c r="VYI56" s="850">
        <f t="shared" si="257"/>
        <v>4.5224667887432376E+103</v>
      </c>
      <c r="VYJ56" s="850">
        <f t="shared" si="257"/>
        <v>0</v>
      </c>
      <c r="VYK56" s="850">
        <f t="shared" si="257"/>
        <v>4.6581407924055349E+103</v>
      </c>
      <c r="VYL56" s="850">
        <f t="shared" si="257"/>
        <v>0</v>
      </c>
      <c r="VYM56" s="850">
        <f t="shared" si="257"/>
        <v>4.7978850161777008E+103</v>
      </c>
      <c r="VYN56" s="850">
        <f t="shared" si="257"/>
        <v>0</v>
      </c>
      <c r="VYO56" s="850">
        <f t="shared" si="257"/>
        <v>4.9418215666630319E+103</v>
      </c>
      <c r="VYP56" s="850">
        <f t="shared" si="257"/>
        <v>0</v>
      </c>
      <c r="VYQ56" s="850">
        <f t="shared" si="257"/>
        <v>5.0900762136629232E+103</v>
      </c>
      <c r="VYR56" s="850">
        <f t="shared" si="257"/>
        <v>0</v>
      </c>
      <c r="VYS56" s="850">
        <f t="shared" si="257"/>
        <v>5.2427785000728107E+103</v>
      </c>
      <c r="VYT56" s="850">
        <f t="shared" si="257"/>
        <v>0</v>
      </c>
      <c r="VYU56" s="850">
        <f t="shared" si="257"/>
        <v>5.4000618550749956E+103</v>
      </c>
      <c r="VYV56" s="850">
        <f t="shared" si="257"/>
        <v>0</v>
      </c>
      <c r="VYW56" s="850">
        <f t="shared" si="257"/>
        <v>5.5620637107272457E+103</v>
      </c>
      <c r="VYX56" s="850">
        <f t="shared" si="257"/>
        <v>0</v>
      </c>
      <c r="VYY56" s="850">
        <f t="shared" si="257"/>
        <v>5.7289256220490632E+103</v>
      </c>
      <c r="VYZ56" s="850">
        <f t="shared" si="257"/>
        <v>0</v>
      </c>
      <c r="VZA56" s="850">
        <f t="shared" si="257"/>
        <v>5.9007933907105349E+103</v>
      </c>
      <c r="VZB56" s="850">
        <f t="shared" si="257"/>
        <v>0</v>
      </c>
      <c r="VZC56" s="850">
        <f t="shared" si="257"/>
        <v>6.077817192431851E+103</v>
      </c>
      <c r="VZD56" s="850">
        <f t="shared" si="257"/>
        <v>0</v>
      </c>
      <c r="VZE56" s="850">
        <f t="shared" si="257"/>
        <v>6.2601517082048068E+103</v>
      </c>
      <c r="VZF56" s="850">
        <f t="shared" si="257"/>
        <v>0</v>
      </c>
      <c r="VZG56" s="850">
        <f t="shared" si="257"/>
        <v>6.4479562594509515E+103</v>
      </c>
      <c r="VZH56" s="850">
        <f t="shared" si="257"/>
        <v>0</v>
      </c>
      <c r="VZI56" s="850">
        <f t="shared" si="257"/>
        <v>6.64139494723448E+103</v>
      </c>
      <c r="VZJ56" s="850">
        <f t="shared" si="257"/>
        <v>0</v>
      </c>
      <c r="VZK56" s="850">
        <f t="shared" si="257"/>
        <v>6.8406367956515149E+103</v>
      </c>
      <c r="VZL56" s="850">
        <f t="shared" si="257"/>
        <v>0</v>
      </c>
      <c r="VZM56" s="850">
        <f t="shared" si="257"/>
        <v>7.0458558995210606E+103</v>
      </c>
      <c r="VZN56" s="850">
        <f t="shared" ref="VZN56:WBY56" si="258">VZL56*$C$56</f>
        <v>0</v>
      </c>
      <c r="VZO56" s="850">
        <f t="shared" si="258"/>
        <v>7.2572315765066921E+103</v>
      </c>
      <c r="VZP56" s="850">
        <f t="shared" si="258"/>
        <v>0</v>
      </c>
      <c r="VZQ56" s="850">
        <f t="shared" si="258"/>
        <v>7.4749485238018924E+103</v>
      </c>
      <c r="VZR56" s="850">
        <f t="shared" si="258"/>
        <v>0</v>
      </c>
      <c r="VZS56" s="850">
        <f t="shared" si="258"/>
        <v>7.6991969795159496E+103</v>
      </c>
      <c r="VZT56" s="850">
        <f t="shared" si="258"/>
        <v>0</v>
      </c>
      <c r="VZU56" s="850">
        <f t="shared" si="258"/>
        <v>7.9301728889014282E+103</v>
      </c>
      <c r="VZV56" s="850">
        <f t="shared" si="258"/>
        <v>0</v>
      </c>
      <c r="VZW56" s="850">
        <f t="shared" si="258"/>
        <v>8.1680780755684713E+103</v>
      </c>
      <c r="VZX56" s="850">
        <f t="shared" si="258"/>
        <v>0</v>
      </c>
      <c r="VZY56" s="850">
        <f t="shared" si="258"/>
        <v>8.4131204178355257E+103</v>
      </c>
      <c r="VZZ56" s="850">
        <f t="shared" si="258"/>
        <v>0</v>
      </c>
      <c r="WAA56" s="850">
        <f t="shared" si="258"/>
        <v>8.6655140303705921E+103</v>
      </c>
      <c r="WAB56" s="850">
        <f t="shared" si="258"/>
        <v>0</v>
      </c>
      <c r="WAC56" s="850">
        <f t="shared" si="258"/>
        <v>8.9254794512817098E+103</v>
      </c>
      <c r="WAD56" s="850">
        <f t="shared" si="258"/>
        <v>0</v>
      </c>
      <c r="WAE56" s="850">
        <f t="shared" si="258"/>
        <v>9.1932438348201612E+103</v>
      </c>
      <c r="WAF56" s="850">
        <f t="shared" si="258"/>
        <v>0</v>
      </c>
      <c r="WAG56" s="850">
        <f t="shared" si="258"/>
        <v>9.469041149864767E+103</v>
      </c>
      <c r="WAH56" s="850">
        <f t="shared" si="258"/>
        <v>0</v>
      </c>
      <c r="WAI56" s="850">
        <f t="shared" si="258"/>
        <v>9.7531123843607104E+103</v>
      </c>
      <c r="WAJ56" s="850">
        <f t="shared" si="258"/>
        <v>0</v>
      </c>
      <c r="WAK56" s="850">
        <f t="shared" si="258"/>
        <v>1.0045705755891531E+104</v>
      </c>
      <c r="WAL56" s="850">
        <f t="shared" si="258"/>
        <v>0</v>
      </c>
      <c r="WAM56" s="850">
        <f t="shared" si="258"/>
        <v>1.0347076928568278E+104</v>
      </c>
      <c r="WAN56" s="850">
        <f t="shared" si="258"/>
        <v>0</v>
      </c>
      <c r="WAO56" s="850">
        <f t="shared" si="258"/>
        <v>1.0657489236425327E+104</v>
      </c>
      <c r="WAP56" s="850">
        <f t="shared" si="258"/>
        <v>0</v>
      </c>
      <c r="WAQ56" s="850">
        <f t="shared" si="258"/>
        <v>1.0977213913518087E+104</v>
      </c>
      <c r="WAR56" s="850">
        <f t="shared" si="258"/>
        <v>0</v>
      </c>
      <c r="WAS56" s="850">
        <f t="shared" si="258"/>
        <v>1.130653033092363E+104</v>
      </c>
      <c r="WAT56" s="850">
        <f t="shared" si="258"/>
        <v>0</v>
      </c>
      <c r="WAU56" s="850">
        <f t="shared" si="258"/>
        <v>1.164572624085134E+104</v>
      </c>
      <c r="WAV56" s="850">
        <f t="shared" si="258"/>
        <v>0</v>
      </c>
      <c r="WAW56" s="850">
        <f t="shared" si="258"/>
        <v>1.199509802807688E+104</v>
      </c>
      <c r="WAX56" s="850">
        <f t="shared" si="258"/>
        <v>0</v>
      </c>
      <c r="WAY56" s="850">
        <f t="shared" si="258"/>
        <v>1.2354950968919188E+104</v>
      </c>
      <c r="WAZ56" s="850">
        <f t="shared" si="258"/>
        <v>0</v>
      </c>
      <c r="WBA56" s="850">
        <f t="shared" si="258"/>
        <v>1.2725599497986764E+104</v>
      </c>
      <c r="WBB56" s="850">
        <f t="shared" si="258"/>
        <v>0</v>
      </c>
      <c r="WBC56" s="850">
        <f t="shared" si="258"/>
        <v>1.3107367482926368E+104</v>
      </c>
      <c r="WBD56" s="850">
        <f t="shared" si="258"/>
        <v>0</v>
      </c>
      <c r="WBE56" s="850">
        <f t="shared" si="258"/>
        <v>1.3500588507414159E+104</v>
      </c>
      <c r="WBF56" s="850">
        <f t="shared" si="258"/>
        <v>0</v>
      </c>
      <c r="WBG56" s="850">
        <f t="shared" si="258"/>
        <v>1.3905606162636585E+104</v>
      </c>
      <c r="WBH56" s="850">
        <f t="shared" si="258"/>
        <v>0</v>
      </c>
      <c r="WBI56" s="850">
        <f t="shared" si="258"/>
        <v>1.4322774347515683E+104</v>
      </c>
      <c r="WBJ56" s="850">
        <f t="shared" si="258"/>
        <v>0</v>
      </c>
      <c r="WBK56" s="850">
        <f t="shared" si="258"/>
        <v>1.4752457577941154E+104</v>
      </c>
      <c r="WBL56" s="850">
        <f t="shared" si="258"/>
        <v>0</v>
      </c>
      <c r="WBM56" s="850">
        <f t="shared" si="258"/>
        <v>1.519503130527939E+104</v>
      </c>
      <c r="WBN56" s="850">
        <f t="shared" si="258"/>
        <v>0</v>
      </c>
      <c r="WBO56" s="850">
        <f t="shared" si="258"/>
        <v>1.5650882244437773E+104</v>
      </c>
      <c r="WBP56" s="850">
        <f t="shared" si="258"/>
        <v>0</v>
      </c>
      <c r="WBQ56" s="850">
        <f t="shared" si="258"/>
        <v>1.6120408711770905E+104</v>
      </c>
      <c r="WBR56" s="850">
        <f t="shared" si="258"/>
        <v>0</v>
      </c>
      <c r="WBS56" s="850">
        <f t="shared" si="258"/>
        <v>1.6604020973124034E+104</v>
      </c>
      <c r="WBT56" s="850">
        <f t="shared" si="258"/>
        <v>0</v>
      </c>
      <c r="WBU56" s="850">
        <f t="shared" si="258"/>
        <v>1.7102141602317756E+104</v>
      </c>
      <c r="WBV56" s="850">
        <f t="shared" si="258"/>
        <v>0</v>
      </c>
      <c r="WBW56" s="850">
        <f t="shared" si="258"/>
        <v>1.7615205850387288E+104</v>
      </c>
      <c r="WBX56" s="850">
        <f t="shared" si="258"/>
        <v>0</v>
      </c>
      <c r="WBY56" s="850">
        <f t="shared" si="258"/>
        <v>1.8143662025898906E+104</v>
      </c>
      <c r="WBZ56" s="850">
        <f t="shared" ref="WBZ56:WEK56" si="259">WBX56*$C$56</f>
        <v>0</v>
      </c>
      <c r="WCA56" s="850">
        <f t="shared" si="259"/>
        <v>1.8687971886675873E+104</v>
      </c>
      <c r="WCB56" s="850">
        <f t="shared" si="259"/>
        <v>0</v>
      </c>
      <c r="WCC56" s="850">
        <f t="shared" si="259"/>
        <v>1.9248611043276151E+104</v>
      </c>
      <c r="WCD56" s="850">
        <f t="shared" si="259"/>
        <v>0</v>
      </c>
      <c r="WCE56" s="850">
        <f t="shared" si="259"/>
        <v>1.9826069374574436E+104</v>
      </c>
      <c r="WCF56" s="850">
        <f t="shared" si="259"/>
        <v>0</v>
      </c>
      <c r="WCG56" s="850">
        <f t="shared" si="259"/>
        <v>2.0420851455811671E+104</v>
      </c>
      <c r="WCH56" s="850">
        <f t="shared" si="259"/>
        <v>0</v>
      </c>
      <c r="WCI56" s="850">
        <f t="shared" si="259"/>
        <v>2.1033476999486021E+104</v>
      </c>
      <c r="WCJ56" s="850">
        <f t="shared" si="259"/>
        <v>0</v>
      </c>
      <c r="WCK56" s="850">
        <f t="shared" si="259"/>
        <v>2.1664481309470604E+104</v>
      </c>
      <c r="WCL56" s="850">
        <f t="shared" si="259"/>
        <v>0</v>
      </c>
      <c r="WCM56" s="850">
        <f t="shared" si="259"/>
        <v>2.2314415748754723E+104</v>
      </c>
      <c r="WCN56" s="850">
        <f t="shared" si="259"/>
        <v>0</v>
      </c>
      <c r="WCO56" s="850">
        <f t="shared" si="259"/>
        <v>2.2983848221217364E+104</v>
      </c>
      <c r="WCP56" s="850">
        <f t="shared" si="259"/>
        <v>0</v>
      </c>
      <c r="WCQ56" s="850">
        <f t="shared" si="259"/>
        <v>2.3673363667853885E+104</v>
      </c>
      <c r="WCR56" s="850">
        <f t="shared" si="259"/>
        <v>0</v>
      </c>
      <c r="WCS56" s="850">
        <f t="shared" si="259"/>
        <v>2.4383564577889501E+104</v>
      </c>
      <c r="WCT56" s="850">
        <f t="shared" si="259"/>
        <v>0</v>
      </c>
      <c r="WCU56" s="850">
        <f t="shared" si="259"/>
        <v>2.5115071515226188E+104</v>
      </c>
      <c r="WCV56" s="850">
        <f t="shared" si="259"/>
        <v>0</v>
      </c>
      <c r="WCW56" s="850">
        <f t="shared" si="259"/>
        <v>2.5868523660682976E+104</v>
      </c>
      <c r="WCX56" s="850">
        <f t="shared" si="259"/>
        <v>0</v>
      </c>
      <c r="WCY56" s="850">
        <f t="shared" si="259"/>
        <v>2.6644579370503465E+104</v>
      </c>
      <c r="WCZ56" s="850">
        <f t="shared" si="259"/>
        <v>0</v>
      </c>
      <c r="WDA56" s="850">
        <f t="shared" si="259"/>
        <v>2.744391675161857E+104</v>
      </c>
      <c r="WDB56" s="850">
        <f t="shared" si="259"/>
        <v>0</v>
      </c>
      <c r="WDC56" s="850">
        <f t="shared" si="259"/>
        <v>2.8267234254167129E+104</v>
      </c>
      <c r="WDD56" s="850">
        <f t="shared" si="259"/>
        <v>0</v>
      </c>
      <c r="WDE56" s="850">
        <f t="shared" si="259"/>
        <v>2.9115251281792142E+104</v>
      </c>
      <c r="WDF56" s="850">
        <f t="shared" si="259"/>
        <v>0</v>
      </c>
      <c r="WDG56" s="850">
        <f t="shared" si="259"/>
        <v>2.9988708820245905E+104</v>
      </c>
      <c r="WDH56" s="850">
        <f t="shared" si="259"/>
        <v>0</v>
      </c>
      <c r="WDI56" s="850">
        <f t="shared" si="259"/>
        <v>3.0888370084853282E+104</v>
      </c>
      <c r="WDJ56" s="850">
        <f t="shared" si="259"/>
        <v>0</v>
      </c>
      <c r="WDK56" s="850">
        <f t="shared" si="259"/>
        <v>3.1815021187398881E+104</v>
      </c>
      <c r="WDL56" s="850">
        <f t="shared" si="259"/>
        <v>0</v>
      </c>
      <c r="WDM56" s="850">
        <f t="shared" si="259"/>
        <v>3.2769471823020848E+104</v>
      </c>
      <c r="WDN56" s="850">
        <f t="shared" si="259"/>
        <v>0</v>
      </c>
      <c r="WDO56" s="850">
        <f t="shared" si="259"/>
        <v>3.3752555977711476E+104</v>
      </c>
      <c r="WDP56" s="850">
        <f t="shared" si="259"/>
        <v>0</v>
      </c>
      <c r="WDQ56" s="850">
        <f t="shared" si="259"/>
        <v>3.4765132657042821E+104</v>
      </c>
      <c r="WDR56" s="850">
        <f t="shared" si="259"/>
        <v>0</v>
      </c>
      <c r="WDS56" s="850">
        <f t="shared" si="259"/>
        <v>3.5808086636754108E+104</v>
      </c>
      <c r="WDT56" s="850">
        <f t="shared" si="259"/>
        <v>0</v>
      </c>
      <c r="WDU56" s="850">
        <f t="shared" si="259"/>
        <v>3.6882329235856729E+104</v>
      </c>
      <c r="WDV56" s="850">
        <f t="shared" si="259"/>
        <v>0</v>
      </c>
      <c r="WDW56" s="850">
        <f t="shared" si="259"/>
        <v>3.7988799112932435E+104</v>
      </c>
      <c r="WDX56" s="850">
        <f t="shared" si="259"/>
        <v>0</v>
      </c>
      <c r="WDY56" s="850">
        <f t="shared" si="259"/>
        <v>3.9128463086320411E+104</v>
      </c>
      <c r="WDZ56" s="850">
        <f t="shared" si="259"/>
        <v>0</v>
      </c>
      <c r="WEA56" s="850">
        <f t="shared" si="259"/>
        <v>4.0302316978910024E+104</v>
      </c>
      <c r="WEB56" s="850">
        <f t="shared" si="259"/>
        <v>0</v>
      </c>
      <c r="WEC56" s="850">
        <f t="shared" si="259"/>
        <v>4.1511386488277326E+104</v>
      </c>
      <c r="WED56" s="850">
        <f t="shared" si="259"/>
        <v>0</v>
      </c>
      <c r="WEE56" s="850">
        <f t="shared" si="259"/>
        <v>4.2756728082925649E+104</v>
      </c>
      <c r="WEF56" s="850">
        <f t="shared" si="259"/>
        <v>0</v>
      </c>
      <c r="WEG56" s="850">
        <f t="shared" si="259"/>
        <v>4.4039429925413418E+104</v>
      </c>
      <c r="WEH56" s="850">
        <f t="shared" si="259"/>
        <v>0</v>
      </c>
      <c r="WEI56" s="850">
        <f t="shared" si="259"/>
        <v>4.5360612823175822E+104</v>
      </c>
      <c r="WEJ56" s="850">
        <f t="shared" si="259"/>
        <v>0</v>
      </c>
      <c r="WEK56" s="850">
        <f t="shared" si="259"/>
        <v>4.6721431207871099E+104</v>
      </c>
      <c r="WEL56" s="850">
        <f t="shared" ref="WEL56:WGW56" si="260">WEJ56*$C$56</f>
        <v>0</v>
      </c>
      <c r="WEM56" s="850">
        <f t="shared" si="260"/>
        <v>4.8123074144107235E+104</v>
      </c>
      <c r="WEN56" s="850">
        <f t="shared" si="260"/>
        <v>0</v>
      </c>
      <c r="WEO56" s="850">
        <f t="shared" si="260"/>
        <v>4.9566766368430453E+104</v>
      </c>
      <c r="WEP56" s="850">
        <f t="shared" si="260"/>
        <v>0</v>
      </c>
      <c r="WEQ56" s="850">
        <f t="shared" si="260"/>
        <v>5.1053769359483367E+104</v>
      </c>
      <c r="WER56" s="850">
        <f t="shared" si="260"/>
        <v>0</v>
      </c>
      <c r="WES56" s="850">
        <f t="shared" si="260"/>
        <v>5.2585382440267869E+104</v>
      </c>
      <c r="WET56" s="850">
        <f t="shared" si="260"/>
        <v>0</v>
      </c>
      <c r="WEU56" s="850">
        <f t="shared" si="260"/>
        <v>5.4162943913475906E+104</v>
      </c>
      <c r="WEV56" s="850">
        <f t="shared" si="260"/>
        <v>0</v>
      </c>
      <c r="WEW56" s="850">
        <f t="shared" si="260"/>
        <v>5.5787832230880186E+104</v>
      </c>
      <c r="WEX56" s="850">
        <f t="shared" si="260"/>
        <v>0</v>
      </c>
      <c r="WEY56" s="850">
        <f t="shared" si="260"/>
        <v>5.746146719780659E+104</v>
      </c>
      <c r="WEZ56" s="850">
        <f t="shared" si="260"/>
        <v>0</v>
      </c>
      <c r="WFA56" s="850">
        <f t="shared" si="260"/>
        <v>5.9185311213740794E+104</v>
      </c>
      <c r="WFB56" s="850">
        <f t="shared" si="260"/>
        <v>0</v>
      </c>
      <c r="WFC56" s="850">
        <f t="shared" si="260"/>
        <v>6.0960870550153019E+104</v>
      </c>
      <c r="WFD56" s="850">
        <f t="shared" si="260"/>
        <v>0</v>
      </c>
      <c r="WFE56" s="850">
        <f t="shared" si="260"/>
        <v>6.2789696666657609E+104</v>
      </c>
      <c r="WFF56" s="850">
        <f t="shared" si="260"/>
        <v>0</v>
      </c>
      <c r="WFG56" s="850">
        <f t="shared" si="260"/>
        <v>6.4673387566657333E+104</v>
      </c>
      <c r="WFH56" s="850">
        <f t="shared" si="260"/>
        <v>0</v>
      </c>
      <c r="WFI56" s="850">
        <f t="shared" si="260"/>
        <v>6.661358919365706E+104</v>
      </c>
      <c r="WFJ56" s="850">
        <f t="shared" si="260"/>
        <v>0</v>
      </c>
      <c r="WFK56" s="850">
        <f t="shared" si="260"/>
        <v>6.8611996869466779E+104</v>
      </c>
      <c r="WFL56" s="850">
        <f t="shared" si="260"/>
        <v>0</v>
      </c>
      <c r="WFM56" s="850">
        <f t="shared" si="260"/>
        <v>7.067035677555078E+104</v>
      </c>
      <c r="WFN56" s="850">
        <f t="shared" si="260"/>
        <v>0</v>
      </c>
      <c r="WFO56" s="850">
        <f t="shared" si="260"/>
        <v>7.27904674788173E+104</v>
      </c>
      <c r="WFP56" s="850">
        <f t="shared" si="260"/>
        <v>0</v>
      </c>
      <c r="WFQ56" s="850">
        <f t="shared" si="260"/>
        <v>7.4974181503181822E+104</v>
      </c>
      <c r="WFR56" s="850">
        <f t="shared" si="260"/>
        <v>0</v>
      </c>
      <c r="WFS56" s="850">
        <f t="shared" si="260"/>
        <v>7.7223406948277283E+104</v>
      </c>
      <c r="WFT56" s="850">
        <f t="shared" si="260"/>
        <v>0</v>
      </c>
      <c r="WFU56" s="850">
        <f t="shared" si="260"/>
        <v>7.9540109156725599E+104</v>
      </c>
      <c r="WFV56" s="850">
        <f t="shared" si="260"/>
        <v>0</v>
      </c>
      <c r="WFW56" s="850">
        <f t="shared" si="260"/>
        <v>8.192631243142737E+104</v>
      </c>
      <c r="WFX56" s="850">
        <f t="shared" si="260"/>
        <v>0</v>
      </c>
      <c r="WFY56" s="850">
        <f t="shared" si="260"/>
        <v>8.4384101804370193E+104</v>
      </c>
      <c r="WFZ56" s="850">
        <f t="shared" si="260"/>
        <v>0</v>
      </c>
      <c r="WGA56" s="850">
        <f t="shared" si="260"/>
        <v>8.6915624858501301E+104</v>
      </c>
      <c r="WGB56" s="850">
        <f t="shared" si="260"/>
        <v>0</v>
      </c>
      <c r="WGC56" s="850">
        <f t="shared" si="260"/>
        <v>8.9523093604256341E+104</v>
      </c>
      <c r="WGD56" s="850">
        <f t="shared" si="260"/>
        <v>0</v>
      </c>
      <c r="WGE56" s="850">
        <f t="shared" si="260"/>
        <v>9.2208786412384032E+104</v>
      </c>
      <c r="WGF56" s="850">
        <f t="shared" si="260"/>
        <v>0</v>
      </c>
      <c r="WGG56" s="850">
        <f t="shared" si="260"/>
        <v>9.4975050004755556E+104</v>
      </c>
      <c r="WGH56" s="850">
        <f t="shared" si="260"/>
        <v>0</v>
      </c>
      <c r="WGI56" s="850">
        <f t="shared" si="260"/>
        <v>9.7824301504898226E+104</v>
      </c>
      <c r="WGJ56" s="850">
        <f t="shared" si="260"/>
        <v>0</v>
      </c>
      <c r="WGK56" s="850">
        <f t="shared" si="260"/>
        <v>1.0075903055004517E+105</v>
      </c>
      <c r="WGL56" s="850">
        <f t="shared" si="260"/>
        <v>0</v>
      </c>
      <c r="WGM56" s="850">
        <f t="shared" si="260"/>
        <v>1.0378180146654653E+105</v>
      </c>
      <c r="WGN56" s="850">
        <f t="shared" si="260"/>
        <v>0</v>
      </c>
      <c r="WGO56" s="850">
        <f t="shared" si="260"/>
        <v>1.0689525551054292E+105</v>
      </c>
      <c r="WGP56" s="850">
        <f t="shared" si="260"/>
        <v>0</v>
      </c>
      <c r="WGQ56" s="850">
        <f t="shared" si="260"/>
        <v>1.1010211317585921E+105</v>
      </c>
      <c r="WGR56" s="850">
        <f t="shared" si="260"/>
        <v>0</v>
      </c>
      <c r="WGS56" s="850">
        <f t="shared" si="260"/>
        <v>1.1340517657113499E+105</v>
      </c>
      <c r="WGT56" s="850">
        <f t="shared" si="260"/>
        <v>0</v>
      </c>
      <c r="WGU56" s="850">
        <f t="shared" si="260"/>
        <v>1.1680733186826905E+105</v>
      </c>
      <c r="WGV56" s="850">
        <f t="shared" si="260"/>
        <v>0</v>
      </c>
      <c r="WGW56" s="850">
        <f t="shared" si="260"/>
        <v>1.2031155182431713E+105</v>
      </c>
      <c r="WGX56" s="850">
        <f t="shared" ref="WGX56:WJI56" si="261">WGV56*$C$56</f>
        <v>0</v>
      </c>
      <c r="WGY56" s="850">
        <f t="shared" si="261"/>
        <v>1.2392089837904664E+105</v>
      </c>
      <c r="WGZ56" s="850">
        <f t="shared" si="261"/>
        <v>0</v>
      </c>
      <c r="WHA56" s="850">
        <f t="shared" si="261"/>
        <v>1.2763852533041803E+105</v>
      </c>
      <c r="WHB56" s="850">
        <f t="shared" si="261"/>
        <v>0</v>
      </c>
      <c r="WHC56" s="850">
        <f t="shared" si="261"/>
        <v>1.3146768109033059E+105</v>
      </c>
      <c r="WHD56" s="850">
        <f t="shared" si="261"/>
        <v>0</v>
      </c>
      <c r="WHE56" s="850">
        <f t="shared" si="261"/>
        <v>1.354117115230405E+105</v>
      </c>
      <c r="WHF56" s="850">
        <f t="shared" si="261"/>
        <v>0</v>
      </c>
      <c r="WHG56" s="850">
        <f t="shared" si="261"/>
        <v>1.3947406286873174E+105</v>
      </c>
      <c r="WHH56" s="850">
        <f t="shared" si="261"/>
        <v>0</v>
      </c>
      <c r="WHI56" s="850">
        <f t="shared" si="261"/>
        <v>1.436582847547937E+105</v>
      </c>
      <c r="WHJ56" s="850">
        <f t="shared" si="261"/>
        <v>0</v>
      </c>
      <c r="WHK56" s="850">
        <f t="shared" si="261"/>
        <v>1.4796803329743751E+105</v>
      </c>
      <c r="WHL56" s="850">
        <f t="shared" si="261"/>
        <v>0</v>
      </c>
      <c r="WHM56" s="850">
        <f t="shared" si="261"/>
        <v>1.5240707429636064E+105</v>
      </c>
      <c r="WHN56" s="850">
        <f t="shared" si="261"/>
        <v>0</v>
      </c>
      <c r="WHO56" s="850">
        <f t="shared" si="261"/>
        <v>1.5697928652525145E+105</v>
      </c>
      <c r="WHP56" s="850">
        <f t="shared" si="261"/>
        <v>0</v>
      </c>
      <c r="WHQ56" s="850">
        <f t="shared" si="261"/>
        <v>1.6168866512100901E+105</v>
      </c>
      <c r="WHR56" s="850">
        <f t="shared" si="261"/>
        <v>0</v>
      </c>
      <c r="WHS56" s="850">
        <f t="shared" si="261"/>
        <v>1.6653932507463928E+105</v>
      </c>
      <c r="WHT56" s="850">
        <f t="shared" si="261"/>
        <v>0</v>
      </c>
      <c r="WHU56" s="850">
        <f t="shared" si="261"/>
        <v>1.7153550482687845E+105</v>
      </c>
      <c r="WHV56" s="850">
        <f t="shared" si="261"/>
        <v>0</v>
      </c>
      <c r="WHW56" s="850">
        <f t="shared" si="261"/>
        <v>1.766815699716848E+105</v>
      </c>
      <c r="WHX56" s="850">
        <f t="shared" si="261"/>
        <v>0</v>
      </c>
      <c r="WHY56" s="850">
        <f t="shared" si="261"/>
        <v>1.8198201707083535E+105</v>
      </c>
      <c r="WHZ56" s="850">
        <f t="shared" si="261"/>
        <v>0</v>
      </c>
      <c r="WIA56" s="850">
        <f t="shared" si="261"/>
        <v>1.8744147758296041E+105</v>
      </c>
      <c r="WIB56" s="850">
        <f t="shared" si="261"/>
        <v>0</v>
      </c>
      <c r="WIC56" s="850">
        <f t="shared" si="261"/>
        <v>1.9306472191044923E+105</v>
      </c>
      <c r="WID56" s="850">
        <f t="shared" si="261"/>
        <v>0</v>
      </c>
      <c r="WIE56" s="850">
        <f t="shared" si="261"/>
        <v>1.988566635677627E+105</v>
      </c>
      <c r="WIF56" s="850">
        <f t="shared" si="261"/>
        <v>0</v>
      </c>
      <c r="WIG56" s="850">
        <f t="shared" si="261"/>
        <v>2.0482236347479558E+105</v>
      </c>
      <c r="WIH56" s="850">
        <f t="shared" si="261"/>
        <v>0</v>
      </c>
      <c r="WII56" s="850">
        <f t="shared" si="261"/>
        <v>2.1096703437903945E+105</v>
      </c>
      <c r="WIJ56" s="850">
        <f t="shared" si="261"/>
        <v>0</v>
      </c>
      <c r="WIK56" s="850">
        <f t="shared" si="261"/>
        <v>2.1729604541041063E+105</v>
      </c>
      <c r="WIL56" s="850">
        <f t="shared" si="261"/>
        <v>0</v>
      </c>
      <c r="WIM56" s="850">
        <f t="shared" si="261"/>
        <v>2.2381492677272297E+105</v>
      </c>
      <c r="WIN56" s="850">
        <f t="shared" si="261"/>
        <v>0</v>
      </c>
      <c r="WIO56" s="850">
        <f t="shared" si="261"/>
        <v>2.3052937457590467E+105</v>
      </c>
      <c r="WIP56" s="850">
        <f t="shared" si="261"/>
        <v>0</v>
      </c>
      <c r="WIQ56" s="850">
        <f t="shared" si="261"/>
        <v>2.3744525581318184E+105</v>
      </c>
      <c r="WIR56" s="850">
        <f t="shared" si="261"/>
        <v>0</v>
      </c>
      <c r="WIS56" s="850">
        <f t="shared" si="261"/>
        <v>2.4456861348757732E+105</v>
      </c>
      <c r="WIT56" s="850">
        <f t="shared" si="261"/>
        <v>0</v>
      </c>
      <c r="WIU56" s="850">
        <f t="shared" si="261"/>
        <v>2.5190567189220464E+105</v>
      </c>
      <c r="WIV56" s="850">
        <f t="shared" si="261"/>
        <v>0</v>
      </c>
      <c r="WIW56" s="850">
        <f t="shared" si="261"/>
        <v>2.594628420489708E+105</v>
      </c>
      <c r="WIX56" s="850">
        <f t="shared" si="261"/>
        <v>0</v>
      </c>
      <c r="WIY56" s="850">
        <f t="shared" si="261"/>
        <v>2.6724672731043995E+105</v>
      </c>
      <c r="WIZ56" s="850">
        <f t="shared" si="261"/>
        <v>0</v>
      </c>
      <c r="WJA56" s="850">
        <f t="shared" si="261"/>
        <v>2.7526412912975315E+105</v>
      </c>
      <c r="WJB56" s="850">
        <f t="shared" si="261"/>
        <v>0</v>
      </c>
      <c r="WJC56" s="850">
        <f t="shared" si="261"/>
        <v>2.8352205300364575E+105</v>
      </c>
      <c r="WJD56" s="850">
        <f t="shared" si="261"/>
        <v>0</v>
      </c>
      <c r="WJE56" s="850">
        <f t="shared" si="261"/>
        <v>2.9202771459375511E+105</v>
      </c>
      <c r="WJF56" s="850">
        <f t="shared" si="261"/>
        <v>0</v>
      </c>
      <c r="WJG56" s="850">
        <f t="shared" si="261"/>
        <v>3.0078854603156777E+105</v>
      </c>
      <c r="WJH56" s="850">
        <f t="shared" si="261"/>
        <v>0</v>
      </c>
      <c r="WJI56" s="850">
        <f t="shared" si="261"/>
        <v>3.0981220241251481E+105</v>
      </c>
      <c r="WJJ56" s="850">
        <f t="shared" ref="WJJ56:WLU56" si="262">WJH56*$C$56</f>
        <v>0</v>
      </c>
      <c r="WJK56" s="850">
        <f t="shared" si="262"/>
        <v>3.1910656848489027E+105</v>
      </c>
      <c r="WJL56" s="850">
        <f t="shared" si="262"/>
        <v>0</v>
      </c>
      <c r="WJM56" s="850">
        <f t="shared" si="262"/>
        <v>3.2867976553943699E+105</v>
      </c>
      <c r="WJN56" s="850">
        <f t="shared" si="262"/>
        <v>0</v>
      </c>
      <c r="WJO56" s="850">
        <f t="shared" si="262"/>
        <v>3.3854015850562011E+105</v>
      </c>
      <c r="WJP56" s="850">
        <f t="shared" si="262"/>
        <v>0</v>
      </c>
      <c r="WJQ56" s="850">
        <f t="shared" si="262"/>
        <v>3.4869636326078874E+105</v>
      </c>
      <c r="WJR56" s="850">
        <f t="shared" si="262"/>
        <v>0</v>
      </c>
      <c r="WJS56" s="850">
        <f t="shared" si="262"/>
        <v>3.5915725415861243E+105</v>
      </c>
      <c r="WJT56" s="850">
        <f t="shared" si="262"/>
        <v>0</v>
      </c>
      <c r="WJU56" s="850">
        <f t="shared" si="262"/>
        <v>3.6993197178337079E+105</v>
      </c>
      <c r="WJV56" s="850">
        <f t="shared" si="262"/>
        <v>0</v>
      </c>
      <c r="WJW56" s="850">
        <f t="shared" si="262"/>
        <v>3.8102993093687192E+105</v>
      </c>
      <c r="WJX56" s="850">
        <f t="shared" si="262"/>
        <v>0</v>
      </c>
      <c r="WJY56" s="850">
        <f t="shared" si="262"/>
        <v>3.9246082886497808E+105</v>
      </c>
      <c r="WJZ56" s="850">
        <f t="shared" si="262"/>
        <v>0</v>
      </c>
      <c r="WKA56" s="850">
        <f t="shared" si="262"/>
        <v>4.0423465373092741E+105</v>
      </c>
      <c r="WKB56" s="850">
        <f t="shared" si="262"/>
        <v>0</v>
      </c>
      <c r="WKC56" s="850">
        <f t="shared" si="262"/>
        <v>4.1636169334285522E+105</v>
      </c>
      <c r="WKD56" s="850">
        <f t="shared" si="262"/>
        <v>0</v>
      </c>
      <c r="WKE56" s="850">
        <f t="shared" si="262"/>
        <v>4.2885254414314089E+105</v>
      </c>
      <c r="WKF56" s="850">
        <f t="shared" si="262"/>
        <v>0</v>
      </c>
      <c r="WKG56" s="850">
        <f t="shared" si="262"/>
        <v>4.4171812046743513E+105</v>
      </c>
      <c r="WKH56" s="850">
        <f t="shared" si="262"/>
        <v>0</v>
      </c>
      <c r="WKI56" s="850">
        <f t="shared" si="262"/>
        <v>4.549696640814582E+105</v>
      </c>
      <c r="WKJ56" s="850">
        <f t="shared" si="262"/>
        <v>0</v>
      </c>
      <c r="WKK56" s="850">
        <f t="shared" si="262"/>
        <v>4.6861875400390197E+105</v>
      </c>
      <c r="WKL56" s="850">
        <f t="shared" si="262"/>
        <v>0</v>
      </c>
      <c r="WKM56" s="850">
        <f t="shared" si="262"/>
        <v>4.8267731662401902E+105</v>
      </c>
      <c r="WKN56" s="850">
        <f t="shared" si="262"/>
        <v>0</v>
      </c>
      <c r="WKO56" s="850">
        <f t="shared" si="262"/>
        <v>4.9715763612273961E+105</v>
      </c>
      <c r="WKP56" s="850">
        <f t="shared" si="262"/>
        <v>0</v>
      </c>
      <c r="WKQ56" s="850">
        <f t="shared" si="262"/>
        <v>5.1207236520642176E+105</v>
      </c>
      <c r="WKR56" s="850">
        <f t="shared" si="262"/>
        <v>0</v>
      </c>
      <c r="WKS56" s="850">
        <f t="shared" si="262"/>
        <v>5.2743453616261444E+105</v>
      </c>
      <c r="WKT56" s="850">
        <f t="shared" si="262"/>
        <v>0</v>
      </c>
      <c r="WKU56" s="850">
        <f t="shared" si="262"/>
        <v>5.4325757224749291E+105</v>
      </c>
      <c r="WKV56" s="850">
        <f t="shared" si="262"/>
        <v>0</v>
      </c>
      <c r="WKW56" s="850">
        <f t="shared" si="262"/>
        <v>5.5955529941491775E+105</v>
      </c>
      <c r="WKX56" s="850">
        <f t="shared" si="262"/>
        <v>0</v>
      </c>
      <c r="WKY56" s="850">
        <f t="shared" si="262"/>
        <v>5.7634195839736526E+105</v>
      </c>
      <c r="WKZ56" s="850">
        <f t="shared" si="262"/>
        <v>0</v>
      </c>
      <c r="WLA56" s="850">
        <f t="shared" si="262"/>
        <v>5.9363221714928622E+105</v>
      </c>
      <c r="WLB56" s="850">
        <f t="shared" si="262"/>
        <v>0</v>
      </c>
      <c r="WLC56" s="850">
        <f t="shared" si="262"/>
        <v>6.1144118366376484E+105</v>
      </c>
      <c r="WLD56" s="850">
        <f t="shared" si="262"/>
        <v>0</v>
      </c>
      <c r="WLE56" s="850">
        <f t="shared" si="262"/>
        <v>6.2978441917367781E+105</v>
      </c>
      <c r="WLF56" s="850">
        <f t="shared" si="262"/>
        <v>0</v>
      </c>
      <c r="WLG56" s="850">
        <f t="shared" si="262"/>
        <v>6.4867795174888819E+105</v>
      </c>
      <c r="WLH56" s="850">
        <f t="shared" si="262"/>
        <v>0</v>
      </c>
      <c r="WLI56" s="850">
        <f t="shared" si="262"/>
        <v>6.6813829030135485E+105</v>
      </c>
      <c r="WLJ56" s="850">
        <f t="shared" si="262"/>
        <v>0</v>
      </c>
      <c r="WLK56" s="850">
        <f t="shared" si="262"/>
        <v>6.8818243901039554E+105</v>
      </c>
      <c r="WLL56" s="850">
        <f t="shared" si="262"/>
        <v>0</v>
      </c>
      <c r="WLM56" s="850">
        <f t="shared" si="262"/>
        <v>7.088279121807074E+105</v>
      </c>
      <c r="WLN56" s="850">
        <f t="shared" si="262"/>
        <v>0</v>
      </c>
      <c r="WLO56" s="850">
        <f t="shared" si="262"/>
        <v>7.3009274954612868E+105</v>
      </c>
      <c r="WLP56" s="850">
        <f t="shared" si="262"/>
        <v>0</v>
      </c>
      <c r="WLQ56" s="850">
        <f t="shared" si="262"/>
        <v>7.5199553203251254E+105</v>
      </c>
      <c r="WLR56" s="850">
        <f t="shared" si="262"/>
        <v>0</v>
      </c>
      <c r="WLS56" s="850">
        <f t="shared" si="262"/>
        <v>7.7455539799348795E+105</v>
      </c>
      <c r="WLT56" s="850">
        <f t="shared" si="262"/>
        <v>0</v>
      </c>
      <c r="WLU56" s="850">
        <f t="shared" si="262"/>
        <v>7.9779205993329262E+105</v>
      </c>
      <c r="WLV56" s="850">
        <f t="shared" ref="WLV56:WOG56" si="263">WLT56*$C$56</f>
        <v>0</v>
      </c>
      <c r="WLW56" s="850">
        <f t="shared" si="263"/>
        <v>8.2172582173129146E+105</v>
      </c>
      <c r="WLX56" s="850">
        <f t="shared" si="263"/>
        <v>0</v>
      </c>
      <c r="WLY56" s="850">
        <f t="shared" si="263"/>
        <v>8.4637759638323018E+105</v>
      </c>
      <c r="WLZ56" s="850">
        <f t="shared" si="263"/>
        <v>0</v>
      </c>
      <c r="WMA56" s="850">
        <f t="shared" si="263"/>
        <v>8.7176892427472711E+105</v>
      </c>
      <c r="WMB56" s="850">
        <f t="shared" si="263"/>
        <v>0</v>
      </c>
      <c r="WMC56" s="850">
        <f t="shared" si="263"/>
        <v>8.9792199200296898E+105</v>
      </c>
      <c r="WMD56" s="850">
        <f t="shared" si="263"/>
        <v>0</v>
      </c>
      <c r="WME56" s="850">
        <f t="shared" si="263"/>
        <v>9.2485965176305799E+105</v>
      </c>
      <c r="WMF56" s="850">
        <f t="shared" si="263"/>
        <v>0</v>
      </c>
      <c r="WMG56" s="850">
        <f t="shared" si="263"/>
        <v>9.5260544131594978E+105</v>
      </c>
      <c r="WMH56" s="850">
        <f t="shared" si="263"/>
        <v>0</v>
      </c>
      <c r="WMI56" s="850">
        <f t="shared" si="263"/>
        <v>9.8118360455542836E+105</v>
      </c>
      <c r="WMJ56" s="850">
        <f t="shared" si="263"/>
        <v>0</v>
      </c>
      <c r="WMK56" s="850">
        <f t="shared" si="263"/>
        <v>1.0106191126920913E+106</v>
      </c>
      <c r="WML56" s="850">
        <f t="shared" si="263"/>
        <v>0</v>
      </c>
      <c r="WMM56" s="850">
        <f t="shared" si="263"/>
        <v>1.040937686072854E+106</v>
      </c>
      <c r="WMN56" s="850">
        <f t="shared" si="263"/>
        <v>0</v>
      </c>
      <c r="WMO56" s="850">
        <f t="shared" si="263"/>
        <v>1.0721658166550397E+106</v>
      </c>
      <c r="WMP56" s="850">
        <f t="shared" si="263"/>
        <v>0</v>
      </c>
      <c r="WMQ56" s="850">
        <f t="shared" si="263"/>
        <v>1.104330791154691E+106</v>
      </c>
      <c r="WMR56" s="850">
        <f t="shared" si="263"/>
        <v>0</v>
      </c>
      <c r="WMS56" s="850">
        <f t="shared" si="263"/>
        <v>1.1374607148893318E+106</v>
      </c>
      <c r="WMT56" s="850">
        <f t="shared" si="263"/>
        <v>0</v>
      </c>
      <c r="WMU56" s="850">
        <f t="shared" si="263"/>
        <v>1.1715845363360117E+106</v>
      </c>
      <c r="WMV56" s="850">
        <f t="shared" si="263"/>
        <v>0</v>
      </c>
      <c r="WMW56" s="850">
        <f t="shared" si="263"/>
        <v>1.2067320724260922E+106</v>
      </c>
      <c r="WMX56" s="850">
        <f t="shared" si="263"/>
        <v>0</v>
      </c>
      <c r="WMY56" s="850">
        <f t="shared" si="263"/>
        <v>1.2429340345988751E+106</v>
      </c>
      <c r="WMZ56" s="850">
        <f t="shared" si="263"/>
        <v>0</v>
      </c>
      <c r="WNA56" s="850">
        <f t="shared" si="263"/>
        <v>1.2802220556368413E+106</v>
      </c>
      <c r="WNB56" s="850">
        <f t="shared" si="263"/>
        <v>0</v>
      </c>
      <c r="WNC56" s="850">
        <f t="shared" si="263"/>
        <v>1.3186287173059465E+106</v>
      </c>
      <c r="WND56" s="850">
        <f t="shared" si="263"/>
        <v>0</v>
      </c>
      <c r="WNE56" s="850">
        <f t="shared" si="263"/>
        <v>1.358187578825125E+106</v>
      </c>
      <c r="WNF56" s="850">
        <f t="shared" si="263"/>
        <v>0</v>
      </c>
      <c r="WNG56" s="850">
        <f t="shared" si="263"/>
        <v>1.3989332061898788E+106</v>
      </c>
      <c r="WNH56" s="850">
        <f t="shared" si="263"/>
        <v>0</v>
      </c>
      <c r="WNI56" s="850">
        <f t="shared" si="263"/>
        <v>1.4409012023755752E+106</v>
      </c>
      <c r="WNJ56" s="850">
        <f t="shared" si="263"/>
        <v>0</v>
      </c>
      <c r="WNK56" s="850">
        <f t="shared" si="263"/>
        <v>1.4841282384468424E+106</v>
      </c>
      <c r="WNL56" s="850">
        <f t="shared" si="263"/>
        <v>0</v>
      </c>
      <c r="WNM56" s="850">
        <f t="shared" si="263"/>
        <v>1.5286520856002477E+106</v>
      </c>
      <c r="WNN56" s="850">
        <f t="shared" si="263"/>
        <v>0</v>
      </c>
      <c r="WNO56" s="850">
        <f t="shared" si="263"/>
        <v>1.5745116481682553E+106</v>
      </c>
      <c r="WNP56" s="850">
        <f t="shared" si="263"/>
        <v>0</v>
      </c>
      <c r="WNQ56" s="850">
        <f t="shared" si="263"/>
        <v>1.6217469976133029E+106</v>
      </c>
      <c r="WNR56" s="850">
        <f t="shared" si="263"/>
        <v>0</v>
      </c>
      <c r="WNS56" s="850">
        <f t="shared" si="263"/>
        <v>1.6703994075417019E+106</v>
      </c>
      <c r="WNT56" s="850">
        <f t="shared" si="263"/>
        <v>0</v>
      </c>
      <c r="WNU56" s="850">
        <f t="shared" si="263"/>
        <v>1.720511389767953E+106</v>
      </c>
      <c r="WNV56" s="850">
        <f t="shared" si="263"/>
        <v>0</v>
      </c>
      <c r="WNW56" s="850">
        <f t="shared" si="263"/>
        <v>1.7721267314609916E+106</v>
      </c>
      <c r="WNX56" s="850">
        <f t="shared" si="263"/>
        <v>0</v>
      </c>
      <c r="WNY56" s="850">
        <f t="shared" si="263"/>
        <v>1.8252905334048213E+106</v>
      </c>
      <c r="WNZ56" s="850">
        <f t="shared" si="263"/>
        <v>0</v>
      </c>
      <c r="WOA56" s="850">
        <f t="shared" si="263"/>
        <v>1.8800492494069659E+106</v>
      </c>
      <c r="WOB56" s="850">
        <f t="shared" si="263"/>
        <v>0</v>
      </c>
      <c r="WOC56" s="850">
        <f t="shared" si="263"/>
        <v>1.9364507268891751E+106</v>
      </c>
      <c r="WOD56" s="850">
        <f t="shared" si="263"/>
        <v>0</v>
      </c>
      <c r="WOE56" s="850">
        <f t="shared" si="263"/>
        <v>1.9945442486958502E+106</v>
      </c>
      <c r="WOF56" s="850">
        <f t="shared" si="263"/>
        <v>0</v>
      </c>
      <c r="WOG56" s="850">
        <f t="shared" si="263"/>
        <v>2.054380576156726E+106</v>
      </c>
      <c r="WOH56" s="850">
        <f t="shared" ref="WOH56:WQS56" si="264">WOF56*$C$56</f>
        <v>0</v>
      </c>
      <c r="WOI56" s="850">
        <f t="shared" si="264"/>
        <v>2.116011993441428E+106</v>
      </c>
      <c r="WOJ56" s="850">
        <f t="shared" si="264"/>
        <v>0</v>
      </c>
      <c r="WOK56" s="850">
        <f t="shared" si="264"/>
        <v>2.1794923532446709E+106</v>
      </c>
      <c r="WOL56" s="850">
        <f t="shared" si="264"/>
        <v>0</v>
      </c>
      <c r="WOM56" s="850">
        <f t="shared" si="264"/>
        <v>2.2448771238420111E+106</v>
      </c>
      <c r="WON56" s="850">
        <f t="shared" si="264"/>
        <v>0</v>
      </c>
      <c r="WOO56" s="850">
        <f t="shared" si="264"/>
        <v>2.3122234375572716E+106</v>
      </c>
      <c r="WOP56" s="850">
        <f t="shared" si="264"/>
        <v>0</v>
      </c>
      <c r="WOQ56" s="850">
        <f t="shared" si="264"/>
        <v>2.3815901406839899E+106</v>
      </c>
      <c r="WOR56" s="850">
        <f t="shared" si="264"/>
        <v>0</v>
      </c>
      <c r="WOS56" s="850">
        <f t="shared" si="264"/>
        <v>2.4530378449045096E+106</v>
      </c>
      <c r="WOT56" s="850">
        <f t="shared" si="264"/>
        <v>0</v>
      </c>
      <c r="WOU56" s="850">
        <f t="shared" si="264"/>
        <v>2.5266289802516448E+106</v>
      </c>
      <c r="WOV56" s="850">
        <f t="shared" si="264"/>
        <v>0</v>
      </c>
      <c r="WOW56" s="850">
        <f t="shared" si="264"/>
        <v>2.6024278496591941E+106</v>
      </c>
      <c r="WOX56" s="850">
        <f t="shared" si="264"/>
        <v>0</v>
      </c>
      <c r="WOY56" s="850">
        <f t="shared" si="264"/>
        <v>2.6805006851489701E+106</v>
      </c>
      <c r="WOZ56" s="850">
        <f t="shared" si="264"/>
        <v>0</v>
      </c>
      <c r="WPA56" s="850">
        <f t="shared" si="264"/>
        <v>2.7609157057034391E+106</v>
      </c>
      <c r="WPB56" s="850">
        <f t="shared" si="264"/>
        <v>0</v>
      </c>
      <c r="WPC56" s="850">
        <f t="shared" si="264"/>
        <v>2.8437431768745422E+106</v>
      </c>
      <c r="WPD56" s="850">
        <f t="shared" si="264"/>
        <v>0</v>
      </c>
      <c r="WPE56" s="850">
        <f t="shared" si="264"/>
        <v>2.9290554721807784E+106</v>
      </c>
      <c r="WPF56" s="850">
        <f t="shared" si="264"/>
        <v>0</v>
      </c>
      <c r="WPG56" s="850">
        <f t="shared" si="264"/>
        <v>3.0169271363462017E+106</v>
      </c>
      <c r="WPH56" s="850">
        <f t="shared" si="264"/>
        <v>0</v>
      </c>
      <c r="WPI56" s="850">
        <f t="shared" si="264"/>
        <v>3.1074349504365878E+106</v>
      </c>
      <c r="WPJ56" s="850">
        <f t="shared" si="264"/>
        <v>0</v>
      </c>
      <c r="WPK56" s="850">
        <f t="shared" si="264"/>
        <v>3.2006579989496853E+106</v>
      </c>
      <c r="WPL56" s="850">
        <f t="shared" si="264"/>
        <v>0</v>
      </c>
      <c r="WPM56" s="850">
        <f t="shared" si="264"/>
        <v>3.2966777389181759E+106</v>
      </c>
      <c r="WPN56" s="850">
        <f t="shared" si="264"/>
        <v>0</v>
      </c>
      <c r="WPO56" s="850">
        <f t="shared" si="264"/>
        <v>3.3955780710857214E+106</v>
      </c>
      <c r="WPP56" s="850">
        <f t="shared" si="264"/>
        <v>0</v>
      </c>
      <c r="WPQ56" s="850">
        <f t="shared" si="264"/>
        <v>3.4974454132182932E+106</v>
      </c>
      <c r="WPR56" s="850">
        <f t="shared" si="264"/>
        <v>0</v>
      </c>
      <c r="WPS56" s="850">
        <f t="shared" si="264"/>
        <v>3.6023687756148422E+106</v>
      </c>
      <c r="WPT56" s="850">
        <f t="shared" si="264"/>
        <v>0</v>
      </c>
      <c r="WPU56" s="850">
        <f t="shared" si="264"/>
        <v>3.7104398388832875E+106</v>
      </c>
      <c r="WPV56" s="850">
        <f t="shared" si="264"/>
        <v>0</v>
      </c>
      <c r="WPW56" s="850">
        <f t="shared" si="264"/>
        <v>3.8217530340497859E+106</v>
      </c>
      <c r="WPX56" s="850">
        <f t="shared" si="264"/>
        <v>0</v>
      </c>
      <c r="WPY56" s="850">
        <f t="shared" si="264"/>
        <v>3.9364056250712797E+106</v>
      </c>
      <c r="WPZ56" s="850">
        <f t="shared" si="264"/>
        <v>0</v>
      </c>
      <c r="WQA56" s="850">
        <f t="shared" si="264"/>
        <v>4.0544977938234183E+106</v>
      </c>
      <c r="WQB56" s="850">
        <f t="shared" si="264"/>
        <v>0</v>
      </c>
      <c r="WQC56" s="850">
        <f t="shared" si="264"/>
        <v>4.1761327276381213E+106</v>
      </c>
      <c r="WQD56" s="850">
        <f t="shared" si="264"/>
        <v>0</v>
      </c>
      <c r="WQE56" s="850">
        <f t="shared" si="264"/>
        <v>4.301416709467265E+106</v>
      </c>
      <c r="WQF56" s="850">
        <f t="shared" si="264"/>
        <v>0</v>
      </c>
      <c r="WQG56" s="850">
        <f t="shared" si="264"/>
        <v>4.4304592107512833E+106</v>
      </c>
      <c r="WQH56" s="850">
        <f t="shared" si="264"/>
        <v>0</v>
      </c>
      <c r="WQI56" s="850">
        <f t="shared" si="264"/>
        <v>4.5633729870738223E+106</v>
      </c>
      <c r="WQJ56" s="850">
        <f t="shared" si="264"/>
        <v>0</v>
      </c>
      <c r="WQK56" s="850">
        <f t="shared" si="264"/>
        <v>4.700274176686037E+106</v>
      </c>
      <c r="WQL56" s="850">
        <f t="shared" si="264"/>
        <v>0</v>
      </c>
      <c r="WQM56" s="850">
        <f t="shared" si="264"/>
        <v>4.841282401986618E+106</v>
      </c>
      <c r="WQN56" s="850">
        <f t="shared" si="264"/>
        <v>0</v>
      </c>
      <c r="WQO56" s="850">
        <f t="shared" si="264"/>
        <v>4.9865208740462171E+106</v>
      </c>
      <c r="WQP56" s="850">
        <f t="shared" si="264"/>
        <v>0</v>
      </c>
      <c r="WQQ56" s="850">
        <f t="shared" si="264"/>
        <v>5.136116500267604E+106</v>
      </c>
      <c r="WQR56" s="850">
        <f t="shared" si="264"/>
        <v>0</v>
      </c>
      <c r="WQS56" s="850">
        <f t="shared" si="264"/>
        <v>5.2901999952756326E+106</v>
      </c>
      <c r="WQT56" s="850">
        <f t="shared" ref="WQT56:WTE56" si="265">WQR56*$C$56</f>
        <v>0</v>
      </c>
      <c r="WQU56" s="850">
        <f t="shared" si="265"/>
        <v>5.448905995133902E+106</v>
      </c>
      <c r="WQV56" s="850">
        <f t="shared" si="265"/>
        <v>0</v>
      </c>
      <c r="WQW56" s="850">
        <f t="shared" si="265"/>
        <v>5.6123731749879192E+106</v>
      </c>
      <c r="WQX56" s="850">
        <f t="shared" si="265"/>
        <v>0</v>
      </c>
      <c r="WQY56" s="850">
        <f t="shared" si="265"/>
        <v>5.7807443702375569E+106</v>
      </c>
      <c r="WQZ56" s="850">
        <f t="shared" si="265"/>
        <v>0</v>
      </c>
      <c r="WRA56" s="850">
        <f t="shared" si="265"/>
        <v>5.9541667013446839E+106</v>
      </c>
      <c r="WRB56" s="850">
        <f t="shared" si="265"/>
        <v>0</v>
      </c>
      <c r="WRC56" s="850">
        <f t="shared" si="265"/>
        <v>6.1327917023850246E+106</v>
      </c>
      <c r="WRD56" s="850">
        <f t="shared" si="265"/>
        <v>0</v>
      </c>
      <c r="WRE56" s="850">
        <f t="shared" si="265"/>
        <v>6.3167754534565759E+106</v>
      </c>
      <c r="WRF56" s="850">
        <f t="shared" si="265"/>
        <v>0</v>
      </c>
      <c r="WRG56" s="850">
        <f t="shared" si="265"/>
        <v>6.5062787170602734E+106</v>
      </c>
      <c r="WRH56" s="850">
        <f t="shared" si="265"/>
        <v>0</v>
      </c>
      <c r="WRI56" s="850">
        <f t="shared" si="265"/>
        <v>6.7014670785720816E+106</v>
      </c>
      <c r="WRJ56" s="850">
        <f t="shared" si="265"/>
        <v>0</v>
      </c>
      <c r="WRK56" s="850">
        <f t="shared" si="265"/>
        <v>6.9025110909292445E+106</v>
      </c>
      <c r="WRL56" s="850">
        <f t="shared" si="265"/>
        <v>0</v>
      </c>
      <c r="WRM56" s="850">
        <f t="shared" si="265"/>
        <v>7.1095864236571221E+106</v>
      </c>
      <c r="WRN56" s="850">
        <f t="shared" si="265"/>
        <v>0</v>
      </c>
      <c r="WRO56" s="850">
        <f t="shared" si="265"/>
        <v>7.3228740163668361E+106</v>
      </c>
      <c r="WRP56" s="850">
        <f t="shared" si="265"/>
        <v>0</v>
      </c>
      <c r="WRQ56" s="850">
        <f t="shared" si="265"/>
        <v>7.5425602368578418E+106</v>
      </c>
      <c r="WRR56" s="850">
        <f t="shared" si="265"/>
        <v>0</v>
      </c>
      <c r="WRS56" s="850">
        <f t="shared" si="265"/>
        <v>7.7688370439635773E+106</v>
      </c>
      <c r="WRT56" s="850">
        <f t="shared" si="265"/>
        <v>0</v>
      </c>
      <c r="WRU56" s="850">
        <f t="shared" si="265"/>
        <v>8.0019021552824848E+106</v>
      </c>
      <c r="WRV56" s="850">
        <f t="shared" si="265"/>
        <v>0</v>
      </c>
      <c r="WRW56" s="850">
        <f t="shared" si="265"/>
        <v>8.2419592199409595E+106</v>
      </c>
      <c r="WRX56" s="850">
        <f t="shared" si="265"/>
        <v>0</v>
      </c>
      <c r="WRY56" s="850">
        <f t="shared" si="265"/>
        <v>8.4892179965391892E+106</v>
      </c>
      <c r="WRZ56" s="850">
        <f t="shared" si="265"/>
        <v>0</v>
      </c>
      <c r="WSA56" s="850">
        <f t="shared" si="265"/>
        <v>8.7438945364353649E+106</v>
      </c>
      <c r="WSB56" s="850">
        <f t="shared" si="265"/>
        <v>0</v>
      </c>
      <c r="WSC56" s="850">
        <f t="shared" si="265"/>
        <v>9.0062113725284266E+106</v>
      </c>
      <c r="WSD56" s="850">
        <f t="shared" si="265"/>
        <v>0</v>
      </c>
      <c r="WSE56" s="850">
        <f t="shared" si="265"/>
        <v>9.2763977137042792E+106</v>
      </c>
      <c r="WSF56" s="850">
        <f t="shared" si="265"/>
        <v>0</v>
      </c>
      <c r="WSG56" s="850">
        <f t="shared" si="265"/>
        <v>9.5546896451154081E+106</v>
      </c>
      <c r="WSH56" s="850">
        <f t="shared" si="265"/>
        <v>0</v>
      </c>
      <c r="WSI56" s="850">
        <f t="shared" si="265"/>
        <v>9.841330334468871E+106</v>
      </c>
      <c r="WSJ56" s="850">
        <f t="shared" si="265"/>
        <v>0</v>
      </c>
      <c r="WSK56" s="850">
        <f t="shared" si="265"/>
        <v>1.0136570244502938E+107</v>
      </c>
      <c r="WSL56" s="850">
        <f t="shared" si="265"/>
        <v>0</v>
      </c>
      <c r="WSM56" s="850">
        <f t="shared" si="265"/>
        <v>1.0440667351838027E+107</v>
      </c>
      <c r="WSN56" s="850">
        <f t="shared" si="265"/>
        <v>0</v>
      </c>
      <c r="WSO56" s="850">
        <f t="shared" si="265"/>
        <v>1.0753887372393168E+107</v>
      </c>
      <c r="WSP56" s="850">
        <f t="shared" si="265"/>
        <v>0</v>
      </c>
      <c r="WSQ56" s="850">
        <f t="shared" si="265"/>
        <v>1.1076503993564964E+107</v>
      </c>
      <c r="WSR56" s="850">
        <f t="shared" si="265"/>
        <v>0</v>
      </c>
      <c r="WSS56" s="850">
        <f t="shared" si="265"/>
        <v>1.1408799113371912E+107</v>
      </c>
      <c r="WST56" s="850">
        <f t="shared" si="265"/>
        <v>0</v>
      </c>
      <c r="WSU56" s="850">
        <f t="shared" si="265"/>
        <v>1.175106308677307E+107</v>
      </c>
      <c r="WSV56" s="850">
        <f t="shared" si="265"/>
        <v>0</v>
      </c>
      <c r="WSW56" s="850">
        <f t="shared" si="265"/>
        <v>1.2103594979376261E+107</v>
      </c>
      <c r="WSX56" s="850">
        <f t="shared" si="265"/>
        <v>0</v>
      </c>
      <c r="WSY56" s="850">
        <f t="shared" si="265"/>
        <v>1.2466702828757549E+107</v>
      </c>
      <c r="WSZ56" s="850">
        <f t="shared" si="265"/>
        <v>0</v>
      </c>
      <c r="WTA56" s="850">
        <f t="shared" si="265"/>
        <v>1.2840703913620276E+107</v>
      </c>
      <c r="WTB56" s="850">
        <f t="shared" si="265"/>
        <v>0</v>
      </c>
      <c r="WTC56" s="850">
        <f t="shared" si="265"/>
        <v>1.3225925031028884E+107</v>
      </c>
      <c r="WTD56" s="850">
        <f t="shared" si="265"/>
        <v>0</v>
      </c>
      <c r="WTE56" s="850">
        <f t="shared" si="265"/>
        <v>1.3622702781959751E+107</v>
      </c>
      <c r="WTF56" s="850">
        <f t="shared" ref="WTF56:WVQ56" si="266">WTD56*$C$56</f>
        <v>0</v>
      </c>
      <c r="WTG56" s="850">
        <f t="shared" si="266"/>
        <v>1.4031383865418544E+107</v>
      </c>
      <c r="WTH56" s="850">
        <f t="shared" si="266"/>
        <v>0</v>
      </c>
      <c r="WTI56" s="850">
        <f t="shared" si="266"/>
        <v>1.44523253813811E+107</v>
      </c>
      <c r="WTJ56" s="850">
        <f t="shared" si="266"/>
        <v>0</v>
      </c>
      <c r="WTK56" s="850">
        <f t="shared" si="266"/>
        <v>1.4885895142822533E+107</v>
      </c>
      <c r="WTL56" s="850">
        <f t="shared" si="266"/>
        <v>0</v>
      </c>
      <c r="WTM56" s="850">
        <f t="shared" si="266"/>
        <v>1.5332471997107208E+107</v>
      </c>
      <c r="WTN56" s="850">
        <f t="shared" si="266"/>
        <v>0</v>
      </c>
      <c r="WTO56" s="850">
        <f t="shared" si="266"/>
        <v>1.5792446157020423E+107</v>
      </c>
      <c r="WTP56" s="850">
        <f t="shared" si="266"/>
        <v>0</v>
      </c>
      <c r="WTQ56" s="850">
        <f t="shared" si="266"/>
        <v>1.6266219541731037E+107</v>
      </c>
      <c r="WTR56" s="850">
        <f t="shared" si="266"/>
        <v>0</v>
      </c>
      <c r="WTS56" s="850">
        <f t="shared" si="266"/>
        <v>1.6754206127982969E+107</v>
      </c>
      <c r="WTT56" s="850">
        <f t="shared" si="266"/>
        <v>0</v>
      </c>
      <c r="WTU56" s="850">
        <f t="shared" si="266"/>
        <v>1.7256832311822458E+107</v>
      </c>
      <c r="WTV56" s="850">
        <f t="shared" si="266"/>
        <v>0</v>
      </c>
      <c r="WTW56" s="850">
        <f t="shared" si="266"/>
        <v>1.7774537281177131E+107</v>
      </c>
      <c r="WTX56" s="850">
        <f t="shared" si="266"/>
        <v>0</v>
      </c>
      <c r="WTY56" s="850">
        <f t="shared" si="266"/>
        <v>1.8307773399612444E+107</v>
      </c>
      <c r="WTZ56" s="850">
        <f t="shared" si="266"/>
        <v>0</v>
      </c>
      <c r="WUA56" s="850">
        <f t="shared" si="266"/>
        <v>1.8857006601600819E+107</v>
      </c>
      <c r="WUB56" s="850">
        <f t="shared" si="266"/>
        <v>0</v>
      </c>
      <c r="WUC56" s="850">
        <f t="shared" si="266"/>
        <v>1.9422716799648844E+107</v>
      </c>
      <c r="WUD56" s="850">
        <f t="shared" si="266"/>
        <v>0</v>
      </c>
      <c r="WUE56" s="850">
        <f t="shared" si="266"/>
        <v>2.0005398303638311E+107</v>
      </c>
      <c r="WUF56" s="850">
        <f t="shared" si="266"/>
        <v>0</v>
      </c>
      <c r="WUG56" s="850">
        <f t="shared" si="266"/>
        <v>2.0605560252747462E+107</v>
      </c>
      <c r="WUH56" s="850">
        <f t="shared" si="266"/>
        <v>0</v>
      </c>
      <c r="WUI56" s="850">
        <f t="shared" si="266"/>
        <v>2.1223727060329885E+107</v>
      </c>
      <c r="WUJ56" s="850">
        <f t="shared" si="266"/>
        <v>0</v>
      </c>
      <c r="WUK56" s="850">
        <f t="shared" si="266"/>
        <v>2.1860438872139782E+107</v>
      </c>
      <c r="WUL56" s="850">
        <f t="shared" si="266"/>
        <v>0</v>
      </c>
      <c r="WUM56" s="850">
        <f t="shared" si="266"/>
        <v>2.2516252038303978E+107</v>
      </c>
      <c r="WUN56" s="850">
        <f t="shared" si="266"/>
        <v>0</v>
      </c>
      <c r="WUO56" s="850">
        <f t="shared" si="266"/>
        <v>2.3191739599453097E+107</v>
      </c>
      <c r="WUP56" s="850">
        <f t="shared" si="266"/>
        <v>0</v>
      </c>
      <c r="WUQ56" s="850">
        <f t="shared" si="266"/>
        <v>2.3887491787436689E+107</v>
      </c>
      <c r="WUR56" s="850">
        <f t="shared" si="266"/>
        <v>0</v>
      </c>
      <c r="WUS56" s="850">
        <f t="shared" si="266"/>
        <v>2.460411654105979E+107</v>
      </c>
      <c r="WUT56" s="850">
        <f t="shared" si="266"/>
        <v>0</v>
      </c>
      <c r="WUU56" s="850">
        <f t="shared" si="266"/>
        <v>2.5342240037291584E+107</v>
      </c>
      <c r="WUV56" s="850">
        <f t="shared" si="266"/>
        <v>0</v>
      </c>
      <c r="WUW56" s="850">
        <f t="shared" si="266"/>
        <v>2.6102507238410332E+107</v>
      </c>
      <c r="WUX56" s="850">
        <f t="shared" si="266"/>
        <v>0</v>
      </c>
      <c r="WUY56" s="850">
        <f t="shared" si="266"/>
        <v>2.6885582455562643E+107</v>
      </c>
      <c r="WUZ56" s="850">
        <f t="shared" si="266"/>
        <v>0</v>
      </c>
      <c r="WVA56" s="850">
        <f t="shared" si="266"/>
        <v>2.7692149929229523E+107</v>
      </c>
      <c r="WVB56" s="850">
        <f t="shared" si="266"/>
        <v>0</v>
      </c>
      <c r="WVC56" s="850">
        <f t="shared" si="266"/>
        <v>2.8522914427106409E+107</v>
      </c>
      <c r="WVD56" s="850">
        <f t="shared" si="266"/>
        <v>0</v>
      </c>
      <c r="WVE56" s="850">
        <f t="shared" si="266"/>
        <v>2.93786018599196E+107</v>
      </c>
      <c r="WVF56" s="850">
        <f t="shared" si="266"/>
        <v>0</v>
      </c>
      <c r="WVG56" s="850">
        <f t="shared" si="266"/>
        <v>3.025995991571719E+107</v>
      </c>
      <c r="WVH56" s="850">
        <f t="shared" si="266"/>
        <v>0</v>
      </c>
      <c r="WVI56" s="850">
        <f t="shared" si="266"/>
        <v>3.1167758713188704E+107</v>
      </c>
      <c r="WVJ56" s="850">
        <f t="shared" si="266"/>
        <v>0</v>
      </c>
      <c r="WVK56" s="850">
        <f t="shared" si="266"/>
        <v>3.2102791474584363E+107</v>
      </c>
      <c r="WVL56" s="850">
        <f t="shared" si="266"/>
        <v>0</v>
      </c>
      <c r="WVM56" s="850">
        <f t="shared" si="266"/>
        <v>3.3065875218821897E+107</v>
      </c>
      <c r="WVN56" s="850">
        <f t="shared" si="266"/>
        <v>0</v>
      </c>
      <c r="WVO56" s="850">
        <f t="shared" si="266"/>
        <v>3.4057851475386555E+107</v>
      </c>
      <c r="WVP56" s="850">
        <f t="shared" si="266"/>
        <v>0</v>
      </c>
      <c r="WVQ56" s="850">
        <f t="shared" si="266"/>
        <v>3.5079587019648152E+107</v>
      </c>
      <c r="WVR56" s="850">
        <f t="shared" ref="WVR56:WYC56" si="267">WVP56*$C$56</f>
        <v>0</v>
      </c>
      <c r="WVS56" s="850">
        <f t="shared" si="267"/>
        <v>3.6131974630237596E+107</v>
      </c>
      <c r="WVT56" s="850">
        <f t="shared" si="267"/>
        <v>0</v>
      </c>
      <c r="WVU56" s="850">
        <f t="shared" si="267"/>
        <v>3.7215933869144728E+107</v>
      </c>
      <c r="WVV56" s="850">
        <f t="shared" si="267"/>
        <v>0</v>
      </c>
      <c r="WVW56" s="850">
        <f t="shared" si="267"/>
        <v>3.8332411885219073E+107</v>
      </c>
      <c r="WVX56" s="850">
        <f t="shared" si="267"/>
        <v>0</v>
      </c>
      <c r="WVY56" s="850">
        <f t="shared" si="267"/>
        <v>3.9482384241775645E+107</v>
      </c>
      <c r="WVZ56" s="850">
        <f t="shared" si="267"/>
        <v>0</v>
      </c>
      <c r="WWA56" s="850">
        <f t="shared" si="267"/>
        <v>4.0666855769028914E+107</v>
      </c>
      <c r="WWB56" s="850">
        <f t="shared" si="267"/>
        <v>0</v>
      </c>
      <c r="WWC56" s="850">
        <f t="shared" si="267"/>
        <v>4.1886861442099785E+107</v>
      </c>
      <c r="WWD56" s="850">
        <f t="shared" si="267"/>
        <v>0</v>
      </c>
      <c r="WWE56" s="850">
        <f t="shared" si="267"/>
        <v>4.3143467285362781E+107</v>
      </c>
      <c r="WWF56" s="850">
        <f t="shared" si="267"/>
        <v>0</v>
      </c>
      <c r="WWG56" s="850">
        <f t="shared" si="267"/>
        <v>4.4437771303923665E+107</v>
      </c>
      <c r="WWH56" s="850">
        <f t="shared" si="267"/>
        <v>0</v>
      </c>
      <c r="WWI56" s="850">
        <f t="shared" si="267"/>
        <v>4.5770904443041374E+107</v>
      </c>
      <c r="WWJ56" s="850">
        <f t="shared" si="267"/>
        <v>0</v>
      </c>
      <c r="WWK56" s="850">
        <f t="shared" si="267"/>
        <v>4.7144031576332617E+107</v>
      </c>
      <c r="WWL56" s="850">
        <f t="shared" si="267"/>
        <v>0</v>
      </c>
      <c r="WWM56" s="850">
        <f t="shared" si="267"/>
        <v>4.8558352523622599E+107</v>
      </c>
      <c r="WWN56" s="850">
        <f t="shared" si="267"/>
        <v>0</v>
      </c>
      <c r="WWO56" s="850">
        <f t="shared" si="267"/>
        <v>5.0015103099331281E+107</v>
      </c>
      <c r="WWP56" s="850">
        <f t="shared" si="267"/>
        <v>0</v>
      </c>
      <c r="WWQ56" s="850">
        <f t="shared" si="267"/>
        <v>5.1515556192311224E+107</v>
      </c>
      <c r="WWR56" s="850">
        <f t="shared" si="267"/>
        <v>0</v>
      </c>
      <c r="WWS56" s="850">
        <f t="shared" si="267"/>
        <v>5.3061022878080564E+107</v>
      </c>
      <c r="WWT56" s="850">
        <f t="shared" si="267"/>
        <v>0</v>
      </c>
      <c r="WWU56" s="850">
        <f t="shared" si="267"/>
        <v>5.4652853564422984E+107</v>
      </c>
      <c r="WWV56" s="850">
        <f t="shared" si="267"/>
        <v>0</v>
      </c>
      <c r="WWW56" s="850">
        <f t="shared" si="267"/>
        <v>5.6292439171355673E+107</v>
      </c>
      <c r="WWX56" s="850">
        <f t="shared" si="267"/>
        <v>0</v>
      </c>
      <c r="WWY56" s="850">
        <f t="shared" si="267"/>
        <v>5.7981212346496342E+107</v>
      </c>
      <c r="WWZ56" s="850">
        <f t="shared" si="267"/>
        <v>0</v>
      </c>
      <c r="WXA56" s="850">
        <f t="shared" si="267"/>
        <v>5.9720648716891233E+107</v>
      </c>
      <c r="WXB56" s="850">
        <f t="shared" si="267"/>
        <v>0</v>
      </c>
      <c r="WXC56" s="850">
        <f t="shared" si="267"/>
        <v>6.1512268178397974E+107</v>
      </c>
      <c r="WXD56" s="850">
        <f t="shared" si="267"/>
        <v>0</v>
      </c>
      <c r="WXE56" s="850">
        <f t="shared" si="267"/>
        <v>6.3357636223749911E+107</v>
      </c>
      <c r="WXF56" s="850">
        <f t="shared" si="267"/>
        <v>0</v>
      </c>
      <c r="WXG56" s="850">
        <f t="shared" si="267"/>
        <v>6.5258365310462414E+107</v>
      </c>
      <c r="WXH56" s="850">
        <f t="shared" si="267"/>
        <v>0</v>
      </c>
      <c r="WXI56" s="850">
        <f t="shared" si="267"/>
        <v>6.7216116269776282E+107</v>
      </c>
      <c r="WXJ56" s="850">
        <f t="shared" si="267"/>
        <v>0</v>
      </c>
      <c r="WXK56" s="850">
        <f t="shared" si="267"/>
        <v>6.9232599757869575E+107</v>
      </c>
      <c r="WXL56" s="850">
        <f t="shared" si="267"/>
        <v>0</v>
      </c>
      <c r="WXM56" s="850">
        <f t="shared" si="267"/>
        <v>7.130957775060566E+107</v>
      </c>
      <c r="WXN56" s="850">
        <f t="shared" si="267"/>
        <v>0</v>
      </c>
      <c r="WXO56" s="850">
        <f t="shared" si="267"/>
        <v>7.3448865083123827E+107</v>
      </c>
      <c r="WXP56" s="850">
        <f t="shared" si="267"/>
        <v>0</v>
      </c>
      <c r="WXQ56" s="850">
        <f t="shared" si="267"/>
        <v>7.5652331035617548E+107</v>
      </c>
      <c r="WXR56" s="850">
        <f t="shared" si="267"/>
        <v>0</v>
      </c>
      <c r="WXS56" s="850">
        <f t="shared" si="267"/>
        <v>7.7921900966686079E+107</v>
      </c>
      <c r="WXT56" s="850">
        <f t="shared" si="267"/>
        <v>0</v>
      </c>
      <c r="WXU56" s="850">
        <f t="shared" si="267"/>
        <v>8.0259557995686666E+107</v>
      </c>
      <c r="WXV56" s="850">
        <f t="shared" si="267"/>
        <v>0</v>
      </c>
      <c r="WXW56" s="850">
        <f t="shared" si="267"/>
        <v>8.2667344735557266E+107</v>
      </c>
      <c r="WXX56" s="850">
        <f t="shared" si="267"/>
        <v>0</v>
      </c>
      <c r="WXY56" s="850">
        <f t="shared" si="267"/>
        <v>8.5147365077623989E+107</v>
      </c>
      <c r="WXZ56" s="850">
        <f t="shared" si="267"/>
        <v>0</v>
      </c>
      <c r="WYA56" s="850">
        <f t="shared" si="267"/>
        <v>8.7701786029952709E+107</v>
      </c>
      <c r="WYB56" s="850">
        <f t="shared" si="267"/>
        <v>0</v>
      </c>
      <c r="WYC56" s="850">
        <f t="shared" si="267"/>
        <v>9.0332839610851297E+107</v>
      </c>
      <c r="WYD56" s="850">
        <f t="shared" ref="WYD56:XAO56" si="268">WYB56*$C$56</f>
        <v>0</v>
      </c>
      <c r="WYE56" s="850">
        <f t="shared" si="268"/>
        <v>9.3042824799176835E+107</v>
      </c>
      <c r="WYF56" s="850">
        <f t="shared" si="268"/>
        <v>0</v>
      </c>
      <c r="WYG56" s="850">
        <f t="shared" si="268"/>
        <v>9.5834109543152145E+107</v>
      </c>
      <c r="WYH56" s="850">
        <f t="shared" si="268"/>
        <v>0</v>
      </c>
      <c r="WYI56" s="850">
        <f t="shared" si="268"/>
        <v>9.8709132829446706E+107</v>
      </c>
      <c r="WYJ56" s="850">
        <f t="shared" si="268"/>
        <v>0</v>
      </c>
      <c r="WYK56" s="850">
        <f t="shared" si="268"/>
        <v>1.0167040681433011E+108</v>
      </c>
      <c r="WYL56" s="850">
        <f t="shared" si="268"/>
        <v>0</v>
      </c>
      <c r="WYM56" s="850">
        <f t="shared" si="268"/>
        <v>1.0472051901876001E+108</v>
      </c>
      <c r="WYN56" s="850">
        <f t="shared" si="268"/>
        <v>0</v>
      </c>
      <c r="WYO56" s="850">
        <f t="shared" si="268"/>
        <v>1.0786213458932281E+108</v>
      </c>
      <c r="WYP56" s="850">
        <f t="shared" si="268"/>
        <v>0</v>
      </c>
      <c r="WYQ56" s="850">
        <f t="shared" si="268"/>
        <v>1.1109799862700249E+108</v>
      </c>
      <c r="WYR56" s="850">
        <f t="shared" si="268"/>
        <v>0</v>
      </c>
      <c r="WYS56" s="850">
        <f t="shared" si="268"/>
        <v>1.1443093858581258E+108</v>
      </c>
      <c r="WYT56" s="850">
        <f t="shared" si="268"/>
        <v>0</v>
      </c>
      <c r="WYU56" s="850">
        <f t="shared" si="268"/>
        <v>1.1786386674338694E+108</v>
      </c>
      <c r="WYV56" s="850">
        <f t="shared" si="268"/>
        <v>0</v>
      </c>
      <c r="WYW56" s="850">
        <f t="shared" si="268"/>
        <v>1.2139978274568855E+108</v>
      </c>
      <c r="WYX56" s="850">
        <f t="shared" si="268"/>
        <v>0</v>
      </c>
      <c r="WYY56" s="850">
        <f t="shared" si="268"/>
        <v>1.250417762280592E+108</v>
      </c>
      <c r="WYZ56" s="850">
        <f t="shared" si="268"/>
        <v>0</v>
      </c>
      <c r="WZA56" s="850">
        <f t="shared" si="268"/>
        <v>1.2879302951490097E+108</v>
      </c>
      <c r="WZB56" s="850">
        <f t="shared" si="268"/>
        <v>0</v>
      </c>
      <c r="WZC56" s="850">
        <f t="shared" si="268"/>
        <v>1.32656820400348E+108</v>
      </c>
      <c r="WZD56" s="850">
        <f t="shared" si="268"/>
        <v>0</v>
      </c>
      <c r="WZE56" s="850">
        <f t="shared" si="268"/>
        <v>1.3663652501235843E+108</v>
      </c>
      <c r="WZF56" s="850">
        <f t="shared" si="268"/>
        <v>0</v>
      </c>
      <c r="WZG56" s="850">
        <f t="shared" si="268"/>
        <v>1.4073562076272918E+108</v>
      </c>
      <c r="WZH56" s="850">
        <f t="shared" si="268"/>
        <v>0</v>
      </c>
      <c r="WZI56" s="850">
        <f t="shared" si="268"/>
        <v>1.4495768938561105E+108</v>
      </c>
      <c r="WZJ56" s="850">
        <f t="shared" si="268"/>
        <v>0</v>
      </c>
      <c r="WZK56" s="850">
        <f t="shared" si="268"/>
        <v>1.4930642006717939E+108</v>
      </c>
      <c r="WZL56" s="850">
        <f t="shared" si="268"/>
        <v>0</v>
      </c>
      <c r="WZM56" s="850">
        <f t="shared" si="268"/>
        <v>1.5378561266919478E+108</v>
      </c>
      <c r="WZN56" s="850">
        <f t="shared" si="268"/>
        <v>0</v>
      </c>
      <c r="WZO56" s="850">
        <f t="shared" si="268"/>
        <v>1.5839918104927063E+108</v>
      </c>
      <c r="WZP56" s="850">
        <f t="shared" si="268"/>
        <v>0</v>
      </c>
      <c r="WZQ56" s="850">
        <f t="shared" si="268"/>
        <v>1.6315115648074876E+108</v>
      </c>
      <c r="WZR56" s="850">
        <f t="shared" si="268"/>
        <v>0</v>
      </c>
      <c r="WZS56" s="850">
        <f t="shared" si="268"/>
        <v>1.6804569117517123E+108</v>
      </c>
      <c r="WZT56" s="850">
        <f t="shared" si="268"/>
        <v>0</v>
      </c>
      <c r="WZU56" s="850">
        <f t="shared" si="268"/>
        <v>1.7308706191042636E+108</v>
      </c>
      <c r="WZV56" s="850">
        <f t="shared" si="268"/>
        <v>0</v>
      </c>
      <c r="WZW56" s="850">
        <f t="shared" si="268"/>
        <v>1.7827967376773917E+108</v>
      </c>
      <c r="WZX56" s="850">
        <f t="shared" si="268"/>
        <v>0</v>
      </c>
      <c r="WZY56" s="850">
        <f t="shared" si="268"/>
        <v>1.8362806398077134E+108</v>
      </c>
      <c r="WZZ56" s="850">
        <f t="shared" si="268"/>
        <v>0</v>
      </c>
      <c r="XAA56" s="850">
        <f t="shared" si="268"/>
        <v>1.8913690590019449E+108</v>
      </c>
      <c r="XAB56" s="850">
        <f t="shared" si="268"/>
        <v>0</v>
      </c>
      <c r="XAC56" s="850">
        <f t="shared" si="268"/>
        <v>1.9481101307720032E+108</v>
      </c>
      <c r="XAD56" s="850">
        <f t="shared" si="268"/>
        <v>0</v>
      </c>
      <c r="XAE56" s="850">
        <f t="shared" si="268"/>
        <v>2.0065534346951633E+108</v>
      </c>
      <c r="XAF56" s="850">
        <f t="shared" si="268"/>
        <v>0</v>
      </c>
      <c r="XAG56" s="850">
        <f t="shared" si="268"/>
        <v>2.0667500377360182E+108</v>
      </c>
      <c r="XAH56" s="850">
        <f t="shared" si="268"/>
        <v>0</v>
      </c>
      <c r="XAI56" s="850">
        <f t="shared" si="268"/>
        <v>2.1287525388680988E+108</v>
      </c>
      <c r="XAJ56" s="850">
        <f t="shared" si="268"/>
        <v>0</v>
      </c>
      <c r="XAK56" s="850">
        <f t="shared" si="268"/>
        <v>2.1926151150341418E+108</v>
      </c>
      <c r="XAL56" s="850">
        <f t="shared" si="268"/>
        <v>0</v>
      </c>
      <c r="XAM56" s="850">
        <f t="shared" si="268"/>
        <v>2.258393568485166E+108</v>
      </c>
      <c r="XAN56" s="850">
        <f t="shared" si="268"/>
        <v>0</v>
      </c>
      <c r="XAO56" s="850">
        <f t="shared" si="268"/>
        <v>2.326145375539721E+108</v>
      </c>
      <c r="XAP56" s="850">
        <f t="shared" ref="XAP56:XDA56" si="269">XAN56*$C$56</f>
        <v>0</v>
      </c>
      <c r="XAQ56" s="850">
        <f t="shared" si="269"/>
        <v>2.3959297368059124E+108</v>
      </c>
      <c r="XAR56" s="850">
        <f t="shared" si="269"/>
        <v>0</v>
      </c>
      <c r="XAS56" s="850">
        <f t="shared" si="269"/>
        <v>2.4678076289100901E+108</v>
      </c>
      <c r="XAT56" s="850">
        <f t="shared" si="269"/>
        <v>0</v>
      </c>
      <c r="XAU56" s="850">
        <f t="shared" si="269"/>
        <v>2.541841857777393E+108</v>
      </c>
      <c r="XAV56" s="850">
        <f t="shared" si="269"/>
        <v>0</v>
      </c>
      <c r="XAW56" s="850">
        <f t="shared" si="269"/>
        <v>2.618097113510715E+108</v>
      </c>
      <c r="XAX56" s="850">
        <f t="shared" si="269"/>
        <v>0</v>
      </c>
      <c r="XAY56" s="850">
        <f t="shared" si="269"/>
        <v>2.6966400269160364E+108</v>
      </c>
      <c r="XAZ56" s="850">
        <f t="shared" si="269"/>
        <v>0</v>
      </c>
      <c r="XBA56" s="850">
        <f t="shared" si="269"/>
        <v>2.7775392277235173E+108</v>
      </c>
      <c r="XBB56" s="850">
        <f t="shared" si="269"/>
        <v>0</v>
      </c>
      <c r="XBC56" s="850">
        <f t="shared" si="269"/>
        <v>2.860865404555223E+108</v>
      </c>
      <c r="XBD56" s="850">
        <f t="shared" si="269"/>
        <v>0</v>
      </c>
      <c r="XBE56" s="850">
        <f t="shared" si="269"/>
        <v>2.9466913666918798E+108</v>
      </c>
      <c r="XBF56" s="850">
        <f t="shared" si="269"/>
        <v>0</v>
      </c>
      <c r="XBG56" s="850">
        <f t="shared" si="269"/>
        <v>3.0350921076926362E+108</v>
      </c>
      <c r="XBH56" s="850">
        <f t="shared" si="269"/>
        <v>0</v>
      </c>
      <c r="XBI56" s="850">
        <f t="shared" si="269"/>
        <v>3.1261448709234154E+108</v>
      </c>
      <c r="XBJ56" s="850">
        <f t="shared" si="269"/>
        <v>0</v>
      </c>
      <c r="XBK56" s="850">
        <f t="shared" si="269"/>
        <v>3.2199292170511178E+108</v>
      </c>
      <c r="XBL56" s="850">
        <f t="shared" si="269"/>
        <v>0</v>
      </c>
      <c r="XBM56" s="850">
        <f t="shared" si="269"/>
        <v>3.3165270935626515E+108</v>
      </c>
      <c r="XBN56" s="850">
        <f t="shared" si="269"/>
        <v>0</v>
      </c>
      <c r="XBO56" s="850">
        <f t="shared" si="269"/>
        <v>3.4160229063695312E+108</v>
      </c>
      <c r="XBP56" s="850">
        <f t="shared" si="269"/>
        <v>0</v>
      </c>
      <c r="XBQ56" s="850">
        <f t="shared" si="269"/>
        <v>3.5185035935606172E+108</v>
      </c>
      <c r="XBR56" s="850">
        <f t="shared" si="269"/>
        <v>0</v>
      </c>
      <c r="XBS56" s="850">
        <f t="shared" si="269"/>
        <v>3.624058701367436E+108</v>
      </c>
      <c r="XBT56" s="850">
        <f t="shared" si="269"/>
        <v>0</v>
      </c>
      <c r="XBU56" s="850">
        <f t="shared" si="269"/>
        <v>3.7327804624084589E+108</v>
      </c>
      <c r="XBV56" s="850">
        <f t="shared" si="269"/>
        <v>0</v>
      </c>
      <c r="XBW56" s="850">
        <f t="shared" si="269"/>
        <v>3.844763876280713E+108</v>
      </c>
      <c r="XBX56" s="850">
        <f t="shared" si="269"/>
        <v>0</v>
      </c>
      <c r="XBY56" s="850">
        <f t="shared" si="269"/>
        <v>3.9601067925691346E+108</v>
      </c>
      <c r="XBZ56" s="850">
        <f t="shared" si="269"/>
        <v>0</v>
      </c>
      <c r="XCA56" s="850">
        <f t="shared" si="269"/>
        <v>4.0789099963462088E+108</v>
      </c>
      <c r="XCB56" s="850">
        <f t="shared" si="269"/>
        <v>0</v>
      </c>
      <c r="XCC56" s="850">
        <f t="shared" si="269"/>
        <v>4.2012772962365951E+108</v>
      </c>
      <c r="XCD56" s="850">
        <f t="shared" si="269"/>
        <v>0</v>
      </c>
      <c r="XCE56" s="850">
        <f t="shared" si="269"/>
        <v>4.3273156151236931E+108</v>
      </c>
      <c r="XCF56" s="850">
        <f t="shared" si="269"/>
        <v>0</v>
      </c>
      <c r="XCG56" s="850">
        <f t="shared" si="269"/>
        <v>4.4571350835774038E+108</v>
      </c>
      <c r="XCH56" s="850">
        <f t="shared" si="269"/>
        <v>0</v>
      </c>
      <c r="XCI56" s="850">
        <f t="shared" si="269"/>
        <v>4.590849136084726E+108</v>
      </c>
      <c r="XCJ56" s="850">
        <f t="shared" si="269"/>
        <v>0</v>
      </c>
      <c r="XCK56" s="850">
        <f t="shared" si="269"/>
        <v>4.7285746101672681E+108</v>
      </c>
      <c r="XCL56" s="850">
        <f t="shared" si="269"/>
        <v>0</v>
      </c>
      <c r="XCM56" s="850">
        <f t="shared" si="269"/>
        <v>4.8704318484722865E+108</v>
      </c>
      <c r="XCN56" s="850">
        <f t="shared" si="269"/>
        <v>0</v>
      </c>
      <c r="XCO56" s="850">
        <f t="shared" si="269"/>
        <v>5.0165448039264549E+108</v>
      </c>
      <c r="XCP56" s="850">
        <f t="shared" si="269"/>
        <v>0</v>
      </c>
      <c r="XCQ56" s="850">
        <f t="shared" si="269"/>
        <v>5.1670411480442489E+108</v>
      </c>
      <c r="XCR56" s="850">
        <f t="shared" si="269"/>
        <v>0</v>
      </c>
      <c r="XCS56" s="850">
        <f t="shared" si="269"/>
        <v>5.3220523824855761E+108</v>
      </c>
      <c r="XCT56" s="850">
        <f t="shared" si="269"/>
        <v>0</v>
      </c>
      <c r="XCU56" s="850">
        <f t="shared" si="269"/>
        <v>5.481713953960143E+108</v>
      </c>
      <c r="XCV56" s="850">
        <f t="shared" si="269"/>
        <v>0</v>
      </c>
      <c r="XCW56" s="850">
        <f t="shared" si="269"/>
        <v>5.6461653725789479E+108</v>
      </c>
      <c r="XCX56" s="850">
        <f t="shared" si="269"/>
        <v>0</v>
      </c>
      <c r="XCY56" s="850">
        <f t="shared" si="269"/>
        <v>5.8155503337563162E+108</v>
      </c>
      <c r="XCZ56" s="850">
        <f t="shared" si="269"/>
        <v>0</v>
      </c>
      <c r="XDA56" s="850">
        <f t="shared" si="269"/>
        <v>5.9900168437690061E+108</v>
      </c>
      <c r="XDB56" s="850">
        <f t="shared" ref="XDB56:XFD56" si="270">XCZ56*$C$56</f>
        <v>0</v>
      </c>
      <c r="XDC56" s="850">
        <f t="shared" si="270"/>
        <v>6.1697173490820761E+108</v>
      </c>
      <c r="XDD56" s="850">
        <f t="shared" si="270"/>
        <v>0</v>
      </c>
      <c r="XDE56" s="850">
        <f t="shared" si="270"/>
        <v>6.3548088695545389E+108</v>
      </c>
      <c r="XDF56" s="850">
        <f t="shared" si="270"/>
        <v>0</v>
      </c>
      <c r="XDG56" s="850">
        <f t="shared" si="270"/>
        <v>6.5454531356411754E+108</v>
      </c>
      <c r="XDH56" s="850">
        <f t="shared" si="270"/>
        <v>0</v>
      </c>
      <c r="XDI56" s="850">
        <f t="shared" si="270"/>
        <v>6.7418167297104112E+108</v>
      </c>
      <c r="XDJ56" s="850">
        <f t="shared" si="270"/>
        <v>0</v>
      </c>
      <c r="XDK56" s="850">
        <f t="shared" si="270"/>
        <v>6.9440712316017233E+108</v>
      </c>
      <c r="XDL56" s="850">
        <f t="shared" si="270"/>
        <v>0</v>
      </c>
      <c r="XDM56" s="850">
        <f t="shared" si="270"/>
        <v>7.1523933685497748E+108</v>
      </c>
      <c r="XDN56" s="850">
        <f t="shared" si="270"/>
        <v>0</v>
      </c>
      <c r="XDO56" s="850">
        <f t="shared" si="270"/>
        <v>7.3669651696062679E+108</v>
      </c>
      <c r="XDP56" s="850">
        <f t="shared" si="270"/>
        <v>0</v>
      </c>
      <c r="XDQ56" s="850">
        <f t="shared" si="270"/>
        <v>7.5879741246944563E+108</v>
      </c>
      <c r="XDR56" s="850">
        <f t="shared" si="270"/>
        <v>0</v>
      </c>
      <c r="XDS56" s="850">
        <f t="shared" si="270"/>
        <v>7.8156133484352903E+108</v>
      </c>
      <c r="XDT56" s="850">
        <f t="shared" si="270"/>
        <v>0</v>
      </c>
      <c r="XDU56" s="850">
        <f t="shared" si="270"/>
        <v>8.0500817488883495E+108</v>
      </c>
      <c r="XDV56" s="850">
        <f t="shared" si="270"/>
        <v>0</v>
      </c>
      <c r="XDW56" s="850">
        <f t="shared" si="270"/>
        <v>8.2915842013550003E+108</v>
      </c>
      <c r="XDX56" s="850">
        <f t="shared" si="270"/>
        <v>0</v>
      </c>
      <c r="XDY56" s="850">
        <f t="shared" si="270"/>
        <v>8.5403317273956508E+108</v>
      </c>
      <c r="XDZ56" s="850">
        <f t="shared" si="270"/>
        <v>0</v>
      </c>
      <c r="XEA56" s="850">
        <f t="shared" si="270"/>
        <v>8.7965416792175205E+108</v>
      </c>
      <c r="XEB56" s="850">
        <f t="shared" si="270"/>
        <v>0</v>
      </c>
      <c r="XEC56" s="850">
        <f t="shared" si="270"/>
        <v>9.0604379295940461E+108</v>
      </c>
      <c r="XED56" s="850">
        <f t="shared" si="270"/>
        <v>0</v>
      </c>
      <c r="XEE56" s="850">
        <f t="shared" si="270"/>
        <v>9.3322510674818681E+108</v>
      </c>
      <c r="XEF56" s="850">
        <f t="shared" si="270"/>
        <v>0</v>
      </c>
      <c r="XEG56" s="850">
        <f t="shared" si="270"/>
        <v>9.6122185995063248E+108</v>
      </c>
      <c r="XEH56" s="850">
        <f t="shared" si="270"/>
        <v>0</v>
      </c>
      <c r="XEI56" s="850">
        <f t="shared" si="270"/>
        <v>9.9005851574915151E+108</v>
      </c>
      <c r="XEJ56" s="850">
        <f t="shared" si="270"/>
        <v>0</v>
      </c>
      <c r="XEK56" s="850">
        <f t="shared" si="270"/>
        <v>1.0197602712216261E+109</v>
      </c>
      <c r="XEL56" s="850">
        <f t="shared" si="270"/>
        <v>0</v>
      </c>
      <c r="XEM56" s="850">
        <f t="shared" si="270"/>
        <v>1.0503530793582748E+109</v>
      </c>
      <c r="XEN56" s="850">
        <f t="shared" si="270"/>
        <v>0</v>
      </c>
      <c r="XEO56" s="850">
        <f t="shared" si="270"/>
        <v>1.081863671739023E+109</v>
      </c>
      <c r="XEP56" s="850">
        <f t="shared" si="270"/>
        <v>0</v>
      </c>
      <c r="XEQ56" s="850">
        <f t="shared" si="270"/>
        <v>1.1143195818911936E+109</v>
      </c>
      <c r="XER56" s="850">
        <f t="shared" si="270"/>
        <v>0</v>
      </c>
      <c r="XES56" s="850">
        <f t="shared" si="270"/>
        <v>1.1477491693479296E+109</v>
      </c>
      <c r="XET56" s="850">
        <f t="shared" si="270"/>
        <v>0</v>
      </c>
      <c r="XEU56" s="850">
        <f t="shared" si="270"/>
        <v>1.1821816444283674E+109</v>
      </c>
      <c r="XEV56" s="850">
        <f t="shared" si="270"/>
        <v>0</v>
      </c>
      <c r="XEW56" s="850">
        <f t="shared" si="270"/>
        <v>1.2176470937612184E+109</v>
      </c>
      <c r="XEX56" s="850">
        <f t="shared" si="270"/>
        <v>0</v>
      </c>
      <c r="XEY56" s="850">
        <f t="shared" si="270"/>
        <v>1.254176506574055E+109</v>
      </c>
      <c r="XEZ56" s="850">
        <f t="shared" si="270"/>
        <v>0</v>
      </c>
      <c r="XFA56" s="850">
        <f t="shared" si="270"/>
        <v>1.2918018017712767E+109</v>
      </c>
      <c r="XFB56" s="850">
        <f t="shared" si="270"/>
        <v>0</v>
      </c>
      <c r="XFC56" s="850">
        <f t="shared" si="270"/>
        <v>1.330555855824415E+109</v>
      </c>
      <c r="XFD56" s="850">
        <f t="shared" si="270"/>
        <v>0</v>
      </c>
    </row>
    <row r="57" spans="1:16384" s="3" customFormat="1">
      <c r="A57" s="856"/>
      <c r="B57" s="856"/>
      <c r="C57" s="848"/>
      <c r="E57" s="857"/>
      <c r="F57" s="850"/>
      <c r="G57" s="858">
        <f t="shared" si="14"/>
        <v>0</v>
      </c>
      <c r="H57" s="850"/>
      <c r="I57" s="858">
        <f t="shared" si="14"/>
        <v>0</v>
      </c>
      <c r="J57" s="850"/>
      <c r="K57" s="858">
        <f t="shared" si="14"/>
        <v>0</v>
      </c>
      <c r="L57" s="850"/>
      <c r="M57" s="858">
        <f t="shared" si="14"/>
        <v>0</v>
      </c>
      <c r="N57" s="850"/>
      <c r="O57" s="858">
        <f t="shared" si="14"/>
        <v>0</v>
      </c>
      <c r="P57" s="850"/>
      <c r="Q57" s="858">
        <f t="shared" si="14"/>
        <v>0</v>
      </c>
      <c r="R57" s="850"/>
      <c r="S57" s="858">
        <f t="shared" si="14"/>
        <v>0</v>
      </c>
      <c r="T57" s="850"/>
      <c r="U57" s="858">
        <f t="shared" si="14"/>
        <v>0</v>
      </c>
      <c r="V57" s="850"/>
      <c r="W57" s="858">
        <f t="shared" si="14"/>
        <v>0</v>
      </c>
      <c r="X57" s="850"/>
      <c r="Y57" s="858">
        <f t="shared" si="14"/>
        <v>0</v>
      </c>
      <c r="Z57" s="850"/>
      <c r="AA57" s="858">
        <f t="shared" si="14"/>
        <v>0</v>
      </c>
      <c r="AB57" s="850"/>
      <c r="AC57" s="858">
        <f t="shared" si="14"/>
        <v>0</v>
      </c>
      <c r="AD57" s="850"/>
      <c r="AE57" s="858">
        <f t="shared" si="14"/>
        <v>0</v>
      </c>
      <c r="AF57" s="850"/>
      <c r="AG57" s="858">
        <f t="shared" si="14"/>
        <v>0</v>
      </c>
      <c r="AH57" s="850"/>
    </row>
    <row r="58" spans="1:16384" s="3" customFormat="1">
      <c r="A58" s="852" t="s">
        <v>2760</v>
      </c>
      <c r="C58" s="851"/>
      <c r="E58" s="850">
        <f>SUM(E53:E57)</f>
        <v>26300</v>
      </c>
      <c r="F58" s="850"/>
      <c r="G58" s="850">
        <f>SUM(G53:G57)</f>
        <v>27170.5</v>
      </c>
      <c r="H58" s="850"/>
      <c r="I58" s="850">
        <f>SUM(I53:I57)</f>
        <v>28069.967499999999</v>
      </c>
      <c r="J58" s="850"/>
      <c r="K58" s="850">
        <f>SUM(K53:K57)</f>
        <v>28999.371362499998</v>
      </c>
      <c r="L58" s="850"/>
      <c r="M58" s="850">
        <f>SUM(M53:M57)</f>
        <v>29959.713010187497</v>
      </c>
      <c r="N58" s="850"/>
      <c r="O58" s="850">
        <f>SUM(O53:O57)</f>
        <v>30952.027525044054</v>
      </c>
      <c r="P58" s="850"/>
      <c r="Q58" s="850">
        <f>SUM(Q53:Q57)</f>
        <v>31977.384784705595</v>
      </c>
      <c r="R58" s="850"/>
      <c r="S58" s="850">
        <f>SUM(S53:S57)</f>
        <v>33036.890637343837</v>
      </c>
      <c r="T58" s="850"/>
      <c r="U58" s="850">
        <f>SUM(U53:U57)</f>
        <v>34131.688116379628</v>
      </c>
      <c r="V58" s="850"/>
      <c r="W58" s="850">
        <f>SUM(W53:W57)</f>
        <v>35262.958696383532</v>
      </c>
      <c r="X58" s="850"/>
      <c r="Y58" s="850">
        <f>SUM(Y53:Y57)</f>
        <v>36431.923591565494</v>
      </c>
      <c r="Z58" s="850"/>
      <c r="AA58" s="850">
        <f>SUM(AA53:AA57)</f>
        <v>37639.845098303078</v>
      </c>
      <c r="AB58" s="850"/>
      <c r="AC58" s="850">
        <f>SUM(AC53:AC57)</f>
        <v>38888.027983207459</v>
      </c>
      <c r="AD58" s="850"/>
      <c r="AE58" s="850">
        <f>SUM(AE53:AE57)</f>
        <v>40177.820918277415</v>
      </c>
      <c r="AF58" s="850"/>
      <c r="AG58" s="850">
        <f>SUM(AG53:AG57)</f>
        <v>41510.617964744539</v>
      </c>
      <c r="AH58" s="850"/>
    </row>
    <row r="59" spans="1:1638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16384" s="852" customFormat="1">
      <c r="A60" s="852" t="s">
        <v>2761</v>
      </c>
      <c r="C60" s="859"/>
      <c r="E60" s="852">
        <f>E45-E58</f>
        <v>292776.60000000009</v>
      </c>
      <c r="G60" s="852">
        <f>G45-G58</f>
        <v>345157.34599999944</v>
      </c>
      <c r="I60" s="852">
        <f>I45-I58</f>
        <v>398558.04232999939</v>
      </c>
      <c r="K60" s="852">
        <f>K45-K58</f>
        <v>452994.08678614895</v>
      </c>
      <c r="M60" s="852">
        <f>M45-M58</f>
        <v>508480.90959370253</v>
      </c>
      <c r="O60" s="852">
        <f>O45-O58</f>
        <v>565033.96191022592</v>
      </c>
      <c r="Q60" s="852">
        <f>Q45-Q58</f>
        <v>622668.70361154468</v>
      </c>
      <c r="S60" s="852">
        <f>S45-S58</f>
        <v>681400.59032747138</v>
      </c>
      <c r="U60" s="852">
        <f>U45-U58</f>
        <v>741245.05969301879</v>
      </c>
      <c r="W60" s="852">
        <f>W45-W58</f>
        <v>802217.51677940926</v>
      </c>
      <c r="Y60" s="852">
        <f>Y45-Y58</f>
        <v>864333.31866770971</v>
      </c>
      <c r="AA60" s="852">
        <f>AA45-AA58</f>
        <v>927607.75812645361</v>
      </c>
      <c r="AC60" s="852">
        <f>AC45-AC58</f>
        <v>992056.04635299719</v>
      </c>
      <c r="AE60" s="852">
        <f>AE45-AE58</f>
        <v>1057693.2947367528</v>
      </c>
      <c r="AG60" s="852">
        <f>AG45-AG58</f>
        <v>1124534.4956007642</v>
      </c>
    </row>
    <row r="61" spans="1:1638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16384" s="852" customFormat="1">
      <c r="A62" s="852" t="s">
        <v>2762</v>
      </c>
      <c r="C62" s="849">
        <v>0.5</v>
      </c>
      <c r="E62" s="854">
        <v>146388</v>
      </c>
      <c r="G62" s="852">
        <f>G60*$C$62</f>
        <v>172578.67299999972</v>
      </c>
      <c r="I62" s="852">
        <f>I60*$C$62</f>
        <v>199279.02116499969</v>
      </c>
      <c r="K62" s="852">
        <f>K60*$C$62</f>
        <v>226497.04339307448</v>
      </c>
      <c r="M62" s="852">
        <f>M60*$C$62</f>
        <v>254240.45479685126</v>
      </c>
      <c r="O62" s="852">
        <f>O60*$C$62</f>
        <v>282516.98095511296</v>
      </c>
      <c r="Q62" s="852">
        <f>Q60*$C$62</f>
        <v>311334.35180577234</v>
      </c>
      <c r="S62" s="852">
        <f>S60*$C$62</f>
        <v>340700.29516373569</v>
      </c>
      <c r="U62" s="852">
        <f>U60*$C$62</f>
        <v>370622.52984650939</v>
      </c>
      <c r="W62" s="852">
        <f>W60*$C$62</f>
        <v>401108.75838970463</v>
      </c>
      <c r="Y62" s="852">
        <f>Y60*$C$62</f>
        <v>432166.65933385486</v>
      </c>
      <c r="AA62" s="852">
        <f>AA60*$C$62</f>
        <v>463803.87906322681</v>
      </c>
      <c r="AC62" s="852">
        <f>AC60*$C$62</f>
        <v>496028.02317649859</v>
      </c>
      <c r="AE62" s="852">
        <f>AE60*$C$62</f>
        <v>528846.64736837638</v>
      </c>
      <c r="AG62" s="852">
        <f>AG60*$C$62</f>
        <v>562267.24780038209</v>
      </c>
    </row>
    <row r="63" spans="1:16384" s="852" customFormat="1">
      <c r="A63" s="2617" t="s">
        <v>2788</v>
      </c>
      <c r="B63" s="2617"/>
      <c r="C63" s="2617"/>
    </row>
    <row r="64" spans="1:1638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2763</v>
      </c>
      <c r="C65" s="849">
        <v>0.5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t="s">
        <v>2783</v>
      </c>
      <c r="B66" s="854"/>
      <c r="C66" s="853"/>
      <c r="E66" s="854">
        <v>146388.79999999999</v>
      </c>
      <c r="G66" s="850">
        <f>G60*$C$65</f>
        <v>172578.67299999972</v>
      </c>
      <c r="I66" s="850">
        <f>I60*$C$65</f>
        <v>199279.02116499969</v>
      </c>
      <c r="K66" s="850">
        <f>K60*$C$65</f>
        <v>226497.04339307448</v>
      </c>
      <c r="M66" s="850">
        <f>M60*$C$65</f>
        <v>254240.45479685126</v>
      </c>
      <c r="O66" s="850">
        <f>O60*$C$65</f>
        <v>282516.98095511296</v>
      </c>
      <c r="Q66" s="850">
        <f>Q60*$C$65</f>
        <v>311334.35180577234</v>
      </c>
      <c r="S66" s="850">
        <f>S60*$C$65</f>
        <v>340700.29516373569</v>
      </c>
      <c r="U66" s="850">
        <f>U60*$C$65</f>
        <v>370622.52984650939</v>
      </c>
      <c r="W66" s="850">
        <f>W60*$C$65</f>
        <v>401108.75838970463</v>
      </c>
      <c r="Y66" s="850">
        <f>Y60*$C$65</f>
        <v>432166.65933385486</v>
      </c>
      <c r="AA66" s="850">
        <f>AA60*$C$65</f>
        <v>463803.87906322681</v>
      </c>
      <c r="AC66" s="850">
        <f>AC60*$C$65</f>
        <v>496028.02317649859</v>
      </c>
      <c r="AE66" s="850">
        <f>AE60*$C$65</f>
        <v>528846.64736837638</v>
      </c>
      <c r="AG66" s="850">
        <f>AG60*$C$65</f>
        <v>562267.24780038209</v>
      </c>
    </row>
    <row r="67" spans="1:34" s="850" customFormat="1">
      <c r="A67" s="855"/>
      <c r="B67" s="855"/>
      <c r="C67" s="860"/>
      <c r="E67" s="854"/>
      <c r="G67" s="850">
        <f t="shared" ref="G67:AG69" si="271">E67*$C$66</f>
        <v>0</v>
      </c>
      <c r="I67" s="850">
        <f t="shared" si="271"/>
        <v>0</v>
      </c>
      <c r="K67" s="850">
        <f t="shared" si="271"/>
        <v>0</v>
      </c>
      <c r="M67" s="850">
        <f t="shared" si="271"/>
        <v>0</v>
      </c>
      <c r="O67" s="850">
        <f t="shared" si="271"/>
        <v>0</v>
      </c>
      <c r="Q67" s="850">
        <f t="shared" si="271"/>
        <v>0</v>
      </c>
      <c r="S67" s="850">
        <f t="shared" si="271"/>
        <v>0</v>
      </c>
      <c r="U67" s="850">
        <f t="shared" si="271"/>
        <v>0</v>
      </c>
      <c r="W67" s="850">
        <f t="shared" si="271"/>
        <v>0</v>
      </c>
      <c r="Y67" s="850">
        <f t="shared" si="271"/>
        <v>0</v>
      </c>
      <c r="AA67" s="850">
        <f t="shared" si="271"/>
        <v>0</v>
      </c>
      <c r="AC67" s="850">
        <f t="shared" si="271"/>
        <v>0</v>
      </c>
      <c r="AE67" s="850">
        <f t="shared" si="271"/>
        <v>0</v>
      </c>
      <c r="AG67" s="850">
        <f t="shared" si="271"/>
        <v>0</v>
      </c>
    </row>
    <row r="68" spans="1:34" s="850" customFormat="1">
      <c r="A68" s="855"/>
      <c r="B68" s="855"/>
      <c r="C68" s="860"/>
      <c r="E68" s="855"/>
      <c r="G68" s="850">
        <f t="shared" si="271"/>
        <v>0</v>
      </c>
      <c r="I68" s="850">
        <f t="shared" si="271"/>
        <v>0</v>
      </c>
      <c r="K68" s="850">
        <f t="shared" si="271"/>
        <v>0</v>
      </c>
      <c r="M68" s="850">
        <f t="shared" si="271"/>
        <v>0</v>
      </c>
      <c r="O68" s="850">
        <f t="shared" si="271"/>
        <v>0</v>
      </c>
      <c r="Q68" s="850">
        <f t="shared" si="271"/>
        <v>0</v>
      </c>
      <c r="S68" s="850">
        <f t="shared" si="271"/>
        <v>0</v>
      </c>
      <c r="U68" s="850">
        <f t="shared" si="271"/>
        <v>0</v>
      </c>
      <c r="W68" s="850">
        <f t="shared" si="271"/>
        <v>0</v>
      </c>
      <c r="Y68" s="850">
        <f t="shared" si="271"/>
        <v>0</v>
      </c>
      <c r="AA68" s="850">
        <f t="shared" si="271"/>
        <v>0</v>
      </c>
      <c r="AC68" s="850">
        <f t="shared" si="271"/>
        <v>0</v>
      </c>
      <c r="AE68" s="850">
        <f t="shared" si="271"/>
        <v>0</v>
      </c>
      <c r="AG68" s="850">
        <f t="shared" si="271"/>
        <v>0</v>
      </c>
    </row>
    <row r="69" spans="1:34" s="850" customFormat="1">
      <c r="A69" s="855"/>
      <c r="B69" s="855"/>
      <c r="C69" s="860"/>
      <c r="E69" s="857"/>
      <c r="G69" s="858">
        <f t="shared" si="271"/>
        <v>0</v>
      </c>
      <c r="I69" s="858">
        <f t="shared" si="271"/>
        <v>0</v>
      </c>
      <c r="K69" s="858">
        <f t="shared" si="271"/>
        <v>0</v>
      </c>
      <c r="M69" s="858">
        <f t="shared" si="271"/>
        <v>0</v>
      </c>
      <c r="O69" s="858">
        <f t="shared" si="271"/>
        <v>0</v>
      </c>
      <c r="Q69" s="858">
        <f t="shared" si="271"/>
        <v>0</v>
      </c>
      <c r="S69" s="858">
        <f t="shared" si="271"/>
        <v>0</v>
      </c>
      <c r="U69" s="858">
        <f t="shared" si="271"/>
        <v>0</v>
      </c>
      <c r="W69" s="858">
        <f t="shared" si="271"/>
        <v>0</v>
      </c>
      <c r="Y69" s="858">
        <f t="shared" si="271"/>
        <v>0</v>
      </c>
      <c r="AA69" s="858">
        <f t="shared" si="271"/>
        <v>0</v>
      </c>
      <c r="AC69" s="858">
        <f t="shared" si="271"/>
        <v>0</v>
      </c>
      <c r="AE69" s="858">
        <f t="shared" si="271"/>
        <v>0</v>
      </c>
      <c r="AG69" s="858">
        <f t="shared" si="271"/>
        <v>0</v>
      </c>
    </row>
    <row r="70" spans="1:34" s="850" customFormat="1">
      <c r="A70" s="852" t="s">
        <v>2760</v>
      </c>
      <c r="C70" s="860"/>
      <c r="E70" s="850">
        <f>SUM(E66:E69)</f>
        <v>146388.79999999999</v>
      </c>
      <c r="G70" s="850">
        <f>SUM(G66:G69)</f>
        <v>172578.67299999972</v>
      </c>
      <c r="I70" s="850">
        <f>SUM(I66:I69)</f>
        <v>199279.02116499969</v>
      </c>
      <c r="K70" s="850">
        <f>SUM(K66:K69)</f>
        <v>226497.04339307448</v>
      </c>
      <c r="M70" s="850">
        <f>SUM(M66:M69)</f>
        <v>254240.45479685126</v>
      </c>
      <c r="O70" s="850">
        <f>SUM(O66:O69)</f>
        <v>282516.98095511296</v>
      </c>
      <c r="Q70" s="850">
        <f>SUM(Q66:Q69)</f>
        <v>311334.35180577234</v>
      </c>
      <c r="S70" s="850">
        <f>SUM(S66:S69)</f>
        <v>340700.29516373569</v>
      </c>
      <c r="U70" s="850">
        <f>SUM(U66:U69)</f>
        <v>370622.52984650939</v>
      </c>
      <c r="W70" s="850">
        <f>SUM(W66:W69)</f>
        <v>401108.75838970463</v>
      </c>
      <c r="Y70" s="850">
        <f>SUM(Y66:Y69)</f>
        <v>432166.65933385486</v>
      </c>
      <c r="AA70" s="850">
        <f>SUM(AA66:AA69)</f>
        <v>463803.87906322681</v>
      </c>
      <c r="AC70" s="850">
        <f>SUM(AC66:AC69)</f>
        <v>496028.02317649859</v>
      </c>
      <c r="AE70" s="850">
        <f>SUM(AE66:AE69)</f>
        <v>528846.64736837638</v>
      </c>
      <c r="AG70" s="850">
        <f>SUM(AG66:AG69)</f>
        <v>562267.24780038209</v>
      </c>
    </row>
    <row r="71" spans="1:34" s="850" customFormat="1">
      <c r="A71" s="852"/>
      <c r="C71" s="860"/>
    </row>
    <row r="72" spans="1:34" s="850" customFormat="1">
      <c r="A72" s="852" t="s">
        <v>2764</v>
      </c>
      <c r="C72" s="860"/>
      <c r="E72" s="852">
        <f>E60-E62-E70</f>
        <v>-0.19999999989522621</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ht="13">
      <c r="A73" s="429"/>
      <c r="C73" s="860"/>
    </row>
    <row r="74" spans="1:34" s="146" customFormat="1" ht="13">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2765</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6" t="s">
        <v>2766</v>
      </c>
      <c r="B77" s="2616"/>
      <c r="C77" s="2616"/>
      <c r="D77" s="2616"/>
      <c r="E77" s="2616"/>
      <c r="F77" s="2616"/>
      <c r="G77" s="2616"/>
      <c r="H77" s="2616"/>
      <c r="I77" s="2616"/>
      <c r="J77" s="2616"/>
      <c r="K77" s="2616"/>
      <c r="L77" s="2616"/>
      <c r="M77" s="2616"/>
      <c r="N77" s="2616"/>
      <c r="O77" s="2616"/>
      <c r="P77" s="2616"/>
      <c r="Q77" s="2616"/>
      <c r="R77" s="2616"/>
      <c r="S77" s="2616"/>
      <c r="T77" s="2616"/>
      <c r="U77" s="2616"/>
      <c r="V77" s="2616"/>
      <c r="W77" s="2616"/>
      <c r="X77" s="2616"/>
      <c r="Y77" s="2616"/>
      <c r="Z77" s="2616"/>
      <c r="AA77" s="2616"/>
      <c r="AB77" s="2616"/>
      <c r="AC77" s="2616"/>
      <c r="AD77" s="2616"/>
      <c r="AE77" s="2616"/>
      <c r="AF77" s="2616"/>
      <c r="AG77" s="2616"/>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453125" customWidth="1"/>
    <col min="2" max="16384" width="8.81640625" hidden="1"/>
  </cols>
  <sheetData>
    <row r="1" spans="1:1" ht="46.5">
      <c r="A1" s="220" t="s">
        <v>2767</v>
      </c>
    </row>
    <row r="2" spans="1:1" ht="15.5">
      <c r="A2" s="221"/>
    </row>
    <row r="3" spans="1:1" ht="15.5">
      <c r="A3" s="222" t="s">
        <v>2768</v>
      </c>
    </row>
    <row r="4" spans="1:1" ht="15.5">
      <c r="A4" s="222" t="s">
        <v>2769</v>
      </c>
    </row>
    <row r="5" spans="1:1" ht="15.5">
      <c r="A5" s="222" t="s">
        <v>2770</v>
      </c>
    </row>
    <row r="6" spans="1:1" ht="15.5">
      <c r="A6" s="222" t="s">
        <v>2771</v>
      </c>
    </row>
    <row r="7" spans="1:1" ht="15.5">
      <c r="A7" s="222" t="s">
        <v>2772</v>
      </c>
    </row>
    <row r="8" spans="1:1" ht="15.5">
      <c r="A8" s="249" t="s">
        <v>2773</v>
      </c>
    </row>
    <row r="9" spans="1:1" ht="15.5">
      <c r="A9" s="222" t="s">
        <v>2774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79" workbookViewId="0"/>
  </sheetViews>
  <sheetFormatPr defaultColWidth="9.1796875" defaultRowHeight="12.5" zeroHeight="1"/>
  <cols>
    <col min="1" max="1" width="35.453125" style="136" customWidth="1"/>
    <col min="2" max="4" width="14.453125" style="136" customWidth="1"/>
    <col min="5" max="5" width="50.453125" style="136" customWidth="1"/>
    <col min="6" max="253" width="9.1796875" style="136" customWidth="1"/>
    <col min="254" max="16384" width="9.1796875" style="136"/>
  </cols>
  <sheetData>
    <row r="1" spans="1:6" s="187" customFormat="1" ht="18" customHeight="1">
      <c r="A1" s="413" t="s">
        <v>2775</v>
      </c>
      <c r="D1" s="192"/>
    </row>
    <row r="2" spans="1:6" s="187" customFormat="1" ht="13">
      <c r="A2" s="171" t="s">
        <v>2776</v>
      </c>
      <c r="B2" s="173"/>
      <c r="C2" s="173"/>
      <c r="D2" s="170"/>
      <c r="E2" s="174"/>
      <c r="F2" s="173"/>
    </row>
    <row r="3" spans="1:6" s="254" customFormat="1" ht="80.25" customHeight="1">
      <c r="A3" s="189"/>
      <c r="B3" s="175" t="s">
        <v>2777</v>
      </c>
      <c r="C3" s="175" t="s">
        <v>2778</v>
      </c>
      <c r="D3" s="175" t="s">
        <v>2779</v>
      </c>
      <c r="E3" s="172" t="s">
        <v>2780</v>
      </c>
      <c r="F3" s="172"/>
    </row>
    <row r="4" spans="1:6" s="255" customFormat="1" ht="13">
      <c r="A4" s="176" t="s">
        <v>1778</v>
      </c>
      <c r="B4" s="176"/>
      <c r="C4" s="176"/>
      <c r="D4" s="176"/>
      <c r="E4" s="194"/>
      <c r="F4" s="176"/>
    </row>
    <row r="5" spans="1:6" s="255" customFormat="1">
      <c r="A5" s="267" t="s">
        <v>1779</v>
      </c>
      <c r="B5" s="178">
        <f>'Sources and Uses Budget'!$C4</f>
        <v>2900000</v>
      </c>
      <c r="C5" s="178">
        <f>'Sources and Uses Budget'!$C4</f>
        <v>2900000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1780</v>
      </c>
      <c r="B7" s="178">
        <f>'Sources and Uses Budget'!$C6</f>
        <v>0</v>
      </c>
      <c r="C7" s="178">
        <f>'Sources and Uses Budget'!$C6</f>
        <v>0</v>
      </c>
      <c r="D7" s="182">
        <f t="shared" si="0"/>
        <v>0</v>
      </c>
      <c r="E7" s="180"/>
      <c r="F7" s="179"/>
    </row>
    <row r="8" spans="1:6" s="255" customFormat="1">
      <c r="A8" s="267" t="s">
        <v>1781</v>
      </c>
      <c r="B8" s="178">
        <f>'Sources and Uses Budget'!$C7</f>
        <v>0</v>
      </c>
      <c r="C8" s="178">
        <f>'Sources and Uses Budget'!$C7</f>
        <v>0</v>
      </c>
      <c r="D8" s="182">
        <f t="shared" si="0"/>
        <v>0</v>
      </c>
      <c r="E8" s="180"/>
      <c r="F8" s="179"/>
    </row>
    <row r="9" spans="1:6" s="255" customFormat="1">
      <c r="A9" s="268" t="s">
        <v>1782</v>
      </c>
      <c r="B9" s="182">
        <f>SUM(B5:B8)</f>
        <v>2900000</v>
      </c>
      <c r="C9" s="182">
        <f>SUM(C5:C8)</f>
        <v>2900000</v>
      </c>
      <c r="D9" s="182">
        <f t="shared" si="0"/>
        <v>0</v>
      </c>
      <c r="E9" s="180"/>
      <c r="F9" s="179"/>
    </row>
    <row r="10" spans="1:6" s="255" customFormat="1">
      <c r="A10" s="267" t="s">
        <v>1783</v>
      </c>
      <c r="B10" s="178">
        <f>'Sources and Uses Budget'!$C9</f>
        <v>0</v>
      </c>
      <c r="C10" s="178">
        <f>'Sources and Uses Budget'!$C9</f>
        <v>0</v>
      </c>
      <c r="D10" s="182">
        <f t="shared" si="0"/>
        <v>0</v>
      </c>
      <c r="E10" s="180"/>
      <c r="F10" s="179"/>
    </row>
    <row r="11" spans="1:6" s="255" customFormat="1">
      <c r="A11" s="267" t="s">
        <v>1784</v>
      </c>
      <c r="B11" s="178">
        <f>'Sources and Uses Budget'!$C10</f>
        <v>500000</v>
      </c>
      <c r="C11" s="178">
        <f>'Sources and Uses Budget'!$C10</f>
        <v>500000</v>
      </c>
      <c r="D11" s="182">
        <f t="shared" si="0"/>
        <v>0</v>
      </c>
      <c r="E11" s="180"/>
      <c r="F11" s="179"/>
    </row>
    <row r="12" spans="1:6" s="255" customFormat="1">
      <c r="A12" s="268" t="s">
        <v>1785</v>
      </c>
      <c r="B12" s="182">
        <f>SUM(B10:B11)</f>
        <v>500000</v>
      </c>
      <c r="C12" s="182">
        <f>SUM(C10:C11)</f>
        <v>500000</v>
      </c>
      <c r="D12" s="182">
        <f t="shared" si="0"/>
        <v>0</v>
      </c>
      <c r="E12" s="180"/>
      <c r="F12" s="179"/>
    </row>
    <row r="13" spans="1:6" s="255" customFormat="1">
      <c r="A13" s="268" t="s">
        <v>1786</v>
      </c>
      <c r="B13" s="182">
        <f>SUM(B9+B12)</f>
        <v>3400000</v>
      </c>
      <c r="C13" s="182">
        <f>SUM(C9+C12)</f>
        <v>3400000</v>
      </c>
      <c r="D13" s="182">
        <f t="shared" si="0"/>
        <v>0</v>
      </c>
      <c r="E13" s="180"/>
      <c r="F13" s="179"/>
    </row>
    <row r="14" spans="1:6" s="255" customFormat="1">
      <c r="A14" s="269" t="s">
        <v>1787</v>
      </c>
      <c r="B14" s="178">
        <f>'Sources and Uses Budget'!$C13</f>
        <v>0</v>
      </c>
      <c r="C14" s="178">
        <f>'Sources and Uses Budget'!$C13</f>
        <v>0</v>
      </c>
      <c r="D14" s="182">
        <f t="shared" si="0"/>
        <v>0</v>
      </c>
      <c r="E14" s="180"/>
      <c r="F14" s="179"/>
    </row>
    <row r="15" spans="1:6" s="255" customFormat="1" ht="23">
      <c r="A15" s="267" t="s">
        <v>1903</v>
      </c>
      <c r="B15" s="178">
        <f>'Sources and Uses Budget'!$C14</f>
        <v>0</v>
      </c>
      <c r="C15" s="178">
        <f>'Sources and Uses Budget'!$C14</f>
        <v>0</v>
      </c>
      <c r="D15" s="182">
        <f t="shared" si="0"/>
        <v>0</v>
      </c>
      <c r="E15" s="180"/>
      <c r="F15" s="179"/>
    </row>
    <row r="16" spans="1:6" s="255" customFormat="1">
      <c r="A16" s="267" t="s">
        <v>1789</v>
      </c>
      <c r="B16" s="178">
        <f>'Sources and Uses Budget'!$C15</f>
        <v>0</v>
      </c>
      <c r="C16" s="178">
        <f>'Sources and Uses Budget'!$C15</f>
        <v>0</v>
      </c>
      <c r="D16" s="182">
        <f t="shared" si="0"/>
        <v>0</v>
      </c>
      <c r="E16" s="180"/>
      <c r="F16" s="179"/>
    </row>
    <row r="17" spans="1:6" s="255" customFormat="1" ht="13">
      <c r="A17" s="176" t="s">
        <v>1790</v>
      </c>
      <c r="B17" s="176"/>
      <c r="C17" s="176"/>
      <c r="D17" s="176"/>
      <c r="E17" s="194"/>
      <c r="F17" s="176"/>
    </row>
    <row r="18" spans="1:6" s="255" customFormat="1">
      <c r="A18" s="195" t="s">
        <v>1791</v>
      </c>
      <c r="B18" s="178">
        <f>'Sources and Uses Budget'!$C17</f>
        <v>0</v>
      </c>
      <c r="C18" s="178">
        <f>'Sources and Uses Budget'!$C17</f>
        <v>0</v>
      </c>
      <c r="D18" s="182">
        <f t="shared" si="0"/>
        <v>0</v>
      </c>
      <c r="E18" s="180"/>
      <c r="F18" s="179"/>
    </row>
    <row r="19" spans="1:6" s="255" customFormat="1">
      <c r="A19" s="195" t="s">
        <v>1792</v>
      </c>
      <c r="B19" s="178">
        <f>'Sources and Uses Budget'!$C18</f>
        <v>0</v>
      </c>
      <c r="C19" s="178">
        <f>'Sources and Uses Budget'!$C18</f>
        <v>0</v>
      </c>
      <c r="D19" s="182">
        <f t="shared" si="0"/>
        <v>0</v>
      </c>
      <c r="E19" s="180"/>
      <c r="F19" s="179"/>
    </row>
    <row r="20" spans="1:6" s="255" customFormat="1">
      <c r="A20" s="195" t="s">
        <v>1793</v>
      </c>
      <c r="B20" s="178">
        <f>'Sources and Uses Budget'!$C19</f>
        <v>0</v>
      </c>
      <c r="C20" s="178">
        <f>'Sources and Uses Budget'!$C19</f>
        <v>0</v>
      </c>
      <c r="D20" s="182">
        <f t="shared" si="0"/>
        <v>0</v>
      </c>
      <c r="E20" s="180"/>
      <c r="F20" s="179"/>
    </row>
    <row r="21" spans="1:6" s="255" customFormat="1">
      <c r="A21" s="195" t="s">
        <v>1794</v>
      </c>
      <c r="B21" s="178">
        <f>'Sources and Uses Budget'!$C20</f>
        <v>0</v>
      </c>
      <c r="C21" s="178">
        <f>'Sources and Uses Budget'!$C20</f>
        <v>0</v>
      </c>
      <c r="D21" s="182">
        <f t="shared" si="0"/>
        <v>0</v>
      </c>
      <c r="E21" s="180"/>
      <c r="F21" s="179"/>
    </row>
    <row r="22" spans="1:6" s="255" customFormat="1">
      <c r="A22" s="195" t="s">
        <v>1795</v>
      </c>
      <c r="B22" s="178">
        <f>'Sources and Uses Budget'!$C21</f>
        <v>0</v>
      </c>
      <c r="C22" s="178">
        <f>'Sources and Uses Budget'!$C21</f>
        <v>0</v>
      </c>
      <c r="D22" s="182">
        <f t="shared" si="0"/>
        <v>0</v>
      </c>
      <c r="E22" s="180"/>
      <c r="F22" s="179"/>
    </row>
    <row r="23" spans="1:6" s="255" customFormat="1">
      <c r="A23" s="195" t="s">
        <v>1796</v>
      </c>
      <c r="B23" s="178">
        <f>'Sources and Uses Budget'!$C22</f>
        <v>0</v>
      </c>
      <c r="C23" s="178">
        <f>'Sources and Uses Budget'!$C22</f>
        <v>0</v>
      </c>
      <c r="D23" s="182">
        <f t="shared" si="0"/>
        <v>0</v>
      </c>
      <c r="E23" s="180"/>
      <c r="F23" s="179"/>
    </row>
    <row r="24" spans="1:6" s="255" customFormat="1">
      <c r="A24" s="195" t="s">
        <v>1797</v>
      </c>
      <c r="B24" s="178">
        <f>'Sources and Uses Budget'!$C23</f>
        <v>0</v>
      </c>
      <c r="C24" s="178">
        <f>'Sources and Uses Budget'!$C23</f>
        <v>0</v>
      </c>
      <c r="D24" s="182">
        <f t="shared" si="0"/>
        <v>0</v>
      </c>
      <c r="E24" s="180"/>
      <c r="F24" s="179"/>
    </row>
    <row r="25" spans="1:6" s="255" customFormat="1">
      <c r="A25" s="409" t="s">
        <v>1798</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
      <c r="A27" s="905" t="s">
        <v>1800</v>
      </c>
      <c r="B27" s="182">
        <f>SUM(B18:B26)</f>
        <v>0</v>
      </c>
      <c r="C27" s="182">
        <f>SUM(C18:C26)</f>
        <v>0</v>
      </c>
      <c r="D27" s="182">
        <f>SUM(D18:D26)</f>
        <v>0</v>
      </c>
      <c r="E27" s="180"/>
      <c r="F27" s="179"/>
    </row>
    <row r="28" spans="1:6" s="255" customFormat="1" ht="13">
      <c r="A28" s="183" t="s">
        <v>1801</v>
      </c>
      <c r="B28" s="178">
        <f>'Sources and Uses Budget'!$C$27</f>
        <v>0</v>
      </c>
      <c r="C28" s="178">
        <f>'Sources and Uses Budget'!$C$27</f>
        <v>0</v>
      </c>
      <c r="D28" s="182">
        <f t="shared" si="0"/>
        <v>0</v>
      </c>
      <c r="E28" s="180"/>
      <c r="F28" s="179"/>
    </row>
    <row r="29" spans="1:6" s="255" customFormat="1" ht="13">
      <c r="A29" s="176" t="s">
        <v>1802</v>
      </c>
      <c r="B29" s="176"/>
      <c r="C29" s="176"/>
      <c r="D29" s="176"/>
      <c r="E29" s="194"/>
      <c r="F29" s="176"/>
    </row>
    <row r="30" spans="1:6" s="255" customFormat="1">
      <c r="A30" s="195" t="s">
        <v>1791</v>
      </c>
      <c r="B30" s="178">
        <f>'Sources and Uses Budget'!$C29</f>
        <v>1000000</v>
      </c>
      <c r="C30" s="178">
        <f>'Sources and Uses Budget'!$C29</f>
        <v>1000000</v>
      </c>
      <c r="D30" s="182">
        <f t="shared" si="0"/>
        <v>0</v>
      </c>
      <c r="E30" s="180"/>
      <c r="F30" s="179"/>
    </row>
    <row r="31" spans="1:6" s="255" customFormat="1">
      <c r="A31" s="195" t="s">
        <v>1792</v>
      </c>
      <c r="B31" s="178">
        <f>'Sources and Uses Budget'!$C30</f>
        <v>39228678</v>
      </c>
      <c r="C31" s="178">
        <f>'Sources and Uses Budget'!$C30</f>
        <v>39228678</v>
      </c>
      <c r="D31" s="182">
        <f t="shared" si="0"/>
        <v>0</v>
      </c>
      <c r="E31" s="180"/>
      <c r="F31" s="179"/>
    </row>
    <row r="32" spans="1:6" s="255" customFormat="1">
      <c r="A32" s="195" t="s">
        <v>1793</v>
      </c>
      <c r="B32" s="178">
        <f>'Sources and Uses Budget'!$C31</f>
        <v>2443721</v>
      </c>
      <c r="C32" s="178">
        <f>'Sources and Uses Budget'!$C31</f>
        <v>2443721</v>
      </c>
      <c r="D32" s="182">
        <f t="shared" si="0"/>
        <v>0</v>
      </c>
      <c r="E32" s="180"/>
      <c r="F32" s="179"/>
    </row>
    <row r="33" spans="1:6" s="255" customFormat="1">
      <c r="A33" s="195" t="s">
        <v>1794</v>
      </c>
      <c r="B33" s="178">
        <f>'Sources and Uses Budget'!$C32</f>
        <v>1629147</v>
      </c>
      <c r="C33" s="178">
        <f>'Sources and Uses Budget'!$C32</f>
        <v>1629147</v>
      </c>
      <c r="D33" s="182">
        <f t="shared" si="0"/>
        <v>0</v>
      </c>
      <c r="E33" s="180"/>
      <c r="F33" s="179"/>
    </row>
    <row r="34" spans="1:6" s="255" customFormat="1">
      <c r="A34" s="195" t="s">
        <v>1795</v>
      </c>
      <c r="B34" s="178">
        <f>'Sources and Uses Budget'!$C33</f>
        <v>1629147</v>
      </c>
      <c r="C34" s="178">
        <f>'Sources and Uses Budget'!$C33</f>
        <v>1629147</v>
      </c>
      <c r="D34" s="182">
        <f t="shared" si="0"/>
        <v>0</v>
      </c>
      <c r="E34" s="180"/>
      <c r="F34" s="179"/>
    </row>
    <row r="35" spans="1:6" s="255" customFormat="1">
      <c r="A35" s="195" t="s">
        <v>1796</v>
      </c>
      <c r="B35" s="178">
        <f>'Sources and Uses Budget'!$C34</f>
        <v>0</v>
      </c>
      <c r="C35" s="178">
        <f>'Sources and Uses Budget'!$C34</f>
        <v>0</v>
      </c>
      <c r="D35" s="182">
        <f t="shared" si="0"/>
        <v>0</v>
      </c>
      <c r="E35" s="180"/>
      <c r="F35" s="179"/>
    </row>
    <row r="36" spans="1:6" s="255" customFormat="1">
      <c r="A36" s="195" t="s">
        <v>1797</v>
      </c>
      <c r="B36" s="178">
        <f>'Sources and Uses Budget'!$C35</f>
        <v>464307</v>
      </c>
      <c r="C36" s="178">
        <f>'Sources and Uses Budget'!$C35</f>
        <v>464307</v>
      </c>
      <c r="D36" s="182">
        <f t="shared" si="0"/>
        <v>0</v>
      </c>
      <c r="E36" s="180"/>
      <c r="F36" s="179"/>
    </row>
    <row r="37" spans="1:6" s="255" customFormat="1">
      <c r="A37" s="195" t="s">
        <v>1798</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3">
      <c r="A39" s="183" t="s">
        <v>1803</v>
      </c>
      <c r="B39" s="182">
        <f>SUM(B30:B38)</f>
        <v>46395000</v>
      </c>
      <c r="C39" s="182">
        <f>SUM(C30:C38)</f>
        <v>46395000</v>
      </c>
      <c r="D39" s="182">
        <f t="shared" si="0"/>
        <v>0</v>
      </c>
      <c r="E39" s="180"/>
      <c r="F39" s="179"/>
    </row>
    <row r="40" spans="1:6" s="255" customFormat="1" ht="13">
      <c r="A40" s="176" t="s">
        <v>1804</v>
      </c>
      <c r="B40" s="176"/>
      <c r="C40" s="176"/>
      <c r="D40" s="176"/>
      <c r="E40" s="194"/>
      <c r="F40" s="176"/>
    </row>
    <row r="41" spans="1:6" s="255" customFormat="1">
      <c r="A41" s="181" t="s">
        <v>1805</v>
      </c>
      <c r="B41" s="178">
        <f>'Sources and Uses Budget'!$C40</f>
        <v>1170000</v>
      </c>
      <c r="C41" s="178">
        <f>'Sources and Uses Budget'!$C40</f>
        <v>1170000</v>
      </c>
      <c r="D41" s="182">
        <f t="shared" si="0"/>
        <v>0</v>
      </c>
      <c r="E41" s="180"/>
      <c r="F41" s="179"/>
    </row>
    <row r="42" spans="1:6" s="255" customFormat="1">
      <c r="A42" s="181" t="s">
        <v>1806</v>
      </c>
      <c r="B42" s="178">
        <f>'Sources and Uses Budget'!$C41</f>
        <v>0</v>
      </c>
      <c r="C42" s="178">
        <f>'Sources and Uses Budget'!$C41</f>
        <v>0</v>
      </c>
      <c r="D42" s="182">
        <f t="shared" si="0"/>
        <v>0</v>
      </c>
      <c r="E42" s="180"/>
      <c r="F42" s="179"/>
    </row>
    <row r="43" spans="1:6" s="255" customFormat="1" ht="13">
      <c r="A43" s="183" t="s">
        <v>1807</v>
      </c>
      <c r="B43" s="182">
        <f>SUM(B41:B42)</f>
        <v>1170000</v>
      </c>
      <c r="C43" s="182">
        <f>SUM(C41:C42)</f>
        <v>1170000</v>
      </c>
      <c r="D43" s="182">
        <f t="shared" si="0"/>
        <v>0</v>
      </c>
      <c r="E43" s="180"/>
      <c r="F43" s="179"/>
    </row>
    <row r="44" spans="1:6" s="255" customFormat="1" ht="13">
      <c r="A44" s="183" t="s">
        <v>1808</v>
      </c>
      <c r="B44" s="178">
        <f>'Sources and Uses Budget'!$C43</f>
        <v>650000</v>
      </c>
      <c r="C44" s="178">
        <f>'Sources and Uses Budget'!$C43</f>
        <v>650000</v>
      </c>
      <c r="D44" s="182">
        <f t="shared" si="0"/>
        <v>0</v>
      </c>
      <c r="E44" s="180"/>
      <c r="F44" s="179"/>
    </row>
    <row r="45" spans="1:6" s="255" customFormat="1" ht="12" customHeight="1">
      <c r="A45" s="176" t="s">
        <v>1809</v>
      </c>
      <c r="B45" s="176"/>
      <c r="C45" s="176"/>
      <c r="D45" s="176"/>
      <c r="E45" s="194"/>
      <c r="F45" s="176"/>
    </row>
    <row r="46" spans="1:6" s="255" customFormat="1">
      <c r="A46" s="195" t="s">
        <v>1810</v>
      </c>
      <c r="B46" s="178">
        <f>'Sources and Uses Budget'!$C45</f>
        <v>4591492</v>
      </c>
      <c r="C46" s="178">
        <f>'Sources and Uses Budget'!$C45</f>
        <v>4591492</v>
      </c>
      <c r="D46" s="182">
        <f t="shared" si="0"/>
        <v>0</v>
      </c>
      <c r="E46" s="180"/>
      <c r="F46" s="179"/>
    </row>
    <row r="47" spans="1:6" s="255" customFormat="1">
      <c r="A47" s="195" t="s">
        <v>1811</v>
      </c>
      <c r="B47" s="178">
        <f>'Sources and Uses Budget'!$C46</f>
        <v>397595</v>
      </c>
      <c r="C47" s="178">
        <f>'Sources and Uses Budget'!$C46</f>
        <v>397595</v>
      </c>
      <c r="D47" s="182">
        <f t="shared" si="0"/>
        <v>0</v>
      </c>
      <c r="E47" s="180"/>
      <c r="F47" s="179"/>
    </row>
    <row r="48" spans="1:6" s="255" customFormat="1" ht="12" customHeight="1">
      <c r="A48" s="1210" t="s">
        <v>1812</v>
      </c>
      <c r="B48" s="178">
        <f>'Sources and Uses Budget'!$C47</f>
        <v>0</v>
      </c>
      <c r="C48" s="178">
        <f>'Sources and Uses Budget'!$C47</f>
        <v>0</v>
      </c>
      <c r="D48" s="182">
        <f t="shared" si="0"/>
        <v>0</v>
      </c>
      <c r="E48" s="180"/>
      <c r="F48" s="179"/>
    </row>
    <row r="49" spans="1:6" s="255" customFormat="1">
      <c r="A49" s="195" t="s">
        <v>1813</v>
      </c>
      <c r="B49" s="178">
        <f>'Sources and Uses Budget'!$C48</f>
        <v>0</v>
      </c>
      <c r="C49" s="178">
        <f>'Sources and Uses Budget'!$C48</f>
        <v>0</v>
      </c>
      <c r="D49" s="182">
        <f t="shared" si="0"/>
        <v>0</v>
      </c>
      <c r="E49" s="180"/>
      <c r="F49" s="179"/>
    </row>
    <row r="50" spans="1:6" s="255" customFormat="1">
      <c r="A50" s="195" t="s">
        <v>1814</v>
      </c>
      <c r="B50" s="178">
        <f>'Sources and Uses Budget'!$C49</f>
        <v>99399</v>
      </c>
      <c r="C50" s="178">
        <f>'Sources and Uses Budget'!$C49</f>
        <v>99399</v>
      </c>
      <c r="D50" s="182">
        <f t="shared" si="0"/>
        <v>0</v>
      </c>
      <c r="E50" s="180"/>
      <c r="F50" s="179"/>
    </row>
    <row r="51" spans="1:6" s="255" customFormat="1">
      <c r="A51" s="195" t="s">
        <v>1815</v>
      </c>
      <c r="B51" s="178">
        <f>'Sources and Uses Budget'!$C50</f>
        <v>100000</v>
      </c>
      <c r="C51" s="178">
        <f>'Sources and Uses Budget'!$C50</f>
        <v>100000</v>
      </c>
      <c r="D51" s="182">
        <f t="shared" si="0"/>
        <v>0</v>
      </c>
      <c r="E51" s="180"/>
      <c r="F51" s="179"/>
    </row>
    <row r="52" spans="1:6" s="255" customFormat="1">
      <c r="A52" s="195" t="s">
        <v>1816</v>
      </c>
      <c r="B52" s="178">
        <f>'Sources and Uses Budget'!$C51</f>
        <v>120000</v>
      </c>
      <c r="C52" s="178">
        <f>'Sources and Uses Budget'!$C51</f>
        <v>120000</v>
      </c>
      <c r="D52" s="182">
        <f t="shared" si="0"/>
        <v>0</v>
      </c>
      <c r="E52" s="180"/>
      <c r="F52" s="179"/>
    </row>
    <row r="53" spans="1:6" s="255" customFormat="1">
      <c r="A53" s="195" t="s">
        <v>1581</v>
      </c>
      <c r="B53" s="178">
        <f>'Sources and Uses Budget'!$C52</f>
        <v>469000</v>
      </c>
      <c r="C53" s="178">
        <f>'Sources and Uses Budget'!$C52</f>
        <v>469000</v>
      </c>
      <c r="D53" s="182">
        <f t="shared" si="0"/>
        <v>0</v>
      </c>
      <c r="E53" s="180"/>
      <c r="F53" s="179"/>
    </row>
    <row r="54" spans="1:6" s="255" customFormat="1" ht="34.5">
      <c r="A54" s="409" t="str">
        <f>'Sources and Uses Budget'!A53</f>
        <v>Other: (B- Bond Interest During Construction+Construction Monitoring +Inspections)</v>
      </c>
      <c r="B54" s="178">
        <f>'Sources and Uses Budget'!$C53</f>
        <v>1600000</v>
      </c>
      <c r="C54" s="178">
        <f>'Sources and Uses Budget'!$C53</f>
        <v>1600000</v>
      </c>
      <c r="D54" s="182">
        <f t="shared" si="0"/>
        <v>0</v>
      </c>
      <c r="E54" s="180"/>
      <c r="F54" s="179"/>
    </row>
    <row r="55" spans="1:6" s="256" customFormat="1" ht="13">
      <c r="A55" s="183" t="s">
        <v>1817</v>
      </c>
      <c r="B55" s="185">
        <f>SUM(B46:B54)</f>
        <v>7377486</v>
      </c>
      <c r="C55" s="185">
        <f>SUM(C46:C54)</f>
        <v>7377486</v>
      </c>
      <c r="D55" s="182">
        <f t="shared" si="0"/>
        <v>0</v>
      </c>
      <c r="E55" s="180"/>
      <c r="F55" s="179"/>
    </row>
    <row r="56" spans="1:6" s="255" customFormat="1" ht="13">
      <c r="A56" s="176" t="s">
        <v>1383</v>
      </c>
      <c r="B56" s="176"/>
      <c r="C56" s="176"/>
      <c r="D56" s="176"/>
      <c r="E56" s="194"/>
      <c r="F56" s="176"/>
    </row>
    <row r="57" spans="1:6" s="255" customFormat="1">
      <c r="A57" s="181" t="s">
        <v>1818</v>
      </c>
      <c r="B57" s="178">
        <f>'Sources and Uses Budget'!$C56</f>
        <v>0</v>
      </c>
      <c r="C57" s="178">
        <f>'Sources and Uses Budget'!$C56</f>
        <v>0</v>
      </c>
      <c r="D57" s="182">
        <f t="shared" si="0"/>
        <v>0</v>
      </c>
      <c r="E57" s="180"/>
      <c r="F57" s="179"/>
    </row>
    <row r="58" spans="1:6" s="255" customFormat="1" ht="12" customHeight="1">
      <c r="A58" s="181" t="s">
        <v>1812</v>
      </c>
      <c r="B58" s="178">
        <f>'Sources and Uses Budget'!$C57</f>
        <v>0</v>
      </c>
      <c r="C58" s="178">
        <f>'Sources and Uses Budget'!$C57</f>
        <v>0</v>
      </c>
      <c r="D58" s="182">
        <f t="shared" si="0"/>
        <v>0</v>
      </c>
      <c r="E58" s="180"/>
      <c r="F58" s="179"/>
    </row>
    <row r="59" spans="1:6" s="255" customFormat="1">
      <c r="A59" s="181" t="s">
        <v>1815</v>
      </c>
      <c r="B59" s="178">
        <f>'Sources and Uses Budget'!$C58</f>
        <v>10000</v>
      </c>
      <c r="C59" s="178">
        <f>'Sources and Uses Budget'!$C58</f>
        <v>10000</v>
      </c>
      <c r="D59" s="182">
        <f t="shared" si="0"/>
        <v>0</v>
      </c>
      <c r="E59" s="180"/>
      <c r="F59" s="179"/>
    </row>
    <row r="60" spans="1:6" s="255" customFormat="1">
      <c r="A60" s="181" t="s">
        <v>1816</v>
      </c>
      <c r="B60" s="178">
        <f>'Sources and Uses Budget'!$C59</f>
        <v>0</v>
      </c>
      <c r="C60" s="178">
        <f>'Sources and Uses Budget'!$C59</f>
        <v>0</v>
      </c>
      <c r="D60" s="182">
        <f t="shared" si="0"/>
        <v>0</v>
      </c>
      <c r="E60" s="180"/>
      <c r="F60" s="179"/>
    </row>
    <row r="61" spans="1:6" s="255" customFormat="1">
      <c r="A61" s="181" t="s">
        <v>1581</v>
      </c>
      <c r="B61" s="178">
        <f>'Sources and Uses Budget'!$C60</f>
        <v>0</v>
      </c>
      <c r="C61" s="178">
        <f>'Sources and Uses Budget'!$C60</f>
        <v>0</v>
      </c>
      <c r="D61" s="182">
        <f t="shared" si="0"/>
        <v>0</v>
      </c>
      <c r="E61" s="180"/>
      <c r="F61" s="179"/>
    </row>
    <row r="62" spans="1:6" s="255" customFormat="1" ht="25">
      <c r="A62" s="906" t="str">
        <f>'Sources and Uses Budget'!A61</f>
        <v>Legal for Perm Loan + B Bond Underwriter and other fees</v>
      </c>
      <c r="B62" s="178">
        <f>'Sources and Uses Budget'!$C61</f>
        <v>85000</v>
      </c>
      <c r="C62" s="178">
        <f>'Sources and Uses Budget'!$C61</f>
        <v>85000</v>
      </c>
      <c r="D62" s="182">
        <f t="shared" si="0"/>
        <v>0</v>
      </c>
      <c r="E62" s="180"/>
      <c r="F62" s="179"/>
    </row>
    <row r="63" spans="1:6" s="255" customFormat="1" ht="13.75" customHeight="1">
      <c r="A63" s="183" t="s">
        <v>1819</v>
      </c>
      <c r="B63" s="182">
        <f>SUM(B57:B62)</f>
        <v>95000</v>
      </c>
      <c r="C63" s="182">
        <f>SUM(C57:C62)</f>
        <v>95000</v>
      </c>
      <c r="D63" s="182">
        <f t="shared" si="0"/>
        <v>0</v>
      </c>
      <c r="E63" s="180"/>
      <c r="F63" s="179"/>
    </row>
    <row r="64" spans="1:6" s="255" customFormat="1" ht="13">
      <c r="A64" s="186" t="s">
        <v>1820</v>
      </c>
      <c r="B64" s="182">
        <f>SUM(B9+B12+B14+B15+B17+B26+B28+B39+B43+B44+B55+B63)</f>
        <v>59087486</v>
      </c>
      <c r="C64" s="182">
        <f>SUM(C9+C12+C14+C15+C17+C26+C28+C39+C43+C44+C55+C63)</f>
        <v>59087486</v>
      </c>
      <c r="D64" s="182">
        <f t="shared" si="0"/>
        <v>0</v>
      </c>
      <c r="E64" s="180"/>
      <c r="F64" s="179"/>
    </row>
    <row r="65" spans="1:6" s="255" customFormat="1" ht="24">
      <c r="A65" s="104" t="s">
        <v>1821</v>
      </c>
      <c r="B65" s="176"/>
      <c r="C65" s="176"/>
      <c r="D65" s="176"/>
      <c r="E65" s="194"/>
      <c r="F65" s="176"/>
    </row>
    <row r="66" spans="1:6" s="255" customFormat="1">
      <c r="A66" s="195" t="s">
        <v>1822</v>
      </c>
      <c r="B66" s="178">
        <f>'Sources and Uses Budget'!$C65</f>
        <v>100000</v>
      </c>
      <c r="C66" s="178">
        <f>'Sources and Uses Budget'!$C65</f>
        <v>100000</v>
      </c>
      <c r="D66" s="182">
        <f t="shared" si="0"/>
        <v>0</v>
      </c>
      <c r="E66" s="180"/>
      <c r="F66" s="179"/>
    </row>
    <row r="67" spans="1:6" s="255" customFormat="1" ht="23">
      <c r="A67" s="195" t="s">
        <v>1823</v>
      </c>
      <c r="B67" s="178">
        <f>'Sources and Uses Budget'!$C66</f>
        <v>0</v>
      </c>
      <c r="C67" s="178">
        <f>'Sources and Uses Budget'!$C66</f>
        <v>0</v>
      </c>
      <c r="D67" s="182"/>
      <c r="E67" s="180"/>
      <c r="F67" s="179"/>
    </row>
    <row r="68" spans="1:6" s="255" customFormat="1" ht="23">
      <c r="A68" s="195" t="s">
        <v>1824</v>
      </c>
      <c r="B68" s="178">
        <f>'Sources and Uses Budget'!$C67</f>
        <v>0</v>
      </c>
      <c r="C68" s="178">
        <f>'Sources and Uses Budget'!$C67</f>
        <v>0</v>
      </c>
      <c r="D68" s="182"/>
      <c r="E68" s="180"/>
      <c r="F68" s="179"/>
    </row>
    <row r="69" spans="1:6" s="255" customFormat="1">
      <c r="A69" s="195" t="s">
        <v>1825</v>
      </c>
      <c r="B69" s="178">
        <f>'Sources and Uses Budget'!$C68</f>
        <v>0</v>
      </c>
      <c r="C69" s="178">
        <f>'Sources and Uses Budget'!$C68</f>
        <v>0</v>
      </c>
      <c r="D69" s="182"/>
      <c r="E69" s="180"/>
      <c r="F69" s="179"/>
    </row>
    <row r="70" spans="1:6" s="255" customFormat="1" ht="23">
      <c r="A70" s="409" t="str">
        <f>'Sources and Uses Budget'!A69</f>
        <v>Lender Legal + Partnership Legal + Bond Issuer Legal + MGP Legal</v>
      </c>
      <c r="B70" s="178">
        <f>'Sources and Uses Budget'!$C69</f>
        <v>219000</v>
      </c>
      <c r="C70" s="178">
        <f>'Sources and Uses Budget'!$C69</f>
        <v>219000</v>
      </c>
      <c r="D70" s="182">
        <f t="shared" si="0"/>
        <v>0</v>
      </c>
      <c r="E70" s="180"/>
      <c r="F70" s="179"/>
    </row>
    <row r="71" spans="1:6" s="255" customFormat="1">
      <c r="A71" s="106" t="s">
        <v>1826</v>
      </c>
      <c r="B71" s="182">
        <f>SUM(B66:B70)</f>
        <v>319000</v>
      </c>
      <c r="C71" s="182">
        <f>SUM(C66:C70)</f>
        <v>319000</v>
      </c>
      <c r="D71" s="182">
        <f t="shared" si="0"/>
        <v>0</v>
      </c>
      <c r="E71" s="180"/>
      <c r="F71" s="179"/>
    </row>
    <row r="72" spans="1:6" s="255" customFormat="1" ht="13">
      <c r="A72" s="176" t="s">
        <v>1827</v>
      </c>
      <c r="B72" s="176"/>
      <c r="C72" s="176"/>
      <c r="D72" s="176"/>
      <c r="E72" s="194"/>
      <c r="F72" s="176"/>
    </row>
    <row r="73" spans="1:6" s="255" customFormat="1">
      <c r="A73" s="181" t="s">
        <v>1828</v>
      </c>
      <c r="B73" s="178">
        <f>'Sources and Uses Budget'!$C72</f>
        <v>0</v>
      </c>
      <c r="C73" s="178">
        <f>'Sources and Uses Budget'!$C72</f>
        <v>0</v>
      </c>
      <c r="D73" s="182">
        <f t="shared" si="0"/>
        <v>0</v>
      </c>
      <c r="E73" s="180"/>
      <c r="F73" s="179"/>
    </row>
    <row r="74" spans="1:6" s="255" customFormat="1">
      <c r="A74" s="181" t="s">
        <v>1829</v>
      </c>
      <c r="B74" s="178">
        <f>'Sources and Uses Budget'!$C73</f>
        <v>0</v>
      </c>
      <c r="C74" s="178">
        <f>'Sources and Uses Budget'!$C73</f>
        <v>0</v>
      </c>
      <c r="D74" s="182">
        <f t="shared" si="0"/>
        <v>0</v>
      </c>
      <c r="E74" s="180"/>
      <c r="F74" s="179"/>
    </row>
    <row r="75" spans="1:6" s="255" customFormat="1">
      <c r="A75" s="197" t="s">
        <v>1830</v>
      </c>
      <c r="B75" s="178">
        <f>'Sources and Uses Budget'!$C74</f>
        <v>0</v>
      </c>
      <c r="C75" s="178">
        <f>'Sources and Uses Budget'!$C74</f>
        <v>0</v>
      </c>
      <c r="D75" s="182">
        <f t="shared" si="0"/>
        <v>0</v>
      </c>
      <c r="E75" s="180"/>
      <c r="F75" s="179"/>
    </row>
    <row r="76" spans="1:6" s="255" customFormat="1">
      <c r="A76" s="181" t="s">
        <v>1831</v>
      </c>
      <c r="B76" s="178">
        <f>'Sources and Uses Budget'!$C75</f>
        <v>745545</v>
      </c>
      <c r="C76" s="178">
        <f>'Sources and Uses Budget'!$C75</f>
        <v>745545</v>
      </c>
      <c r="D76" s="182">
        <f t="shared" si="0"/>
        <v>0</v>
      </c>
      <c r="E76" s="180"/>
      <c r="F76" s="179"/>
    </row>
    <row r="77" spans="1:6" s="255" customFormat="1">
      <c r="A77" s="184" t="s">
        <v>1799</v>
      </c>
      <c r="B77" s="178">
        <f>'Sources and Uses Budget'!$C76</f>
        <v>0</v>
      </c>
      <c r="C77" s="178">
        <f>'Sources and Uses Budget'!$C76</f>
        <v>0</v>
      </c>
      <c r="D77" s="182">
        <f t="shared" si="0"/>
        <v>0</v>
      </c>
      <c r="E77" s="180"/>
      <c r="F77" s="179"/>
    </row>
    <row r="78" spans="1:6" s="255" customFormat="1" ht="13">
      <c r="A78" s="183" t="s">
        <v>1832</v>
      </c>
      <c r="B78" s="182">
        <f>SUM(B73:B77)</f>
        <v>745545</v>
      </c>
      <c r="C78" s="182">
        <f>SUM(C73:C77)</f>
        <v>745545</v>
      </c>
      <c r="D78" s="182">
        <f t="shared" ref="D78:D106" si="1">C78-B78</f>
        <v>0</v>
      </c>
      <c r="E78" s="180"/>
      <c r="F78" s="179"/>
    </row>
    <row r="79" spans="1:6" s="255" customFormat="1" ht="13">
      <c r="A79" s="176" t="s">
        <v>1833</v>
      </c>
      <c r="B79" s="176"/>
      <c r="C79" s="176"/>
      <c r="D79" s="176"/>
      <c r="E79" s="194"/>
      <c r="F79" s="176"/>
    </row>
    <row r="80" spans="1:6" s="255" customFormat="1">
      <c r="A80" s="410" t="s">
        <v>1834</v>
      </c>
      <c r="B80" s="178">
        <f>'Sources and Uses Budget'!$C79</f>
        <v>2344750</v>
      </c>
      <c r="C80" s="178">
        <f>'Sources and Uses Budget'!$C79</f>
        <v>2344750</v>
      </c>
      <c r="D80" s="182">
        <f t="shared" si="1"/>
        <v>0</v>
      </c>
      <c r="E80" s="180"/>
      <c r="F80" s="179"/>
    </row>
    <row r="81" spans="1:6" s="255" customFormat="1">
      <c r="A81" s="410" t="s">
        <v>1835</v>
      </c>
      <c r="B81" s="178">
        <f>'Sources and Uses Budget'!$C80</f>
        <v>664031</v>
      </c>
      <c r="C81" s="178">
        <f>'Sources and Uses Budget'!$C80</f>
        <v>664031</v>
      </c>
      <c r="D81" s="182">
        <f>C81-B81</f>
        <v>0</v>
      </c>
      <c r="E81" s="180"/>
      <c r="F81" s="179"/>
    </row>
    <row r="82" spans="1:6" s="255" customFormat="1" ht="13">
      <c r="A82" s="183" t="s">
        <v>1836</v>
      </c>
      <c r="B82" s="182">
        <f>SUM(B80:B81)</f>
        <v>3008781</v>
      </c>
      <c r="C82" s="182">
        <f>SUM(C80:C81)</f>
        <v>3008781</v>
      </c>
      <c r="D82" s="182">
        <f t="shared" si="1"/>
        <v>0</v>
      </c>
      <c r="E82" s="180"/>
      <c r="F82" s="179"/>
    </row>
    <row r="83" spans="1:6" s="255" customFormat="1" ht="13">
      <c r="A83" s="176" t="s">
        <v>1837</v>
      </c>
      <c r="B83" s="176"/>
      <c r="C83" s="176"/>
      <c r="D83" s="176"/>
      <c r="E83" s="194"/>
      <c r="F83" s="176"/>
    </row>
    <row r="84" spans="1:6" s="255" customFormat="1" ht="13.75" customHeight="1">
      <c r="A84" s="181" t="s">
        <v>2781</v>
      </c>
      <c r="B84" s="178">
        <f>'Sources and Uses Budget'!$C83</f>
        <v>117776</v>
      </c>
      <c r="C84" s="178">
        <f>'Sources and Uses Budget'!$C83</f>
        <v>117776</v>
      </c>
      <c r="D84" s="182">
        <f t="shared" si="1"/>
        <v>0</v>
      </c>
      <c r="E84" s="180"/>
      <c r="F84" s="179"/>
    </row>
    <row r="85" spans="1:6" s="255" customFormat="1">
      <c r="A85" s="181" t="s">
        <v>1839</v>
      </c>
      <c r="B85" s="178">
        <f>'Sources and Uses Budget'!$C84</f>
        <v>50000</v>
      </c>
      <c r="C85" s="178">
        <f>'Sources and Uses Budget'!$C84</f>
        <v>50000</v>
      </c>
      <c r="D85" s="182">
        <f t="shared" si="1"/>
        <v>0</v>
      </c>
      <c r="E85" s="180"/>
      <c r="F85" s="179"/>
    </row>
    <row r="86" spans="1:6" s="255" customFormat="1">
      <c r="A86" s="181" t="s">
        <v>1840</v>
      </c>
      <c r="B86" s="178">
        <f>'Sources and Uses Budget'!$C85</f>
        <v>3159535</v>
      </c>
      <c r="C86" s="178">
        <f>'Sources and Uses Budget'!$C85</f>
        <v>3159535</v>
      </c>
      <c r="D86" s="182">
        <f t="shared" si="1"/>
        <v>0</v>
      </c>
      <c r="E86" s="180"/>
      <c r="F86" s="179"/>
    </row>
    <row r="87" spans="1:6" s="255" customFormat="1">
      <c r="A87" s="181" t="s">
        <v>1841</v>
      </c>
      <c r="B87" s="178">
        <f>'Sources and Uses Budget'!$C86</f>
        <v>795465</v>
      </c>
      <c r="C87" s="178">
        <f>'Sources and Uses Budget'!$C86</f>
        <v>795465</v>
      </c>
      <c r="D87" s="182">
        <f t="shared" si="1"/>
        <v>0</v>
      </c>
      <c r="E87" s="180"/>
      <c r="F87" s="179"/>
    </row>
    <row r="88" spans="1:6" s="255" customFormat="1">
      <c r="A88" s="181" t="s">
        <v>1842</v>
      </c>
      <c r="B88" s="178">
        <f>'Sources and Uses Budget'!$C87</f>
        <v>0</v>
      </c>
      <c r="C88" s="178">
        <f>'Sources and Uses Budget'!$C87</f>
        <v>0</v>
      </c>
      <c r="D88" s="182">
        <f t="shared" si="1"/>
        <v>0</v>
      </c>
      <c r="E88" s="180"/>
      <c r="F88" s="179"/>
    </row>
    <row r="89" spans="1:6" s="255" customFormat="1">
      <c r="A89" s="181" t="s">
        <v>1843</v>
      </c>
      <c r="B89" s="178">
        <f>'Sources and Uses Budget'!$C88</f>
        <v>150000</v>
      </c>
      <c r="C89" s="178">
        <f>'Sources and Uses Budget'!$C88</f>
        <v>150000</v>
      </c>
      <c r="D89" s="182">
        <f t="shared" si="1"/>
        <v>0</v>
      </c>
      <c r="E89" s="180"/>
      <c r="F89" s="179"/>
    </row>
    <row r="90" spans="1:6" s="255" customFormat="1">
      <c r="A90" s="181" t="s">
        <v>1844</v>
      </c>
      <c r="B90" s="178">
        <f>'Sources and Uses Budget'!$C89</f>
        <v>150000</v>
      </c>
      <c r="C90" s="178">
        <f>'Sources and Uses Budget'!$C89</f>
        <v>150000</v>
      </c>
      <c r="D90" s="182">
        <f t="shared" si="1"/>
        <v>0</v>
      </c>
      <c r="E90" s="180"/>
      <c r="F90" s="179"/>
    </row>
    <row r="91" spans="1:6" s="255" customFormat="1">
      <c r="A91" s="181" t="s">
        <v>1845</v>
      </c>
      <c r="B91" s="178">
        <f>'Sources and Uses Budget'!$C90</f>
        <v>15000</v>
      </c>
      <c r="C91" s="178">
        <f>'Sources and Uses Budget'!$C90</f>
        <v>15000</v>
      </c>
      <c r="D91" s="182">
        <f t="shared" si="1"/>
        <v>0</v>
      </c>
      <c r="E91" s="180"/>
      <c r="F91" s="179"/>
    </row>
    <row r="92" spans="1:6" s="255" customFormat="1">
      <c r="A92" s="181" t="s">
        <v>1846</v>
      </c>
      <c r="B92" s="178">
        <f>'Sources and Uses Budget'!$C91</f>
        <v>50000</v>
      </c>
      <c r="C92" s="178">
        <f>'Sources and Uses Budget'!$C91</f>
        <v>50000</v>
      </c>
      <c r="D92" s="182">
        <f t="shared" si="1"/>
        <v>0</v>
      </c>
      <c r="E92" s="180"/>
      <c r="F92" s="179"/>
    </row>
    <row r="93" spans="1:6" s="255" customFormat="1">
      <c r="A93" s="410" t="s">
        <v>1847</v>
      </c>
      <c r="B93" s="178">
        <f>'Sources and Uses Budget'!$C92</f>
        <v>20000</v>
      </c>
      <c r="C93" s="178">
        <f>'Sources and Uses Budget'!$C92</f>
        <v>20000</v>
      </c>
      <c r="D93" s="182">
        <f t="shared" si="1"/>
        <v>0</v>
      </c>
      <c r="E93" s="180"/>
      <c r="F93" s="179"/>
    </row>
    <row r="94" spans="1:6" s="255" customFormat="1">
      <c r="A94" s="184" t="s">
        <v>1799</v>
      </c>
      <c r="B94" s="178">
        <f>'Sources and Uses Budget'!$C93</f>
        <v>13525</v>
      </c>
      <c r="C94" s="178">
        <f>'Sources and Uses Budget'!$C93</f>
        <v>13525</v>
      </c>
      <c r="D94" s="182">
        <f t="shared" si="1"/>
        <v>0</v>
      </c>
      <c r="E94" s="180"/>
      <c r="F94" s="179"/>
    </row>
    <row r="95" spans="1:6" s="255" customFormat="1">
      <c r="A95" s="184" t="s">
        <v>1799</v>
      </c>
      <c r="B95" s="178">
        <f>'Sources and Uses Budget'!$C94</f>
        <v>500000</v>
      </c>
      <c r="C95" s="178">
        <f>'Sources and Uses Budget'!$C94</f>
        <v>500000</v>
      </c>
      <c r="D95" s="182">
        <f t="shared" si="1"/>
        <v>0</v>
      </c>
      <c r="E95" s="180"/>
      <c r="F95" s="179"/>
    </row>
    <row r="96" spans="1:6" s="255" customFormat="1">
      <c r="A96" s="184" t="s">
        <v>1799</v>
      </c>
      <c r="B96" s="178">
        <f>'Sources and Uses Budget'!$C95</f>
        <v>750000</v>
      </c>
      <c r="C96" s="178">
        <f>'Sources and Uses Budget'!$C95</f>
        <v>750000</v>
      </c>
      <c r="D96" s="182">
        <f t="shared" si="1"/>
        <v>0</v>
      </c>
      <c r="E96" s="180"/>
      <c r="F96" s="179"/>
    </row>
    <row r="97" spans="1:6" s="255" customFormat="1" ht="13">
      <c r="A97" s="183" t="s">
        <v>1851</v>
      </c>
      <c r="B97" s="182">
        <f>SUM(B84:B96)</f>
        <v>5771301</v>
      </c>
      <c r="C97" s="182">
        <f>SUM(C84:C96)</f>
        <v>5771301</v>
      </c>
      <c r="D97" s="182">
        <f t="shared" si="1"/>
        <v>0</v>
      </c>
      <c r="E97" s="180"/>
      <c r="F97" s="179"/>
    </row>
    <row r="98" spans="1:6" s="255" customFormat="1" ht="13">
      <c r="A98" s="183" t="s">
        <v>1852</v>
      </c>
      <c r="B98" s="182">
        <f>SUM(B64+B71+B78+B82+B97)</f>
        <v>68932113</v>
      </c>
      <c r="C98" s="182">
        <f>SUM(C64+C71+C78+C82+C97)</f>
        <v>68932113</v>
      </c>
      <c r="D98" s="182">
        <f t="shared" si="1"/>
        <v>0</v>
      </c>
      <c r="E98" s="180"/>
      <c r="F98" s="179"/>
    </row>
    <row r="99" spans="1:6" s="255" customFormat="1" ht="13">
      <c r="A99" s="176" t="s">
        <v>1853</v>
      </c>
      <c r="B99" s="176"/>
      <c r="C99" s="176"/>
      <c r="D99" s="176"/>
      <c r="E99" s="194"/>
      <c r="F99" s="176"/>
    </row>
    <row r="100" spans="1:6" s="255" customFormat="1">
      <c r="A100" s="195" t="s">
        <v>1854</v>
      </c>
      <c r="B100" s="178">
        <f>'Sources and Uses Budget'!$C99</f>
        <v>9375334</v>
      </c>
      <c r="C100" s="178">
        <f>'Sources and Uses Budget'!$C99</f>
        <v>9375334</v>
      </c>
      <c r="D100" s="182">
        <f t="shared" si="1"/>
        <v>0</v>
      </c>
      <c r="E100" s="180"/>
      <c r="F100" s="179"/>
    </row>
    <row r="101" spans="1:6" s="255" customFormat="1">
      <c r="A101" s="195" t="s">
        <v>1855</v>
      </c>
      <c r="B101" s="178">
        <f>'Sources and Uses Budget'!$C100</f>
        <v>0</v>
      </c>
      <c r="C101" s="178">
        <f>'Sources and Uses Budget'!$C100</f>
        <v>0</v>
      </c>
      <c r="D101" s="182">
        <f t="shared" si="1"/>
        <v>0</v>
      </c>
      <c r="E101" s="180"/>
      <c r="F101" s="179"/>
    </row>
    <row r="102" spans="1:6" s="255" customFormat="1">
      <c r="A102" s="195" t="s">
        <v>1856</v>
      </c>
      <c r="B102" s="178">
        <f>'Sources and Uses Budget'!$C101</f>
        <v>0</v>
      </c>
      <c r="C102" s="178">
        <f>'Sources and Uses Budget'!$C101</f>
        <v>0</v>
      </c>
      <c r="D102" s="182">
        <f t="shared" si="1"/>
        <v>0</v>
      </c>
      <c r="E102" s="180"/>
      <c r="F102" s="179"/>
    </row>
    <row r="103" spans="1:6" s="255" customFormat="1" ht="12" customHeight="1">
      <c r="A103" s="195" t="s">
        <v>1857</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ht="13">
      <c r="A105" s="183" t="s">
        <v>1858</v>
      </c>
      <c r="B105" s="182">
        <f>SUM(B100:B104)</f>
        <v>9375334</v>
      </c>
      <c r="C105" s="182">
        <f>SUM(C100:C104)</f>
        <v>9375334</v>
      </c>
      <c r="D105" s="182">
        <f t="shared" si="1"/>
        <v>0</v>
      </c>
      <c r="E105" s="180"/>
      <c r="F105" s="179"/>
    </row>
    <row r="106" spans="1:6" s="255" customFormat="1" ht="13">
      <c r="A106" s="183" t="s">
        <v>1859</v>
      </c>
      <c r="B106" s="185">
        <f>SUM(B98+B105)</f>
        <v>78307447</v>
      </c>
      <c r="C106" s="185">
        <f>SUM(C98+C105)</f>
        <v>78307447</v>
      </c>
      <c r="D106" s="182">
        <f t="shared" si="1"/>
        <v>0</v>
      </c>
      <c r="E106" s="180"/>
      <c r="F106" s="179"/>
    </row>
    <row r="107" spans="1:6" s="255" customFormat="1" ht="13">
      <c r="A107" s="189" t="s">
        <v>2782</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75" customHeight="1" zeroHeight="1"/>
  <cols>
    <col min="1" max="10" width="10.453125" style="305" customWidth="1"/>
    <col min="11" max="16384" width="8.81640625" style="305" hidden="1"/>
  </cols>
  <sheetData>
    <row r="1" spans="1:10" ht="15.5">
      <c r="A1" s="1255" t="s">
        <v>293</v>
      </c>
      <c r="B1" s="1256"/>
      <c r="C1" s="1256"/>
      <c r="D1" s="1256"/>
      <c r="E1" s="1256"/>
      <c r="F1" s="1256"/>
      <c r="G1" s="1256"/>
      <c r="H1" s="1256"/>
      <c r="I1" s="1256"/>
      <c r="J1" s="1256"/>
    </row>
    <row r="2" spans="1:10" ht="15.5">
      <c r="A2" s="1259" t="s">
        <v>294</v>
      </c>
      <c r="B2" s="1260"/>
      <c r="C2" s="1260"/>
      <c r="D2" s="1260"/>
      <c r="E2" s="1260"/>
      <c r="F2" s="1260"/>
      <c r="G2" s="1260"/>
      <c r="H2" s="1260"/>
      <c r="I2" s="1260"/>
      <c r="J2" s="1260"/>
    </row>
    <row r="3" spans="1:10" ht="12.5"/>
    <row r="4" spans="1:10" ht="12.75" customHeight="1">
      <c r="A4" s="1257" t="s">
        <v>295</v>
      </c>
      <c r="B4" s="1257"/>
      <c r="C4" s="1257"/>
      <c r="D4" s="1257"/>
      <c r="E4" s="1257"/>
      <c r="F4" s="1257"/>
      <c r="G4" s="1257"/>
      <c r="H4" s="1257"/>
      <c r="I4" s="1257"/>
      <c r="J4" s="1257"/>
    </row>
    <row r="5" spans="1:10" ht="12.5">
      <c r="A5" s="1257"/>
      <c r="B5" s="1257"/>
      <c r="C5" s="1257"/>
      <c r="D5" s="1257"/>
      <c r="E5" s="1257"/>
      <c r="F5" s="1257"/>
      <c r="G5" s="1257"/>
      <c r="H5" s="1257"/>
      <c r="I5" s="1257"/>
      <c r="J5" s="1257"/>
    </row>
    <row r="6" spans="1:10" ht="30" customHeight="1">
      <c r="A6" s="1257"/>
      <c r="B6" s="1257"/>
      <c r="C6" s="1257"/>
      <c r="D6" s="1257"/>
      <c r="E6" s="1257"/>
      <c r="F6" s="1257"/>
      <c r="G6" s="1257"/>
      <c r="H6" s="1257"/>
      <c r="I6" s="1257"/>
      <c r="J6" s="1257"/>
    </row>
    <row r="7" spans="1:10" ht="12.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5"/>
    <row r="10" spans="1:10" ht="12.75" customHeight="1">
      <c r="A10" s="1261" t="s">
        <v>297</v>
      </c>
      <c r="B10" s="1261"/>
      <c r="C10" s="1261"/>
      <c r="D10" s="1261"/>
      <c r="E10" s="1261"/>
      <c r="F10" s="1261"/>
      <c r="G10" s="1261"/>
      <c r="H10" s="1261"/>
      <c r="I10" s="1261"/>
      <c r="J10" s="1261"/>
    </row>
    <row r="11" spans="1:10" ht="12.5">
      <c r="A11" s="1261"/>
      <c r="B11" s="1261"/>
      <c r="C11" s="1261"/>
      <c r="D11" s="1261"/>
      <c r="E11" s="1261"/>
      <c r="F11" s="1261"/>
      <c r="G11" s="1261"/>
      <c r="H11" s="1261"/>
      <c r="I11" s="1261"/>
      <c r="J11" s="1261"/>
    </row>
    <row r="12" spans="1:10" ht="12.5">
      <c r="A12" s="1261"/>
      <c r="B12" s="1261"/>
      <c r="C12" s="1261"/>
      <c r="D12" s="1261"/>
      <c r="E12" s="1261"/>
      <c r="F12" s="1261"/>
      <c r="G12" s="1261"/>
      <c r="H12" s="1261"/>
      <c r="I12" s="1261"/>
      <c r="J12" s="1261"/>
    </row>
    <row r="13" spans="1:10" ht="12.5">
      <c r="A13" s="1261"/>
      <c r="B13" s="1261"/>
      <c r="C13" s="1261"/>
      <c r="D13" s="1261"/>
      <c r="E13" s="1261"/>
      <c r="F13" s="1261"/>
      <c r="G13" s="1261"/>
      <c r="H13" s="1261"/>
      <c r="I13" s="1261"/>
      <c r="J13" s="1261"/>
    </row>
    <row r="14" spans="1:10" ht="12.5">
      <c r="A14" s="1261"/>
      <c r="B14" s="1261"/>
      <c r="C14" s="1261"/>
      <c r="D14" s="1261"/>
      <c r="E14" s="1261"/>
      <c r="F14" s="1261"/>
      <c r="G14" s="1261"/>
      <c r="H14" s="1261"/>
      <c r="I14" s="1261"/>
      <c r="J14" s="1261"/>
    </row>
    <row r="15" spans="1:10" ht="12.5">
      <c r="A15" s="1261"/>
      <c r="B15" s="1261"/>
      <c r="C15" s="1261"/>
      <c r="D15" s="1261"/>
      <c r="E15" s="1261"/>
      <c r="F15" s="1261"/>
      <c r="G15" s="1261"/>
      <c r="H15" s="1261"/>
      <c r="I15" s="1261"/>
      <c r="J15" s="1261"/>
    </row>
    <row r="16" spans="1:10" ht="12.5">
      <c r="A16" s="424"/>
      <c r="B16" s="424"/>
      <c r="C16" s="424"/>
      <c r="D16" s="424"/>
      <c r="E16" s="424"/>
      <c r="F16" s="424"/>
      <c r="G16" s="424"/>
      <c r="H16" s="424"/>
      <c r="I16" s="424"/>
      <c r="J16" s="424"/>
    </row>
    <row r="17" spans="1:10" ht="12.5">
      <c r="A17" s="377" t="s">
        <v>298</v>
      </c>
      <c r="B17" s="319"/>
      <c r="C17" s="319"/>
      <c r="D17" s="319"/>
      <c r="E17" s="319"/>
      <c r="F17" s="319"/>
      <c r="G17" s="319"/>
      <c r="H17" s="319"/>
      <c r="I17" s="319"/>
      <c r="J17" s="319"/>
    </row>
    <row r="18" spans="1:10" ht="12.5">
      <c r="A18" s="319" t="s">
        <v>254</v>
      </c>
      <c r="B18" s="319"/>
      <c r="C18" s="319"/>
      <c r="D18" s="319"/>
      <c r="E18" s="319"/>
      <c r="F18" s="319"/>
      <c r="G18" s="319"/>
      <c r="H18" s="319"/>
      <c r="I18" s="319"/>
      <c r="J18" s="319"/>
    </row>
    <row r="19" spans="1:10" ht="12.5">
      <c r="A19" s="1260" t="s">
        <v>299</v>
      </c>
      <c r="B19" s="1260"/>
      <c r="C19" s="1260"/>
      <c r="D19" s="1260"/>
      <c r="E19" s="1260"/>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57" t="s">
        <v>300</v>
      </c>
      <c r="B76" s="1257"/>
      <c r="C76" s="1257"/>
      <c r="D76" s="1257"/>
      <c r="E76" s="1257"/>
      <c r="F76" s="1257"/>
      <c r="G76" s="1257"/>
      <c r="H76" s="1257"/>
      <c r="I76" s="1257"/>
      <c r="J76" s="1257"/>
    </row>
    <row r="77" spans="1:10" ht="12.5">
      <c r="A77" s="1257"/>
      <c r="B77" s="1257"/>
      <c r="C77" s="1257"/>
      <c r="D77" s="1257"/>
      <c r="E77" s="1257"/>
      <c r="F77" s="1257"/>
      <c r="G77" s="1257"/>
      <c r="H77" s="1257"/>
      <c r="I77" s="1257"/>
      <c r="J77" s="1257"/>
    </row>
    <row r="78" spans="1:10" ht="12.5">
      <c r="A78" s="1257"/>
      <c r="B78" s="1257"/>
      <c r="C78" s="1257"/>
      <c r="D78" s="1257"/>
      <c r="E78" s="1257"/>
      <c r="F78" s="1257"/>
      <c r="G78" s="1257"/>
      <c r="H78" s="1257"/>
      <c r="I78" s="1257"/>
      <c r="J78" s="1257"/>
    </row>
    <row r="79" spans="1:10" ht="12.5"/>
    <row r="80" spans="1:10" ht="12.5">
      <c r="A80" s="305" t="s">
        <v>299</v>
      </c>
    </row>
    <row r="81" spans="1:9" ht="12.5"/>
    <row r="82" spans="1:9" ht="12.5"/>
    <row r="83" spans="1:9" ht="12.5"/>
    <row r="84" spans="1:9" ht="12.5"/>
    <row r="85" spans="1:9" ht="12.5"/>
    <row r="86" spans="1:9" ht="12.5"/>
    <row r="87" spans="1:9" ht="12.5"/>
    <row r="88" spans="1:9" ht="12.5"/>
    <row r="89" spans="1:9" ht="13">
      <c r="A89" s="1258" t="s">
        <v>301</v>
      </c>
      <c r="B89" s="1258"/>
      <c r="C89" s="1258"/>
      <c r="D89" s="1258"/>
      <c r="E89" s="1258"/>
      <c r="F89" s="1258"/>
      <c r="G89" s="1258"/>
      <c r="H89" s="1258"/>
      <c r="I89" s="1258"/>
    </row>
    <row r="90" spans="1:9" ht="12.5">
      <c r="A90" s="1248" t="s">
        <v>302</v>
      </c>
      <c r="B90" s="1248"/>
      <c r="C90" s="1248"/>
      <c r="D90" s="1248"/>
      <c r="E90" s="1248"/>
    </row>
    <row r="91" spans="1:9" ht="12.5">
      <c r="A91" s="1248" t="s">
        <v>303</v>
      </c>
      <c r="B91" s="1248"/>
      <c r="C91" s="1248"/>
      <c r="D91" s="1248"/>
      <c r="E91" s="1248"/>
    </row>
    <row r="92" spans="1:9" ht="12.5">
      <c r="A92" s="1248" t="s">
        <v>304</v>
      </c>
      <c r="B92" s="1248"/>
      <c r="C92" s="1248"/>
      <c r="D92" s="1248"/>
      <c r="E92" s="1248"/>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80" zoomScaleNormal="180" workbookViewId="0">
      <selection activeCell="B1037" sqref="B1037"/>
    </sheetView>
  </sheetViews>
  <sheetFormatPr defaultColWidth="0" defaultRowHeight="13" zeroHeight="1"/>
  <cols>
    <col min="1" max="1" width="3.453125" style="381" customWidth="1"/>
    <col min="2" max="2" width="13.453125" style="381" customWidth="1"/>
    <col min="3" max="3" width="2.453125" style="381" customWidth="1"/>
    <col min="4" max="5" width="3.453125" style="305" customWidth="1"/>
    <col min="6" max="6" width="65.453125" style="305" customWidth="1"/>
    <col min="7" max="7" width="1.453125" style="305" customWidth="1"/>
    <col min="8" max="8" width="3.453125" style="305" customWidth="1"/>
    <col min="9" max="9" width="9.1796875" style="307" customWidth="1"/>
    <col min="10" max="13" width="8.81640625" style="305" hidden="1" customWidth="1"/>
    <col min="14" max="16384" width="0" style="305" hidden="1"/>
  </cols>
  <sheetData>
    <row r="1" spans="1:13"/>
    <row r="2" spans="1:13">
      <c r="A2" s="1263" t="s">
        <v>305</v>
      </c>
      <c r="B2" s="1263"/>
      <c r="C2" s="1263"/>
      <c r="D2" s="1263"/>
      <c r="E2" s="1263"/>
      <c r="F2" s="1263"/>
      <c r="G2" s="1263"/>
      <c r="H2" s="1263"/>
      <c r="I2" s="1263"/>
    </row>
    <row r="3" spans="1:13">
      <c r="A3" s="1264" t="s">
        <v>306</v>
      </c>
      <c r="B3" s="1264"/>
      <c r="C3" s="1264"/>
      <c r="D3" s="1264"/>
      <c r="E3" s="1264"/>
      <c r="F3" s="1264"/>
      <c r="G3" s="1264"/>
      <c r="H3" s="1264"/>
      <c r="I3" s="1264"/>
    </row>
    <row r="4" spans="1:13">
      <c r="A4" s="1264"/>
      <c r="B4" s="1264"/>
      <c r="C4" s="1260"/>
      <c r="D4" s="1260"/>
      <c r="E4" s="1260"/>
      <c r="F4" s="1260"/>
      <c r="G4" s="1260"/>
    </row>
    <row r="5" spans="1:13">
      <c r="A5" s="1264"/>
      <c r="B5" s="1264"/>
      <c r="C5" s="1260"/>
      <c r="D5" s="1260"/>
      <c r="E5" s="1260"/>
      <c r="F5" s="1260"/>
      <c r="G5" s="1260"/>
    </row>
    <row r="6" spans="1:13" ht="12.75" customHeight="1">
      <c r="A6" s="1286" t="s">
        <v>307</v>
      </c>
      <c r="B6" s="1286"/>
      <c r="C6" s="1286"/>
      <c r="D6" s="1286"/>
      <c r="E6" s="1286"/>
      <c r="F6" s="1286"/>
      <c r="G6" s="1286"/>
      <c r="I6" s="391"/>
    </row>
    <row r="7" spans="1:13">
      <c r="A7" s="1286"/>
      <c r="B7" s="1286"/>
      <c r="C7" s="1286"/>
      <c r="D7" s="1286"/>
      <c r="E7" s="1286"/>
      <c r="F7" s="1286"/>
      <c r="G7" s="1286"/>
      <c r="I7" s="391"/>
    </row>
    <row r="8" spans="1:13">
      <c r="A8" s="382"/>
      <c r="B8" s="382"/>
      <c r="C8" s="383"/>
      <c r="D8" s="383"/>
      <c r="E8" s="383"/>
      <c r="F8" s="383"/>
    </row>
    <row r="9" spans="1:13">
      <c r="A9" s="1268" t="s">
        <v>308</v>
      </c>
      <c r="B9" s="1268"/>
      <c r="C9" s="1268"/>
      <c r="D9" s="1268"/>
      <c r="E9" s="1268"/>
      <c r="F9" s="1268"/>
      <c r="G9" s="1268"/>
      <c r="H9" s="914"/>
      <c r="I9" s="915"/>
    </row>
    <row r="10" spans="1:13">
      <c r="A10" s="383"/>
      <c r="B10" s="383"/>
      <c r="E10" s="307"/>
    </row>
    <row r="11" spans="1:13" ht="13.75" customHeight="1">
      <c r="C11" s="383"/>
      <c r="D11" s="1285" t="s">
        <v>309</v>
      </c>
      <c r="E11" s="1285"/>
      <c r="F11" s="1285"/>
    </row>
    <row r="12" spans="1:13">
      <c r="C12" s="383"/>
      <c r="D12" s="1285"/>
      <c r="E12" s="1285"/>
      <c r="F12" s="1285"/>
    </row>
    <row r="13" spans="1:13">
      <c r="A13" s="384"/>
      <c r="B13" s="384"/>
      <c r="C13" s="384"/>
      <c r="D13" s="1266" t="s">
        <v>310</v>
      </c>
      <c r="E13" s="1266"/>
      <c r="F13" s="1266"/>
      <c r="M13" s="71"/>
    </row>
    <row r="14" spans="1:13">
      <c r="A14" s="384"/>
      <c r="B14" s="384"/>
      <c r="C14" s="384"/>
      <c r="D14" s="377"/>
      <c r="L14" s="219"/>
    </row>
    <row r="15" spans="1:13">
      <c r="A15" s="385"/>
      <c r="B15" s="386" t="s">
        <v>311</v>
      </c>
      <c r="C15" s="384"/>
      <c r="D15" s="1265" t="s">
        <v>312</v>
      </c>
      <c r="E15" s="1265"/>
      <c r="F15" s="1265"/>
      <c r="I15" s="391"/>
    </row>
    <row r="16" spans="1:13">
      <c r="A16" s="384"/>
      <c r="B16" s="384"/>
      <c r="C16" s="384"/>
      <c r="D16" s="1265"/>
      <c r="E16" s="1265"/>
      <c r="F16" s="1265"/>
      <c r="I16" s="391"/>
    </row>
    <row r="17" spans="1:9">
      <c r="A17" s="384"/>
      <c r="B17" s="384"/>
      <c r="C17" s="384"/>
      <c r="D17" s="1265"/>
      <c r="E17" s="1265"/>
      <c r="F17" s="1265"/>
      <c r="I17" s="391"/>
    </row>
    <row r="18" spans="1:9">
      <c r="A18" s="384"/>
      <c r="B18" s="384"/>
      <c r="C18" s="384"/>
      <c r="D18" s="347"/>
      <c r="E18" s="219" t="s">
        <v>313</v>
      </c>
      <c r="F18" s="347"/>
      <c r="I18" s="391"/>
    </row>
    <row r="19" spans="1:9">
      <c r="A19" s="384"/>
      <c r="B19" s="384"/>
      <c r="C19" s="384"/>
      <c r="I19" s="391"/>
    </row>
    <row r="20" spans="1:9">
      <c r="A20" s="385"/>
      <c r="B20" s="386" t="s">
        <v>311</v>
      </c>
      <c r="D20" s="1265" t="s">
        <v>314</v>
      </c>
      <c r="E20" s="1265"/>
      <c r="F20" s="1265"/>
      <c r="I20" s="391"/>
    </row>
    <row r="21" spans="1:9">
      <c r="A21" s="385"/>
      <c r="D21" s="1265"/>
      <c r="E21" s="1265"/>
      <c r="F21" s="1265"/>
      <c r="I21" s="391"/>
    </row>
    <row r="22" spans="1:9">
      <c r="A22" s="385"/>
      <c r="D22" s="295"/>
      <c r="E22" s="71" t="s">
        <v>315</v>
      </c>
      <c r="F22" s="295"/>
      <c r="I22" s="391"/>
    </row>
    <row r="23" spans="1:9">
      <c r="A23" s="385"/>
      <c r="B23" s="385"/>
      <c r="D23" s="348"/>
      <c r="I23" s="391"/>
    </row>
    <row r="24" spans="1:9">
      <c r="A24" s="385"/>
      <c r="B24" s="386" t="s">
        <v>316</v>
      </c>
      <c r="D24" s="1265" t="s">
        <v>317</v>
      </c>
      <c r="E24" s="1265"/>
      <c r="F24" s="1265"/>
      <c r="I24" s="391"/>
    </row>
    <row r="25" spans="1:9">
      <c r="A25" s="385"/>
      <c r="B25" s="385"/>
      <c r="D25" s="1265"/>
      <c r="E25" s="1265"/>
      <c r="F25" s="1265"/>
      <c r="I25" s="391"/>
    </row>
    <row r="26" spans="1:9">
      <c r="I26" s="391"/>
    </row>
    <row r="27" spans="1:9">
      <c r="A27" s="385"/>
      <c r="B27" s="386" t="s">
        <v>311</v>
      </c>
      <c r="D27" s="1265" t="s">
        <v>318</v>
      </c>
      <c r="E27" s="1265"/>
      <c r="F27" s="1265"/>
      <c r="I27" s="391"/>
    </row>
    <row r="28" spans="1:9">
      <c r="D28" s="1265"/>
      <c r="E28" s="1265"/>
      <c r="F28" s="1265"/>
      <c r="I28" s="391"/>
    </row>
    <row r="29" spans="1:9">
      <c r="D29" s="1265"/>
      <c r="E29" s="1265"/>
      <c r="F29" s="1265"/>
      <c r="I29" s="391"/>
    </row>
    <row r="30" spans="1:9">
      <c r="D30" s="1265"/>
      <c r="E30" s="1265"/>
      <c r="F30" s="1265"/>
      <c r="I30" s="391"/>
    </row>
    <row r="31" spans="1:9">
      <c r="D31" s="1265"/>
      <c r="E31" s="1265"/>
      <c r="F31" s="1265"/>
      <c r="I31" s="391"/>
    </row>
    <row r="32" spans="1:9">
      <c r="D32" s="349"/>
      <c r="I32" s="391"/>
    </row>
    <row r="33" spans="1:9">
      <c r="B33" s="386" t="s">
        <v>316</v>
      </c>
      <c r="D33" s="1265" t="s">
        <v>319</v>
      </c>
      <c r="E33" s="1265"/>
      <c r="F33" s="1265"/>
      <c r="I33" s="391"/>
    </row>
    <row r="34" spans="1:9">
      <c r="D34" s="1265"/>
      <c r="E34" s="1265"/>
      <c r="F34" s="1265"/>
      <c r="I34" s="391"/>
    </row>
    <row r="35" spans="1:9">
      <c r="A35" s="385"/>
      <c r="B35" s="385"/>
      <c r="D35" s="349"/>
      <c r="I35" s="391"/>
    </row>
    <row r="36" spans="1:9" ht="14.5" customHeight="1">
      <c r="A36" s="385"/>
      <c r="B36" s="386" t="s">
        <v>316</v>
      </c>
      <c r="D36" s="1265" t="s">
        <v>320</v>
      </c>
      <c r="E36" s="1265"/>
      <c r="F36" s="1265"/>
      <c r="I36" s="391"/>
    </row>
    <row r="37" spans="1:9">
      <c r="A37" s="385"/>
      <c r="B37" s="385"/>
      <c r="D37" s="1265"/>
      <c r="E37" s="1265"/>
      <c r="F37" s="1265"/>
      <c r="I37" s="391"/>
    </row>
    <row r="38" spans="1:9">
      <c r="A38" s="385"/>
      <c r="B38" s="385"/>
      <c r="D38" s="1265"/>
      <c r="E38" s="1265"/>
      <c r="F38" s="1265"/>
      <c r="I38" s="391"/>
    </row>
    <row r="39" spans="1:9">
      <c r="A39" s="385"/>
      <c r="B39" s="385"/>
      <c r="D39" s="1265"/>
      <c r="E39" s="1265"/>
      <c r="F39" s="1265"/>
      <c r="I39" s="391"/>
    </row>
    <row r="40" spans="1:9">
      <c r="A40" s="385"/>
      <c r="B40" s="385"/>
      <c r="I40" s="391"/>
    </row>
    <row r="41" spans="1:9">
      <c r="A41" s="385"/>
      <c r="B41" s="386" t="s">
        <v>316</v>
      </c>
      <c r="D41" s="1265" t="s">
        <v>321</v>
      </c>
      <c r="E41" s="1265"/>
      <c r="F41" s="1265"/>
      <c r="I41" s="391"/>
    </row>
    <row r="42" spans="1:9">
      <c r="A42" s="385"/>
      <c r="B42" s="385"/>
      <c r="D42" s="1265"/>
      <c r="E42" s="1265"/>
      <c r="F42" s="1265"/>
      <c r="I42" s="391"/>
    </row>
    <row r="43" spans="1:9">
      <c r="A43" s="385"/>
      <c r="B43" s="385"/>
      <c r="D43" s="1265"/>
      <c r="E43" s="1265"/>
      <c r="F43" s="1265"/>
      <c r="I43" s="391"/>
    </row>
    <row r="44" spans="1:9">
      <c r="A44" s="385"/>
      <c r="B44" s="385"/>
      <c r="D44" s="1265"/>
      <c r="E44" s="1265"/>
      <c r="F44" s="1265"/>
      <c r="I44" s="391"/>
    </row>
    <row r="45" spans="1:9">
      <c r="A45" s="385"/>
      <c r="B45" s="385"/>
      <c r="D45" s="1265"/>
      <c r="E45" s="1265"/>
      <c r="F45" s="1265"/>
      <c r="I45" s="391"/>
    </row>
    <row r="46" spans="1:9">
      <c r="A46" s="385"/>
      <c r="B46" s="385"/>
      <c r="D46" s="347"/>
      <c r="E46" s="347"/>
      <c r="F46" s="347"/>
      <c r="I46" s="391"/>
    </row>
    <row r="47" spans="1:9">
      <c r="A47" s="385"/>
      <c r="B47" s="386" t="s">
        <v>316</v>
      </c>
      <c r="D47" s="1265" t="s">
        <v>322</v>
      </c>
      <c r="E47" s="1265"/>
      <c r="F47" s="1265"/>
      <c r="I47" s="391"/>
    </row>
    <row r="48" spans="1:9">
      <c r="A48" s="385"/>
      <c r="B48" s="385"/>
      <c r="D48" s="1265"/>
      <c r="E48" s="1265"/>
      <c r="F48" s="1265"/>
      <c r="I48" s="391"/>
    </row>
    <row r="49" spans="1:9">
      <c r="A49" s="385"/>
      <c r="B49" s="385"/>
      <c r="D49" s="1265"/>
      <c r="E49" s="1265"/>
      <c r="F49" s="1265"/>
      <c r="I49" s="391"/>
    </row>
    <row r="50" spans="1:9" ht="23.25" customHeight="1">
      <c r="A50" s="385"/>
      <c r="B50" s="385"/>
      <c r="D50" s="1265"/>
      <c r="E50" s="1265"/>
      <c r="F50" s="1265"/>
      <c r="I50" s="391"/>
    </row>
    <row r="51" spans="1:9">
      <c r="A51" s="385"/>
      <c r="B51" s="385"/>
      <c r="D51" s="348"/>
      <c r="I51" s="391"/>
    </row>
    <row r="52" spans="1:9" ht="14.5" customHeight="1">
      <c r="A52" s="385"/>
      <c r="B52" s="386" t="s">
        <v>316</v>
      </c>
      <c r="D52" s="1265" t="s">
        <v>323</v>
      </c>
      <c r="E52" s="1265"/>
      <c r="F52" s="1265"/>
      <c r="I52" s="391"/>
    </row>
    <row r="53" spans="1:9">
      <c r="A53" s="385"/>
      <c r="B53" s="385"/>
      <c r="D53" s="1265"/>
      <c r="E53" s="1265"/>
      <c r="F53" s="1265"/>
      <c r="I53" s="391"/>
    </row>
    <row r="54" spans="1:9">
      <c r="A54" s="385"/>
      <c r="B54" s="385"/>
      <c r="D54" s="1265"/>
      <c r="E54" s="1265"/>
      <c r="F54" s="1265"/>
      <c r="I54" s="391"/>
    </row>
    <row r="55" spans="1:9">
      <c r="A55" s="385"/>
      <c r="B55" s="385"/>
      <c r="I55" s="391"/>
    </row>
    <row r="56" spans="1:9">
      <c r="A56" s="385"/>
      <c r="B56" s="386" t="s">
        <v>311</v>
      </c>
      <c r="D56" s="1287" t="s">
        <v>324</v>
      </c>
      <c r="E56" s="1287"/>
      <c r="F56" s="1287"/>
      <c r="I56" s="391"/>
    </row>
    <row r="57" spans="1:9">
      <c r="A57" s="385"/>
      <c r="B57" s="385"/>
      <c r="D57" s="1287"/>
      <c r="E57" s="1287"/>
      <c r="F57" s="1287"/>
      <c r="I57" s="391"/>
    </row>
    <row r="58" spans="1:9">
      <c r="A58" s="385"/>
      <c r="B58" s="385"/>
      <c r="D58" s="295" t="s">
        <v>325</v>
      </c>
      <c r="E58" s="347"/>
      <c r="F58" s="347"/>
      <c r="I58" s="391"/>
    </row>
    <row r="59" spans="1:9">
      <c r="A59" s="385"/>
      <c r="B59" s="385"/>
      <c r="D59" s="347"/>
      <c r="E59" s="219" t="s">
        <v>313</v>
      </c>
      <c r="F59" s="347"/>
      <c r="I59" s="391"/>
    </row>
    <row r="60" spans="1:9">
      <c r="D60" s="349"/>
      <c r="I60" s="391"/>
    </row>
    <row r="61" spans="1:9">
      <c r="A61" s="385"/>
      <c r="B61" s="386" t="s">
        <v>316</v>
      </c>
      <c r="D61" s="1265" t="s">
        <v>326</v>
      </c>
      <c r="E61" s="1265"/>
      <c r="F61" s="1265"/>
      <c r="I61" s="391"/>
    </row>
    <row r="62" spans="1:9">
      <c r="D62" s="1265"/>
      <c r="E62" s="1265"/>
      <c r="F62" s="1265"/>
      <c r="I62" s="391"/>
    </row>
    <row r="63" spans="1:9">
      <c r="D63" s="1265"/>
      <c r="E63" s="1265"/>
      <c r="F63" s="1265"/>
      <c r="I63" s="391"/>
    </row>
    <row r="64" spans="1:9">
      <c r="I64" s="391"/>
    </row>
    <row r="65" spans="1:9">
      <c r="A65" s="385"/>
      <c r="B65" s="386" t="s">
        <v>316</v>
      </c>
      <c r="D65" s="1265" t="s">
        <v>327</v>
      </c>
      <c r="E65" s="1265"/>
      <c r="F65" s="1265"/>
      <c r="I65" s="391"/>
    </row>
    <row r="66" spans="1:9">
      <c r="D66" s="1265"/>
      <c r="E66" s="1265"/>
      <c r="F66" s="1265"/>
      <c r="I66" s="391"/>
    </row>
    <row r="67" spans="1:9">
      <c r="I67" s="391"/>
    </row>
    <row r="68" spans="1:9">
      <c r="A68" s="385"/>
      <c r="B68" s="386" t="s">
        <v>311</v>
      </c>
      <c r="D68" s="1265" t="s">
        <v>328</v>
      </c>
      <c r="E68" s="1265"/>
      <c r="F68" s="1265"/>
      <c r="I68" s="391"/>
    </row>
    <row r="69" spans="1:9">
      <c r="D69" s="1265"/>
      <c r="E69" s="1265"/>
      <c r="F69" s="1265"/>
      <c r="I69" s="391"/>
    </row>
    <row r="70" spans="1:9">
      <c r="D70" s="1265"/>
      <c r="E70" s="1265"/>
      <c r="F70" s="1265"/>
      <c r="I70" s="391"/>
    </row>
    <row r="71" spans="1:9">
      <c r="I71" s="391"/>
    </row>
    <row r="72" spans="1:9">
      <c r="A72" s="385"/>
      <c r="B72" s="386" t="s">
        <v>316</v>
      </c>
      <c r="D72" s="1265" t="s">
        <v>329</v>
      </c>
      <c r="E72" s="1265"/>
      <c r="F72" s="1265"/>
      <c r="I72" s="391"/>
    </row>
    <row r="73" spans="1:9">
      <c r="D73" s="1265"/>
      <c r="E73" s="1265"/>
      <c r="F73" s="1265"/>
      <c r="I73" s="391"/>
    </row>
    <row r="74" spans="1:9">
      <c r="A74" s="385"/>
      <c r="B74" s="385"/>
      <c r="D74" s="348"/>
      <c r="I74" s="391"/>
    </row>
    <row r="75" spans="1:9">
      <c r="A75" s="1268" t="s">
        <v>330</v>
      </c>
      <c r="B75" s="1268"/>
      <c r="C75" s="1268"/>
      <c r="D75" s="1268"/>
      <c r="E75" s="1268"/>
      <c r="F75" s="1268"/>
      <c r="G75" s="1268"/>
      <c r="H75" s="914"/>
      <c r="I75" s="1036"/>
    </row>
    <row r="76" spans="1:9">
      <c r="I76" s="391"/>
    </row>
    <row r="77" spans="1:9">
      <c r="C77" s="387"/>
      <c r="D77" s="1267" t="s">
        <v>331</v>
      </c>
      <c r="E77" s="1267"/>
      <c r="F77" s="1267"/>
      <c r="I77" s="391"/>
    </row>
    <row r="78" spans="1:9">
      <c r="A78" s="348"/>
      <c r="B78" s="348"/>
      <c r="D78" s="1265" t="s">
        <v>332</v>
      </c>
      <c r="E78" s="1265"/>
      <c r="F78" s="1265"/>
      <c r="I78" s="391"/>
    </row>
    <row r="79" spans="1:9">
      <c r="A79" s="348"/>
      <c r="B79" s="348"/>
      <c r="I79" s="391"/>
    </row>
    <row r="80" spans="1:9" ht="13.75" customHeight="1">
      <c r="A80" s="385"/>
      <c r="B80" s="386" t="s">
        <v>311</v>
      </c>
      <c r="D80" s="1265" t="s">
        <v>333</v>
      </c>
      <c r="E80" s="1265"/>
      <c r="F80" s="1265"/>
      <c r="I80" s="391"/>
    </row>
    <row r="81" spans="1:9">
      <c r="A81" s="385"/>
      <c r="B81" s="385"/>
      <c r="D81" s="1265"/>
      <c r="E81" s="1265"/>
      <c r="F81" s="1265"/>
      <c r="I81" s="391"/>
    </row>
    <row r="82" spans="1:9">
      <c r="A82" s="385"/>
      <c r="B82" s="385"/>
      <c r="D82" s="1265"/>
      <c r="E82" s="1265"/>
      <c r="F82" s="1265"/>
      <c r="I82" s="391"/>
    </row>
    <row r="83" spans="1:9">
      <c r="A83" s="385"/>
      <c r="B83" s="385"/>
      <c r="D83" s="1265"/>
      <c r="E83" s="1265"/>
      <c r="F83" s="1265"/>
      <c r="I83" s="391"/>
    </row>
    <row r="84" spans="1:9">
      <c r="A84" s="385"/>
      <c r="B84" s="385"/>
      <c r="D84" s="1265"/>
      <c r="E84" s="1265"/>
      <c r="F84" s="1265"/>
      <c r="I84" s="391"/>
    </row>
    <row r="85" spans="1:9">
      <c r="A85" s="385"/>
      <c r="B85" s="385"/>
      <c r="D85" s="1265"/>
      <c r="E85" s="1265"/>
      <c r="F85" s="1265"/>
      <c r="I85" s="391"/>
    </row>
    <row r="86" spans="1:9">
      <c r="A86" s="385"/>
      <c r="B86" s="385"/>
      <c r="D86" s="1265"/>
      <c r="E86" s="1265"/>
      <c r="F86" s="1265"/>
      <c r="I86" s="391"/>
    </row>
    <row r="87" spans="1:9">
      <c r="A87" s="385"/>
      <c r="B87" s="385"/>
      <c r="D87" s="1265"/>
      <c r="E87" s="1265"/>
      <c r="F87" s="1265"/>
      <c r="I87" s="391"/>
    </row>
    <row r="88" spans="1:9">
      <c r="A88" s="385"/>
      <c r="B88" s="385"/>
      <c r="D88" s="288"/>
      <c r="E88" s="288"/>
      <c r="F88" s="288"/>
      <c r="I88" s="391"/>
    </row>
    <row r="89" spans="1:9" ht="15" customHeight="1">
      <c r="A89" s="385"/>
      <c r="B89" s="386" t="s">
        <v>311</v>
      </c>
      <c r="D89" s="1265" t="s">
        <v>334</v>
      </c>
      <c r="E89" s="1265"/>
      <c r="F89" s="1265"/>
      <c r="I89" s="391"/>
    </row>
    <row r="90" spans="1:9">
      <c r="A90" s="385"/>
      <c r="B90" s="385"/>
      <c r="D90" s="1265"/>
      <c r="E90" s="1265"/>
      <c r="F90" s="1265"/>
      <c r="I90" s="391"/>
    </row>
    <row r="91" spans="1:9">
      <c r="A91" s="385"/>
      <c r="B91" s="385"/>
      <c r="D91" s="347"/>
      <c r="E91" s="347"/>
      <c r="F91" s="347"/>
      <c r="I91" s="391"/>
    </row>
    <row r="92" spans="1:9">
      <c r="A92" s="385"/>
      <c r="B92" s="386" t="s">
        <v>311</v>
      </c>
      <c r="D92" s="1265" t="s">
        <v>335</v>
      </c>
      <c r="E92" s="1265"/>
      <c r="F92" s="1265"/>
      <c r="I92" s="391"/>
    </row>
    <row r="93" spans="1:9">
      <c r="A93" s="385"/>
      <c r="B93" s="385"/>
      <c r="D93" s="1265"/>
      <c r="E93" s="1265"/>
      <c r="F93" s="1265"/>
      <c r="I93" s="391"/>
    </row>
    <row r="94" spans="1:9">
      <c r="A94" s="385"/>
      <c r="B94" s="385"/>
      <c r="D94" s="1265"/>
      <c r="E94" s="1265"/>
      <c r="F94" s="1265"/>
      <c r="I94" s="391"/>
    </row>
    <row r="95" spans="1:9">
      <c r="A95" s="385"/>
      <c r="B95" s="385"/>
      <c r="D95" s="347"/>
      <c r="E95" s="347"/>
      <c r="F95" s="347"/>
      <c r="I95" s="391"/>
    </row>
    <row r="96" spans="1:9">
      <c r="A96" s="385"/>
      <c r="B96" s="386" t="s">
        <v>311</v>
      </c>
      <c r="D96" s="1265" t="s">
        <v>336</v>
      </c>
      <c r="E96" s="1265"/>
      <c r="F96" s="1265"/>
      <c r="I96" s="391"/>
    </row>
    <row r="97" spans="1:9" s="876" customFormat="1">
      <c r="A97" s="874"/>
      <c r="B97" s="874"/>
      <c r="C97" s="875"/>
      <c r="D97" s="1265"/>
      <c r="E97" s="1265"/>
      <c r="F97" s="1265"/>
      <c r="I97" s="1037"/>
    </row>
    <row r="98" spans="1:9">
      <c r="A98" s="385"/>
      <c r="B98" s="385"/>
      <c r="D98" s="295"/>
      <c r="E98" s="219" t="s">
        <v>337</v>
      </c>
      <c r="F98" s="347"/>
      <c r="I98" s="391"/>
    </row>
    <row r="99" spans="1:9">
      <c r="A99" s="385"/>
      <c r="B99" s="385"/>
      <c r="D99" s="288"/>
      <c r="E99" s="288"/>
      <c r="F99" s="288"/>
      <c r="I99" s="391"/>
    </row>
    <row r="100" spans="1:9">
      <c r="A100" s="385"/>
      <c r="B100" s="386" t="s">
        <v>316</v>
      </c>
      <c r="D100" s="1265" t="s">
        <v>338</v>
      </c>
      <c r="E100" s="1265"/>
      <c r="F100" s="1265"/>
      <c r="I100" s="391"/>
    </row>
    <row r="101" spans="1:9">
      <c r="A101" s="385"/>
      <c r="B101" s="385"/>
      <c r="D101" s="1265"/>
      <c r="E101" s="1265"/>
      <c r="F101" s="1265"/>
      <c r="I101" s="391"/>
    </row>
    <row r="102" spans="1:9">
      <c r="A102" s="385"/>
      <c r="B102" s="385"/>
      <c r="D102" s="347"/>
      <c r="E102" s="347"/>
      <c r="F102" s="347"/>
      <c r="I102" s="391"/>
    </row>
    <row r="103" spans="1:9" ht="14.5" customHeight="1">
      <c r="A103" s="385"/>
      <c r="B103" s="386" t="s">
        <v>316</v>
      </c>
      <c r="D103" s="1265" t="s">
        <v>339</v>
      </c>
      <c r="E103" s="1265"/>
      <c r="F103" s="1265"/>
      <c r="I103" s="391"/>
    </row>
    <row r="104" spans="1:9">
      <c r="A104" s="385"/>
      <c r="B104" s="385"/>
      <c r="D104" s="1265"/>
      <c r="E104" s="1265"/>
      <c r="F104" s="1265"/>
      <c r="I104" s="391"/>
    </row>
    <row r="105" spans="1:9">
      <c r="A105" s="385"/>
      <c r="B105" s="385"/>
      <c r="D105" s="1265"/>
      <c r="E105" s="1265"/>
      <c r="F105" s="1265"/>
      <c r="I105" s="391"/>
    </row>
    <row r="106" spans="1:9">
      <c r="A106" s="385"/>
      <c r="B106" s="385"/>
      <c r="D106" s="1265"/>
      <c r="E106" s="1265"/>
      <c r="F106" s="1265"/>
      <c r="I106" s="391"/>
    </row>
    <row r="107" spans="1:9">
      <c r="A107" s="385"/>
      <c r="B107" s="385"/>
      <c r="D107" s="1265"/>
      <c r="E107" s="1265"/>
      <c r="F107" s="1265"/>
      <c r="I107" s="391"/>
    </row>
    <row r="108" spans="1:9">
      <c r="A108" s="385"/>
      <c r="B108" s="385"/>
      <c r="D108" s="1265"/>
      <c r="E108" s="1265"/>
      <c r="F108" s="1265"/>
      <c r="I108" s="391"/>
    </row>
    <row r="109" spans="1:9">
      <c r="A109" s="385"/>
      <c r="B109" s="385"/>
      <c r="D109" s="1265"/>
      <c r="E109" s="1265"/>
      <c r="F109" s="1265"/>
      <c r="I109" s="391"/>
    </row>
    <row r="110" spans="1:9">
      <c r="A110" s="385"/>
      <c r="B110" s="385"/>
      <c r="D110" s="1265"/>
      <c r="E110" s="1265"/>
      <c r="F110" s="1265"/>
      <c r="I110" s="391"/>
    </row>
    <row r="111" spans="1:9">
      <c r="A111" s="385"/>
      <c r="B111" s="385"/>
      <c r="D111" s="1265"/>
      <c r="E111" s="1265"/>
      <c r="F111" s="1265"/>
      <c r="I111" s="391"/>
    </row>
    <row r="112" spans="1:9">
      <c r="A112" s="385"/>
      <c r="B112" s="385"/>
      <c r="D112" s="1265"/>
      <c r="E112" s="1265"/>
      <c r="F112" s="1265"/>
      <c r="I112" s="391"/>
    </row>
    <row r="113" spans="1:9">
      <c r="A113" s="385"/>
      <c r="B113" s="385"/>
      <c r="D113" s="1265"/>
      <c r="E113" s="1265"/>
      <c r="F113" s="1265"/>
      <c r="I113" s="391"/>
    </row>
    <row r="114" spans="1:9">
      <c r="A114" s="385"/>
      <c r="B114" s="385"/>
      <c r="D114" s="1265"/>
      <c r="E114" s="1265"/>
      <c r="F114" s="1265"/>
      <c r="I114" s="391"/>
    </row>
    <row r="115" spans="1:9">
      <c r="A115" s="385"/>
      <c r="B115" s="385"/>
      <c r="D115" s="1265"/>
      <c r="E115" s="1265"/>
      <c r="F115" s="1265"/>
      <c r="I115" s="391"/>
    </row>
    <row r="116" spans="1:9">
      <c r="A116" s="385"/>
      <c r="B116" s="385"/>
      <c r="D116" s="1265"/>
      <c r="E116" s="1265"/>
      <c r="F116" s="1265"/>
      <c r="I116" s="391"/>
    </row>
    <row r="117" spans="1:9">
      <c r="A117" s="385"/>
      <c r="B117" s="385"/>
      <c r="D117" s="1265"/>
      <c r="E117" s="1265"/>
      <c r="F117" s="1265"/>
      <c r="I117" s="391"/>
    </row>
    <row r="118" spans="1:9">
      <c r="A118" s="385"/>
      <c r="B118" s="385"/>
      <c r="D118" s="424"/>
      <c r="E118" s="424"/>
      <c r="F118" s="424"/>
      <c r="I118" s="391"/>
    </row>
    <row r="119" spans="1:9" ht="14.25" customHeight="1">
      <c r="A119" s="385"/>
      <c r="B119" s="386" t="s">
        <v>316</v>
      </c>
      <c r="D119" s="1283" t="s">
        <v>340</v>
      </c>
      <c r="E119" s="1283"/>
      <c r="F119" s="1283"/>
      <c r="I119" s="391"/>
    </row>
    <row r="120" spans="1:9">
      <c r="A120" s="385"/>
      <c r="B120" s="385"/>
      <c r="D120" s="1283"/>
      <c r="E120" s="1283"/>
      <c r="F120" s="1283"/>
      <c r="I120" s="391"/>
    </row>
    <row r="121" spans="1:9">
      <c r="A121" s="385"/>
      <c r="B121" s="385"/>
      <c r="D121" s="1283"/>
      <c r="E121" s="1283"/>
      <c r="F121" s="1283"/>
      <c r="I121" s="391"/>
    </row>
    <row r="122" spans="1:9">
      <c r="A122" s="385"/>
      <c r="B122" s="385"/>
      <c r="D122" s="1283"/>
      <c r="E122" s="1283"/>
      <c r="F122" s="1283"/>
      <c r="I122" s="391"/>
    </row>
    <row r="123" spans="1:9">
      <c r="A123" s="385"/>
      <c r="B123" s="385"/>
      <c r="D123" s="1283"/>
      <c r="E123" s="1283"/>
      <c r="F123" s="1283"/>
      <c r="I123" s="391"/>
    </row>
    <row r="124" spans="1:9">
      <c r="A124" s="385"/>
      <c r="B124" s="385"/>
      <c r="D124" s="1283"/>
      <c r="E124" s="1283"/>
      <c r="F124" s="1283"/>
      <c r="I124" s="391"/>
    </row>
    <row r="125" spans="1:9">
      <c r="A125" s="385"/>
      <c r="B125" s="385"/>
      <c r="D125" s="1283"/>
      <c r="E125" s="1283"/>
      <c r="F125" s="1283"/>
      <c r="I125" s="391"/>
    </row>
    <row r="126" spans="1:9">
      <c r="A126" s="385"/>
      <c r="B126" s="385"/>
      <c r="D126" s="1283"/>
      <c r="E126" s="1283"/>
      <c r="F126" s="1283"/>
      <c r="I126" s="391"/>
    </row>
    <row r="127" spans="1:9">
      <c r="C127" s="305"/>
      <c r="D127" s="425"/>
      <c r="E127" s="425"/>
      <c r="F127" s="425"/>
      <c r="I127" s="391"/>
    </row>
    <row r="128" spans="1:9">
      <c r="A128" s="385"/>
      <c r="B128" s="386" t="s">
        <v>311</v>
      </c>
      <c r="C128" s="305"/>
      <c r="D128" s="1283" t="s">
        <v>341</v>
      </c>
      <c r="E128" s="1283"/>
      <c r="F128" s="1283"/>
      <c r="I128" s="391"/>
    </row>
    <row r="129" spans="1:9">
      <c r="A129" s="385"/>
      <c r="B129" s="385"/>
      <c r="C129" s="305"/>
      <c r="D129" s="1283"/>
      <c r="E129" s="1283"/>
      <c r="F129" s="1283"/>
      <c r="I129" s="391"/>
    </row>
    <row r="130" spans="1:9">
      <c r="I130" s="391"/>
    </row>
    <row r="131" spans="1:9">
      <c r="A131" s="385"/>
      <c r="B131" s="386" t="s">
        <v>311</v>
      </c>
      <c r="D131" s="1265" t="s">
        <v>342</v>
      </c>
      <c r="E131" s="1265"/>
      <c r="F131" s="1265"/>
      <c r="I131" s="391"/>
    </row>
    <row r="132" spans="1:9">
      <c r="D132" s="1265"/>
      <c r="E132" s="1265"/>
      <c r="F132" s="1265"/>
      <c r="I132" s="391"/>
    </row>
    <row r="133" spans="1:9">
      <c r="D133" s="1265"/>
      <c r="E133" s="1265"/>
      <c r="F133" s="1265"/>
      <c r="I133" s="391"/>
    </row>
    <row r="134" spans="1:9">
      <c r="D134" s="1265"/>
      <c r="E134" s="1265"/>
      <c r="F134" s="1265"/>
      <c r="I134" s="391"/>
    </row>
    <row r="135" spans="1:9">
      <c r="D135" s="1265"/>
      <c r="E135" s="1265"/>
      <c r="F135" s="1265"/>
      <c r="I135" s="391"/>
    </row>
    <row r="136" spans="1:9">
      <c r="I136" s="391"/>
    </row>
    <row r="137" spans="1:9">
      <c r="A137" s="385"/>
      <c r="B137" s="386" t="s">
        <v>311</v>
      </c>
      <c r="D137" s="1265" t="s">
        <v>343</v>
      </c>
      <c r="E137" s="1265"/>
      <c r="F137" s="1265"/>
      <c r="I137" s="391"/>
    </row>
    <row r="138" spans="1:9" s="320" customFormat="1" ht="13.75" customHeight="1">
      <c r="A138" s="389"/>
      <c r="B138" s="389"/>
      <c r="C138" s="389"/>
      <c r="D138" s="1265"/>
      <c r="E138" s="1265"/>
      <c r="F138" s="1265"/>
      <c r="I138" s="1038"/>
    </row>
    <row r="139" spans="1:9" ht="13.75" customHeight="1">
      <c r="D139" s="1265"/>
      <c r="E139" s="1265"/>
      <c r="F139" s="1265"/>
      <c r="I139" s="391"/>
    </row>
    <row r="140" spans="1:9" ht="13.75" customHeight="1">
      <c r="D140" s="1265"/>
      <c r="E140" s="1265"/>
      <c r="F140" s="1265"/>
      <c r="I140" s="391"/>
    </row>
    <row r="141" spans="1:9" ht="13.75" customHeight="1">
      <c r="D141" s="1265"/>
      <c r="E141" s="1265"/>
      <c r="F141" s="1265"/>
      <c r="I141" s="391"/>
    </row>
    <row r="142" spans="1:9" ht="13.75" customHeight="1">
      <c r="A142" s="390"/>
      <c r="B142" s="390"/>
      <c r="D142" s="1265"/>
      <c r="E142" s="1265"/>
      <c r="F142" s="1265"/>
      <c r="I142" s="391"/>
    </row>
    <row r="143" spans="1:9" ht="13.75" customHeight="1">
      <c r="D143" s="1265"/>
      <c r="E143" s="1265"/>
      <c r="F143" s="1265"/>
      <c r="I143" s="391"/>
    </row>
    <row r="144" spans="1:9" ht="13.75" customHeight="1">
      <c r="D144" s="1265"/>
      <c r="E144" s="1265"/>
      <c r="F144" s="1265"/>
      <c r="I144" s="391"/>
    </row>
    <row r="145" spans="2:9" ht="13.75" customHeight="1">
      <c r="D145" s="1265"/>
      <c r="E145" s="1265"/>
      <c r="F145" s="1265"/>
      <c r="I145" s="391"/>
    </row>
    <row r="146" spans="2:9" ht="13.75" customHeight="1">
      <c r="D146" s="1265"/>
      <c r="E146" s="1265"/>
      <c r="F146" s="1265"/>
      <c r="I146" s="391"/>
    </row>
    <row r="147" spans="2:9" ht="13.75" customHeight="1">
      <c r="D147" s="1265"/>
      <c r="E147" s="1265"/>
      <c r="F147" s="1265"/>
      <c r="I147" s="391"/>
    </row>
    <row r="148" spans="2:9" ht="13.75" customHeight="1">
      <c r="D148" s="1265"/>
      <c r="E148" s="1265"/>
      <c r="F148" s="1265"/>
      <c r="I148" s="391"/>
    </row>
    <row r="149" spans="2:9" ht="13.75" customHeight="1">
      <c r="D149" s="1265"/>
      <c r="E149" s="1265"/>
      <c r="F149" s="1265"/>
      <c r="I149" s="391"/>
    </row>
    <row r="150" spans="2:9" ht="13.75" customHeight="1">
      <c r="D150" s="377"/>
      <c r="E150" s="348"/>
      <c r="F150" s="348"/>
      <c r="I150" s="391"/>
    </row>
    <row r="151" spans="2:9" ht="13.75" customHeight="1">
      <c r="B151" s="386" t="s">
        <v>316</v>
      </c>
      <c r="D151" s="1265" t="s">
        <v>344</v>
      </c>
      <c r="E151" s="1265"/>
      <c r="F151" s="1265"/>
      <c r="I151" s="391"/>
    </row>
    <row r="152" spans="2:9" ht="13.75" customHeight="1">
      <c r="D152" s="1265"/>
      <c r="E152" s="1265"/>
      <c r="F152" s="1265"/>
      <c r="I152" s="391"/>
    </row>
    <row r="153" spans="2:9" ht="13.75" customHeight="1">
      <c r="D153" s="1265"/>
      <c r="E153" s="1265"/>
      <c r="F153" s="1265"/>
      <c r="I153" s="391"/>
    </row>
    <row r="154" spans="2:9" ht="13.75" customHeight="1">
      <c r="D154" s="1265"/>
      <c r="E154" s="1265"/>
      <c r="F154" s="1265"/>
      <c r="I154" s="391"/>
    </row>
    <row r="155" spans="2:9" ht="13.75" customHeight="1">
      <c r="D155" s="1265"/>
      <c r="E155" s="1265"/>
      <c r="F155" s="1265"/>
      <c r="I155" s="391"/>
    </row>
    <row r="156" spans="2:9" ht="13.75" customHeight="1">
      <c r="D156" s="1265"/>
      <c r="E156" s="1265"/>
      <c r="F156" s="1265"/>
      <c r="I156" s="391"/>
    </row>
    <row r="157" spans="2:9" ht="13.75" customHeight="1">
      <c r="D157" s="1265"/>
      <c r="E157" s="1265"/>
      <c r="F157" s="1265"/>
      <c r="I157" s="391"/>
    </row>
    <row r="158" spans="2:9" ht="13.75" customHeight="1">
      <c r="D158" s="1265"/>
      <c r="E158" s="1265"/>
      <c r="F158" s="1265"/>
      <c r="I158" s="391"/>
    </row>
    <row r="159" spans="2:9" ht="13.75" customHeight="1">
      <c r="D159" s="1265"/>
      <c r="E159" s="1265"/>
      <c r="F159" s="1265"/>
      <c r="I159" s="391"/>
    </row>
    <row r="160" spans="2:9" ht="13.75" customHeight="1">
      <c r="D160" s="1265"/>
      <c r="E160" s="1265"/>
      <c r="F160" s="1265"/>
      <c r="I160" s="391"/>
    </row>
    <row r="161" spans="1:9" ht="13.75" customHeight="1">
      <c r="D161" s="1265"/>
      <c r="E161" s="1265"/>
      <c r="F161" s="1265"/>
      <c r="I161" s="391"/>
    </row>
    <row r="162" spans="1:9" ht="13.75" customHeight="1">
      <c r="D162" s="1265"/>
      <c r="E162" s="1265"/>
      <c r="F162" s="1265"/>
      <c r="I162" s="391"/>
    </row>
    <row r="163" spans="1:9" ht="13.75" customHeight="1">
      <c r="D163" s="1265"/>
      <c r="E163" s="1265"/>
      <c r="F163" s="1265"/>
      <c r="I163" s="391"/>
    </row>
    <row r="164" spans="1:9" ht="13.75" customHeight="1">
      <c r="D164" s="1265"/>
      <c r="E164" s="1265"/>
      <c r="F164" s="1265"/>
      <c r="I164" s="391"/>
    </row>
    <row r="165" spans="1:9" ht="13.75" customHeight="1">
      <c r="D165" s="1265"/>
      <c r="E165" s="1265"/>
      <c r="F165" s="1265"/>
      <c r="I165" s="391"/>
    </row>
    <row r="166" spans="1:9" ht="13.75" customHeight="1">
      <c r="D166" s="1265"/>
      <c r="E166" s="1265"/>
      <c r="F166" s="1265"/>
      <c r="I166" s="391"/>
    </row>
    <row r="167" spans="1:9" ht="13.75" customHeight="1">
      <c r="D167" s="1265"/>
      <c r="E167" s="1265"/>
      <c r="F167" s="1265"/>
      <c r="I167" s="391"/>
    </row>
    <row r="168" spans="1:9" ht="13.75" customHeight="1">
      <c r="D168" s="1265"/>
      <c r="E168" s="1265"/>
      <c r="F168" s="1265"/>
      <c r="I168" s="391"/>
    </row>
    <row r="169" spans="1:9" ht="13.75" customHeight="1">
      <c r="D169" s="1284" t="s">
        <v>345</v>
      </c>
      <c r="E169" s="1284"/>
      <c r="F169" s="1284"/>
      <c r="G169" s="408"/>
      <c r="I169" s="391"/>
    </row>
    <row r="170" spans="1:9" ht="13.75" customHeight="1">
      <c r="D170" s="1279"/>
      <c r="E170" s="1279"/>
      <c r="F170" s="1279"/>
      <c r="G170" s="1279"/>
      <c r="I170" s="391"/>
    </row>
    <row r="171" spans="1:9" ht="14.5" customHeight="1">
      <c r="A171" s="390"/>
      <c r="B171" s="386" t="s">
        <v>316</v>
      </c>
      <c r="C171" s="377"/>
      <c r="D171" s="1244" t="s">
        <v>346</v>
      </c>
      <c r="E171" s="1244"/>
      <c r="F171" s="1244"/>
      <c r="G171" s="377"/>
      <c r="I171" s="391"/>
    </row>
    <row r="172" spans="1:9" ht="14.5" customHeight="1">
      <c r="A172" s="390"/>
      <c r="B172" s="390"/>
      <c r="C172" s="377"/>
      <c r="D172" s="1244"/>
      <c r="E172" s="1244"/>
      <c r="F172" s="1244"/>
      <c r="G172" s="377"/>
      <c r="I172" s="391"/>
    </row>
    <row r="173" spans="1:9" ht="14.5" customHeight="1">
      <c r="A173" s="390"/>
      <c r="B173" s="390"/>
      <c r="C173" s="377"/>
      <c r="D173" s="1244"/>
      <c r="E173" s="1244"/>
      <c r="F173" s="1244"/>
      <c r="G173" s="377"/>
      <c r="I173" s="391"/>
    </row>
    <row r="174" spans="1:9" ht="14.5" customHeight="1">
      <c r="A174" s="390"/>
      <c r="B174" s="390"/>
      <c r="C174" s="377"/>
      <c r="D174" s="1244"/>
      <c r="E174" s="1244"/>
      <c r="F174" s="1244"/>
      <c r="G174" s="377"/>
      <c r="I174" s="391"/>
    </row>
    <row r="175" spans="1:9" ht="13.75" customHeight="1">
      <c r="A175" s="390"/>
      <c r="B175" s="390"/>
      <c r="C175" s="377"/>
      <c r="D175" s="1244"/>
      <c r="E175" s="1244"/>
      <c r="F175" s="1244"/>
      <c r="G175" s="377"/>
      <c r="I175" s="391"/>
    </row>
    <row r="176" spans="1:9" ht="13.75" customHeight="1">
      <c r="A176" s="390"/>
      <c r="B176" s="390"/>
      <c r="C176" s="377"/>
      <c r="D176" s="377"/>
      <c r="E176" s="377"/>
      <c r="F176" s="377"/>
      <c r="G176" s="377"/>
      <c r="I176" s="391"/>
    </row>
    <row r="177" spans="1:9" ht="13.75" customHeight="1">
      <c r="A177" s="390"/>
      <c r="B177" s="386" t="s">
        <v>316</v>
      </c>
      <c r="C177" s="377"/>
      <c r="D177" s="1244" t="s">
        <v>347</v>
      </c>
      <c r="E177" s="1244"/>
      <c r="F177" s="1244"/>
      <c r="G177" s="377"/>
      <c r="I177" s="391"/>
    </row>
    <row r="178" spans="1:9" ht="13.75" customHeight="1">
      <c r="A178" s="390"/>
      <c r="B178" s="390"/>
      <c r="C178" s="377"/>
      <c r="D178" s="1244"/>
      <c r="E178" s="1244"/>
      <c r="F178" s="1244"/>
      <c r="G178" s="377"/>
      <c r="I178" s="391"/>
    </row>
    <row r="179" spans="1:9" ht="13.75" customHeight="1">
      <c r="A179" s="390"/>
      <c r="B179" s="390"/>
      <c r="C179" s="377"/>
      <c r="D179" s="1244"/>
      <c r="E179" s="1244"/>
      <c r="F179" s="1244"/>
      <c r="G179" s="377"/>
      <c r="I179" s="391"/>
    </row>
    <row r="180" spans="1:9" ht="13.75" customHeight="1">
      <c r="A180" s="390"/>
      <c r="B180" s="390"/>
      <c r="C180" s="377"/>
      <c r="D180" s="1244"/>
      <c r="E180" s="1244"/>
      <c r="F180" s="1244"/>
      <c r="G180" s="377"/>
      <c r="I180" s="391"/>
    </row>
    <row r="181" spans="1:9" ht="13.75" customHeight="1">
      <c r="D181" s="348"/>
      <c r="E181" s="348"/>
      <c r="F181" s="348"/>
      <c r="I181" s="391"/>
    </row>
    <row r="182" spans="1:9" ht="13.75" hidden="1" customHeight="1">
      <c r="B182" s="386" t="s">
        <v>348</v>
      </c>
      <c r="D182" s="1269" t="s">
        <v>349</v>
      </c>
      <c r="E182" s="1269"/>
      <c r="F182" s="1269"/>
      <c r="I182" s="391"/>
    </row>
    <row r="183" spans="1:9" ht="13.75" hidden="1" customHeight="1">
      <c r="D183" s="1269"/>
      <c r="E183" s="1269"/>
      <c r="F183" s="1269"/>
      <c r="I183" s="391"/>
    </row>
    <row r="184" spans="1:9" ht="13.75" hidden="1" customHeight="1">
      <c r="D184" s="1269"/>
      <c r="E184" s="1269"/>
      <c r="F184" s="1269"/>
      <c r="I184" s="391"/>
    </row>
    <row r="185" spans="1:9" ht="13.75" customHeight="1">
      <c r="A185" s="391"/>
      <c r="B185" s="391"/>
      <c r="E185" s="348"/>
      <c r="F185" s="348"/>
      <c r="I185" s="391"/>
    </row>
    <row r="186" spans="1:9">
      <c r="A186" s="1268" t="s">
        <v>350</v>
      </c>
      <c r="B186" s="1268"/>
      <c r="C186" s="1268"/>
      <c r="D186" s="1268"/>
      <c r="E186" s="1268"/>
      <c r="F186" s="1268"/>
      <c r="G186" s="1268"/>
      <c r="H186" s="914"/>
      <c r="I186" s="1036"/>
    </row>
    <row r="187" spans="1:9" ht="12" customHeight="1">
      <c r="D187" s="348"/>
      <c r="E187" s="348"/>
      <c r="F187" s="348"/>
      <c r="I187" s="391"/>
    </row>
    <row r="188" spans="1:9">
      <c r="B188" s="1272" t="s">
        <v>351</v>
      </c>
      <c r="C188" s="1272"/>
      <c r="D188" s="1272"/>
      <c r="E188" s="1272"/>
      <c r="F188" s="1272"/>
      <c r="I188" s="391"/>
    </row>
    <row r="189" spans="1:9">
      <c r="B189" s="295" t="s">
        <v>352</v>
      </c>
      <c r="C189" s="295"/>
      <c r="D189" s="295"/>
      <c r="E189" s="295"/>
      <c r="F189" s="295"/>
      <c r="I189" s="391"/>
    </row>
    <row r="190" spans="1:9" ht="12" customHeight="1">
      <c r="A190" s="383"/>
      <c r="B190" s="383"/>
      <c r="C190" s="383"/>
      <c r="I190" s="391"/>
    </row>
    <row r="191" spans="1:9">
      <c r="A191" s="1268" t="s">
        <v>353</v>
      </c>
      <c r="B191" s="1268"/>
      <c r="C191" s="1268"/>
      <c r="D191" s="1268"/>
      <c r="E191" s="1268"/>
      <c r="F191" s="1268"/>
      <c r="G191" s="1268"/>
      <c r="H191" s="914"/>
      <c r="I191" s="1036"/>
    </row>
    <row r="192" spans="1:9" ht="12" customHeight="1">
      <c r="A192" s="307"/>
      <c r="B192" s="307"/>
      <c r="E192" s="307"/>
      <c r="I192" s="391"/>
    </row>
    <row r="193" spans="1:9" ht="13.75" customHeight="1">
      <c r="A193" s="307"/>
      <c r="B193" s="307"/>
      <c r="D193" s="1267" t="s">
        <v>354</v>
      </c>
      <c r="E193" s="1267"/>
      <c r="F193" s="1267"/>
      <c r="I193" s="391"/>
    </row>
    <row r="194" spans="1:9">
      <c r="A194" s="307"/>
      <c r="B194" s="307"/>
      <c r="D194" s="1267"/>
      <c r="E194" s="1267"/>
      <c r="F194" s="1267"/>
      <c r="I194" s="391"/>
    </row>
    <row r="195" spans="1:9">
      <c r="A195" s="307"/>
      <c r="B195" s="307"/>
      <c r="D195" s="1272" t="s">
        <v>355</v>
      </c>
      <c r="E195" s="1272"/>
      <c r="F195" s="1272"/>
      <c r="I195" s="391"/>
    </row>
    <row r="196" spans="1:9">
      <c r="A196" s="307"/>
      <c r="B196" s="307"/>
      <c r="D196" s="295"/>
      <c r="E196" s="295"/>
      <c r="F196" s="295"/>
      <c r="I196" s="391"/>
    </row>
    <row r="197" spans="1:9">
      <c r="A197" s="307"/>
      <c r="B197" s="386" t="s">
        <v>311</v>
      </c>
      <c r="D197" s="1280" t="s">
        <v>356</v>
      </c>
      <c r="E197" s="1280"/>
      <c r="F197" s="1280"/>
      <c r="I197" s="391"/>
    </row>
    <row r="198" spans="1:9">
      <c r="A198" s="307"/>
      <c r="B198" s="307"/>
      <c r="D198" s="1281" t="s">
        <v>357</v>
      </c>
      <c r="E198" s="1281"/>
      <c r="F198" s="1281"/>
      <c r="I198" s="391"/>
    </row>
    <row r="199" spans="1:9">
      <c r="A199" s="307"/>
      <c r="B199" s="307"/>
      <c r="D199" s="71" t="s">
        <v>358</v>
      </c>
      <c r="E199" s="1282" t="s">
        <v>359</v>
      </c>
      <c r="F199" s="1282"/>
      <c r="I199" s="391"/>
    </row>
    <row r="200" spans="1:9">
      <c r="A200" s="307"/>
      <c r="B200" s="307"/>
      <c r="D200" s="3"/>
      <c r="E200" s="3"/>
      <c r="F200" s="3"/>
      <c r="I200" s="391"/>
    </row>
    <row r="201" spans="1:9">
      <c r="A201" s="307"/>
      <c r="B201" s="386" t="s">
        <v>316</v>
      </c>
      <c r="D201" s="1281" t="s">
        <v>360</v>
      </c>
      <c r="E201" s="1281"/>
      <c r="F201" s="1281"/>
      <c r="I201" s="391"/>
    </row>
    <row r="202" spans="1:9">
      <c r="A202" s="307"/>
      <c r="B202" s="307"/>
      <c r="D202" s="1280" t="s">
        <v>357</v>
      </c>
      <c r="E202" s="1280"/>
      <c r="F202" s="1280"/>
      <c r="I202" s="391"/>
    </row>
    <row r="203" spans="1:9">
      <c r="A203" s="307"/>
      <c r="B203" s="307"/>
      <c r="D203" s="49" t="s">
        <v>361</v>
      </c>
      <c r="E203" s="1282" t="s">
        <v>362</v>
      </c>
      <c r="F203" s="1282"/>
      <c r="I203" s="391"/>
    </row>
    <row r="204" spans="1:9">
      <c r="A204" s="307"/>
      <c r="B204" s="307"/>
      <c r="D204" s="3"/>
      <c r="E204" s="3"/>
      <c r="F204" s="3"/>
      <c r="I204" s="391"/>
    </row>
    <row r="205" spans="1:9">
      <c r="A205" s="307"/>
      <c r="B205" s="386" t="s">
        <v>316</v>
      </c>
      <c r="D205" s="1281" t="s">
        <v>363</v>
      </c>
      <c r="E205" s="1281"/>
      <c r="F205" s="1281"/>
      <c r="I205" s="391"/>
    </row>
    <row r="206" spans="1:9">
      <c r="A206" s="307"/>
      <c r="B206" s="307"/>
      <c r="D206" s="1280" t="s">
        <v>357</v>
      </c>
      <c r="E206" s="1280"/>
      <c r="F206" s="1280"/>
      <c r="I206" s="391"/>
    </row>
    <row r="207" spans="1:9">
      <c r="A207" s="307"/>
      <c r="B207" s="307"/>
      <c r="D207" s="49" t="s">
        <v>358</v>
      </c>
      <c r="E207" s="1282" t="s">
        <v>364</v>
      </c>
      <c r="F207" s="1282"/>
      <c r="I207" s="391"/>
    </row>
    <row r="208" spans="1:9">
      <c r="A208" s="307"/>
      <c r="B208" s="307"/>
      <c r="D208" s="295"/>
      <c r="E208" s="295"/>
      <c r="F208" s="295"/>
      <c r="I208" s="391"/>
    </row>
    <row r="209" spans="1:9" ht="14.25" customHeight="1">
      <c r="A209" s="385"/>
      <c r="B209" s="386" t="s">
        <v>316</v>
      </c>
      <c r="D209" s="289" t="s">
        <v>365</v>
      </c>
      <c r="E209" s="288"/>
      <c r="F209" s="288"/>
      <c r="I209" s="391"/>
    </row>
    <row r="210" spans="1:9">
      <c r="A210" s="385"/>
      <c r="B210" s="385"/>
      <c r="D210" s="1280" t="s">
        <v>357</v>
      </c>
      <c r="E210" s="1280"/>
      <c r="F210" s="1280"/>
      <c r="I210" s="391"/>
    </row>
    <row r="211" spans="1:9">
      <c r="D211" s="288"/>
      <c r="E211" s="1282" t="s">
        <v>366</v>
      </c>
      <c r="F211" s="1282"/>
      <c r="I211" s="391"/>
    </row>
    <row r="212" spans="1:9">
      <c r="D212" s="349"/>
      <c r="I212" s="391"/>
    </row>
    <row r="213" spans="1:9">
      <c r="B213" s="386" t="s">
        <v>316</v>
      </c>
      <c r="D213" s="1281" t="s">
        <v>367</v>
      </c>
      <c r="E213" s="1281"/>
      <c r="F213" s="1281"/>
      <c r="I213" s="391"/>
    </row>
    <row r="214" spans="1:9">
      <c r="D214" s="1280" t="s">
        <v>357</v>
      </c>
      <c r="E214" s="1280"/>
      <c r="F214" s="1280"/>
      <c r="I214" s="391"/>
    </row>
    <row r="215" spans="1:9">
      <c r="D215" s="49" t="s">
        <v>358</v>
      </c>
      <c r="E215" s="1282" t="s">
        <v>368</v>
      </c>
      <c r="F215" s="1282"/>
      <c r="I215" s="391"/>
    </row>
    <row r="216" spans="1:9">
      <c r="D216" s="353"/>
      <c r="E216" s="353"/>
      <c r="F216" s="353"/>
      <c r="I216" s="391"/>
    </row>
    <row r="217" spans="1:9">
      <c r="A217" s="385"/>
      <c r="B217" s="386" t="s">
        <v>316</v>
      </c>
      <c r="D217" s="1265" t="s">
        <v>369</v>
      </c>
      <c r="E217" s="1265"/>
      <c r="F217" s="1265"/>
      <c r="I217" s="391"/>
    </row>
    <row r="218" spans="1:9" ht="14.5" customHeight="1">
      <c r="A218" s="385"/>
      <c r="B218" s="305"/>
      <c r="D218" s="1265"/>
      <c r="E218" s="1265"/>
      <c r="F218" s="1265"/>
      <c r="I218" s="391"/>
    </row>
    <row r="219" spans="1:9">
      <c r="A219" s="385"/>
      <c r="D219" s="1265"/>
      <c r="E219" s="1265"/>
      <c r="F219" s="1265"/>
      <c r="I219" s="391"/>
    </row>
    <row r="220" spans="1:9">
      <c r="A220" s="385"/>
      <c r="D220" s="1265"/>
      <c r="E220" s="1265"/>
      <c r="F220" s="1265"/>
      <c r="I220" s="391"/>
    </row>
    <row r="221" spans="1:9">
      <c r="D221" s="353"/>
      <c r="E221" s="353"/>
      <c r="F221" s="353"/>
      <c r="I221" s="391"/>
    </row>
    <row r="222" spans="1:9">
      <c r="A222" s="1268" t="s">
        <v>370</v>
      </c>
      <c r="B222" s="1268"/>
      <c r="C222" s="1268"/>
      <c r="D222" s="1268"/>
      <c r="E222" s="1268"/>
      <c r="F222" s="1268"/>
      <c r="G222" s="1268"/>
      <c r="H222" s="914"/>
      <c r="I222" s="1036"/>
    </row>
    <row r="223" spans="1:9" ht="12" customHeight="1">
      <c r="D223" s="348"/>
      <c r="E223" s="348"/>
      <c r="F223" s="348"/>
      <c r="I223" s="391"/>
    </row>
    <row r="224" spans="1:9">
      <c r="C224" s="387"/>
      <c r="D224" s="1274" t="s">
        <v>371</v>
      </c>
      <c r="E224" s="1274"/>
      <c r="F224" s="1274"/>
      <c r="I224" s="391"/>
    </row>
    <row r="225" spans="1:9">
      <c r="A225" s="383"/>
      <c r="B225" s="383"/>
      <c r="C225" s="383"/>
      <c r="D225" s="1266" t="s">
        <v>372</v>
      </c>
      <c r="E225" s="1266"/>
      <c r="F225" s="1266"/>
      <c r="I225" s="391"/>
    </row>
    <row r="226" spans="1:9" ht="12" customHeight="1">
      <c r="A226" s="391"/>
      <c r="B226" s="391"/>
      <c r="C226" s="391"/>
      <c r="I226" s="391"/>
    </row>
    <row r="227" spans="1:9" ht="13.75" customHeight="1">
      <c r="A227" s="391"/>
      <c r="C227" s="391"/>
      <c r="D227" s="1274" t="s">
        <v>373</v>
      </c>
      <c r="E227" s="1274"/>
      <c r="F227" s="1274"/>
      <c r="I227" s="391"/>
    </row>
    <row r="228" spans="1:9">
      <c r="A228" s="385"/>
      <c r="B228" s="386" t="s">
        <v>311</v>
      </c>
      <c r="D228" s="1265" t="s">
        <v>374</v>
      </c>
      <c r="E228" s="1265"/>
      <c r="F228" s="1265"/>
      <c r="I228" s="391"/>
    </row>
    <row r="229" spans="1:9" ht="14.25" customHeight="1">
      <c r="A229" s="385"/>
      <c r="B229" s="385"/>
      <c r="D229" s="1265"/>
      <c r="E229" s="1265"/>
      <c r="F229" s="1265"/>
      <c r="I229" s="391"/>
    </row>
    <row r="230" spans="1:9" ht="14.25" customHeight="1">
      <c r="A230" s="385"/>
      <c r="B230" s="385"/>
      <c r="D230" s="1265"/>
      <c r="E230" s="1265"/>
      <c r="F230" s="1265"/>
      <c r="I230" s="391"/>
    </row>
    <row r="231" spans="1:9">
      <c r="A231" s="385"/>
      <c r="B231" s="385"/>
      <c r="D231" s="1265"/>
      <c r="E231" s="1265"/>
      <c r="F231" s="1265"/>
      <c r="I231" s="391"/>
    </row>
    <row r="232" spans="1:9">
      <c r="A232" s="385"/>
      <c r="B232" s="385"/>
      <c r="D232" s="347"/>
      <c r="E232" s="347"/>
      <c r="F232" s="347"/>
      <c r="I232" s="391"/>
    </row>
    <row r="233" spans="1:9">
      <c r="A233" s="385"/>
      <c r="B233" s="386" t="s">
        <v>311</v>
      </c>
      <c r="D233" s="1265" t="s">
        <v>375</v>
      </c>
      <c r="E233" s="1265"/>
      <c r="F233" s="1265"/>
      <c r="I233" s="391"/>
    </row>
    <row r="234" spans="1:9">
      <c r="A234" s="385"/>
      <c r="B234" s="385"/>
      <c r="D234" s="1265"/>
      <c r="E234" s="1265"/>
      <c r="F234" s="1265"/>
      <c r="I234" s="391"/>
    </row>
    <row r="235" spans="1:9">
      <c r="A235" s="385"/>
      <c r="B235" s="385"/>
      <c r="D235" s="1265"/>
      <c r="E235" s="1265"/>
      <c r="F235" s="1265"/>
      <c r="I235" s="391"/>
    </row>
    <row r="236" spans="1:9">
      <c r="A236" s="385"/>
      <c r="B236" s="385"/>
      <c r="D236" s="1265"/>
      <c r="E236" s="1265"/>
      <c r="F236" s="1265"/>
      <c r="I236" s="391"/>
    </row>
    <row r="237" spans="1:9" ht="14.25" customHeight="1">
      <c r="A237" s="385"/>
      <c r="B237" s="385"/>
      <c r="D237" s="1265"/>
      <c r="E237" s="1265"/>
      <c r="F237" s="1265"/>
      <c r="I237" s="391"/>
    </row>
    <row r="238" spans="1:9" ht="14.25" customHeight="1">
      <c r="A238" s="385"/>
      <c r="B238" s="385"/>
      <c r="D238" s="347"/>
      <c r="E238" s="347"/>
      <c r="F238" s="347"/>
      <c r="I238" s="391"/>
    </row>
    <row r="239" spans="1:9">
      <c r="A239" s="385"/>
      <c r="B239" s="385"/>
      <c r="D239" s="1265" t="s">
        <v>376</v>
      </c>
      <c r="E239" s="1265"/>
      <c r="F239" s="1265"/>
      <c r="I239" s="391"/>
    </row>
    <row r="240" spans="1:9">
      <c r="A240" s="385"/>
      <c r="B240" s="385"/>
      <c r="D240" s="1265"/>
      <c r="E240" s="1265"/>
      <c r="F240" s="1265"/>
      <c r="I240" s="391"/>
    </row>
    <row r="241" spans="1:9">
      <c r="A241" s="385"/>
      <c r="B241" s="385"/>
      <c r="D241" s="1265"/>
      <c r="E241" s="1265"/>
      <c r="F241" s="1265"/>
      <c r="I241" s="391"/>
    </row>
    <row r="242" spans="1:9">
      <c r="A242" s="385"/>
      <c r="B242" s="385"/>
      <c r="D242" s="1265"/>
      <c r="E242" s="1265"/>
      <c r="F242" s="1265"/>
      <c r="I242" s="391"/>
    </row>
    <row r="243" spans="1:9">
      <c r="A243" s="385"/>
      <c r="B243" s="385"/>
      <c r="D243" s="1265"/>
      <c r="E243" s="1265"/>
      <c r="F243" s="1265"/>
      <c r="I243" s="391"/>
    </row>
    <row r="244" spans="1:9">
      <c r="A244" s="385"/>
      <c r="B244" s="385"/>
      <c r="D244" s="348"/>
      <c r="E244" s="348"/>
      <c r="F244" s="348"/>
      <c r="I244" s="391"/>
    </row>
    <row r="245" spans="1:9">
      <c r="A245" s="385"/>
      <c r="B245" s="386" t="s">
        <v>311</v>
      </c>
      <c r="D245" s="1265" t="s">
        <v>377</v>
      </c>
      <c r="E245" s="1265"/>
      <c r="F245" s="1265"/>
      <c r="I245" s="391"/>
    </row>
    <row r="246" spans="1:9">
      <c r="A246" s="385"/>
      <c r="B246" s="385"/>
      <c r="D246" s="1265"/>
      <c r="E246" s="1265"/>
      <c r="F246" s="1265"/>
      <c r="I246" s="391"/>
    </row>
    <row r="247" spans="1:9">
      <c r="A247" s="385"/>
      <c r="B247" s="385"/>
      <c r="D247" s="1265"/>
      <c r="E247" s="1265"/>
      <c r="F247" s="1265"/>
      <c r="I247" s="391"/>
    </row>
    <row r="248" spans="1:9">
      <c r="A248" s="385"/>
      <c r="B248" s="385"/>
      <c r="E248" s="922" t="s">
        <v>378</v>
      </c>
      <c r="I248" s="391"/>
    </row>
    <row r="249" spans="1:9">
      <c r="A249" s="385"/>
      <c r="B249" s="385"/>
      <c r="D249" s="348"/>
      <c r="E249" s="348"/>
      <c r="F249" s="348"/>
      <c r="I249" s="391"/>
    </row>
    <row r="250" spans="1:9" ht="14.5" customHeight="1">
      <c r="A250" s="385"/>
      <c r="B250" s="386" t="s">
        <v>311</v>
      </c>
      <c r="D250" s="1265" t="s">
        <v>379</v>
      </c>
      <c r="E250" s="1265"/>
      <c r="F250" s="1265"/>
      <c r="I250" s="391"/>
    </row>
    <row r="251" spans="1:9">
      <c r="A251" s="385"/>
      <c r="B251" s="385"/>
      <c r="D251" s="1265"/>
      <c r="E251" s="1265"/>
      <c r="F251" s="1265"/>
      <c r="I251" s="391"/>
    </row>
    <row r="252" spans="1:9">
      <c r="A252" s="385"/>
      <c r="B252" s="385"/>
      <c r="D252" s="1265"/>
      <c r="E252" s="1265"/>
      <c r="F252" s="1265"/>
      <c r="I252" s="391"/>
    </row>
    <row r="253" spans="1:9">
      <c r="A253" s="385"/>
      <c r="B253" s="385"/>
      <c r="D253" s="1265"/>
      <c r="E253" s="1265"/>
      <c r="F253" s="1265"/>
      <c r="I253" s="391"/>
    </row>
    <row r="254" spans="1:9">
      <c r="A254" s="385"/>
      <c r="B254" s="385"/>
      <c r="D254" s="1265"/>
      <c r="E254" s="1265"/>
      <c r="F254" s="1265"/>
      <c r="I254" s="391"/>
    </row>
    <row r="255" spans="1:9">
      <c r="A255" s="385"/>
      <c r="B255" s="385"/>
      <c r="D255" s="347"/>
      <c r="E255" s="347"/>
      <c r="F255" s="347"/>
      <c r="I255" s="391"/>
    </row>
    <row r="256" spans="1:9">
      <c r="A256" s="385"/>
      <c r="B256" s="386" t="s">
        <v>311</v>
      </c>
      <c r="D256" s="295" t="s">
        <v>380</v>
      </c>
      <c r="E256" s="347"/>
      <c r="F256" s="347"/>
      <c r="I256" s="391"/>
    </row>
    <row r="257" spans="1:9">
      <c r="A257" s="385"/>
      <c r="B257" s="385"/>
      <c r="E257" s="922" t="s">
        <v>381</v>
      </c>
      <c r="I257" s="391"/>
    </row>
    <row r="258" spans="1:9">
      <c r="D258" s="348"/>
      <c r="E258" s="348"/>
      <c r="F258" s="348"/>
      <c r="I258" s="391"/>
    </row>
    <row r="259" spans="1:9">
      <c r="A259" s="385"/>
      <c r="B259" s="386" t="s">
        <v>311</v>
      </c>
      <c r="D259" s="1265" t="s">
        <v>382</v>
      </c>
      <c r="E259" s="1265"/>
      <c r="F259" s="1265"/>
      <c r="I259" s="391"/>
    </row>
    <row r="260" spans="1:9">
      <c r="A260" s="385"/>
      <c r="B260" s="385"/>
      <c r="D260" s="1265"/>
      <c r="E260" s="1265"/>
      <c r="F260" s="1265"/>
      <c r="I260" s="391"/>
    </row>
    <row r="261" spans="1:9">
      <c r="D261" s="392"/>
      <c r="I261" s="391"/>
    </row>
    <row r="262" spans="1:9">
      <c r="A262" s="1268" t="s">
        <v>383</v>
      </c>
      <c r="B262" s="1268"/>
      <c r="C262" s="1268"/>
      <c r="D262" s="1268"/>
      <c r="E262" s="1268"/>
      <c r="F262" s="1268"/>
      <c r="G262" s="1268"/>
      <c r="H262" s="914"/>
      <c r="I262" s="1036"/>
    </row>
    <row r="263" spans="1:9">
      <c r="D263" s="392"/>
      <c r="I263" s="391"/>
    </row>
    <row r="264" spans="1:9">
      <c r="C264" s="387"/>
      <c r="D264" s="1274" t="s">
        <v>384</v>
      </c>
      <c r="E264" s="1274"/>
      <c r="F264" s="1274"/>
      <c r="I264" s="391"/>
    </row>
    <row r="265" spans="1:9">
      <c r="A265" s="383"/>
      <c r="B265" s="383"/>
      <c r="C265" s="383"/>
      <c r="D265" s="348"/>
      <c r="E265" s="348"/>
      <c r="F265" s="348"/>
      <c r="I265" s="391"/>
    </row>
    <row r="266" spans="1:9">
      <c r="A266" s="384"/>
      <c r="B266" s="384"/>
      <c r="C266" s="384"/>
      <c r="D266" s="1274" t="s">
        <v>385</v>
      </c>
      <c r="E266" s="1274"/>
      <c r="F266" s="1274"/>
      <c r="I266" s="391"/>
    </row>
    <row r="267" spans="1:9" ht="14.5" customHeight="1">
      <c r="A267" s="385"/>
      <c r="B267" s="386" t="s">
        <v>311</v>
      </c>
      <c r="D267" s="1265" t="s">
        <v>386</v>
      </c>
      <c r="E267" s="1265"/>
      <c r="F267" s="1265"/>
      <c r="I267" s="391"/>
    </row>
    <row r="268" spans="1:9">
      <c r="D268" s="1265"/>
      <c r="E268" s="1265"/>
      <c r="F268" s="1265"/>
      <c r="I268" s="391"/>
    </row>
    <row r="269" spans="1:9">
      <c r="E269" s="922" t="s">
        <v>387</v>
      </c>
      <c r="I269" s="391"/>
    </row>
    <row r="270" spans="1:9">
      <c r="D270" s="348"/>
      <c r="E270" s="348"/>
      <c r="F270" s="348"/>
      <c r="I270" s="391"/>
    </row>
    <row r="271" spans="1:9" ht="14.5" customHeight="1">
      <c r="A271" s="385"/>
      <c r="B271" s="386" t="s">
        <v>316</v>
      </c>
      <c r="D271" s="1265" t="s">
        <v>388</v>
      </c>
      <c r="E271" s="1265"/>
      <c r="F271" s="1265"/>
      <c r="I271" s="391"/>
    </row>
    <row r="272" spans="1:9">
      <c r="D272" s="1265"/>
      <c r="E272" s="1265"/>
      <c r="F272" s="1265"/>
      <c r="I272" s="391"/>
    </row>
    <row r="273" spans="1:9">
      <c r="D273" s="1265"/>
      <c r="E273" s="1265"/>
      <c r="F273" s="1265"/>
      <c r="I273" s="391"/>
    </row>
    <row r="274" spans="1:9">
      <c r="D274" s="1265"/>
      <c r="E274" s="1265"/>
      <c r="F274" s="1265"/>
      <c r="I274" s="391"/>
    </row>
    <row r="275" spans="1:9">
      <c r="D275" s="1265"/>
      <c r="E275" s="1265"/>
      <c r="F275" s="1265"/>
      <c r="I275" s="391"/>
    </row>
    <row r="276" spans="1:9">
      <c r="D276" s="1265"/>
      <c r="E276" s="1265"/>
      <c r="F276" s="1265"/>
      <c r="I276" s="391"/>
    </row>
    <row r="277" spans="1:9">
      <c r="D277" s="348"/>
      <c r="E277" s="348"/>
      <c r="F277" s="348"/>
      <c r="I277" s="391"/>
    </row>
    <row r="278" spans="1:9">
      <c r="A278" s="385"/>
      <c r="B278" s="386" t="s">
        <v>316</v>
      </c>
      <c r="D278" s="1265" t="s">
        <v>389</v>
      </c>
      <c r="E278" s="1265"/>
      <c r="F278" s="1265"/>
      <c r="I278" s="391"/>
    </row>
    <row r="279" spans="1:9">
      <c r="D279" s="1265"/>
      <c r="E279" s="1265"/>
      <c r="F279" s="1265"/>
      <c r="I279" s="391"/>
    </row>
    <row r="280" spans="1:9">
      <c r="D280" s="1265"/>
      <c r="E280" s="1265"/>
      <c r="F280" s="1265"/>
      <c r="I280" s="391"/>
    </row>
    <row r="281" spans="1:9">
      <c r="D281" s="393"/>
      <c r="E281" s="348"/>
      <c r="F281" s="348"/>
      <c r="I281" s="391"/>
    </row>
    <row r="282" spans="1:9">
      <c r="A282" s="1268" t="s">
        <v>390</v>
      </c>
      <c r="B282" s="1268"/>
      <c r="C282" s="1268"/>
      <c r="D282" s="1268"/>
      <c r="E282" s="1268"/>
      <c r="F282" s="1268"/>
      <c r="G282" s="1268"/>
      <c r="H282" s="914"/>
      <c r="I282" s="1036"/>
    </row>
    <row r="283" spans="1:9">
      <c r="D283" s="393"/>
      <c r="E283" s="348"/>
      <c r="F283" s="348"/>
      <c r="I283" s="391"/>
    </row>
    <row r="284" spans="1:9">
      <c r="C284" s="383"/>
      <c r="D284" s="1267" t="s">
        <v>391</v>
      </c>
      <c r="E284" s="1267"/>
      <c r="F284" s="1267"/>
      <c r="I284" s="391"/>
    </row>
    <row r="285" spans="1:9">
      <c r="C285" s="383"/>
      <c r="D285" s="1267"/>
      <c r="E285" s="1267"/>
      <c r="F285" s="1267"/>
      <c r="I285" s="391"/>
    </row>
    <row r="286" spans="1:9">
      <c r="A286" s="384"/>
      <c r="B286" s="384"/>
      <c r="C286" s="384"/>
      <c r="D286" s="307"/>
      <c r="I286" s="391"/>
    </row>
    <row r="287" spans="1:9">
      <c r="C287" s="384"/>
      <c r="D287" s="1274" t="s">
        <v>392</v>
      </c>
      <c r="E287" s="1274"/>
      <c r="F287" s="1274"/>
      <c r="I287" s="391"/>
    </row>
    <row r="288" spans="1:9" ht="15.75" customHeight="1">
      <c r="A288" s="385"/>
      <c r="B288" s="385"/>
      <c r="D288" s="1277" t="s">
        <v>393</v>
      </c>
      <c r="E288" s="1277"/>
      <c r="F288" s="1277"/>
      <c r="I288" s="391"/>
    </row>
    <row r="289" spans="1:9">
      <c r="E289" s="348"/>
      <c r="F289" s="348"/>
      <c r="I289" s="391"/>
    </row>
    <row r="290" spans="1:9">
      <c r="A290" s="385"/>
      <c r="B290" s="386" t="s">
        <v>316</v>
      </c>
      <c r="D290" s="1265" t="s">
        <v>394</v>
      </c>
      <c r="E290" s="1265"/>
      <c r="F290" s="1265"/>
      <c r="I290" s="391"/>
    </row>
    <row r="291" spans="1:9">
      <c r="A291" s="385"/>
      <c r="B291" s="385"/>
      <c r="D291" s="1265"/>
      <c r="E291" s="1265"/>
      <c r="F291" s="1265"/>
      <c r="I291" s="391"/>
    </row>
    <row r="292" spans="1:9">
      <c r="D292" s="348"/>
      <c r="E292" s="348"/>
      <c r="F292" s="348"/>
      <c r="I292" s="391"/>
    </row>
    <row r="293" spans="1:9">
      <c r="A293" s="385"/>
      <c r="B293" s="386" t="s">
        <v>316</v>
      </c>
      <c r="D293" s="1265" t="s">
        <v>395</v>
      </c>
      <c r="E293" s="1265"/>
      <c r="F293" s="1265"/>
      <c r="I293" s="391"/>
    </row>
    <row r="294" spans="1:9">
      <c r="A294" s="385"/>
      <c r="B294" s="385"/>
      <c r="D294" s="1265"/>
      <c r="E294" s="1265"/>
      <c r="F294" s="1265"/>
      <c r="I294" s="391"/>
    </row>
    <row r="295" spans="1:9">
      <c r="A295" s="385"/>
      <c r="B295" s="385"/>
      <c r="D295" s="1265"/>
      <c r="E295" s="1265"/>
      <c r="F295" s="1265"/>
      <c r="I295" s="391"/>
    </row>
    <row r="296" spans="1:9">
      <c r="D296" s="348"/>
      <c r="E296" s="348"/>
      <c r="F296" s="348"/>
      <c r="I296" s="391"/>
    </row>
    <row r="297" spans="1:9">
      <c r="A297" s="385"/>
      <c r="B297" s="386" t="s">
        <v>316</v>
      </c>
      <c r="D297" s="1265" t="s">
        <v>396</v>
      </c>
      <c r="E297" s="1265"/>
      <c r="F297" s="1265"/>
      <c r="I297" s="391"/>
    </row>
    <row r="298" spans="1:9">
      <c r="A298" s="385"/>
      <c r="B298" s="385"/>
      <c r="D298" s="1265"/>
      <c r="E298" s="1265"/>
      <c r="F298" s="1265"/>
      <c r="I298" s="391"/>
    </row>
    <row r="299" spans="1:9">
      <c r="A299" s="391"/>
      <c r="B299" s="391"/>
      <c r="E299" s="348"/>
      <c r="F299" s="348"/>
      <c r="I299" s="391"/>
    </row>
    <row r="300" spans="1:9">
      <c r="A300" s="1268" t="s">
        <v>397</v>
      </c>
      <c r="B300" s="1268"/>
      <c r="C300" s="1268"/>
      <c r="D300" s="1268"/>
      <c r="E300" s="1268"/>
      <c r="F300" s="1268"/>
      <c r="G300" s="1268"/>
      <c r="H300" s="914"/>
      <c r="I300" s="1036"/>
    </row>
    <row r="301" spans="1:9">
      <c r="A301" s="391"/>
      <c r="B301" s="391"/>
      <c r="D301" s="348"/>
      <c r="E301" s="348"/>
      <c r="F301" s="348"/>
      <c r="I301" s="391"/>
    </row>
    <row r="302" spans="1:9">
      <c r="C302" s="391"/>
      <c r="D302" s="1274" t="s">
        <v>398</v>
      </c>
      <c r="E302" s="1274"/>
      <c r="F302" s="1274"/>
      <c r="I302" s="391"/>
    </row>
    <row r="303" spans="1:9">
      <c r="C303" s="391"/>
      <c r="D303" s="1266" t="s">
        <v>399</v>
      </c>
      <c r="E303" s="1266"/>
      <c r="F303" s="1266"/>
      <c r="I303" s="391"/>
    </row>
    <row r="304" spans="1:9">
      <c r="C304" s="391"/>
      <c r="D304" s="394"/>
      <c r="I304" s="391"/>
    </row>
    <row r="305" spans="1:9">
      <c r="B305" s="386" t="s">
        <v>316</v>
      </c>
      <c r="D305" s="1266" t="s">
        <v>400</v>
      </c>
      <c r="E305" s="1266"/>
      <c r="F305" s="1266"/>
      <c r="I305" s="391"/>
    </row>
    <row r="306" spans="1:9">
      <c r="A306" s="385"/>
      <c r="B306" s="385"/>
      <c r="D306" s="395"/>
      <c r="E306" s="396"/>
      <c r="F306" s="396"/>
      <c r="I306" s="391"/>
    </row>
    <row r="307" spans="1:9" ht="13.75" customHeight="1">
      <c r="B307" s="386" t="s">
        <v>316</v>
      </c>
      <c r="D307" s="1289" t="s">
        <v>401</v>
      </c>
      <c r="E307" s="1289"/>
      <c r="F307" s="1289"/>
      <c r="I307" s="391"/>
    </row>
    <row r="308" spans="1:9">
      <c r="A308" s="385"/>
      <c r="B308" s="385"/>
      <c r="D308" s="1289"/>
      <c r="E308" s="1289"/>
      <c r="F308" s="1289"/>
      <c r="I308" s="391"/>
    </row>
    <row r="309" spans="1:9">
      <c r="A309" s="385"/>
      <c r="B309" s="385"/>
      <c r="D309" s="1289"/>
      <c r="E309" s="1289"/>
      <c r="F309" s="1289"/>
      <c r="I309" s="391"/>
    </row>
    <row r="310" spans="1:9">
      <c r="A310" s="385"/>
      <c r="B310" s="385"/>
      <c r="D310" s="1289"/>
      <c r="E310" s="1289"/>
      <c r="F310" s="1289"/>
      <c r="I310" s="391"/>
    </row>
    <row r="311" spans="1:9">
      <c r="A311" s="385"/>
      <c r="B311" s="385"/>
      <c r="D311" s="1289"/>
      <c r="E311" s="1289"/>
      <c r="F311" s="1289"/>
      <c r="I311" s="391"/>
    </row>
    <row r="312" spans="1:9">
      <c r="A312" s="385"/>
      <c r="B312" s="385"/>
      <c r="D312" s="395"/>
      <c r="E312" s="396"/>
      <c r="F312" s="396"/>
      <c r="I312" s="391"/>
    </row>
    <row r="313" spans="1:9" ht="13.75" customHeight="1">
      <c r="B313" s="386" t="s">
        <v>316</v>
      </c>
      <c r="D313" s="1289" t="s">
        <v>402</v>
      </c>
      <c r="E313" s="1289"/>
      <c r="F313" s="1289"/>
      <c r="I313" s="391"/>
    </row>
    <row r="314" spans="1:9">
      <c r="D314" s="1289"/>
      <c r="E314" s="1289"/>
      <c r="F314" s="1289"/>
      <c r="I314" s="391"/>
    </row>
    <row r="315" spans="1:9">
      <c r="A315" s="385"/>
      <c r="B315" s="385"/>
      <c r="D315" s="395"/>
      <c r="E315" s="396"/>
      <c r="F315" s="396"/>
      <c r="I315" s="391"/>
    </row>
    <row r="316" spans="1:9">
      <c r="B316" s="386" t="s">
        <v>316</v>
      </c>
      <c r="D316" s="1266" t="s">
        <v>403</v>
      </c>
      <c r="E316" s="1266"/>
      <c r="F316" s="1266"/>
      <c r="I316" s="391"/>
    </row>
    <row r="317" spans="1:9">
      <c r="E317" s="348"/>
      <c r="F317" s="348"/>
      <c r="I317" s="391"/>
    </row>
    <row r="318" spans="1:9">
      <c r="A318" s="385"/>
      <c r="B318" s="386" t="s">
        <v>316</v>
      </c>
      <c r="D318" s="1265" t="s">
        <v>404</v>
      </c>
      <c r="E318" s="1265"/>
      <c r="F318" s="1265"/>
      <c r="I318" s="391"/>
    </row>
    <row r="319" spans="1:9">
      <c r="A319" s="385"/>
      <c r="B319" s="385"/>
      <c r="D319" s="1265"/>
      <c r="E319" s="1265"/>
      <c r="F319" s="1265"/>
      <c r="I319" s="391"/>
    </row>
    <row r="320" spans="1:9">
      <c r="A320" s="385"/>
      <c r="B320" s="385"/>
      <c r="D320" s="1265"/>
      <c r="E320" s="1265"/>
      <c r="F320" s="1265"/>
      <c r="I320" s="391"/>
    </row>
    <row r="321" spans="1:9">
      <c r="A321" s="385"/>
      <c r="B321" s="385"/>
      <c r="D321" s="1265"/>
      <c r="E321" s="1265"/>
      <c r="F321" s="1265"/>
      <c r="I321" s="391"/>
    </row>
    <row r="322" spans="1:9">
      <c r="A322" s="385"/>
      <c r="B322" s="385"/>
      <c r="D322" s="1265"/>
      <c r="E322" s="1265"/>
      <c r="F322" s="1265"/>
      <c r="I322" s="391"/>
    </row>
    <row r="323" spans="1:9">
      <c r="A323" s="385"/>
      <c r="B323" s="385"/>
      <c r="D323" s="1265"/>
      <c r="E323" s="1265"/>
      <c r="F323" s="1265"/>
      <c r="I323" s="391"/>
    </row>
    <row r="324" spans="1:9">
      <c r="A324" s="385"/>
      <c r="B324" s="385"/>
      <c r="D324" s="1265"/>
      <c r="E324" s="1265"/>
      <c r="F324" s="1265"/>
      <c r="I324" s="391"/>
    </row>
    <row r="325" spans="1:9">
      <c r="A325" s="385"/>
      <c r="B325" s="385"/>
      <c r="D325" s="1265"/>
      <c r="E325" s="1265"/>
      <c r="F325" s="1265"/>
      <c r="I325" s="391"/>
    </row>
    <row r="326" spans="1:9">
      <c r="A326" s="385"/>
      <c r="B326" s="385"/>
      <c r="D326" s="1265"/>
      <c r="E326" s="1265"/>
      <c r="F326" s="1265"/>
      <c r="I326" s="391"/>
    </row>
    <row r="327" spans="1:9">
      <c r="A327" s="385"/>
      <c r="B327" s="385"/>
      <c r="D327" s="1265"/>
      <c r="E327" s="1265"/>
      <c r="F327" s="1265"/>
      <c r="I327" s="391"/>
    </row>
    <row r="328" spans="1:9">
      <c r="A328" s="385"/>
      <c r="B328" s="385"/>
      <c r="D328" s="1265"/>
      <c r="E328" s="1265"/>
      <c r="F328" s="1265"/>
      <c r="I328" s="391"/>
    </row>
    <row r="329" spans="1:9">
      <c r="A329" s="385"/>
      <c r="B329" s="385"/>
      <c r="D329" s="1265"/>
      <c r="E329" s="1265"/>
      <c r="F329" s="1265"/>
      <c r="I329" s="391"/>
    </row>
    <row r="330" spans="1:9">
      <c r="A330" s="385"/>
      <c r="B330" s="385"/>
      <c r="D330" s="1265"/>
      <c r="E330" s="1265"/>
      <c r="F330" s="1265"/>
      <c r="I330" s="391"/>
    </row>
    <row r="331" spans="1:9">
      <c r="A331" s="385"/>
      <c r="B331" s="385"/>
      <c r="D331" s="1265"/>
      <c r="E331" s="1265"/>
      <c r="F331" s="1265"/>
      <c r="I331" s="391"/>
    </row>
    <row r="332" spans="1:9">
      <c r="A332" s="385"/>
      <c r="B332" s="385"/>
      <c r="D332" s="1265"/>
      <c r="E332" s="1265"/>
      <c r="F332" s="1265"/>
      <c r="I332" s="391"/>
    </row>
    <row r="333" spans="1:9">
      <c r="D333" s="348"/>
      <c r="E333" s="348"/>
      <c r="F333" s="348"/>
      <c r="I333" s="391"/>
    </row>
    <row r="334" spans="1:9">
      <c r="A334" s="385"/>
      <c r="B334" s="386" t="s">
        <v>316</v>
      </c>
      <c r="D334" s="1265" t="s">
        <v>405</v>
      </c>
      <c r="E334" s="1265"/>
      <c r="F334" s="1265"/>
      <c r="I334" s="391"/>
    </row>
    <row r="335" spans="1:9">
      <c r="D335" s="1265"/>
      <c r="E335" s="1265"/>
      <c r="F335" s="1265"/>
      <c r="I335" s="391"/>
    </row>
    <row r="336" spans="1:9">
      <c r="D336" s="1265"/>
      <c r="E336" s="1265"/>
      <c r="F336" s="1265"/>
      <c r="I336" s="391"/>
    </row>
    <row r="337" spans="1:9">
      <c r="D337" s="1265"/>
      <c r="E337" s="1265"/>
      <c r="F337" s="1265"/>
      <c r="I337" s="391"/>
    </row>
    <row r="338" spans="1:9">
      <c r="D338" s="1265"/>
      <c r="E338" s="1265"/>
      <c r="F338" s="1265"/>
      <c r="I338" s="391"/>
    </row>
    <row r="339" spans="1:9">
      <c r="D339" s="1265"/>
      <c r="E339" s="1265"/>
      <c r="F339" s="1265"/>
      <c r="I339" s="391"/>
    </row>
    <row r="340" spans="1:9">
      <c r="D340" s="1265"/>
      <c r="E340" s="1265"/>
      <c r="F340" s="1265"/>
      <c r="I340" s="391"/>
    </row>
    <row r="341" spans="1:9">
      <c r="D341" s="1265"/>
      <c r="E341" s="1265"/>
      <c r="F341" s="1265"/>
      <c r="I341" s="391"/>
    </row>
    <row r="342" spans="1:9">
      <c r="D342" s="1265"/>
      <c r="E342" s="1265"/>
      <c r="F342" s="1265"/>
      <c r="I342" s="391"/>
    </row>
    <row r="343" spans="1:9">
      <c r="D343" s="348"/>
      <c r="E343" s="348"/>
      <c r="F343" s="348"/>
      <c r="I343" s="391"/>
    </row>
    <row r="344" spans="1:9" ht="14.25" customHeight="1">
      <c r="A344" s="385"/>
      <c r="B344" s="386" t="s">
        <v>316</v>
      </c>
      <c r="D344" s="1265" t="s">
        <v>406</v>
      </c>
      <c r="E344" s="1265"/>
      <c r="F344" s="1265"/>
      <c r="I344" s="391"/>
    </row>
    <row r="345" spans="1:9">
      <c r="D345" s="1265"/>
      <c r="E345" s="1265"/>
      <c r="F345" s="1265"/>
      <c r="I345" s="391"/>
    </row>
    <row r="346" spans="1:9">
      <c r="D346" s="1265"/>
      <c r="E346" s="1265"/>
      <c r="F346" s="1265"/>
      <c r="I346" s="391"/>
    </row>
    <row r="347" spans="1:9">
      <c r="D347" s="1265"/>
      <c r="E347" s="1265"/>
      <c r="F347" s="1265"/>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298" t="s">
        <v>408</v>
      </c>
      <c r="E351" s="1298"/>
      <c r="F351" s="1298"/>
      <c r="G351" s="913"/>
      <c r="H351" s="913"/>
      <c r="I351" s="1039"/>
    </row>
    <row r="352" spans="1:9" ht="13.5" thickTop="1">
      <c r="D352" s="1297" t="s">
        <v>409</v>
      </c>
      <c r="E352" s="1297"/>
      <c r="F352" s="1297"/>
      <c r="I352" s="391"/>
    </row>
    <row r="353" spans="1:9">
      <c r="D353" s="348"/>
      <c r="E353" s="348"/>
      <c r="F353" s="348"/>
      <c r="I353" s="391"/>
    </row>
    <row r="354" spans="1:9">
      <c r="A354" s="377"/>
      <c r="B354" s="377"/>
      <c r="C354" s="377"/>
      <c r="D354" s="349"/>
      <c r="E354" s="349"/>
      <c r="F354" s="348"/>
      <c r="I354" s="391"/>
    </row>
    <row r="355" spans="1:9">
      <c r="A355" s="385"/>
      <c r="B355" s="386" t="s">
        <v>316</v>
      </c>
      <c r="C355" s="388"/>
      <c r="D355" s="1266" t="s">
        <v>410</v>
      </c>
      <c r="E355" s="1266"/>
      <c r="F355" s="1266"/>
      <c r="I355" s="391"/>
    </row>
    <row r="356" spans="1:9" ht="12.75" customHeight="1">
      <c r="D356" s="923"/>
      <c r="E356" s="71" t="s">
        <v>411</v>
      </c>
      <c r="F356" s="923"/>
      <c r="I356" s="391"/>
    </row>
    <row r="357" spans="1:9">
      <c r="D357" s="1265" t="s">
        <v>412</v>
      </c>
      <c r="E357" s="1265"/>
      <c r="F357" s="1265"/>
      <c r="I357" s="391"/>
    </row>
    <row r="358" spans="1:9">
      <c r="D358" s="1265"/>
      <c r="E358" s="1265"/>
      <c r="F358" s="1265"/>
      <c r="I358" s="391"/>
    </row>
    <row r="359" spans="1:9">
      <c r="D359" s="1265"/>
      <c r="E359" s="1265"/>
      <c r="F359" s="1265"/>
      <c r="I359" s="391"/>
    </row>
    <row r="360" spans="1:9">
      <c r="A360" s="385"/>
      <c r="B360" s="386" t="s">
        <v>316</v>
      </c>
      <c r="C360" s="377"/>
      <c r="D360" s="1279" t="s">
        <v>413</v>
      </c>
      <c r="E360" s="1279"/>
      <c r="F360" s="1279"/>
      <c r="I360" s="381"/>
    </row>
    <row r="361" spans="1:9">
      <c r="A361" s="377"/>
      <c r="B361" s="377"/>
      <c r="C361" s="377"/>
      <c r="D361" s="349"/>
      <c r="E361" s="349"/>
      <c r="F361" s="348"/>
      <c r="I361" s="391"/>
    </row>
    <row r="362" spans="1:9">
      <c r="A362" s="377"/>
      <c r="B362" s="386" t="s">
        <v>316</v>
      </c>
      <c r="C362" s="377"/>
      <c r="D362" s="1244" t="s">
        <v>414</v>
      </c>
      <c r="E362" s="1244"/>
      <c r="F362" s="1244"/>
      <c r="I362" s="391"/>
    </row>
    <row r="363" spans="1:9">
      <c r="A363" s="377"/>
      <c r="B363" s="377"/>
      <c r="C363" s="377"/>
      <c r="D363" s="1244"/>
      <c r="E363" s="1244"/>
      <c r="F363" s="1244"/>
      <c r="I363" s="391"/>
    </row>
    <row r="364" spans="1:9">
      <c r="A364" s="377"/>
      <c r="B364" s="377"/>
      <c r="C364" s="377"/>
      <c r="D364" s="1244"/>
      <c r="E364" s="1244"/>
      <c r="F364" s="1244"/>
      <c r="I364" s="391"/>
    </row>
    <row r="365" spans="1:9">
      <c r="A365" s="377"/>
      <c r="B365" s="377"/>
      <c r="C365" s="377"/>
      <c r="D365" s="1244"/>
      <c r="E365" s="1244"/>
      <c r="F365" s="1244"/>
      <c r="I365" s="391"/>
    </row>
    <row r="366" spans="1:9">
      <c r="A366" s="377"/>
      <c r="B366" s="377"/>
      <c r="C366" s="377"/>
      <c r="D366" s="1244"/>
      <c r="E366" s="1244"/>
      <c r="F366" s="1244"/>
      <c r="I366" s="391"/>
    </row>
    <row r="367" spans="1:9">
      <c r="A367" s="377"/>
      <c r="B367" s="377"/>
      <c r="C367" s="377"/>
      <c r="D367" s="1244"/>
      <c r="E367" s="1244"/>
      <c r="F367" s="1244"/>
      <c r="I367" s="391"/>
    </row>
    <row r="368" spans="1:9">
      <c r="A368" s="377"/>
      <c r="B368" s="377"/>
      <c r="C368" s="377"/>
      <c r="D368" s="1244"/>
      <c r="E368" s="1244"/>
      <c r="F368" s="1244"/>
      <c r="I368" s="391"/>
    </row>
    <row r="369" spans="1:9">
      <c r="A369" s="377"/>
      <c r="B369" s="377"/>
      <c r="C369" s="377"/>
      <c r="D369" s="1244"/>
      <c r="E369" s="1244"/>
      <c r="F369" s="1244"/>
      <c r="I369" s="391"/>
    </row>
    <row r="370" spans="1:9">
      <c r="A370" s="377"/>
      <c r="B370" s="377"/>
      <c r="C370" s="377"/>
      <c r="D370" s="1244"/>
      <c r="E370" s="1244"/>
      <c r="F370" s="1244"/>
      <c r="I370" s="391"/>
    </row>
    <row r="371" spans="1:9">
      <c r="A371" s="377"/>
      <c r="B371" s="377"/>
      <c r="C371" s="377"/>
      <c r="D371" s="1244"/>
      <c r="E371" s="1244"/>
      <c r="F371" s="1244"/>
      <c r="I371" s="391"/>
    </row>
    <row r="372" spans="1:9">
      <c r="A372" s="377"/>
      <c r="B372" s="377"/>
      <c r="C372" s="377"/>
      <c r="D372" s="1244"/>
      <c r="E372" s="1244"/>
      <c r="F372" s="1244"/>
      <c r="I372" s="391"/>
    </row>
    <row r="373" spans="1:9">
      <c r="A373" s="377"/>
      <c r="B373" s="377"/>
      <c r="C373" s="377"/>
      <c r="D373" s="1244"/>
      <c r="E373" s="1244"/>
      <c r="F373" s="1244"/>
      <c r="I373" s="391"/>
    </row>
    <row r="374" spans="1:9">
      <c r="A374" s="377"/>
      <c r="B374" s="377"/>
      <c r="C374" s="377"/>
      <c r="D374" s="353"/>
      <c r="E374" s="353"/>
      <c r="F374" s="353"/>
      <c r="I374" s="391"/>
    </row>
    <row r="375" spans="1:9" ht="12.75" customHeight="1">
      <c r="A375" s="377"/>
      <c r="B375" s="386" t="s">
        <v>316</v>
      </c>
      <c r="C375" s="377"/>
      <c r="D375" s="1261" t="s">
        <v>415</v>
      </c>
      <c r="E375" s="1261"/>
      <c r="F375" s="1261"/>
      <c r="I375" s="391"/>
    </row>
    <row r="376" spans="1:9">
      <c r="A376" s="377"/>
      <c r="B376" s="377"/>
      <c r="C376" s="377"/>
      <c r="D376" s="1261"/>
      <c r="E376" s="1261"/>
      <c r="F376" s="1261"/>
      <c r="I376" s="391"/>
    </row>
    <row r="377" spans="1:9">
      <c r="A377" s="377"/>
      <c r="B377" s="377"/>
      <c r="C377" s="377"/>
      <c r="D377" s="1261"/>
      <c r="E377" s="1261"/>
      <c r="F377" s="1261"/>
      <c r="I377" s="391"/>
    </row>
    <row r="378" spans="1:9">
      <c r="A378" s="377"/>
      <c r="B378" s="377"/>
      <c r="C378" s="377"/>
      <c r="D378" s="1261"/>
      <c r="E378" s="1261"/>
      <c r="F378" s="1261"/>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c r="A387" s="385"/>
      <c r="B387" s="386" t="s">
        <v>316</v>
      </c>
      <c r="C387" s="377"/>
      <c r="D387" s="1244" t="s">
        <v>422</v>
      </c>
      <c r="E387" s="1244"/>
      <c r="F387" s="1244"/>
      <c r="I387" s="391"/>
    </row>
    <row r="388" spans="1:9">
      <c r="A388" s="377"/>
      <c r="B388" s="377"/>
      <c r="C388" s="377"/>
      <c r="D388" s="1244"/>
      <c r="E388" s="1244"/>
      <c r="F388" s="1244"/>
      <c r="I388" s="391"/>
    </row>
    <row r="389" spans="1:9">
      <c r="A389" s="377"/>
      <c r="B389" s="377"/>
      <c r="C389" s="377"/>
      <c r="D389" s="1244"/>
      <c r="E389" s="1244"/>
      <c r="F389" s="1244"/>
      <c r="I389" s="391"/>
    </row>
    <row r="390" spans="1:9">
      <c r="A390" s="377"/>
      <c r="B390" s="377"/>
      <c r="C390" s="377"/>
      <c r="D390" s="1244"/>
      <c r="E390" s="1244"/>
      <c r="F390" s="1244"/>
      <c r="I390" s="391"/>
    </row>
    <row r="391" spans="1:9">
      <c r="A391" s="377"/>
      <c r="B391" s="377"/>
      <c r="C391" s="377"/>
      <c r="D391" s="349"/>
      <c r="E391" s="349"/>
      <c r="F391" s="348"/>
      <c r="I391" s="391"/>
    </row>
    <row r="392" spans="1:9">
      <c r="A392" s="377"/>
      <c r="B392" s="377"/>
      <c r="C392" s="377"/>
      <c r="D392" s="1244" t="s">
        <v>423</v>
      </c>
      <c r="E392" s="1244"/>
      <c r="F392" s="1244"/>
      <c r="I392" s="391"/>
    </row>
    <row r="393" spans="1:9">
      <c r="A393" s="377"/>
      <c r="B393" s="377"/>
      <c r="C393" s="377"/>
      <c r="D393" s="1244"/>
      <c r="E393" s="1244"/>
      <c r="F393" s="1244"/>
      <c r="I393" s="391"/>
    </row>
    <row r="394" spans="1:9">
      <c r="A394" s="377"/>
      <c r="B394" s="377"/>
      <c r="C394" s="377"/>
      <c r="D394" s="1244"/>
      <c r="E394" s="1244"/>
      <c r="F394" s="1244"/>
      <c r="I394" s="391"/>
    </row>
    <row r="395" spans="1:9">
      <c r="A395" s="377"/>
      <c r="B395" s="377"/>
      <c r="C395" s="377"/>
      <c r="D395" s="1244"/>
      <c r="E395" s="1244"/>
      <c r="F395" s="1244"/>
      <c r="I395" s="391"/>
    </row>
    <row r="396" spans="1:9" ht="18" customHeight="1">
      <c r="A396" s="377"/>
      <c r="B396" s="377"/>
      <c r="C396" s="377"/>
      <c r="D396" s="1244"/>
      <c r="E396" s="1244"/>
      <c r="F396" s="1244"/>
      <c r="I396" s="391"/>
    </row>
    <row r="397" spans="1:9">
      <c r="A397" s="377"/>
      <c r="B397" s="377"/>
      <c r="C397" s="377"/>
      <c r="D397" s="1244"/>
      <c r="E397" s="1244"/>
      <c r="F397" s="1244"/>
      <c r="I397" s="391"/>
    </row>
    <row r="398" spans="1:9">
      <c r="A398" s="377"/>
      <c r="B398" s="377"/>
      <c r="C398" s="377"/>
      <c r="D398" s="1244"/>
      <c r="E398" s="1244"/>
      <c r="F398" s="1244"/>
      <c r="I398" s="391"/>
    </row>
    <row r="399" spans="1:9">
      <c r="A399" s="377"/>
      <c r="B399" s="377"/>
      <c r="C399" s="377"/>
      <c r="D399" s="1244"/>
      <c r="E399" s="1244"/>
      <c r="F399" s="1244"/>
      <c r="I399" s="391"/>
    </row>
    <row r="400" spans="1:9" ht="8.25" customHeight="1">
      <c r="A400" s="377"/>
      <c r="B400" s="377"/>
      <c r="C400" s="377"/>
      <c r="D400" s="1244"/>
      <c r="E400" s="1244"/>
      <c r="F400" s="1244"/>
      <c r="I400" s="391"/>
    </row>
    <row r="401" spans="1:9" ht="13.75" customHeight="1">
      <c r="A401" s="377"/>
      <c r="B401" s="377"/>
      <c r="C401" s="377"/>
      <c r="D401" s="1244" t="s">
        <v>424</v>
      </c>
      <c r="E401" s="1244"/>
      <c r="F401" s="1244"/>
      <c r="I401" s="391"/>
    </row>
    <row r="402" spans="1:9">
      <c r="A402" s="377"/>
      <c r="B402" s="377"/>
      <c r="C402" s="377"/>
      <c r="D402" s="1244"/>
      <c r="E402" s="1244"/>
      <c r="F402" s="1244"/>
      <c r="I402" s="391"/>
    </row>
    <row r="403" spans="1:9">
      <c r="A403" s="377"/>
      <c r="B403" s="377"/>
      <c r="C403" s="377"/>
      <c r="D403" s="1244"/>
      <c r="E403" s="1244"/>
      <c r="F403" s="1244"/>
      <c r="I403" s="391"/>
    </row>
    <row r="404" spans="1:9">
      <c r="A404" s="377"/>
      <c r="B404" s="377"/>
      <c r="C404" s="377"/>
      <c r="D404" s="1244"/>
      <c r="E404" s="1244"/>
      <c r="F404" s="1244"/>
      <c r="I404" s="391"/>
    </row>
    <row r="405" spans="1:9">
      <c r="A405" s="377"/>
      <c r="B405" s="377"/>
      <c r="C405" s="377"/>
      <c r="D405" s="1244"/>
      <c r="E405" s="1244"/>
      <c r="F405" s="1244"/>
      <c r="I405" s="391"/>
    </row>
    <row r="406" spans="1:9">
      <c r="A406" s="377"/>
      <c r="B406" s="377"/>
      <c r="C406" s="377"/>
      <c r="D406" s="1244"/>
      <c r="E406" s="1244"/>
      <c r="F406" s="1244"/>
      <c r="I406" s="391"/>
    </row>
    <row r="407" spans="1:9">
      <c r="A407" s="377"/>
      <c r="B407" s="377"/>
      <c r="C407" s="377"/>
      <c r="D407" s="1244"/>
      <c r="E407" s="1244"/>
      <c r="F407" s="1244"/>
      <c r="I407" s="391"/>
    </row>
    <row r="408" spans="1:9">
      <c r="A408" s="377"/>
      <c r="B408" s="377"/>
      <c r="C408" s="377"/>
      <c r="D408" s="1244"/>
      <c r="E408" s="1244"/>
      <c r="F408" s="1244"/>
      <c r="I408" s="391"/>
    </row>
    <row r="409" spans="1:9">
      <c r="A409" s="377"/>
      <c r="B409" s="377"/>
      <c r="C409" s="377"/>
      <c r="D409" s="1244"/>
      <c r="E409" s="1244"/>
      <c r="F409" s="1244"/>
      <c r="I409" s="391"/>
    </row>
    <row r="410" spans="1:9">
      <c r="A410" s="377"/>
      <c r="B410" s="377"/>
      <c r="C410" s="377"/>
      <c r="D410" s="1244"/>
      <c r="E410" s="1244"/>
      <c r="F410" s="1244"/>
      <c r="I410" s="391"/>
    </row>
    <row r="411" spans="1:9">
      <c r="A411" s="377"/>
      <c r="B411" s="377"/>
      <c r="C411" s="377"/>
      <c r="D411" s="1244"/>
      <c r="E411" s="1244"/>
      <c r="F411" s="1244"/>
      <c r="I411" s="391"/>
    </row>
    <row r="412" spans="1:9">
      <c r="A412" s="377"/>
      <c r="B412" s="377"/>
      <c r="C412" s="377"/>
      <c r="D412" s="1244"/>
      <c r="E412" s="1244"/>
      <c r="F412" s="1244"/>
      <c r="I412" s="391"/>
    </row>
    <row r="413" spans="1:9">
      <c r="A413" s="377"/>
      <c r="B413" s="377"/>
      <c r="C413" s="397"/>
      <c r="D413" s="1244"/>
      <c r="E413" s="1244"/>
      <c r="F413" s="1244"/>
      <c r="I413" s="391"/>
    </row>
    <row r="414" spans="1:9">
      <c r="A414" s="377"/>
      <c r="B414" s="377"/>
      <c r="C414" s="397"/>
      <c r="D414" s="1244"/>
      <c r="E414" s="1244"/>
      <c r="F414" s="1244"/>
      <c r="I414" s="391"/>
    </row>
    <row r="415" spans="1:9">
      <c r="A415" s="377"/>
      <c r="B415" s="377"/>
      <c r="C415" s="377"/>
      <c r="D415" s="1244"/>
      <c r="E415" s="1244"/>
      <c r="F415" s="1244"/>
      <c r="I415" s="391"/>
    </row>
    <row r="416" spans="1:9">
      <c r="A416" s="377"/>
      <c r="B416" s="377"/>
      <c r="C416" s="397"/>
      <c r="D416" s="1244"/>
      <c r="E416" s="1244"/>
      <c r="F416" s="1244"/>
      <c r="I416" s="391"/>
    </row>
    <row r="417" spans="1:9">
      <c r="A417" s="377"/>
      <c r="B417" s="377"/>
      <c r="C417" s="397"/>
      <c r="D417" s="1244"/>
      <c r="E417" s="1244"/>
      <c r="F417" s="1244"/>
      <c r="I417" s="391"/>
    </row>
    <row r="418" spans="1:9">
      <c r="A418" s="377"/>
      <c r="B418" s="377"/>
      <c r="C418" s="397"/>
      <c r="D418" s="1244"/>
      <c r="E418" s="1244"/>
      <c r="F418" s="1244"/>
      <c r="I418" s="391"/>
    </row>
    <row r="419" spans="1:9">
      <c r="A419" s="377"/>
      <c r="B419" s="377"/>
      <c r="C419" s="377"/>
      <c r="D419" s="349"/>
      <c r="E419" s="349"/>
      <c r="F419" s="348"/>
      <c r="I419" s="391"/>
    </row>
    <row r="420" spans="1:9">
      <c r="A420" s="377"/>
      <c r="B420" s="386" t="s">
        <v>316</v>
      </c>
      <c r="C420" s="377"/>
      <c r="D420" s="1244" t="s">
        <v>425</v>
      </c>
      <c r="E420" s="1244"/>
      <c r="F420" s="1244"/>
      <c r="I420" s="391"/>
    </row>
    <row r="421" spans="1:9">
      <c r="A421" s="377"/>
      <c r="B421" s="377"/>
      <c r="C421" s="377"/>
      <c r="D421" s="1244"/>
      <c r="E421" s="1244"/>
      <c r="F421" s="1244"/>
      <c r="I421" s="391"/>
    </row>
    <row r="422" spans="1:9">
      <c r="A422" s="377"/>
      <c r="B422" s="377"/>
      <c r="C422" s="377"/>
      <c r="D422" s="353"/>
      <c r="E422" s="353"/>
      <c r="F422" s="353"/>
      <c r="I422" s="391"/>
    </row>
    <row r="423" spans="1:9" ht="14.5" customHeight="1">
      <c r="A423" s="385"/>
      <c r="B423" s="386" t="s">
        <v>316</v>
      </c>
      <c r="D423" s="1244" t="s">
        <v>426</v>
      </c>
      <c r="E423" s="1244"/>
      <c r="F423" s="1244"/>
      <c r="I423" s="391"/>
    </row>
    <row r="424" spans="1:9" ht="14.5" customHeight="1">
      <c r="A424" s="385"/>
      <c r="D424" s="1244"/>
      <c r="E424" s="1244"/>
      <c r="F424" s="1244"/>
      <c r="I424" s="391"/>
    </row>
    <row r="425" spans="1:9" ht="14.5" customHeight="1">
      <c r="A425" s="385"/>
      <c r="D425" s="1244"/>
      <c r="E425" s="1244"/>
      <c r="F425" s="1244"/>
      <c r="I425" s="391"/>
    </row>
    <row r="426" spans="1:9" ht="14.5" customHeight="1">
      <c r="A426" s="385"/>
      <c r="D426" s="1244"/>
      <c r="E426" s="1244"/>
      <c r="F426" s="1244"/>
      <c r="I426" s="391"/>
    </row>
    <row r="427" spans="1:9" ht="14.5" customHeight="1">
      <c r="A427" s="385"/>
      <c r="D427" s="1244"/>
      <c r="E427" s="1244"/>
      <c r="F427" s="1244"/>
      <c r="I427" s="391"/>
    </row>
    <row r="428" spans="1:9" ht="14.5" customHeight="1">
      <c r="A428" s="385"/>
      <c r="D428" s="288"/>
      <c r="E428" s="288"/>
      <c r="F428" s="288"/>
      <c r="I428" s="391"/>
    </row>
    <row r="429" spans="1:9" ht="13.75" customHeight="1">
      <c r="A429" s="385"/>
      <c r="B429" s="386" t="s">
        <v>316</v>
      </c>
      <c r="C429" s="377"/>
      <c r="D429" s="1244" t="s">
        <v>427</v>
      </c>
      <c r="E429" s="1244"/>
      <c r="F429" s="1244"/>
      <c r="I429" s="391"/>
    </row>
    <row r="430" spans="1:9">
      <c r="A430" s="398"/>
      <c r="B430" s="398"/>
      <c r="C430" s="377"/>
      <c r="D430" s="1244"/>
      <c r="E430" s="1244"/>
      <c r="F430" s="1244"/>
      <c r="I430" s="391"/>
    </row>
    <row r="431" spans="1:9">
      <c r="A431" s="398"/>
      <c r="B431" s="398"/>
      <c r="C431" s="377"/>
      <c r="D431" s="1244"/>
      <c r="E431" s="1244"/>
      <c r="F431" s="1244"/>
      <c r="I431" s="391"/>
    </row>
    <row r="432" spans="1:9">
      <c r="A432" s="398"/>
      <c r="B432" s="398"/>
      <c r="C432" s="377"/>
      <c r="D432" s="1244"/>
      <c r="E432" s="1244"/>
      <c r="F432" s="1244"/>
      <c r="I432" s="391"/>
    </row>
    <row r="433" spans="1:9" ht="15.75" customHeight="1">
      <c r="A433" s="398"/>
      <c r="B433" s="398"/>
      <c r="C433" s="377"/>
      <c r="D433" s="1271" t="s">
        <v>428</v>
      </c>
      <c r="E433" s="1244"/>
      <c r="F433" s="1244"/>
      <c r="I433" s="391"/>
    </row>
    <row r="434" spans="1:9">
      <c r="D434" s="348"/>
      <c r="E434" s="348"/>
      <c r="F434" s="348"/>
      <c r="I434" s="391"/>
    </row>
    <row r="435" spans="1:9">
      <c r="A435" s="385"/>
      <c r="B435" s="386" t="s">
        <v>316</v>
      </c>
      <c r="C435" s="388"/>
      <c r="D435" s="1265" t="s">
        <v>429</v>
      </c>
      <c r="E435" s="1265"/>
      <c r="F435" s="1265"/>
      <c r="I435" s="391"/>
    </row>
    <row r="436" spans="1:9">
      <c r="A436" s="385"/>
      <c r="B436" s="385"/>
      <c r="D436" s="1265"/>
      <c r="E436" s="1265"/>
      <c r="F436" s="1265"/>
      <c r="I436" s="391"/>
    </row>
    <row r="437" spans="1:9">
      <c r="D437" s="1265"/>
      <c r="E437" s="1265"/>
      <c r="F437" s="1265"/>
      <c r="I437" s="391"/>
    </row>
    <row r="438" spans="1:9">
      <c r="D438" s="1265"/>
      <c r="E438" s="1265"/>
      <c r="F438" s="1265"/>
      <c r="I438" s="391"/>
    </row>
    <row r="439" spans="1:9">
      <c r="D439" s="1265"/>
      <c r="E439" s="1265"/>
      <c r="F439" s="1265"/>
      <c r="I439" s="391"/>
    </row>
    <row r="440" spans="1:9">
      <c r="D440" s="1265"/>
      <c r="E440" s="1265"/>
      <c r="F440" s="1265"/>
      <c r="I440" s="391"/>
    </row>
    <row r="441" spans="1:9">
      <c r="D441" s="1265"/>
      <c r="E441" s="1265"/>
      <c r="F441" s="1265"/>
      <c r="I441" s="391"/>
    </row>
    <row r="442" spans="1:9">
      <c r="D442" s="1265"/>
      <c r="E442" s="1265"/>
      <c r="F442" s="1265"/>
      <c r="I442" s="391"/>
    </row>
    <row r="443" spans="1:9">
      <c r="D443" s="1265"/>
      <c r="E443" s="1265"/>
      <c r="F443" s="1265"/>
      <c r="I443" s="391"/>
    </row>
    <row r="444" spans="1:9">
      <c r="D444" s="1265"/>
      <c r="E444" s="1265"/>
      <c r="F444" s="1265"/>
      <c r="I444" s="391"/>
    </row>
    <row r="445" spans="1:9">
      <c r="D445" s="1265"/>
      <c r="E445" s="1265"/>
      <c r="F445" s="1265"/>
      <c r="I445" s="391"/>
    </row>
    <row r="446" spans="1:9">
      <c r="D446" s="1265"/>
      <c r="E446" s="1265"/>
      <c r="F446" s="1265"/>
      <c r="I446" s="391"/>
    </row>
    <row r="447" spans="1:9">
      <c r="D447" s="1265"/>
      <c r="E447" s="1265"/>
      <c r="F447" s="1265"/>
      <c r="I447" s="391"/>
    </row>
    <row r="448" spans="1:9">
      <c r="A448" s="305"/>
      <c r="B448" s="305"/>
      <c r="C448" s="305"/>
      <c r="D448" s="1265"/>
      <c r="E448" s="1265"/>
      <c r="F448" s="1265"/>
      <c r="I448" s="391"/>
    </row>
    <row r="449" spans="1:9">
      <c r="A449" s="305"/>
      <c r="B449" s="305"/>
      <c r="C449" s="305"/>
      <c r="D449" s="1265"/>
      <c r="E449" s="1265"/>
      <c r="F449" s="1265"/>
      <c r="I449" s="391"/>
    </row>
    <row r="450" spans="1:9">
      <c r="A450" s="305"/>
      <c r="B450" s="305"/>
      <c r="C450" s="305"/>
      <c r="D450" s="1265"/>
      <c r="E450" s="1265"/>
      <c r="F450" s="1265"/>
      <c r="I450" s="391"/>
    </row>
    <row r="451" spans="1:9">
      <c r="A451" s="305"/>
      <c r="B451" s="305"/>
      <c r="C451" s="305"/>
      <c r="D451" s="1265"/>
      <c r="E451" s="1265"/>
      <c r="F451" s="1265"/>
      <c r="I451" s="391"/>
    </row>
    <row r="452" spans="1:9">
      <c r="A452" s="305"/>
      <c r="B452" s="305"/>
      <c r="C452" s="305"/>
      <c r="D452" s="1265"/>
      <c r="E452" s="1265"/>
      <c r="F452" s="1265"/>
      <c r="I452" s="391"/>
    </row>
    <row r="453" spans="1:9">
      <c r="A453" s="305"/>
      <c r="B453" s="305"/>
      <c r="C453" s="305"/>
      <c r="D453" s="1265"/>
      <c r="E453" s="1265"/>
      <c r="F453" s="1265"/>
      <c r="I453" s="391"/>
    </row>
    <row r="454" spans="1:9">
      <c r="A454" s="305"/>
      <c r="B454" s="305"/>
      <c r="C454" s="305"/>
      <c r="D454" s="1265"/>
      <c r="E454" s="1265"/>
      <c r="F454" s="1265"/>
      <c r="I454" s="391"/>
    </row>
    <row r="455" spans="1:9">
      <c r="A455" s="305"/>
      <c r="B455" s="305"/>
      <c r="C455" s="305"/>
      <c r="D455" s="1265"/>
      <c r="E455" s="1265"/>
      <c r="F455" s="1265"/>
      <c r="I455" s="391"/>
    </row>
    <row r="456" spans="1:9">
      <c r="A456" s="305"/>
      <c r="B456" s="305"/>
      <c r="C456" s="305"/>
      <c r="D456" s="1265"/>
      <c r="E456" s="1265"/>
      <c r="F456" s="1265"/>
      <c r="I456" s="391"/>
    </row>
    <row r="457" spans="1:9">
      <c r="A457" s="305"/>
      <c r="B457" s="305"/>
      <c r="C457" s="305"/>
      <c r="D457" s="1265"/>
      <c r="E457" s="1265"/>
      <c r="F457" s="1265"/>
      <c r="I457" s="391"/>
    </row>
    <row r="458" spans="1:9">
      <c r="A458" s="305"/>
      <c r="B458" s="305"/>
      <c r="C458" s="305"/>
      <c r="D458" s="1265"/>
      <c r="E458" s="1265"/>
      <c r="F458" s="1265"/>
      <c r="I458" s="391"/>
    </row>
    <row r="459" spans="1:9">
      <c r="A459" s="305"/>
      <c r="B459" s="305"/>
      <c r="C459" s="305"/>
      <c r="D459" s="1265"/>
      <c r="E459" s="1265"/>
      <c r="F459" s="1265"/>
      <c r="I459" s="391"/>
    </row>
    <row r="460" spans="1:9">
      <c r="A460" s="305"/>
      <c r="B460" s="305"/>
      <c r="C460" s="305"/>
      <c r="D460" s="1265"/>
      <c r="E460" s="1265"/>
      <c r="F460" s="1265"/>
      <c r="I460" s="391"/>
    </row>
    <row r="461" spans="1:9">
      <c r="A461" s="305"/>
      <c r="B461" s="305"/>
      <c r="C461" s="305"/>
      <c r="D461" s="1265"/>
      <c r="E461" s="1265"/>
      <c r="F461" s="1265"/>
      <c r="I461" s="391"/>
    </row>
    <row r="462" spans="1:9">
      <c r="A462" s="305"/>
      <c r="B462" s="305"/>
      <c r="C462" s="305"/>
      <c r="D462" s="1265"/>
      <c r="E462" s="1265"/>
      <c r="F462" s="1265"/>
      <c r="I462" s="391"/>
    </row>
    <row r="463" spans="1:9">
      <c r="A463" s="305"/>
      <c r="B463" s="305"/>
      <c r="C463" s="305"/>
      <c r="D463" s="1265"/>
      <c r="E463" s="1265"/>
      <c r="F463" s="1265"/>
      <c r="I463" s="391"/>
    </row>
    <row r="464" spans="1:9">
      <c r="D464" s="1265"/>
      <c r="E464" s="1265"/>
      <c r="F464" s="1265"/>
      <c r="I464" s="391"/>
    </row>
    <row r="465" spans="1:9" ht="40.75" customHeight="1">
      <c r="D465" s="1265"/>
      <c r="E465" s="1265"/>
      <c r="F465" s="1265"/>
      <c r="I465" s="391"/>
    </row>
    <row r="466" spans="1:9">
      <c r="D466" s="348"/>
      <c r="E466" s="348"/>
      <c r="F466" s="348"/>
      <c r="I466" s="391"/>
    </row>
    <row r="467" spans="1:9">
      <c r="A467" s="385"/>
      <c r="B467" s="386" t="s">
        <v>316</v>
      </c>
      <c r="C467" s="388"/>
      <c r="D467" s="1265" t="s">
        <v>430</v>
      </c>
      <c r="E467" s="1265"/>
      <c r="F467" s="1265"/>
      <c r="I467" s="391"/>
    </row>
    <row r="468" spans="1:9">
      <c r="D468" s="1265"/>
      <c r="E468" s="1265"/>
      <c r="F468" s="1265"/>
      <c r="I468" s="391"/>
    </row>
    <row r="469" spans="1:9">
      <c r="D469" s="1265"/>
      <c r="E469" s="1265"/>
      <c r="F469" s="1265"/>
      <c r="I469" s="391"/>
    </row>
    <row r="470" spans="1:9">
      <c r="D470" s="347"/>
      <c r="E470" s="347"/>
      <c r="F470" s="347"/>
      <c r="I470" s="391"/>
    </row>
    <row r="471" spans="1:9">
      <c r="B471" s="386" t="s">
        <v>316</v>
      </c>
      <c r="C471" s="385"/>
      <c r="D471" s="1265" t="s">
        <v>431</v>
      </c>
      <c r="E471" s="1265"/>
      <c r="F471" s="1265"/>
      <c r="I471" s="391"/>
    </row>
    <row r="472" spans="1:9">
      <c r="D472" s="1265"/>
      <c r="E472" s="1265"/>
      <c r="F472" s="1265"/>
      <c r="I472" s="391"/>
    </row>
    <row r="473" spans="1:9">
      <c r="D473" s="348"/>
      <c r="E473" s="348"/>
      <c r="F473" s="348"/>
      <c r="I473" s="391"/>
    </row>
    <row r="474" spans="1:9">
      <c r="B474" s="386" t="s">
        <v>316</v>
      </c>
      <c r="C474" s="385"/>
      <c r="D474" s="1265" t="s">
        <v>432</v>
      </c>
      <c r="E474" s="1265"/>
      <c r="F474" s="1265"/>
      <c r="I474" s="391"/>
    </row>
    <row r="475" spans="1:9">
      <c r="D475" s="1265"/>
      <c r="E475" s="1265"/>
      <c r="F475" s="1265"/>
      <c r="I475" s="391"/>
    </row>
    <row r="476" spans="1:9">
      <c r="D476" s="1265"/>
      <c r="E476" s="1265"/>
      <c r="F476" s="1265"/>
      <c r="I476" s="391"/>
    </row>
    <row r="477" spans="1:9">
      <c r="D477" s="1265"/>
      <c r="E477" s="1265"/>
      <c r="F477" s="1265"/>
      <c r="I477" s="391"/>
    </row>
    <row r="478" spans="1:9">
      <c r="B478" s="386" t="s">
        <v>316</v>
      </c>
      <c r="D478" s="1265"/>
      <c r="E478" s="1265"/>
      <c r="F478" s="1265"/>
      <c r="I478" s="391"/>
    </row>
    <row r="479" spans="1:9">
      <c r="A479" s="305"/>
      <c r="B479" s="305"/>
      <c r="C479" s="305"/>
      <c r="D479" s="1265"/>
      <c r="E479" s="1265"/>
      <c r="F479" s="1265"/>
      <c r="I479" s="391"/>
    </row>
    <row r="480" spans="1:9">
      <c r="A480" s="305"/>
      <c r="C480" s="305"/>
      <c r="D480" s="1265"/>
      <c r="E480" s="1265"/>
      <c r="F480" s="1265"/>
      <c r="I480" s="391"/>
    </row>
    <row r="481" spans="1:9">
      <c r="A481" s="305"/>
      <c r="B481" s="386" t="s">
        <v>316</v>
      </c>
      <c r="C481" s="305"/>
      <c r="D481" s="1265"/>
      <c r="E481" s="1265"/>
      <c r="F481" s="1265"/>
      <c r="I481" s="391"/>
    </row>
    <row r="482" spans="1:9">
      <c r="A482" s="305"/>
      <c r="B482" s="305"/>
      <c r="C482" s="305"/>
      <c r="D482" s="1265"/>
      <c r="E482" s="1265"/>
      <c r="F482" s="1265"/>
      <c r="I482" s="391"/>
    </row>
    <row r="483" spans="1:9">
      <c r="A483" s="305"/>
      <c r="C483" s="305"/>
      <c r="D483" s="1265"/>
      <c r="E483" s="1265"/>
      <c r="F483" s="1265"/>
      <c r="I483" s="391"/>
    </row>
    <row r="484" spans="1:9">
      <c r="A484" s="305"/>
      <c r="C484" s="305"/>
      <c r="D484" s="1265"/>
      <c r="E484" s="1265"/>
      <c r="F484" s="1265"/>
      <c r="I484" s="391"/>
    </row>
    <row r="485" spans="1:9">
      <c r="A485" s="305"/>
      <c r="C485" s="305"/>
      <c r="D485" s="1265"/>
      <c r="E485" s="1265"/>
      <c r="F485" s="1265"/>
      <c r="I485" s="391"/>
    </row>
    <row r="486" spans="1:9">
      <c r="A486" s="305"/>
      <c r="B486" s="386" t="s">
        <v>316</v>
      </c>
      <c r="C486" s="305"/>
      <c r="D486" s="1265"/>
      <c r="E486" s="1265"/>
      <c r="F486" s="1265"/>
      <c r="I486" s="391"/>
    </row>
    <row r="487" spans="1:9">
      <c r="A487" s="305"/>
      <c r="C487" s="305"/>
      <c r="D487" s="1265"/>
      <c r="E487" s="1265"/>
      <c r="F487" s="1265"/>
      <c r="I487" s="391"/>
    </row>
    <row r="488" spans="1:9">
      <c r="A488" s="305"/>
      <c r="B488" s="386" t="s">
        <v>316</v>
      </c>
      <c r="C488" s="305"/>
      <c r="D488" s="1265" t="s">
        <v>433</v>
      </c>
      <c r="E488" s="1265"/>
      <c r="F488" s="1265"/>
      <c r="I488" s="391"/>
    </row>
    <row r="489" spans="1:9">
      <c r="A489" s="305"/>
      <c r="B489" s="305"/>
      <c r="C489" s="305"/>
      <c r="D489" s="1265"/>
      <c r="E489" s="1265"/>
      <c r="F489" s="1265"/>
      <c r="I489" s="391"/>
    </row>
    <row r="490" spans="1:9">
      <c r="A490" s="305"/>
      <c r="B490" s="305"/>
      <c r="C490" s="305"/>
      <c r="D490" s="1265"/>
      <c r="E490" s="1265"/>
      <c r="F490" s="1265"/>
      <c r="I490" s="391"/>
    </row>
    <row r="491" spans="1:9">
      <c r="A491" s="305"/>
      <c r="B491" s="305"/>
      <c r="C491" s="305"/>
      <c r="D491" s="1265"/>
      <c r="E491" s="1265"/>
      <c r="F491" s="1265"/>
      <c r="I491" s="391"/>
    </row>
    <row r="492" spans="1:9">
      <c r="D492" s="1265"/>
      <c r="E492" s="1265"/>
      <c r="F492" s="1265"/>
      <c r="I492" s="391"/>
    </row>
    <row r="493" spans="1:9">
      <c r="D493" s="348"/>
      <c r="E493" s="348"/>
      <c r="F493" s="348"/>
      <c r="I493" s="391"/>
    </row>
    <row r="494" spans="1:9">
      <c r="B494" s="386" t="s">
        <v>316</v>
      </c>
      <c r="D494" s="1266" t="s">
        <v>434</v>
      </c>
      <c r="E494" s="1266"/>
      <c r="F494" s="1266"/>
      <c r="I494" s="391"/>
    </row>
    <row r="495" spans="1:9">
      <c r="A495" s="348"/>
      <c r="B495" s="348"/>
      <c r="I495" s="391"/>
    </row>
    <row r="496" spans="1:9">
      <c r="A496" s="1268" t="s">
        <v>435</v>
      </c>
      <c r="B496" s="1268"/>
      <c r="C496" s="1268"/>
      <c r="D496" s="1268"/>
      <c r="E496" s="1268"/>
      <c r="F496" s="1268"/>
      <c r="G496" s="1268"/>
      <c r="H496" s="914"/>
      <c r="I496" s="1036"/>
    </row>
    <row r="497" spans="1:9">
      <c r="A497" s="348"/>
      <c r="B497" s="348"/>
      <c r="I497" s="391"/>
    </row>
    <row r="498" spans="1:9">
      <c r="D498" s="1278" t="s">
        <v>436</v>
      </c>
      <c r="E498" s="1278"/>
      <c r="F498" s="1278"/>
      <c r="I498" s="391"/>
    </row>
    <row r="499" spans="1:9">
      <c r="A499" s="385"/>
      <c r="B499" s="385"/>
      <c r="D499" s="1279" t="s">
        <v>437</v>
      </c>
      <c r="E499" s="1279"/>
      <c r="F499" s="1279"/>
      <c r="I499" s="391"/>
    </row>
    <row r="500" spans="1:9">
      <c r="A500" s="385"/>
      <c r="B500" s="385"/>
      <c r="D500" s="349"/>
      <c r="I500" s="391"/>
    </row>
    <row r="501" spans="1:9">
      <c r="A501" s="385"/>
      <c r="B501" s="386" t="s">
        <v>316</v>
      </c>
      <c r="D501" s="1244" t="s">
        <v>438</v>
      </c>
      <c r="E501" s="1244"/>
      <c r="F501" s="1244"/>
      <c r="I501" s="391"/>
    </row>
    <row r="502" spans="1:9">
      <c r="A502" s="385"/>
      <c r="B502" s="385"/>
      <c r="D502" s="1244"/>
      <c r="E502" s="1244"/>
      <c r="F502" s="1244"/>
      <c r="I502" s="391"/>
    </row>
    <row r="503" spans="1:9">
      <c r="A503" s="385"/>
      <c r="B503" s="385"/>
      <c r="D503" s="348"/>
      <c r="I503" s="391"/>
    </row>
    <row r="504" spans="1:9" ht="12.75" customHeight="1">
      <c r="B504" s="386" t="s">
        <v>316</v>
      </c>
      <c r="D504" s="1269" t="s">
        <v>439</v>
      </c>
      <c r="E504" s="1269"/>
      <c r="F504" s="1269"/>
      <c r="I504" s="391"/>
    </row>
    <row r="505" spans="1:9">
      <c r="A505" s="385"/>
      <c r="D505" s="1269"/>
      <c r="E505" s="1269"/>
      <c r="F505" s="1269"/>
      <c r="I505" s="391"/>
    </row>
    <row r="506" spans="1:9">
      <c r="A506" s="385"/>
      <c r="B506" s="385"/>
      <c r="D506" s="1269"/>
      <c r="E506" s="1269"/>
      <c r="F506" s="1269"/>
      <c r="I506" s="391"/>
    </row>
    <row r="507" spans="1:9">
      <c r="A507" s="385"/>
      <c r="B507" s="385"/>
      <c r="D507" s="1269"/>
      <c r="E507" s="1269"/>
      <c r="F507" s="1269"/>
      <c r="I507" s="391"/>
    </row>
    <row r="508" spans="1:9">
      <c r="A508" s="385"/>
      <c r="D508" s="420"/>
      <c r="E508" s="420"/>
      <c r="F508" s="420"/>
      <c r="I508" s="391"/>
    </row>
    <row r="509" spans="1:9">
      <c r="A509" s="385"/>
      <c r="B509" s="386" t="s">
        <v>316</v>
      </c>
      <c r="D509" s="1266" t="s">
        <v>440</v>
      </c>
      <c r="E509" s="1266"/>
      <c r="F509" s="1266"/>
      <c r="I509" s="391"/>
    </row>
    <row r="510" spans="1:9">
      <c r="A510" s="385"/>
      <c r="B510" s="385"/>
      <c r="D510" s="348"/>
      <c r="I510" s="391"/>
    </row>
    <row r="511" spans="1:9">
      <c r="A511" s="385"/>
      <c r="B511" s="386" t="s">
        <v>316</v>
      </c>
      <c r="D511" s="1265" t="s">
        <v>441</v>
      </c>
      <c r="E511" s="1265"/>
      <c r="F511" s="1265"/>
      <c r="I511" s="391"/>
    </row>
    <row r="512" spans="1:9">
      <c r="A512" s="385"/>
      <c r="D512" s="1265"/>
      <c r="E512" s="1265"/>
      <c r="F512" s="1265"/>
      <c r="I512" s="391"/>
    </row>
    <row r="513" spans="1:9">
      <c r="A513" s="391"/>
      <c r="B513" s="391"/>
      <c r="D513" s="349"/>
      <c r="I513" s="391"/>
    </row>
    <row r="514" spans="1:9">
      <c r="A514" s="391"/>
      <c r="B514" s="386" t="s">
        <v>316</v>
      </c>
      <c r="D514" s="1266" t="s">
        <v>442</v>
      </c>
      <c r="E514" s="1266"/>
      <c r="F514" s="1266"/>
      <c r="I514" s="391"/>
    </row>
    <row r="515" spans="1:9">
      <c r="D515" s="348"/>
      <c r="E515" s="348"/>
      <c r="F515" s="348"/>
      <c r="I515" s="391"/>
    </row>
    <row r="516" spans="1:9">
      <c r="B516" s="386" t="s">
        <v>316</v>
      </c>
      <c r="D516" s="1265" t="s">
        <v>443</v>
      </c>
      <c r="E516" s="1265"/>
      <c r="F516" s="1265"/>
      <c r="I516" s="391"/>
    </row>
    <row r="517" spans="1:9">
      <c r="D517" s="1265"/>
      <c r="E517" s="1265"/>
      <c r="F517" s="1265"/>
      <c r="I517" s="391"/>
    </row>
    <row r="518" spans="1:9">
      <c r="D518" s="1265"/>
      <c r="E518" s="1265"/>
      <c r="F518" s="1265"/>
      <c r="I518" s="391"/>
    </row>
    <row r="519" spans="1:9">
      <c r="D519" s="348"/>
      <c r="E519" s="348"/>
      <c r="F519" s="348"/>
      <c r="I519" s="391"/>
    </row>
    <row r="520" spans="1:9">
      <c r="A520" s="385"/>
      <c r="B520" s="385"/>
      <c r="D520" s="348"/>
      <c r="I520" s="391"/>
    </row>
    <row r="521" spans="1:9">
      <c r="A521" s="1268" t="s">
        <v>444</v>
      </c>
      <c r="B521" s="1268"/>
      <c r="C521" s="1268"/>
      <c r="D521" s="1268"/>
      <c r="E521" s="1268"/>
      <c r="F521" s="1268"/>
      <c r="G521" s="1268"/>
      <c r="H521" s="914"/>
      <c r="I521" s="1036"/>
    </row>
    <row r="522" spans="1:9" ht="12" customHeight="1">
      <c r="A522" s="385"/>
      <c r="B522" s="385"/>
      <c r="D522" s="348"/>
      <c r="I522" s="391"/>
    </row>
    <row r="523" spans="1:9">
      <c r="C523" s="383"/>
      <c r="D523" s="1274" t="s">
        <v>445</v>
      </c>
      <c r="E523" s="1274"/>
      <c r="F523" s="1274"/>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5" customHeight="1">
      <c r="A527" s="384"/>
      <c r="B527" s="386" t="s">
        <v>311</v>
      </c>
      <c r="C527" s="384"/>
      <c r="D527" s="1244" t="s">
        <v>448</v>
      </c>
      <c r="E527" s="1244"/>
      <c r="F527" s="1244"/>
      <c r="I527" s="391"/>
    </row>
    <row r="528" spans="1:9">
      <c r="A528" s="384"/>
      <c r="B528" s="384"/>
      <c r="C528" s="384"/>
      <c r="D528" s="1244"/>
      <c r="E528" s="1244"/>
      <c r="F528" s="1244"/>
      <c r="I528" s="391"/>
    </row>
    <row r="529" spans="1:9">
      <c r="A529" s="384"/>
      <c r="B529" s="384"/>
      <c r="C529" s="384"/>
      <c r="D529" s="353"/>
      <c r="E529" s="353"/>
      <c r="F529" s="353"/>
      <c r="I529" s="381"/>
    </row>
    <row r="530" spans="1:9" ht="12.75" customHeight="1">
      <c r="A530" s="384"/>
      <c r="B530" s="386" t="s">
        <v>311</v>
      </c>
      <c r="D530" s="289" t="s">
        <v>449</v>
      </c>
      <c r="E530" s="288"/>
      <c r="F530" s="288"/>
      <c r="I530" s="391"/>
    </row>
    <row r="531" spans="1:9">
      <c r="A531" s="384"/>
      <c r="B531" s="384"/>
      <c r="C531" s="384"/>
      <c r="D531" s="288"/>
      <c r="E531" s="71" t="s">
        <v>450</v>
      </c>
      <c r="I531" s="391"/>
    </row>
    <row r="532" spans="1:9">
      <c r="A532" s="384"/>
      <c r="B532" s="384"/>
      <c r="D532" s="1261" t="s">
        <v>451</v>
      </c>
      <c r="E532" s="1261"/>
      <c r="F532" s="1261"/>
      <c r="I532" s="391"/>
    </row>
    <row r="533" spans="1:9">
      <c r="A533" s="384"/>
      <c r="B533" s="384"/>
      <c r="D533" s="1261"/>
      <c r="E533" s="1261"/>
      <c r="F533" s="1261"/>
      <c r="I533" s="391"/>
    </row>
    <row r="534" spans="1:9">
      <c r="A534" s="384"/>
      <c r="B534" s="384"/>
      <c r="C534" s="384"/>
      <c r="D534" s="1261"/>
      <c r="E534" s="1261"/>
      <c r="F534" s="1261"/>
      <c r="I534" s="391"/>
    </row>
    <row r="535" spans="1:9">
      <c r="A535" s="384"/>
      <c r="B535" s="384"/>
      <c r="C535" s="384"/>
      <c r="D535" s="399"/>
      <c r="F535" s="348"/>
      <c r="I535" s="391"/>
    </row>
    <row r="536" spans="1:9" ht="13.5" customHeight="1">
      <c r="A536" s="384"/>
      <c r="B536" s="386" t="s">
        <v>316</v>
      </c>
      <c r="C536" s="384"/>
      <c r="D536" s="1265" t="s">
        <v>452</v>
      </c>
      <c r="E536" s="1265"/>
      <c r="F536" s="1265"/>
      <c r="I536" s="391"/>
    </row>
    <row r="537" spans="1:9" ht="13.5" customHeight="1">
      <c r="A537" s="384"/>
      <c r="B537" s="384"/>
      <c r="C537" s="384"/>
      <c r="D537" s="1265"/>
      <c r="E537" s="1265"/>
      <c r="F537" s="1265"/>
      <c r="I537" s="391"/>
    </row>
    <row r="538" spans="1:9">
      <c r="A538" s="384"/>
      <c r="B538" s="384"/>
      <c r="C538" s="384"/>
      <c r="D538" s="1265"/>
      <c r="E538" s="1265"/>
      <c r="F538" s="1265"/>
      <c r="I538" s="391"/>
    </row>
    <row r="539" spans="1:9" ht="12" customHeight="1">
      <c r="A539" s="348"/>
      <c r="B539" s="348"/>
      <c r="C539" s="388"/>
      <c r="D539" s="348"/>
      <c r="F539" s="350"/>
      <c r="I539" s="391"/>
    </row>
    <row r="540" spans="1:9">
      <c r="A540" s="1268" t="s">
        <v>453</v>
      </c>
      <c r="B540" s="1268"/>
      <c r="C540" s="1268"/>
      <c r="D540" s="1268"/>
      <c r="E540" s="1268"/>
      <c r="F540" s="1268"/>
      <c r="G540" s="1268"/>
      <c r="H540" s="914"/>
      <c r="I540" s="1036"/>
    </row>
    <row r="541" spans="1:9">
      <c r="A541" s="348"/>
      <c r="B541" s="348"/>
      <c r="C541" s="388"/>
      <c r="F541" s="350"/>
      <c r="I541" s="391"/>
    </row>
    <row r="542" spans="1:9">
      <c r="B542" s="1272" t="s">
        <v>351</v>
      </c>
      <c r="C542" s="1272"/>
      <c r="D542" s="1272"/>
      <c r="E542" s="1272"/>
      <c r="F542" s="1272"/>
      <c r="I542" s="391"/>
    </row>
    <row r="543" spans="1:9">
      <c r="A543" s="348"/>
      <c r="B543" s="348"/>
      <c r="C543" s="388"/>
      <c r="D543" s="348"/>
      <c r="F543" s="348"/>
      <c r="I543" s="391"/>
    </row>
    <row r="544" spans="1:9">
      <c r="A544" s="1273" t="s">
        <v>454</v>
      </c>
      <c r="B544" s="1273"/>
      <c r="C544" s="1273"/>
      <c r="D544" s="1273"/>
      <c r="E544" s="1273"/>
      <c r="F544" s="1273"/>
      <c r="G544" s="1273"/>
      <c r="H544" s="914"/>
      <c r="I544" s="1036"/>
    </row>
    <row r="545" spans="1:9">
      <c r="A545" s="348"/>
      <c r="B545" s="348"/>
      <c r="C545" s="388"/>
      <c r="D545" s="348"/>
      <c r="F545" s="348"/>
      <c r="I545" s="391"/>
    </row>
    <row r="546" spans="1:9">
      <c r="C546" s="388"/>
      <c r="D546" s="1274" t="s">
        <v>455</v>
      </c>
      <c r="E546" s="1274"/>
      <c r="F546" s="1274"/>
      <c r="I546" s="391"/>
    </row>
    <row r="547" spans="1:9">
      <c r="C547" s="388"/>
      <c r="D547" s="1266" t="s">
        <v>456</v>
      </c>
      <c r="E547" s="1266"/>
      <c r="F547" s="1266"/>
      <c r="I547" s="391"/>
    </row>
    <row r="548" spans="1:9">
      <c r="C548" s="388"/>
      <c r="D548" s="348"/>
      <c r="E548" s="348"/>
      <c r="F548" s="348"/>
      <c r="I548" s="391"/>
    </row>
    <row r="549" spans="1:9" ht="13.75" customHeight="1">
      <c r="A549" s="385"/>
      <c r="B549" s="386" t="s">
        <v>311</v>
      </c>
      <c r="C549" s="388"/>
      <c r="D549" s="1266" t="s">
        <v>457</v>
      </c>
      <c r="E549" s="1266"/>
      <c r="F549" s="1266"/>
      <c r="I549" s="391"/>
    </row>
    <row r="550" spans="1:9" ht="13.75" customHeight="1">
      <c r="A550" s="388"/>
      <c r="B550" s="388"/>
      <c r="C550" s="388"/>
      <c r="D550" s="348"/>
      <c r="I550" s="391"/>
    </row>
    <row r="551" spans="1:9">
      <c r="A551" s="385"/>
      <c r="B551" s="386" t="s">
        <v>311</v>
      </c>
      <c r="C551" s="388"/>
      <c r="D551" s="1265" t="s">
        <v>458</v>
      </c>
      <c r="E551" s="1265"/>
      <c r="F551" s="1265"/>
      <c r="I551" s="391"/>
    </row>
    <row r="552" spans="1:9">
      <c r="A552" s="388"/>
      <c r="B552" s="388"/>
      <c r="C552" s="388"/>
      <c r="D552" s="1265"/>
      <c r="E552" s="1265"/>
      <c r="F552" s="1265"/>
      <c r="I552" s="391"/>
    </row>
    <row r="553" spans="1:9">
      <c r="A553" s="388"/>
      <c r="B553" s="388"/>
      <c r="C553" s="388"/>
      <c r="D553" s="348"/>
      <c r="E553" s="348"/>
      <c r="F553" s="348"/>
      <c r="I553" s="391"/>
    </row>
    <row r="554" spans="1:9">
      <c r="A554" s="385"/>
      <c r="B554" s="386" t="s">
        <v>311</v>
      </c>
      <c r="C554" s="388"/>
      <c r="D554" s="1265" t="s">
        <v>459</v>
      </c>
      <c r="E554" s="1265"/>
      <c r="F554" s="1265"/>
      <c r="I554" s="391"/>
    </row>
    <row r="555" spans="1:9">
      <c r="A555" s="388"/>
      <c r="B555" s="388"/>
      <c r="C555" s="388"/>
      <c r="D555" s="1265"/>
      <c r="E555" s="1265"/>
      <c r="F555" s="1265"/>
      <c r="I555" s="391"/>
    </row>
    <row r="556" spans="1:9">
      <c r="A556" s="388"/>
      <c r="B556" s="388"/>
      <c r="C556" s="388"/>
      <c r="D556" s="348"/>
      <c r="E556" s="348"/>
      <c r="F556" s="348"/>
      <c r="I556" s="391"/>
    </row>
    <row r="557" spans="1:9">
      <c r="A557" s="385"/>
      <c r="B557" s="386" t="s">
        <v>311</v>
      </c>
      <c r="C557" s="388"/>
      <c r="D557" s="1265" t="s">
        <v>460</v>
      </c>
      <c r="E557" s="1265"/>
      <c r="F557" s="1265"/>
      <c r="I557" s="391"/>
    </row>
    <row r="558" spans="1:9">
      <c r="A558" s="388"/>
      <c r="B558" s="388"/>
      <c r="C558" s="388"/>
      <c r="D558" s="1265"/>
      <c r="E558" s="1265"/>
      <c r="F558" s="1265"/>
      <c r="I558" s="391"/>
    </row>
    <row r="559" spans="1:9">
      <c r="A559" s="388"/>
      <c r="B559" s="388"/>
      <c r="C559" s="388"/>
      <c r="D559" s="348"/>
      <c r="E559" s="348"/>
      <c r="F559" s="348"/>
      <c r="I559" s="391"/>
    </row>
    <row r="560" spans="1:9">
      <c r="A560" s="385"/>
      <c r="B560" s="386" t="s">
        <v>311</v>
      </c>
      <c r="C560" s="388"/>
      <c r="D560" s="1265" t="s">
        <v>461</v>
      </c>
      <c r="E560" s="1265"/>
      <c r="F560" s="1265"/>
      <c r="I560" s="391"/>
    </row>
    <row r="561" spans="1:9">
      <c r="A561" s="388"/>
      <c r="B561" s="388"/>
      <c r="C561" s="388"/>
      <c r="D561" s="1265"/>
      <c r="E561" s="1265"/>
      <c r="F561" s="1265"/>
      <c r="I561" s="391"/>
    </row>
    <row r="562" spans="1:9">
      <c r="A562" s="388"/>
      <c r="B562" s="388"/>
      <c r="C562" s="388"/>
      <c r="D562" s="1265"/>
      <c r="E562" s="1265"/>
      <c r="F562" s="1265"/>
      <c r="I562" s="391"/>
    </row>
    <row r="563" spans="1:9">
      <c r="A563" s="388"/>
      <c r="B563" s="388"/>
      <c r="C563" s="388"/>
      <c r="D563" s="348"/>
      <c r="E563" s="348"/>
      <c r="F563" s="348"/>
      <c r="I563" s="391"/>
    </row>
    <row r="564" spans="1:9">
      <c r="A564" s="385"/>
      <c r="B564" s="386" t="s">
        <v>316</v>
      </c>
      <c r="C564" s="388"/>
      <c r="D564" s="1265" t="s">
        <v>462</v>
      </c>
      <c r="E564" s="1265"/>
      <c r="F564" s="1265"/>
      <c r="I564" s="391"/>
    </row>
    <row r="565" spans="1:9">
      <c r="A565" s="388"/>
      <c r="B565" s="388"/>
      <c r="C565" s="388"/>
      <c r="D565" s="1265"/>
      <c r="E565" s="1265"/>
      <c r="F565" s="1265"/>
      <c r="I565" s="391"/>
    </row>
    <row r="566" spans="1:9">
      <c r="A566" s="388"/>
      <c r="B566" s="388"/>
      <c r="C566" s="388"/>
      <c r="D566" s="348"/>
      <c r="E566" s="348"/>
      <c r="F566" s="348"/>
      <c r="I566" s="391"/>
    </row>
    <row r="567" spans="1:9">
      <c r="A567" s="385"/>
      <c r="B567" s="386" t="s">
        <v>316</v>
      </c>
      <c r="C567" s="388"/>
      <c r="D567" s="1265" t="s">
        <v>463</v>
      </c>
      <c r="E567" s="1265"/>
      <c r="F567" s="1265"/>
      <c r="I567" s="391"/>
    </row>
    <row r="568" spans="1:9">
      <c r="A568" s="388"/>
      <c r="B568" s="388"/>
      <c r="C568" s="388"/>
      <c r="D568" s="1265"/>
      <c r="E568" s="1265"/>
      <c r="F568" s="1265"/>
      <c r="I568" s="391"/>
    </row>
    <row r="569" spans="1:9">
      <c r="A569" s="388"/>
      <c r="B569" s="388"/>
      <c r="C569" s="388"/>
      <c r="D569" s="348"/>
      <c r="E569" s="348"/>
      <c r="F569" s="348"/>
      <c r="I569" s="391"/>
    </row>
    <row r="570" spans="1:9">
      <c r="A570" s="385"/>
      <c r="B570" s="386" t="s">
        <v>311</v>
      </c>
      <c r="C570" s="388"/>
      <c r="D570" s="1266" t="s">
        <v>464</v>
      </c>
      <c r="E570" s="1266"/>
      <c r="F570" s="1266"/>
      <c r="I570" s="391"/>
    </row>
    <row r="571" spans="1:9">
      <c r="A571" s="391"/>
      <c r="B571" s="391"/>
      <c r="C571" s="388"/>
      <c r="D571" s="1266" t="s">
        <v>465</v>
      </c>
      <c r="E571" s="1266"/>
      <c r="F571" s="1266"/>
      <c r="I571" s="391"/>
    </row>
    <row r="572" spans="1:9">
      <c r="A572" s="391"/>
      <c r="B572" s="391"/>
      <c r="C572" s="388"/>
      <c r="E572" s="71" t="s">
        <v>466</v>
      </c>
      <c r="F572" s="307"/>
      <c r="I572" s="391"/>
    </row>
    <row r="573" spans="1:9">
      <c r="A573" s="385"/>
      <c r="B573" s="385"/>
      <c r="C573" s="388"/>
      <c r="E573" s="348"/>
      <c r="F573" s="348"/>
      <c r="I573" s="391"/>
    </row>
    <row r="574" spans="1:9">
      <c r="A574" s="385"/>
      <c r="B574" s="386" t="s">
        <v>311</v>
      </c>
      <c r="C574" s="388"/>
      <c r="D574" s="1266" t="s">
        <v>467</v>
      </c>
      <c r="E574" s="1266"/>
      <c r="F574" s="1266"/>
      <c r="I574" s="391"/>
    </row>
    <row r="575" spans="1:9">
      <c r="C575" s="388"/>
      <c r="D575" s="1265" t="s">
        <v>468</v>
      </c>
      <c r="E575" s="1265"/>
      <c r="F575" s="1265"/>
      <c r="I575" s="391"/>
    </row>
    <row r="576" spans="1:9">
      <c r="A576" s="388"/>
      <c r="B576" s="388"/>
      <c r="C576" s="388"/>
      <c r="D576" s="1265"/>
      <c r="E576" s="1265"/>
      <c r="F576" s="1265"/>
      <c r="I576" s="391"/>
    </row>
    <row r="577" spans="1:9">
      <c r="A577" s="388"/>
      <c r="B577" s="388"/>
      <c r="C577" s="388"/>
      <c r="D577" s="1265"/>
      <c r="E577" s="1265"/>
      <c r="F577" s="1265"/>
      <c r="I577" s="391"/>
    </row>
    <row r="578" spans="1:9">
      <c r="A578" s="388"/>
      <c r="B578" s="388"/>
      <c r="C578" s="388"/>
      <c r="D578" s="348"/>
      <c r="E578" s="348"/>
      <c r="F578" s="348"/>
      <c r="I578" s="391"/>
    </row>
    <row r="579" spans="1:9">
      <c r="A579" s="385"/>
      <c r="B579" s="386" t="s">
        <v>311</v>
      </c>
      <c r="C579" s="388"/>
      <c r="D579" s="1265" t="s">
        <v>469</v>
      </c>
      <c r="E579" s="1265"/>
      <c r="F579" s="1265"/>
      <c r="I579" s="391"/>
    </row>
    <row r="580" spans="1:9">
      <c r="A580" s="385"/>
      <c r="B580" s="385"/>
      <c r="C580" s="388"/>
      <c r="D580" s="1265"/>
      <c r="E580" s="1265"/>
      <c r="F580" s="1265"/>
      <c r="I580" s="391"/>
    </row>
    <row r="581" spans="1:9">
      <c r="A581" s="385"/>
      <c r="B581" s="385"/>
      <c r="C581" s="388"/>
      <c r="D581" s="1265"/>
      <c r="E581" s="1265"/>
      <c r="F581" s="1265"/>
      <c r="I581" s="391"/>
    </row>
    <row r="582" spans="1:9">
      <c r="A582" s="385"/>
      <c r="B582" s="385"/>
      <c r="C582" s="388"/>
      <c r="D582" s="1265"/>
      <c r="E582" s="1265"/>
      <c r="F582" s="1265"/>
      <c r="I582" s="391"/>
    </row>
    <row r="583" spans="1:9">
      <c r="A583" s="385"/>
      <c r="B583" s="385"/>
      <c r="C583" s="388"/>
      <c r="D583" s="348"/>
      <c r="E583" s="348"/>
      <c r="F583" s="348"/>
      <c r="I583" s="391"/>
    </row>
    <row r="584" spans="1:9">
      <c r="A584" s="1268" t="s">
        <v>470</v>
      </c>
      <c r="B584" s="1268"/>
      <c r="C584" s="1268"/>
      <c r="D584" s="1268"/>
      <c r="E584" s="1268"/>
      <c r="F584" s="1268"/>
      <c r="G584" s="1268"/>
      <c r="H584" s="914"/>
      <c r="I584" s="1036"/>
    </row>
    <row r="585" spans="1:9">
      <c r="A585" s="388"/>
      <c r="B585" s="388"/>
      <c r="C585" s="388"/>
      <c r="E585" s="348"/>
      <c r="F585" s="348"/>
      <c r="I585" s="391"/>
    </row>
    <row r="586" spans="1:9" ht="12.75" customHeight="1">
      <c r="C586" s="383"/>
      <c r="D586" s="1267" t="s">
        <v>471</v>
      </c>
      <c r="E586" s="1267"/>
      <c r="F586" s="1267"/>
      <c r="I586" s="391"/>
    </row>
    <row r="587" spans="1:9">
      <c r="A587" s="384"/>
      <c r="B587" s="384"/>
      <c r="C587" s="384"/>
      <c r="D587" s="1269" t="s">
        <v>472</v>
      </c>
      <c r="E587" s="1269"/>
      <c r="F587" s="1269"/>
      <c r="I587" s="391"/>
    </row>
    <row r="588" spans="1:9">
      <c r="A588" s="305"/>
      <c r="B588" s="305"/>
      <c r="C588" s="384"/>
      <c r="D588" s="400"/>
      <c r="I588" s="391"/>
    </row>
    <row r="589" spans="1:9">
      <c r="A589" s="384"/>
      <c r="B589" s="386" t="s">
        <v>311</v>
      </c>
      <c r="D589" s="1269" t="s">
        <v>473</v>
      </c>
      <c r="E589" s="1269"/>
      <c r="F589" s="1269"/>
      <c r="I589" s="391"/>
    </row>
    <row r="590" spans="1:9">
      <c r="A590" s="391"/>
      <c r="B590" s="391"/>
      <c r="D590" s="377"/>
      <c r="I590" s="391"/>
    </row>
    <row r="591" spans="1:9">
      <c r="A591" s="391"/>
      <c r="B591" s="386" t="s">
        <v>311</v>
      </c>
      <c r="D591" s="1269" t="s">
        <v>474</v>
      </c>
      <c r="E591" s="1269"/>
      <c r="F591" s="1269"/>
      <c r="I591" s="391"/>
    </row>
    <row r="592" spans="1:9">
      <c r="A592" s="391"/>
      <c r="B592" s="391"/>
      <c r="D592" s="1269"/>
      <c r="E592" s="1269"/>
      <c r="F592" s="1269"/>
      <c r="I592" s="391"/>
    </row>
    <row r="593" spans="1:9">
      <c r="A593" s="391"/>
      <c r="B593" s="391"/>
      <c r="D593" s="1269"/>
      <c r="E593" s="1269"/>
      <c r="F593" s="1269"/>
      <c r="I593" s="391"/>
    </row>
    <row r="594" spans="1:9">
      <c r="A594" s="391"/>
      <c r="B594" s="391"/>
      <c r="D594" s="1269"/>
      <c r="E594" s="1269"/>
      <c r="F594" s="1269"/>
      <c r="I594" s="391"/>
    </row>
    <row r="595" spans="1:9">
      <c r="A595" s="391"/>
      <c r="B595" s="386" t="s">
        <v>316</v>
      </c>
      <c r="D595" s="1269" t="s">
        <v>475</v>
      </c>
      <c r="E595" s="1269"/>
      <c r="F595" s="1269"/>
      <c r="I595" s="391"/>
    </row>
    <row r="596" spans="1:9">
      <c r="A596" s="391"/>
      <c r="B596" s="391"/>
      <c r="D596" s="1269"/>
      <c r="E596" s="1269"/>
      <c r="F596" s="1269"/>
      <c r="I596" s="391"/>
    </row>
    <row r="597" spans="1:9">
      <c r="A597" s="391"/>
      <c r="B597" s="391"/>
      <c r="D597" s="1269"/>
      <c r="E597" s="1269"/>
      <c r="F597" s="1269"/>
      <c r="I597" s="391"/>
    </row>
    <row r="598" spans="1:9">
      <c r="A598" s="391"/>
      <c r="B598" s="391"/>
      <c r="D598" s="1269"/>
      <c r="E598" s="1269"/>
      <c r="F598" s="1269"/>
      <c r="I598" s="391"/>
    </row>
    <row r="599" spans="1:9">
      <c r="A599" s="391"/>
      <c r="B599" s="391"/>
      <c r="D599" s="343"/>
      <c r="E599" s="343"/>
      <c r="F599" s="343"/>
      <c r="I599" s="391"/>
    </row>
    <row r="600" spans="1:9">
      <c r="A600" s="391"/>
      <c r="B600" s="386" t="s">
        <v>311</v>
      </c>
      <c r="D600" s="1269" t="s">
        <v>476</v>
      </c>
      <c r="E600" s="1269"/>
      <c r="F600" s="1269"/>
      <c r="I600" s="391"/>
    </row>
    <row r="601" spans="1:9">
      <c r="A601" s="391"/>
      <c r="B601" s="391"/>
      <c r="D601" s="1269"/>
      <c r="E601" s="1269"/>
      <c r="F601" s="1269"/>
      <c r="I601" s="391"/>
    </row>
    <row r="602" spans="1:9">
      <c r="A602" s="391"/>
      <c r="B602" s="391"/>
      <c r="D602" s="400"/>
      <c r="I602" s="391"/>
    </row>
    <row r="603" spans="1:9">
      <c r="A603" s="391"/>
      <c r="B603" s="386" t="s">
        <v>316</v>
      </c>
      <c r="D603" s="1269" t="s">
        <v>477</v>
      </c>
      <c r="E603" s="1269"/>
      <c r="F603" s="1269"/>
      <c r="I603" s="391"/>
    </row>
    <row r="604" spans="1:9">
      <c r="A604" s="391"/>
      <c r="B604" s="391"/>
      <c r="D604" s="1269"/>
      <c r="E604" s="1269"/>
      <c r="F604" s="1269"/>
      <c r="I604" s="391"/>
    </row>
    <row r="605" spans="1:9">
      <c r="A605" s="385"/>
      <c r="B605" s="385"/>
      <c r="D605" s="400"/>
      <c r="I605" s="391"/>
    </row>
    <row r="606" spans="1:9">
      <c r="A606" s="1268" t="s">
        <v>478</v>
      </c>
      <c r="B606" s="1268"/>
      <c r="C606" s="1268"/>
      <c r="D606" s="1268"/>
      <c r="E606" s="1268"/>
      <c r="F606" s="1268"/>
      <c r="G606" s="1268"/>
      <c r="H606" s="914"/>
      <c r="I606" s="1036"/>
    </row>
    <row r="607" spans="1:9">
      <c r="I607" s="391"/>
    </row>
    <row r="608" spans="1:9">
      <c r="D608" s="1274" t="s">
        <v>479</v>
      </c>
      <c r="E608" s="1274"/>
      <c r="F608" s="1274"/>
      <c r="I608" s="391"/>
    </row>
    <row r="609" spans="1:9">
      <c r="D609" s="1275" t="s">
        <v>480</v>
      </c>
      <c r="E609" s="1275"/>
      <c r="F609" s="1275"/>
      <c r="I609" s="391"/>
    </row>
    <row r="610" spans="1:9">
      <c r="D610" s="346"/>
      <c r="I610" s="391"/>
    </row>
    <row r="611" spans="1:9" ht="14.25" customHeight="1">
      <c r="A611" s="385"/>
      <c r="B611" s="386" t="s">
        <v>311</v>
      </c>
      <c r="D611" s="1292" t="s">
        <v>481</v>
      </c>
      <c r="E611" s="1292"/>
      <c r="F611" s="1292"/>
      <c r="I611" s="391"/>
    </row>
    <row r="612" spans="1:9">
      <c r="D612" s="1292"/>
      <c r="E612" s="1292"/>
      <c r="F612" s="1292"/>
      <c r="I612" s="391"/>
    </row>
    <row r="613" spans="1:9">
      <c r="D613" s="288"/>
      <c r="E613" s="922" t="s">
        <v>482</v>
      </c>
      <c r="F613" s="288"/>
      <c r="I613" s="391"/>
    </row>
    <row r="614" spans="1:9">
      <c r="I614" s="391"/>
    </row>
    <row r="615" spans="1:9">
      <c r="A615" s="1268" t="s">
        <v>483</v>
      </c>
      <c r="B615" s="1268"/>
      <c r="C615" s="1268"/>
      <c r="D615" s="1268"/>
      <c r="E615" s="1268"/>
      <c r="F615" s="1268"/>
      <c r="G615" s="1268"/>
      <c r="H615" s="914"/>
      <c r="I615" s="1036"/>
    </row>
    <row r="616" spans="1:9">
      <c r="A616" s="348"/>
      <c r="B616" s="348"/>
      <c r="I616" s="391"/>
    </row>
    <row r="617" spans="1:9">
      <c r="A617" s="383"/>
      <c r="B617" s="383"/>
      <c r="C617" s="383"/>
      <c r="D617" s="1299" t="s">
        <v>484</v>
      </c>
      <c r="E617" s="1299"/>
      <c r="F617" s="1299"/>
      <c r="I617" s="391"/>
    </row>
    <row r="618" spans="1:9">
      <c r="A618" s="383"/>
      <c r="B618" s="383"/>
      <c r="C618" s="383"/>
      <c r="D618" s="1299"/>
      <c r="E618" s="1299"/>
      <c r="F618" s="1299"/>
      <c r="I618" s="391"/>
    </row>
    <row r="619" spans="1:9">
      <c r="C619" s="384"/>
      <c r="D619" s="1275" t="s">
        <v>485</v>
      </c>
      <c r="E619" s="1275"/>
      <c r="F619" s="1275"/>
      <c r="I619" s="391"/>
    </row>
    <row r="620" spans="1:9">
      <c r="C620" s="384"/>
      <c r="D620" s="346"/>
      <c r="E620" s="346"/>
      <c r="F620" s="346"/>
      <c r="I620" s="391"/>
    </row>
    <row r="621" spans="1:9">
      <c r="B621" s="386" t="s">
        <v>311</v>
      </c>
      <c r="C621" s="384"/>
      <c r="D621" s="1281" t="s">
        <v>486</v>
      </c>
      <c r="E621" s="1281"/>
      <c r="F621" s="1281"/>
      <c r="I621" s="391"/>
    </row>
    <row r="622" spans="1:9">
      <c r="C622" s="384"/>
      <c r="D622" s="346"/>
      <c r="E622" s="346"/>
      <c r="F622" s="346"/>
      <c r="I622" s="391"/>
    </row>
    <row r="623" spans="1:9" ht="12.75" customHeight="1">
      <c r="A623" s="391"/>
      <c r="B623" s="386" t="s">
        <v>311</v>
      </c>
      <c r="D623" s="1276" t="s">
        <v>487</v>
      </c>
      <c r="E623" s="1276"/>
      <c r="F623" s="1276"/>
      <c r="I623" s="391"/>
    </row>
    <row r="624" spans="1:9">
      <c r="D624" s="1276"/>
      <c r="E624" s="1276"/>
      <c r="F624" s="1276"/>
      <c r="I624" s="391"/>
    </row>
    <row r="625" spans="1:9">
      <c r="I625" s="391"/>
    </row>
    <row r="626" spans="1:9">
      <c r="B626" s="386" t="s">
        <v>311</v>
      </c>
      <c r="D626" s="1276" t="s">
        <v>488</v>
      </c>
      <c r="E626" s="1276"/>
      <c r="F626" s="1276"/>
      <c r="I626" s="391"/>
    </row>
    <row r="627" spans="1:9">
      <c r="C627" s="401"/>
      <c r="D627" s="1276"/>
      <c r="E627" s="1276"/>
      <c r="F627" s="1276"/>
      <c r="I627" s="391"/>
    </row>
    <row r="628" spans="1:9">
      <c r="C628" s="401"/>
      <c r="I628" s="391"/>
    </row>
    <row r="629" spans="1:9">
      <c r="B629" s="386" t="s">
        <v>316</v>
      </c>
      <c r="C629" s="401"/>
      <c r="D629" s="1276" t="s">
        <v>489</v>
      </c>
      <c r="E629" s="1276"/>
      <c r="F629" s="1276"/>
      <c r="I629" s="391"/>
    </row>
    <row r="630" spans="1:9">
      <c r="C630" s="401"/>
      <c r="D630" s="1276"/>
      <c r="E630" s="1276"/>
      <c r="F630" s="1276"/>
      <c r="I630" s="401"/>
    </row>
    <row r="631" spans="1:9">
      <c r="C631" s="401"/>
      <c r="I631" s="391"/>
    </row>
    <row r="632" spans="1:9">
      <c r="B632" s="386" t="s">
        <v>316</v>
      </c>
      <c r="C632" s="401"/>
      <c r="D632" s="1281" t="s">
        <v>490</v>
      </c>
      <c r="E632" s="1281"/>
      <c r="F632" s="1281"/>
      <c r="I632" s="391"/>
    </row>
    <row r="633" spans="1:9">
      <c r="C633" s="401"/>
      <c r="I633" s="391"/>
    </row>
    <row r="634" spans="1:9">
      <c r="A634" s="1268" t="s">
        <v>491</v>
      </c>
      <c r="B634" s="1268"/>
      <c r="C634" s="1268"/>
      <c r="D634" s="1268"/>
      <c r="E634" s="1268"/>
      <c r="F634" s="1268"/>
      <c r="G634" s="1268"/>
      <c r="H634" s="914"/>
      <c r="I634" s="1036"/>
    </row>
    <row r="635" spans="1:9">
      <c r="A635" s="383"/>
      <c r="B635" s="383"/>
      <c r="C635" s="383"/>
      <c r="I635" s="391"/>
    </row>
    <row r="636" spans="1:9">
      <c r="C636" s="391"/>
      <c r="D636" s="1274" t="s">
        <v>492</v>
      </c>
      <c r="E636" s="1274"/>
      <c r="F636" s="1274"/>
      <c r="I636" s="391"/>
    </row>
    <row r="637" spans="1:9">
      <c r="A637" s="391"/>
      <c r="B637" s="391"/>
      <c r="D637" s="307"/>
      <c r="I637" s="391"/>
    </row>
    <row r="638" spans="1:9" ht="14.25" customHeight="1">
      <c r="A638" s="385"/>
      <c r="B638" s="386" t="s">
        <v>311</v>
      </c>
      <c r="D638" s="1292" t="s">
        <v>493</v>
      </c>
      <c r="E638" s="1292"/>
      <c r="F638" s="1292"/>
      <c r="I638" s="391"/>
    </row>
    <row r="639" spans="1:9">
      <c r="D639" s="1292"/>
      <c r="E639" s="1292"/>
      <c r="F639" s="1292"/>
      <c r="I639" s="391"/>
    </row>
    <row r="640" spans="1:9">
      <c r="D640" s="288"/>
      <c r="E640" s="922" t="s">
        <v>494</v>
      </c>
      <c r="F640" s="288"/>
      <c r="I640" s="391"/>
    </row>
    <row r="641" spans="1:9">
      <c r="D641" s="1265" t="s">
        <v>495</v>
      </c>
      <c r="E641" s="1265"/>
      <c r="F641" s="1265"/>
      <c r="I641" s="391"/>
    </row>
    <row r="642" spans="1:9">
      <c r="D642" s="1265"/>
      <c r="E642" s="1265"/>
      <c r="F642" s="1265"/>
      <c r="I642" s="391"/>
    </row>
    <row r="643" spans="1:9">
      <c r="D643" s="1265"/>
      <c r="E643" s="1265"/>
      <c r="F643" s="1265"/>
      <c r="I643" s="391"/>
    </row>
    <row r="644" spans="1:9">
      <c r="D644" s="347"/>
      <c r="E644" s="347"/>
      <c r="F644" s="347"/>
      <c r="I644" s="391"/>
    </row>
    <row r="645" spans="1:9">
      <c r="A645" s="385"/>
      <c r="B645" s="386" t="s">
        <v>316</v>
      </c>
      <c r="D645" s="1265" t="s">
        <v>496</v>
      </c>
      <c r="E645" s="1265"/>
      <c r="F645" s="1265"/>
      <c r="I645" s="391"/>
    </row>
    <row r="646" spans="1:9">
      <c r="A646" s="388"/>
      <c r="B646" s="388"/>
      <c r="C646" s="388"/>
      <c r="D646" s="1265"/>
      <c r="E646" s="1265"/>
      <c r="F646" s="1265"/>
      <c r="I646" s="391"/>
    </row>
    <row r="647" spans="1:9">
      <c r="A647" s="388"/>
      <c r="B647" s="388"/>
      <c r="C647" s="388"/>
      <c r="D647" s="348"/>
      <c r="E647" s="348"/>
      <c r="F647" s="348"/>
      <c r="I647" s="391"/>
    </row>
    <row r="648" spans="1:9">
      <c r="A648" s="385"/>
      <c r="B648" s="386" t="s">
        <v>316</v>
      </c>
      <c r="C648" s="388"/>
      <c r="D648" s="1265" t="s">
        <v>497</v>
      </c>
      <c r="E648" s="1265"/>
      <c r="F648" s="1265"/>
      <c r="I648" s="391"/>
    </row>
    <row r="649" spans="1:9">
      <c r="A649" s="385"/>
      <c r="B649" s="385"/>
      <c r="C649" s="388"/>
      <c r="D649" s="1265"/>
      <c r="E649" s="1265"/>
      <c r="F649" s="1265"/>
      <c r="I649" s="391"/>
    </row>
    <row r="650" spans="1:9">
      <c r="A650" s="385"/>
      <c r="B650" s="385"/>
      <c r="C650" s="388"/>
      <c r="D650" s="1265"/>
      <c r="E650" s="1265"/>
      <c r="F650" s="1265"/>
      <c r="I650" s="391"/>
    </row>
    <row r="651" spans="1:9">
      <c r="A651" s="388"/>
      <c r="B651" s="386" t="s">
        <v>316</v>
      </c>
      <c r="C651" s="388"/>
      <c r="D651" s="1266" t="s">
        <v>498</v>
      </c>
      <c r="E651" s="1266"/>
      <c r="F651" s="1266"/>
      <c r="I651" s="391"/>
    </row>
    <row r="652" spans="1:9">
      <c r="A652" s="388"/>
      <c r="B652" s="388"/>
      <c r="C652" s="388"/>
      <c r="D652" s="348"/>
      <c r="E652" s="348"/>
      <c r="F652" s="348"/>
      <c r="I652" s="391"/>
    </row>
    <row r="653" spans="1:9">
      <c r="A653" s="1268" t="s">
        <v>499</v>
      </c>
      <c r="B653" s="1268"/>
      <c r="C653" s="1268"/>
      <c r="D653" s="1268"/>
      <c r="E653" s="1268"/>
      <c r="F653" s="1268"/>
      <c r="G653" s="1268"/>
      <c r="H653" s="914"/>
      <c r="I653" s="1036"/>
    </row>
    <row r="654" spans="1:9">
      <c r="A654" s="348"/>
      <c r="B654" s="348"/>
      <c r="C654" s="388"/>
      <c r="D654" s="348"/>
      <c r="E654" s="348"/>
      <c r="F654" s="348"/>
      <c r="I654" s="391"/>
    </row>
    <row r="655" spans="1:9">
      <c r="C655" s="383"/>
      <c r="D655" s="1274" t="s">
        <v>500</v>
      </c>
      <c r="E655" s="1274"/>
      <c r="F655" s="1274"/>
      <c r="I655" s="391"/>
    </row>
    <row r="656" spans="1:9">
      <c r="A656" s="384"/>
      <c r="B656" s="384"/>
      <c r="C656" s="384"/>
      <c r="D656" s="1266" t="s">
        <v>501</v>
      </c>
      <c r="E656" s="1266"/>
      <c r="F656" s="1266"/>
      <c r="I656" s="391"/>
    </row>
    <row r="657" spans="1:9">
      <c r="A657" s="384"/>
      <c r="B657" s="384"/>
      <c r="C657" s="384"/>
      <c r="D657" s="348"/>
      <c r="E657" s="348"/>
      <c r="F657" s="348"/>
      <c r="I657" s="391"/>
    </row>
    <row r="658" spans="1:9" ht="12.75" customHeight="1">
      <c r="B658" s="386" t="s">
        <v>316</v>
      </c>
      <c r="C658" s="388"/>
      <c r="D658" s="1265" t="s">
        <v>502</v>
      </c>
      <c r="E658" s="1265"/>
      <c r="F658" s="1265"/>
      <c r="I658" s="391"/>
    </row>
    <row r="659" spans="1:9">
      <c r="D659" s="1265"/>
      <c r="E659" s="1265"/>
      <c r="F659" s="1265"/>
      <c r="I659" s="391"/>
    </row>
    <row r="660" spans="1:9">
      <c r="D660" s="1265"/>
      <c r="E660" s="1265"/>
      <c r="F660" s="1265"/>
      <c r="I660" s="391"/>
    </row>
    <row r="661" spans="1:9">
      <c r="D661" s="1265"/>
      <c r="E661" s="1265"/>
      <c r="F661" s="1265"/>
      <c r="I661" s="391"/>
    </row>
    <row r="662" spans="1:9" ht="14.5" customHeight="1">
      <c r="A662" s="385"/>
      <c r="B662" s="385"/>
      <c r="C662" s="388"/>
      <c r="D662" s="288"/>
      <c r="E662" s="288"/>
      <c r="F662" s="288"/>
      <c r="I662" s="391"/>
    </row>
    <row r="663" spans="1:9" ht="12.75" customHeight="1">
      <c r="A663" s="384"/>
      <c r="B663" s="386" t="s">
        <v>316</v>
      </c>
      <c r="C663" s="388"/>
      <c r="D663" s="1265" t="s">
        <v>503</v>
      </c>
      <c r="E663" s="1265"/>
      <c r="F663" s="1265"/>
      <c r="I663" s="391"/>
    </row>
    <row r="664" spans="1:9">
      <c r="A664" s="384"/>
      <c r="B664" s="385"/>
      <c r="C664" s="388"/>
      <c r="D664" s="1265"/>
      <c r="E664" s="1265"/>
      <c r="F664" s="1265"/>
      <c r="I664" s="391"/>
    </row>
    <row r="665" spans="1:9">
      <c r="A665" s="384"/>
      <c r="B665" s="385"/>
      <c r="C665" s="388"/>
      <c r="D665" s="1265"/>
      <c r="E665" s="1265"/>
      <c r="F665" s="1265"/>
      <c r="I665" s="391"/>
    </row>
    <row r="666" spans="1:9">
      <c r="A666" s="384"/>
      <c r="B666" s="385"/>
      <c r="C666" s="388"/>
      <c r="D666" s="1265"/>
      <c r="E666" s="1265"/>
      <c r="F666" s="1265"/>
      <c r="I666" s="391"/>
    </row>
    <row r="667" spans="1:9">
      <c r="A667" s="384"/>
      <c r="B667" s="385"/>
      <c r="C667" s="388"/>
      <c r="D667" s="1265"/>
      <c r="E667" s="1265"/>
      <c r="F667" s="1265"/>
      <c r="I667" s="391"/>
    </row>
    <row r="668" spans="1:9" ht="14.25" customHeight="1">
      <c r="A668" s="384"/>
      <c r="B668" s="385"/>
      <c r="C668" s="388"/>
      <c r="F668" s="289"/>
      <c r="I668" s="391"/>
    </row>
    <row r="669" spans="1:9" ht="12.75" customHeight="1">
      <c r="A669" s="384"/>
      <c r="B669" s="386" t="s">
        <v>316</v>
      </c>
      <c r="C669" s="388"/>
      <c r="D669" s="1265" t="s">
        <v>504</v>
      </c>
      <c r="E669" s="1265"/>
      <c r="F669" s="1265"/>
      <c r="I669" s="391"/>
    </row>
    <row r="670" spans="1:9">
      <c r="A670" s="384"/>
      <c r="B670" s="385"/>
      <c r="C670" s="388"/>
      <c r="D670" s="1265"/>
      <c r="E670" s="1265"/>
      <c r="F670" s="1265"/>
      <c r="I670" s="391"/>
    </row>
    <row r="671" spans="1:9">
      <c r="A671" s="385"/>
      <c r="B671" s="385"/>
      <c r="C671" s="388"/>
      <c r="D671" s="1265"/>
      <c r="E671" s="1265"/>
      <c r="F671" s="1265"/>
      <c r="I671" s="391"/>
    </row>
    <row r="672" spans="1:9">
      <c r="A672" s="385"/>
      <c r="B672" s="385"/>
      <c r="C672" s="388"/>
      <c r="D672" s="1265"/>
      <c r="E672" s="1265"/>
      <c r="F672" s="1265"/>
      <c r="I672" s="391"/>
    </row>
    <row r="673" spans="1:11">
      <c r="A673" s="385"/>
      <c r="B673" s="385"/>
      <c r="C673" s="388"/>
      <c r="D673" s="347"/>
      <c r="E673" s="347"/>
      <c r="F673" s="347"/>
      <c r="I673" s="391"/>
    </row>
    <row r="674" spans="1:11" ht="12.75" customHeight="1">
      <c r="A674" s="384"/>
      <c r="B674" s="386" t="s">
        <v>316</v>
      </c>
      <c r="C674" s="388"/>
      <c r="D674" s="1265" t="s">
        <v>505</v>
      </c>
      <c r="E674" s="1265"/>
      <c r="F674" s="1265"/>
      <c r="I674" s="391"/>
    </row>
    <row r="675" spans="1:11" ht="12.75" customHeight="1">
      <c r="A675" s="384"/>
      <c r="B675" s="385"/>
      <c r="C675" s="388"/>
      <c r="D675" s="1265"/>
      <c r="E675" s="1265"/>
      <c r="F675" s="1265"/>
      <c r="I675" s="391"/>
    </row>
    <row r="676" spans="1:11" ht="12.75" customHeight="1">
      <c r="A676" s="384"/>
      <c r="B676" s="385"/>
      <c r="C676" s="388"/>
      <c r="D676" s="1265"/>
      <c r="E676" s="1265"/>
      <c r="F676" s="1265"/>
      <c r="I676" s="391"/>
    </row>
    <row r="677" spans="1:11" ht="12.75" customHeight="1">
      <c r="A677" s="384"/>
      <c r="B677" s="385"/>
      <c r="C677" s="388"/>
      <c r="D677" s="1265"/>
      <c r="E677" s="1265"/>
      <c r="F677" s="1265"/>
      <c r="I677" s="391"/>
    </row>
    <row r="678" spans="1:11" ht="12.75" customHeight="1">
      <c r="A678" s="384"/>
      <c r="B678" s="385"/>
      <c r="C678" s="388"/>
      <c r="D678" s="1265"/>
      <c r="E678" s="1265"/>
      <c r="F678" s="1265"/>
      <c r="I678" s="391"/>
    </row>
    <row r="679" spans="1:11" ht="12.75" customHeight="1">
      <c r="A679" s="384"/>
      <c r="B679" s="385"/>
      <c r="C679" s="388"/>
      <c r="D679" s="1265"/>
      <c r="E679" s="1265"/>
      <c r="F679" s="1265"/>
      <c r="I679" s="391"/>
    </row>
    <row r="680" spans="1:11" ht="12.75" customHeight="1">
      <c r="A680" s="384"/>
      <c r="B680" s="385"/>
      <c r="C680" s="388"/>
      <c r="D680" s="1265"/>
      <c r="E680" s="1265"/>
      <c r="F680" s="1265"/>
      <c r="I680" s="391"/>
    </row>
    <row r="681" spans="1:11" ht="12.75" customHeight="1">
      <c r="A681" s="384"/>
      <c r="B681" s="385"/>
      <c r="C681" s="388"/>
      <c r="D681" s="1265"/>
      <c r="E681" s="1265"/>
      <c r="F681" s="1265"/>
      <c r="I681" s="391"/>
    </row>
    <row r="682" spans="1:11" ht="12.75" customHeight="1">
      <c r="A682" s="384"/>
      <c r="B682" s="385"/>
      <c r="C682" s="388"/>
      <c r="D682" s="1265"/>
      <c r="E682" s="1265"/>
      <c r="F682" s="1265"/>
      <c r="I682" s="391"/>
    </row>
    <row r="683" spans="1:11">
      <c r="A683" s="388"/>
      <c r="B683" s="388"/>
      <c r="C683" s="388"/>
      <c r="D683" s="348"/>
      <c r="E683" s="348"/>
      <c r="F683" s="348"/>
      <c r="I683" s="391"/>
    </row>
    <row r="684" spans="1:11">
      <c r="A684" s="1268" t="s">
        <v>506</v>
      </c>
      <c r="B684" s="1268"/>
      <c r="C684" s="1268"/>
      <c r="D684" s="1268"/>
      <c r="E684" s="1268"/>
      <c r="F684" s="1268"/>
      <c r="G684" s="1268"/>
      <c r="H684" s="916"/>
      <c r="I684" s="1040"/>
      <c r="J684" s="402"/>
      <c r="K684" s="402"/>
    </row>
    <row r="685" spans="1:11">
      <c r="A685" s="350"/>
      <c r="B685" s="350"/>
      <c r="C685" s="350"/>
      <c r="D685" s="350"/>
      <c r="E685" s="350"/>
      <c r="F685" s="350"/>
      <c r="G685" s="350"/>
      <c r="H685" s="402"/>
      <c r="I685" s="384"/>
      <c r="J685" s="402"/>
      <c r="K685" s="402"/>
    </row>
    <row r="686" spans="1:11">
      <c r="C686" s="383"/>
      <c r="D686" s="1274" t="s">
        <v>507</v>
      </c>
      <c r="E686" s="1274"/>
      <c r="F686" s="1274"/>
      <c r="H686" s="402"/>
      <c r="I686" s="384"/>
      <c r="J686" s="402"/>
      <c r="K686" s="402"/>
    </row>
    <row r="687" spans="1:11">
      <c r="A687" s="383"/>
      <c r="B687" s="383"/>
      <c r="C687" s="383"/>
      <c r="D687" s="1274" t="s">
        <v>508</v>
      </c>
      <c r="E687" s="1274"/>
      <c r="F687" s="1274"/>
      <c r="H687" s="402"/>
      <c r="I687" s="384"/>
      <c r="J687" s="402"/>
      <c r="K687" s="402"/>
    </row>
    <row r="688" spans="1:11">
      <c r="A688" s="384"/>
      <c r="B688" s="384"/>
      <c r="C688" s="384"/>
      <c r="D688" s="1266" t="s">
        <v>509</v>
      </c>
      <c r="E688" s="1266"/>
      <c r="F688" s="1266"/>
      <c r="H688" s="402"/>
      <c r="I688" s="384"/>
      <c r="J688" s="402"/>
      <c r="K688" s="402"/>
    </row>
    <row r="689" spans="1:11">
      <c r="A689" s="384"/>
      <c r="B689" s="384"/>
      <c r="C689" s="384"/>
      <c r="H689" s="402"/>
      <c r="I689" s="384"/>
      <c r="J689" s="402"/>
      <c r="K689" s="402"/>
    </row>
    <row r="690" spans="1:11">
      <c r="A690" s="385"/>
      <c r="B690" s="386" t="s">
        <v>316</v>
      </c>
      <c r="C690" s="384"/>
      <c r="D690" s="1266" t="s">
        <v>510</v>
      </c>
      <c r="E690" s="1266"/>
      <c r="F690" s="1266"/>
      <c r="H690" s="402"/>
      <c r="I690" s="384"/>
      <c r="J690" s="402"/>
      <c r="K690" s="402"/>
    </row>
    <row r="691" spans="1:11">
      <c r="A691" s="384"/>
      <c r="B691" s="384"/>
      <c r="C691" s="384"/>
      <c r="D691" s="1266" t="s">
        <v>511</v>
      </c>
      <c r="E691" s="1266"/>
      <c r="F691" s="1266"/>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c r="A695" s="385"/>
      <c r="B695" s="386" t="s">
        <v>311</v>
      </c>
      <c r="C695" s="384"/>
      <c r="D695" s="1265" t="s">
        <v>514</v>
      </c>
      <c r="E695" s="1265"/>
      <c r="F695" s="1265"/>
      <c r="H695" s="402"/>
      <c r="I695" s="384"/>
      <c r="J695" s="402"/>
      <c r="K695" s="402"/>
    </row>
    <row r="696" spans="1:11">
      <c r="A696" s="391"/>
      <c r="B696" s="391"/>
      <c r="C696" s="384"/>
      <c r="D696" s="1265"/>
      <c r="E696" s="1265"/>
      <c r="F696" s="1265"/>
      <c r="H696" s="402"/>
      <c r="I696" s="384"/>
      <c r="J696" s="402"/>
      <c r="K696" s="402"/>
    </row>
    <row r="697" spans="1:11">
      <c r="A697" s="384"/>
      <c r="B697" s="384"/>
      <c r="C697" s="384"/>
      <c r="D697" s="1265"/>
      <c r="E697" s="1265"/>
      <c r="F697" s="1265"/>
      <c r="H697" s="402"/>
      <c r="I697" s="384"/>
      <c r="J697" s="402"/>
      <c r="K697" s="402"/>
    </row>
    <row r="698" spans="1:11">
      <c r="A698" s="384"/>
      <c r="B698" s="384"/>
      <c r="C698" s="384"/>
      <c r="H698" s="402"/>
      <c r="J698" s="402"/>
      <c r="K698" s="402"/>
    </row>
    <row r="699" spans="1:11">
      <c r="A699" s="385"/>
      <c r="B699" s="386" t="s">
        <v>311</v>
      </c>
      <c r="C699" s="384"/>
      <c r="D699" s="1266" t="s">
        <v>515</v>
      </c>
      <c r="E699" s="1266"/>
      <c r="F699" s="1266"/>
      <c r="H699" s="402"/>
      <c r="I699" s="384"/>
      <c r="J699" s="402"/>
      <c r="K699" s="402"/>
    </row>
    <row r="700" spans="1:11">
      <c r="A700" s="385"/>
      <c r="B700" s="385"/>
      <c r="C700" s="384"/>
      <c r="D700" s="1266" t="s">
        <v>511</v>
      </c>
      <c r="E700" s="1266"/>
      <c r="F700" s="1266"/>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c r="A703" s="385"/>
      <c r="B703" s="386" t="s">
        <v>316</v>
      </c>
      <c r="C703" s="384"/>
      <c r="D703" s="1266" t="s">
        <v>517</v>
      </c>
      <c r="E703" s="1266"/>
      <c r="F703" s="1266"/>
      <c r="H703" s="402"/>
      <c r="I703" s="384"/>
      <c r="J703" s="402"/>
      <c r="K703" s="402"/>
    </row>
    <row r="704" spans="1:11">
      <c r="A704" s="385"/>
      <c r="B704" s="385"/>
      <c r="C704" s="384"/>
      <c r="D704" s="1266" t="s">
        <v>511</v>
      </c>
      <c r="E704" s="1266"/>
      <c r="F704" s="1266"/>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c r="A707" s="385"/>
      <c r="B707" s="386" t="s">
        <v>316</v>
      </c>
      <c r="C707" s="384"/>
      <c r="D707" s="1265" t="s">
        <v>519</v>
      </c>
      <c r="E707" s="1265"/>
      <c r="F707" s="1265"/>
      <c r="H707" s="402"/>
      <c r="I707" s="384"/>
      <c r="J707" s="402"/>
      <c r="K707" s="402"/>
    </row>
    <row r="708" spans="1:11">
      <c r="A708" s="384"/>
      <c r="B708" s="384"/>
      <c r="C708" s="384"/>
      <c r="D708" s="1265"/>
      <c r="E708" s="1265"/>
      <c r="F708" s="1265"/>
      <c r="H708" s="402"/>
      <c r="I708" s="384"/>
      <c r="J708" s="402"/>
      <c r="K708" s="402"/>
    </row>
    <row r="709" spans="1:11">
      <c r="A709" s="384"/>
      <c r="B709" s="384"/>
      <c r="C709" s="384"/>
      <c r="D709" s="1265"/>
      <c r="E709" s="1265"/>
      <c r="F709" s="1265"/>
      <c r="H709" s="402"/>
      <c r="I709" s="384"/>
      <c r="J709" s="402"/>
      <c r="K709" s="402"/>
    </row>
    <row r="710" spans="1:11">
      <c r="A710" s="384"/>
      <c r="B710" s="384"/>
      <c r="C710" s="384"/>
      <c r="D710" s="1265"/>
      <c r="E710" s="1265"/>
      <c r="F710" s="1265"/>
      <c r="H710" s="402"/>
      <c r="I710" s="384"/>
      <c r="J710" s="402"/>
      <c r="K710" s="402"/>
    </row>
    <row r="711" spans="1:11">
      <c r="A711" s="384"/>
      <c r="B711" s="384"/>
      <c r="C711" s="384"/>
      <c r="D711" s="1265"/>
      <c r="E711" s="1265"/>
      <c r="F711" s="1265"/>
      <c r="H711" s="402"/>
      <c r="I711" s="384"/>
      <c r="J711" s="402"/>
      <c r="K711" s="402"/>
    </row>
    <row r="712" spans="1:11">
      <c r="A712" s="384"/>
      <c r="B712" s="384"/>
      <c r="C712" s="384"/>
      <c r="D712" s="1265"/>
      <c r="E712" s="1265"/>
      <c r="F712" s="1265"/>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265" t="s">
        <v>520</v>
      </c>
      <c r="E714" s="1265"/>
      <c r="F714" s="1265"/>
      <c r="H714" s="402"/>
      <c r="I714" s="384"/>
      <c r="J714" s="402"/>
      <c r="K714" s="402"/>
    </row>
    <row r="715" spans="1:11">
      <c r="A715" s="384"/>
      <c r="B715" s="384"/>
      <c r="C715" s="384"/>
      <c r="D715" s="1265"/>
      <c r="E715" s="1265"/>
      <c r="F715" s="1265"/>
      <c r="H715" s="402"/>
      <c r="I715" s="384"/>
      <c r="J715" s="402"/>
      <c r="K715" s="402"/>
    </row>
    <row r="716" spans="1:11">
      <c r="A716" s="384"/>
      <c r="B716" s="384"/>
      <c r="C716" s="384"/>
      <c r="D716" s="347"/>
      <c r="E716" s="347"/>
      <c r="F716" s="347"/>
      <c r="H716" s="402"/>
      <c r="I716" s="384"/>
      <c r="J716" s="402"/>
      <c r="K716" s="402"/>
    </row>
    <row r="717" spans="1:11">
      <c r="A717" s="385"/>
      <c r="B717" s="386" t="s">
        <v>316</v>
      </c>
      <c r="C717" s="384"/>
      <c r="D717" s="1265" t="s">
        <v>521</v>
      </c>
      <c r="E717" s="1265"/>
      <c r="F717" s="1265"/>
      <c r="H717" s="402"/>
      <c r="I717" s="384"/>
      <c r="J717" s="402"/>
      <c r="K717" s="402"/>
    </row>
    <row r="718" spans="1:11">
      <c r="A718" s="384"/>
      <c r="B718" s="384"/>
      <c r="C718" s="384"/>
      <c r="D718" s="1265"/>
      <c r="E718" s="1265"/>
      <c r="F718" s="1265"/>
      <c r="H718" s="402"/>
      <c r="I718" s="384"/>
      <c r="J718" s="402"/>
      <c r="K718" s="402"/>
    </row>
    <row r="719" spans="1:11">
      <c r="A719" s="384"/>
      <c r="B719" s="384"/>
      <c r="C719" s="384"/>
      <c r="D719" s="1265"/>
      <c r="E719" s="1265"/>
      <c r="F719" s="1265"/>
      <c r="H719" s="402"/>
      <c r="I719" s="384"/>
      <c r="J719" s="402"/>
      <c r="K719" s="402"/>
    </row>
    <row r="720" spans="1:11" ht="15" customHeight="1">
      <c r="A720" s="384"/>
      <c r="B720" s="384"/>
      <c r="C720" s="384"/>
      <c r="D720" s="1265"/>
      <c r="E720" s="1265"/>
      <c r="F720" s="1265"/>
      <c r="H720" s="402"/>
      <c r="I720" s="384"/>
      <c r="J720" s="402"/>
      <c r="K720" s="402"/>
    </row>
    <row r="721" spans="1:11" ht="15" customHeight="1">
      <c r="A721" s="384"/>
      <c r="B721" s="384"/>
      <c r="C721" s="384"/>
      <c r="D721" s="1265"/>
      <c r="E721" s="1265"/>
      <c r="F721" s="1265"/>
      <c r="H721" s="402"/>
      <c r="I721" s="384"/>
      <c r="J721" s="402"/>
      <c r="K721" s="402"/>
    </row>
    <row r="722" spans="1:11">
      <c r="A722" s="384"/>
      <c r="B722" s="384"/>
      <c r="C722" s="384"/>
      <c r="D722" s="1265"/>
      <c r="E722" s="1265"/>
      <c r="F722" s="1265"/>
      <c r="H722" s="402"/>
      <c r="I722" s="384"/>
      <c r="J722" s="402"/>
      <c r="K722" s="402"/>
    </row>
    <row r="723" spans="1:11">
      <c r="A723" s="384"/>
      <c r="B723" s="384"/>
      <c r="C723" s="384"/>
      <c r="D723" s="1265"/>
      <c r="E723" s="1265"/>
      <c r="F723" s="1265"/>
      <c r="H723" s="402"/>
      <c r="I723" s="384"/>
      <c r="J723" s="402"/>
      <c r="K723" s="402"/>
    </row>
    <row r="724" spans="1:11">
      <c r="A724" s="384"/>
      <c r="B724" s="384"/>
      <c r="C724" s="384"/>
      <c r="D724" s="1265"/>
      <c r="E724" s="1265"/>
      <c r="F724" s="1265"/>
      <c r="H724" s="402"/>
      <c r="I724" s="384"/>
      <c r="J724" s="402"/>
      <c r="K724" s="402"/>
    </row>
    <row r="725" spans="1:11" ht="15" customHeight="1">
      <c r="A725" s="384"/>
      <c r="B725" s="384"/>
      <c r="C725" s="384"/>
      <c r="D725" s="1265"/>
      <c r="E725" s="1265"/>
      <c r="F725" s="1265"/>
      <c r="H725" s="402"/>
      <c r="I725" s="384"/>
      <c r="J725" s="402"/>
      <c r="K725" s="402"/>
    </row>
    <row r="726" spans="1:11">
      <c r="A726" s="384"/>
      <c r="B726" s="384"/>
      <c r="C726" s="384"/>
      <c r="D726" s="1265"/>
      <c r="E726" s="1265"/>
      <c r="F726" s="1265"/>
      <c r="H726" s="402"/>
      <c r="I726" s="384"/>
      <c r="J726" s="402"/>
      <c r="K726" s="402"/>
    </row>
    <row r="727" spans="1:11">
      <c r="A727" s="384"/>
      <c r="B727" s="384"/>
      <c r="C727" s="384"/>
      <c r="D727" s="1265"/>
      <c r="E727" s="1265"/>
      <c r="F727" s="1265"/>
      <c r="H727" s="402"/>
      <c r="I727" s="384"/>
      <c r="J727" s="402"/>
      <c r="K727" s="402"/>
    </row>
    <row r="728" spans="1:11">
      <c r="A728" s="384"/>
      <c r="B728" s="384"/>
      <c r="C728" s="384"/>
      <c r="D728" s="1265"/>
      <c r="E728" s="1265"/>
      <c r="F728" s="1265"/>
      <c r="H728" s="402"/>
      <c r="I728" s="384"/>
      <c r="J728" s="402"/>
      <c r="K728" s="402"/>
    </row>
    <row r="729" spans="1:11">
      <c r="A729" s="384"/>
      <c r="B729" s="384"/>
      <c r="C729" s="384"/>
      <c r="D729" s="1265"/>
      <c r="E729" s="1265"/>
      <c r="F729" s="1265"/>
      <c r="H729" s="402"/>
      <c r="I729" s="384"/>
      <c r="J729" s="402"/>
      <c r="K729" s="402"/>
    </row>
    <row r="730" spans="1:11">
      <c r="A730" s="384"/>
      <c r="B730" s="386" t="s">
        <v>316</v>
      </c>
      <c r="C730" s="384"/>
      <c r="D730" s="1265" t="s">
        <v>522</v>
      </c>
      <c r="E730" s="1265"/>
      <c r="F730" s="1265"/>
      <c r="H730" s="402"/>
      <c r="I730" s="384"/>
      <c r="J730" s="402"/>
      <c r="K730" s="402"/>
    </row>
    <row r="731" spans="1:11">
      <c r="A731" s="384"/>
      <c r="B731" s="384"/>
      <c r="C731" s="384"/>
      <c r="D731" s="1265"/>
      <c r="E731" s="1265"/>
      <c r="F731" s="1265"/>
      <c r="H731" s="402"/>
      <c r="I731" s="384"/>
      <c r="J731" s="402"/>
      <c r="K731" s="402"/>
    </row>
    <row r="732" spans="1:11">
      <c r="A732" s="384"/>
      <c r="B732" s="384"/>
      <c r="C732" s="384"/>
      <c r="D732" s="1265"/>
      <c r="E732" s="1265"/>
      <c r="F732" s="1265"/>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65" t="s">
        <v>523</v>
      </c>
      <c r="E734" s="1265"/>
      <c r="F734" s="1265"/>
      <c r="H734" s="402"/>
      <c r="I734" s="384"/>
      <c r="J734" s="402"/>
      <c r="K734" s="402"/>
    </row>
    <row r="735" spans="1:11">
      <c r="A735" s="384"/>
      <c r="B735" s="384"/>
      <c r="C735" s="384"/>
      <c r="D735" s="1265"/>
      <c r="E735" s="1265"/>
      <c r="F735" s="1265"/>
      <c r="H735" s="402"/>
      <c r="I735" s="384"/>
      <c r="J735" s="402"/>
      <c r="K735" s="402"/>
    </row>
    <row r="736" spans="1:11">
      <c r="A736" s="384"/>
      <c r="B736" s="384"/>
      <c r="C736" s="384"/>
      <c r="D736" s="1265"/>
      <c r="E736" s="1265"/>
      <c r="F736" s="1265"/>
      <c r="H736" s="402"/>
      <c r="I736" s="384"/>
      <c r="J736" s="402"/>
      <c r="K736" s="402"/>
    </row>
    <row r="737" spans="1:11">
      <c r="A737" s="384"/>
      <c r="B737" s="384"/>
      <c r="C737" s="384"/>
      <c r="H737" s="402"/>
      <c r="I737" s="384"/>
      <c r="J737" s="402"/>
      <c r="K737" s="402"/>
    </row>
    <row r="738" spans="1:11">
      <c r="A738" s="384"/>
      <c r="B738" s="386" t="s">
        <v>316</v>
      </c>
      <c r="C738" s="384"/>
      <c r="D738" s="1265" t="s">
        <v>524</v>
      </c>
      <c r="E738" s="1265"/>
      <c r="F738" s="1265"/>
      <c r="H738" s="402"/>
      <c r="I738" s="384"/>
      <c r="J738" s="402"/>
      <c r="K738" s="402"/>
    </row>
    <row r="739" spans="1:11">
      <c r="A739" s="384"/>
      <c r="B739" s="384"/>
      <c r="C739" s="384"/>
      <c r="D739" s="1265"/>
      <c r="E739" s="1265"/>
      <c r="F739" s="1265"/>
      <c r="H739" s="402"/>
      <c r="I739" s="384"/>
      <c r="J739" s="402"/>
      <c r="K739" s="402"/>
    </row>
    <row r="740" spans="1:11">
      <c r="A740" s="384"/>
      <c r="B740" s="384"/>
      <c r="C740" s="384"/>
      <c r="D740" s="1265"/>
      <c r="E740" s="1265"/>
      <c r="F740" s="1265"/>
      <c r="H740" s="402"/>
      <c r="I740" s="384"/>
      <c r="J740" s="402"/>
      <c r="K740" s="402"/>
    </row>
    <row r="741" spans="1:11">
      <c r="A741" s="384"/>
      <c r="B741" s="384"/>
      <c r="C741" s="384"/>
      <c r="D741" s="1265"/>
      <c r="E741" s="1265"/>
      <c r="F741" s="1265"/>
      <c r="H741" s="402"/>
      <c r="I741" s="384"/>
      <c r="J741" s="402"/>
      <c r="K741" s="402"/>
    </row>
    <row r="742" spans="1:11">
      <c r="A742" s="384"/>
      <c r="B742" s="384"/>
      <c r="C742" s="384"/>
      <c r="H742" s="402"/>
      <c r="I742" s="384"/>
      <c r="J742" s="402"/>
      <c r="K742" s="402"/>
    </row>
    <row r="743" spans="1:11">
      <c r="A743" s="385"/>
      <c r="B743" s="386" t="s">
        <v>316</v>
      </c>
      <c r="C743" s="384"/>
      <c r="D743" s="1265" t="s">
        <v>525</v>
      </c>
      <c r="E743" s="1265"/>
      <c r="F743" s="1265"/>
      <c r="H743" s="402"/>
      <c r="I743" s="384"/>
      <c r="J743" s="402"/>
      <c r="K743" s="402"/>
    </row>
    <row r="744" spans="1:11">
      <c r="A744" s="384"/>
      <c r="B744" s="384"/>
      <c r="C744" s="384"/>
      <c r="D744" s="1265"/>
      <c r="E744" s="1265"/>
      <c r="F744" s="1265"/>
      <c r="H744" s="402"/>
      <c r="I744" s="384"/>
      <c r="J744" s="402"/>
      <c r="K744" s="402"/>
    </row>
    <row r="745" spans="1:11">
      <c r="A745" s="384"/>
      <c r="B745" s="384"/>
      <c r="C745" s="384"/>
      <c r="D745" s="1265"/>
      <c r="E745" s="1265"/>
      <c r="F745" s="1265"/>
      <c r="H745" s="402"/>
      <c r="I745" s="384"/>
      <c r="J745" s="402"/>
      <c r="K745" s="402"/>
    </row>
    <row r="746" spans="1:11">
      <c r="A746" s="384"/>
      <c r="B746" s="384"/>
      <c r="C746" s="384"/>
      <c r="D746" s="1265"/>
      <c r="E746" s="1265"/>
      <c r="F746" s="1265"/>
      <c r="H746" s="402"/>
      <c r="I746" s="384"/>
      <c r="J746" s="402"/>
      <c r="K746" s="402"/>
    </row>
    <row r="747" spans="1:11">
      <c r="A747" s="384"/>
      <c r="B747" s="384"/>
      <c r="C747" s="384"/>
      <c r="D747" s="1265"/>
      <c r="E747" s="1265"/>
      <c r="F747" s="1265"/>
      <c r="H747" s="402"/>
      <c r="I747" s="384"/>
      <c r="J747" s="402"/>
      <c r="K747" s="402"/>
    </row>
    <row r="748" spans="1:11">
      <c r="A748" s="384"/>
      <c r="B748" s="384"/>
      <c r="C748" s="384"/>
      <c r="D748" s="393"/>
      <c r="H748" s="402"/>
      <c r="I748" s="384"/>
      <c r="J748" s="402"/>
      <c r="K748" s="402"/>
    </row>
    <row r="749" spans="1:11">
      <c r="A749" s="385"/>
      <c r="B749" s="386" t="s">
        <v>316</v>
      </c>
      <c r="C749" s="384"/>
      <c r="D749" s="1265" t="s">
        <v>526</v>
      </c>
      <c r="E749" s="1265"/>
      <c r="F749" s="1265"/>
      <c r="H749" s="402"/>
      <c r="I749" s="384"/>
      <c r="J749" s="402"/>
      <c r="K749" s="402"/>
    </row>
    <row r="750" spans="1:11">
      <c r="A750" s="384"/>
      <c r="B750" s="384"/>
      <c r="C750" s="384"/>
      <c r="D750" s="1265"/>
      <c r="E750" s="1265"/>
      <c r="F750" s="1265"/>
      <c r="H750" s="402"/>
      <c r="I750" s="384"/>
      <c r="J750" s="402"/>
      <c r="K750" s="402"/>
    </row>
    <row r="751" spans="1:11">
      <c r="A751" s="384"/>
      <c r="B751" s="384"/>
      <c r="C751" s="384"/>
      <c r="D751" s="1265"/>
      <c r="E751" s="1265"/>
      <c r="F751" s="1265"/>
      <c r="H751" s="402"/>
      <c r="I751" s="384"/>
      <c r="J751" s="402"/>
      <c r="K751" s="402"/>
    </row>
    <row r="752" spans="1:11">
      <c r="A752" s="384"/>
      <c r="B752" s="384"/>
      <c r="C752" s="384"/>
      <c r="D752" s="1265"/>
      <c r="E752" s="1265"/>
      <c r="F752" s="1265"/>
      <c r="H752" s="402"/>
      <c r="I752" s="384"/>
      <c r="J752" s="402"/>
      <c r="K752" s="402"/>
    </row>
    <row r="753" spans="1:11">
      <c r="A753" s="384"/>
      <c r="B753" s="384"/>
      <c r="C753" s="384"/>
      <c r="D753" s="1265"/>
      <c r="E753" s="1265"/>
      <c r="F753" s="1265"/>
      <c r="H753" s="402"/>
      <c r="I753" s="384"/>
      <c r="J753" s="402"/>
      <c r="K753" s="402"/>
    </row>
    <row r="754" spans="1:11">
      <c r="A754" s="384"/>
      <c r="B754" s="384"/>
      <c r="C754" s="384"/>
      <c r="D754" s="1265"/>
      <c r="E754" s="1265"/>
      <c r="F754" s="1265"/>
      <c r="H754" s="402"/>
      <c r="I754" s="384"/>
      <c r="J754" s="402"/>
      <c r="K754" s="402"/>
    </row>
    <row r="755" spans="1:11">
      <c r="A755" s="384"/>
      <c r="B755" s="384"/>
      <c r="C755" s="384"/>
      <c r="D755" s="1265"/>
      <c r="E755" s="1265"/>
      <c r="F755" s="1265"/>
      <c r="H755" s="402"/>
      <c r="I755" s="384"/>
      <c r="J755" s="402"/>
      <c r="K755" s="402"/>
    </row>
    <row r="756" spans="1:11">
      <c r="A756" s="384"/>
      <c r="B756" s="384"/>
      <c r="C756" s="384"/>
      <c r="D756" s="1303" t="s">
        <v>527</v>
      </c>
      <c r="E756" s="1303"/>
      <c r="F756" s="1303"/>
      <c r="H756" s="402"/>
      <c r="I756" s="384"/>
      <c r="J756" s="402"/>
      <c r="K756" s="402"/>
    </row>
    <row r="757" spans="1:11">
      <c r="A757" s="384"/>
      <c r="B757" s="384"/>
      <c r="C757" s="384"/>
      <c r="D757" s="244"/>
      <c r="H757" s="402"/>
      <c r="I757" s="384"/>
      <c r="J757" s="402"/>
      <c r="K757" s="402"/>
    </row>
    <row r="758" spans="1:11">
      <c r="A758" s="1273" t="s">
        <v>528</v>
      </c>
      <c r="B758" s="1273"/>
      <c r="C758" s="1273"/>
      <c r="D758" s="1273"/>
      <c r="E758" s="1273"/>
      <c r="F758" s="1273"/>
      <c r="G758" s="1273"/>
      <c r="H758" s="916"/>
      <c r="I758" s="1040"/>
      <c r="J758" s="402"/>
      <c r="K758" s="402"/>
    </row>
    <row r="759" spans="1:11">
      <c r="A759" s="384"/>
      <c r="B759" s="384"/>
      <c r="C759" s="384"/>
      <c r="D759" s="393"/>
      <c r="G759" s="402"/>
      <c r="H759" s="402"/>
      <c r="I759" s="384"/>
      <c r="J759" s="402"/>
      <c r="K759" s="402"/>
    </row>
    <row r="760" spans="1:11" ht="13.75" customHeight="1">
      <c r="C760" s="384"/>
      <c r="D760" s="1267" t="s">
        <v>529</v>
      </c>
      <c r="E760" s="1267"/>
      <c r="F760" s="1267"/>
      <c r="G760" s="402"/>
      <c r="H760" s="402"/>
      <c r="I760" s="384"/>
      <c r="J760" s="402"/>
      <c r="K760" s="402"/>
    </row>
    <row r="761" spans="1:11">
      <c r="A761" s="384"/>
      <c r="B761" s="384"/>
      <c r="C761" s="384"/>
      <c r="D761" s="1272" t="s">
        <v>530</v>
      </c>
      <c r="E761" s="1272"/>
      <c r="F761" s="1272"/>
      <c r="G761" s="402"/>
      <c r="H761" s="402"/>
      <c r="I761" s="384"/>
      <c r="J761" s="402"/>
      <c r="K761" s="402"/>
    </row>
    <row r="762" spans="1:11">
      <c r="A762" s="384"/>
      <c r="B762" s="384"/>
      <c r="C762" s="384"/>
      <c r="G762" s="402"/>
      <c r="H762" s="402"/>
      <c r="I762" s="384"/>
      <c r="J762" s="402"/>
      <c r="K762" s="402"/>
    </row>
    <row r="763" spans="1:11">
      <c r="A763" s="385"/>
      <c r="B763" s="386" t="s">
        <v>311</v>
      </c>
      <c r="D763" s="1265" t="s">
        <v>531</v>
      </c>
      <c r="E763" s="1265"/>
      <c r="F763" s="1265"/>
      <c r="G763" s="402"/>
      <c r="H763" s="402"/>
      <c r="I763" s="384"/>
      <c r="J763" s="402"/>
      <c r="K763" s="402"/>
    </row>
    <row r="764" spans="1:11" ht="10.5" customHeight="1">
      <c r="D764" s="1265"/>
      <c r="E764" s="1265"/>
      <c r="F764" s="1265"/>
      <c r="G764" s="402"/>
      <c r="H764" s="402"/>
      <c r="I764" s="384"/>
      <c r="J764" s="402"/>
      <c r="K764" s="402"/>
    </row>
    <row r="765" spans="1:11">
      <c r="D765" s="1265"/>
      <c r="E765" s="1265"/>
      <c r="F765" s="1265"/>
      <c r="G765" s="402"/>
      <c r="H765" s="402"/>
      <c r="I765" s="384"/>
      <c r="J765" s="402"/>
      <c r="K765" s="402"/>
    </row>
    <row r="766" spans="1:11">
      <c r="D766" s="1265"/>
      <c r="E766" s="1265"/>
      <c r="F766" s="1265"/>
      <c r="G766" s="402"/>
      <c r="H766" s="402"/>
      <c r="I766" s="384"/>
      <c r="J766" s="402"/>
      <c r="K766" s="402"/>
    </row>
    <row r="767" spans="1:11">
      <c r="D767" s="1265"/>
      <c r="E767" s="1265"/>
      <c r="F767" s="1265"/>
      <c r="G767" s="402"/>
      <c r="H767" s="402"/>
      <c r="I767" s="384"/>
      <c r="J767" s="402"/>
      <c r="K767" s="402"/>
    </row>
    <row r="768" spans="1:11" ht="15.75" customHeight="1">
      <c r="D768" s="1265"/>
      <c r="E768" s="1265"/>
      <c r="F768" s="1265"/>
      <c r="G768" s="402"/>
      <c r="H768" s="402"/>
      <c r="I768" s="384"/>
      <c r="J768" s="402"/>
      <c r="K768" s="402"/>
    </row>
    <row r="769" spans="1:11">
      <c r="D769" s="400"/>
      <c r="E769" s="348"/>
      <c r="F769" s="348"/>
      <c r="G769" s="402"/>
      <c r="H769" s="402"/>
      <c r="I769" s="384"/>
      <c r="J769" s="402"/>
      <c r="K769" s="402"/>
    </row>
    <row r="770" spans="1:11" s="406" customFormat="1">
      <c r="A770" s="404"/>
      <c r="B770" s="386" t="s">
        <v>316</v>
      </c>
      <c r="C770" s="405"/>
      <c r="D770" s="1265" t="s">
        <v>532</v>
      </c>
      <c r="E770" s="1265"/>
      <c r="F770" s="1265"/>
      <c r="I770" s="1041"/>
    </row>
    <row r="771" spans="1:11" s="406" customFormat="1">
      <c r="A771" s="405"/>
      <c r="B771" s="405"/>
      <c r="C771" s="405"/>
      <c r="D771" s="1265"/>
      <c r="E771" s="1265"/>
      <c r="F771" s="1265"/>
      <c r="I771" s="1041"/>
    </row>
    <row r="772" spans="1:11" s="406" customFormat="1">
      <c r="A772" s="405"/>
      <c r="B772" s="405"/>
      <c r="C772" s="405"/>
      <c r="D772" s="1265"/>
      <c r="E772" s="1265"/>
      <c r="F772" s="1265"/>
      <c r="I772" s="1041"/>
    </row>
    <row r="773" spans="1:11" s="406" customFormat="1">
      <c r="A773" s="405"/>
      <c r="B773" s="405"/>
      <c r="C773" s="405"/>
      <c r="D773" s="1265"/>
      <c r="E773" s="1265"/>
      <c r="F773" s="1265"/>
      <c r="I773" s="1041"/>
    </row>
    <row r="774" spans="1:11" s="406" customFormat="1">
      <c r="A774" s="405"/>
      <c r="B774" s="405"/>
      <c r="C774" s="405"/>
      <c r="D774" s="400"/>
      <c r="I774" s="1041"/>
    </row>
    <row r="775" spans="1:11" s="406" customFormat="1">
      <c r="A775" s="385"/>
      <c r="B775" s="386" t="s">
        <v>311</v>
      </c>
      <c r="C775" s="405"/>
      <c r="D775" s="1276" t="s">
        <v>533</v>
      </c>
      <c r="E775" s="1276"/>
      <c r="F775" s="1276"/>
      <c r="I775" s="1041"/>
    </row>
    <row r="776" spans="1:11" s="406" customFormat="1">
      <c r="A776" s="405"/>
      <c r="B776" s="405"/>
      <c r="C776" s="405"/>
      <c r="D776" s="1276"/>
      <c r="E776" s="1276"/>
      <c r="F776" s="1276"/>
      <c r="I776" s="1041"/>
    </row>
    <row r="777" spans="1:11" s="406" customFormat="1">
      <c r="A777" s="405"/>
      <c r="B777" s="405"/>
      <c r="C777" s="405"/>
      <c r="D777" s="1276"/>
      <c r="E777" s="1276"/>
      <c r="F777" s="1276"/>
      <c r="I777" s="1041"/>
    </row>
    <row r="778" spans="1:11">
      <c r="D778" s="400"/>
      <c r="E778" s="348"/>
      <c r="F778" s="348"/>
      <c r="G778" s="402"/>
      <c r="H778" s="402"/>
      <c r="I778" s="384"/>
      <c r="J778" s="402"/>
      <c r="K778" s="402"/>
    </row>
    <row r="779" spans="1:11">
      <c r="A779" s="385"/>
      <c r="B779" s="386" t="s">
        <v>316</v>
      </c>
      <c r="D779" s="1265" t="s">
        <v>534</v>
      </c>
      <c r="E779" s="1265"/>
      <c r="F779" s="1265"/>
      <c r="G779" s="402"/>
      <c r="H779" s="402"/>
      <c r="I779" s="384"/>
      <c r="J779" s="402"/>
      <c r="K779" s="402"/>
    </row>
    <row r="780" spans="1:11">
      <c r="D780" s="1265"/>
      <c r="E780" s="1265"/>
      <c r="F780" s="1265"/>
      <c r="G780" s="402"/>
      <c r="H780" s="402"/>
      <c r="I780" s="384"/>
      <c r="J780" s="402"/>
      <c r="K780" s="402"/>
    </row>
    <row r="781" spans="1:11">
      <c r="D781" s="347"/>
      <c r="E781" s="347"/>
      <c r="F781" s="347"/>
      <c r="G781" s="402"/>
      <c r="H781" s="402"/>
      <c r="I781" s="384"/>
      <c r="J781" s="402"/>
      <c r="K781" s="402"/>
    </row>
    <row r="782" spans="1:11">
      <c r="B782" s="386" t="s">
        <v>316</v>
      </c>
      <c r="D782" s="1265" t="s">
        <v>535</v>
      </c>
      <c r="E782" s="1265"/>
      <c r="F782" s="1265"/>
      <c r="G782" s="402"/>
      <c r="H782" s="402"/>
      <c r="I782" s="384"/>
      <c r="J782" s="402"/>
      <c r="K782" s="402"/>
    </row>
    <row r="783" spans="1:11">
      <c r="D783" s="1265"/>
      <c r="E783" s="1265"/>
      <c r="F783" s="1265"/>
      <c r="G783" s="402"/>
      <c r="H783" s="402"/>
      <c r="I783" s="384"/>
      <c r="J783" s="402"/>
      <c r="K783" s="402"/>
    </row>
    <row r="784" spans="1:11">
      <c r="D784" s="1265"/>
      <c r="E784" s="1265"/>
      <c r="F784" s="1265"/>
      <c r="G784" s="402"/>
      <c r="H784" s="402"/>
      <c r="I784" s="384"/>
      <c r="J784" s="402"/>
      <c r="K784" s="402"/>
    </row>
    <row r="785" spans="1:11">
      <c r="D785" s="347"/>
      <c r="E785" s="347"/>
      <c r="F785" s="347"/>
      <c r="G785" s="402"/>
      <c r="H785" s="402"/>
      <c r="I785" s="384"/>
      <c r="J785" s="402"/>
      <c r="K785" s="402"/>
    </row>
    <row r="786" spans="1:11" hidden="1">
      <c r="A786" s="1295" t="s">
        <v>536</v>
      </c>
      <c r="B786" s="1295"/>
      <c r="C786" s="1295"/>
      <c r="D786" s="1295"/>
      <c r="E786" s="1295"/>
      <c r="F786" s="1295"/>
      <c r="G786" s="1295"/>
      <c r="H786" s="914"/>
      <c r="I786" s="1036"/>
    </row>
    <row r="787" spans="1:11" hidden="1">
      <c r="A787" s="49"/>
      <c r="B787" s="49"/>
      <c r="C787" s="257"/>
      <c r="D787" s="3"/>
      <c r="E787" s="3"/>
      <c r="F787" s="3"/>
      <c r="G787" s="3"/>
      <c r="I787" s="391"/>
    </row>
    <row r="788" spans="1:11" hidden="1">
      <c r="A788" s="49"/>
      <c r="B788" s="49"/>
      <c r="C788" s="257"/>
      <c r="D788" s="1294" t="s">
        <v>537</v>
      </c>
      <c r="E788" s="1294"/>
      <c r="F788" s="1294"/>
      <c r="G788" s="3"/>
      <c r="I788" s="391"/>
    </row>
    <row r="789" spans="1:11" hidden="1">
      <c r="A789" s="49"/>
      <c r="B789" s="49"/>
      <c r="C789" s="257"/>
      <c r="D789" s="1279" t="s">
        <v>538</v>
      </c>
      <c r="E789" s="1279"/>
      <c r="F789" s="1279"/>
      <c r="G789" s="3"/>
      <c r="I789" s="391"/>
    </row>
    <row r="790" spans="1:11" hidden="1">
      <c r="A790" s="49"/>
      <c r="B790" s="49"/>
      <c r="C790" s="257"/>
      <c r="D790" s="349"/>
      <c r="E790" s="349"/>
      <c r="F790" s="349"/>
      <c r="G790" s="3"/>
      <c r="I790" s="391"/>
    </row>
    <row r="791" spans="1:11" hidden="1">
      <c r="A791" s="49"/>
      <c r="B791" s="386" t="s">
        <v>348</v>
      </c>
      <c r="C791" s="257"/>
      <c r="D791" s="1296" t="s">
        <v>539</v>
      </c>
      <c r="E791" s="1296"/>
      <c r="F791" s="1296"/>
      <c r="G791" s="3"/>
      <c r="I791" s="384"/>
    </row>
    <row r="792" spans="1:11" hidden="1">
      <c r="A792" s="49"/>
      <c r="B792" s="49"/>
      <c r="C792" s="257"/>
      <c r="D792" s="1296"/>
      <c r="E792" s="1296"/>
      <c r="F792" s="1296"/>
      <c r="G792" s="3"/>
      <c r="I792" s="391"/>
    </row>
    <row r="793" spans="1:11" hidden="1">
      <c r="A793" s="121"/>
      <c r="B793" s="121"/>
      <c r="C793" s="121"/>
      <c r="D793" s="1296"/>
      <c r="E793" s="1296"/>
      <c r="F793" s="1296"/>
      <c r="G793" s="84"/>
      <c r="I793" s="391"/>
    </row>
    <row r="794" spans="1:11" hidden="1">
      <c r="A794" s="257"/>
      <c r="B794" s="257"/>
      <c r="C794" s="257"/>
      <c r="D794" s="120"/>
      <c r="E794" s="3"/>
      <c r="F794" s="3"/>
      <c r="G794" s="3"/>
      <c r="I794" s="391"/>
    </row>
    <row r="795" spans="1:11" hidden="1">
      <c r="A795" s="119"/>
      <c r="B795" s="386" t="s">
        <v>348</v>
      </c>
      <c r="C795" s="119"/>
      <c r="D795" s="1296" t="s">
        <v>540</v>
      </c>
      <c r="E795" s="1296"/>
      <c r="F795" s="1296"/>
      <c r="G795" s="3"/>
      <c r="I795" s="384"/>
    </row>
    <row r="796" spans="1:11" hidden="1">
      <c r="A796" s="119"/>
      <c r="B796" s="119"/>
      <c r="C796" s="119"/>
      <c r="D796" s="1296"/>
      <c r="E796" s="1296"/>
      <c r="F796" s="1296"/>
      <c r="G796" s="3"/>
      <c r="I796" s="391"/>
    </row>
    <row r="797" spans="1:11" hidden="1">
      <c r="A797" s="119"/>
      <c r="B797" s="119"/>
      <c r="C797" s="119"/>
      <c r="D797" s="1296"/>
      <c r="E797" s="1296"/>
      <c r="F797" s="1296"/>
      <c r="G797" s="3"/>
      <c r="I797" s="391"/>
    </row>
    <row r="798" spans="1:11" hidden="1">
      <c r="A798" s="121"/>
      <c r="B798" s="121"/>
      <c r="C798" s="121"/>
      <c r="D798" s="3"/>
      <c r="E798" s="877"/>
      <c r="F798" s="877"/>
      <c r="G798" s="877"/>
      <c r="I798" s="391"/>
    </row>
    <row r="799" spans="1:11" hidden="1">
      <c r="A799" s="122"/>
      <c r="B799" s="386" t="s">
        <v>348</v>
      </c>
      <c r="C799" s="878"/>
      <c r="D799" s="1296" t="s">
        <v>541</v>
      </c>
      <c r="E799" s="1296"/>
      <c r="F799" s="1296"/>
      <c r="G799" s="877"/>
      <c r="I799" s="384"/>
    </row>
    <row r="800" spans="1:11" hidden="1">
      <c r="A800" s="122"/>
      <c r="B800" s="122"/>
      <c r="C800" s="878"/>
      <c r="D800" s="1296"/>
      <c r="E800" s="1296"/>
      <c r="F800" s="1296"/>
      <c r="G800" s="877"/>
      <c r="I800" s="391"/>
    </row>
    <row r="801" spans="1:9" hidden="1">
      <c r="A801" s="122"/>
      <c r="B801" s="122"/>
      <c r="C801" s="878"/>
      <c r="D801" s="1296"/>
      <c r="E801" s="1296"/>
      <c r="F801" s="1296"/>
      <c r="G801" s="877"/>
      <c r="I801" s="391"/>
    </row>
    <row r="802" spans="1:9" hidden="1">
      <c r="A802" s="122"/>
      <c r="B802" s="122"/>
      <c r="C802" s="878"/>
      <c r="D802" s="84"/>
      <c r="E802" s="3"/>
      <c r="F802" s="3"/>
      <c r="G802" s="877"/>
      <c r="I802" s="391"/>
    </row>
    <row r="803" spans="1:9" hidden="1">
      <c r="A803" s="122"/>
      <c r="B803" s="386" t="s">
        <v>348</v>
      </c>
      <c r="C803" s="878"/>
      <c r="D803" s="1296" t="s">
        <v>542</v>
      </c>
      <c r="E803" s="1296"/>
      <c r="F803" s="1296"/>
      <c r="G803" s="877"/>
      <c r="I803" s="384"/>
    </row>
    <row r="804" spans="1:9" hidden="1">
      <c r="A804" s="122"/>
      <c r="B804" s="122"/>
      <c r="C804" s="878"/>
      <c r="D804" s="1296"/>
      <c r="E804" s="1296"/>
      <c r="F804" s="1296"/>
      <c r="G804" s="877"/>
      <c r="I804" s="391"/>
    </row>
    <row r="805" spans="1:9" hidden="1">
      <c r="A805" s="122"/>
      <c r="B805" s="122"/>
      <c r="C805" s="878"/>
      <c r="D805" s="1296"/>
      <c r="E805" s="1296"/>
      <c r="F805" s="1296"/>
      <c r="G805" s="877"/>
      <c r="I805" s="391"/>
    </row>
    <row r="806" spans="1:9" hidden="1">
      <c r="A806" s="122"/>
      <c r="B806" s="122"/>
      <c r="C806" s="878"/>
      <c r="D806" s="1296"/>
      <c r="E806" s="1296"/>
      <c r="F806" s="1296"/>
      <c r="G806" s="877"/>
      <c r="I806" s="391"/>
    </row>
    <row r="807" spans="1:9" hidden="1">
      <c r="A807" s="122"/>
      <c r="B807" s="122"/>
      <c r="C807" s="878"/>
      <c r="D807" s="1296"/>
      <c r="E807" s="1296"/>
      <c r="F807" s="1296"/>
      <c r="G807" s="877"/>
      <c r="I807" s="391"/>
    </row>
    <row r="808" spans="1:9" hidden="1">
      <c r="A808" s="122"/>
      <c r="B808" s="122"/>
      <c r="C808" s="878"/>
      <c r="D808" s="1296"/>
      <c r="E808" s="1296"/>
      <c r="F808" s="1296"/>
      <c r="G808" s="877"/>
      <c r="I808" s="391"/>
    </row>
    <row r="809" spans="1:9" hidden="1">
      <c r="A809" s="122"/>
      <c r="B809" s="122"/>
      <c r="C809" s="878"/>
      <c r="D809" s="1296" t="s">
        <v>543</v>
      </c>
      <c r="E809" s="1296"/>
      <c r="F809" s="1296"/>
      <c r="G809" s="877"/>
      <c r="I809" s="391"/>
    </row>
    <row r="810" spans="1:9" hidden="1">
      <c r="A810" s="122"/>
      <c r="B810" s="122"/>
      <c r="C810" s="878"/>
      <c r="D810" s="1296"/>
      <c r="E810" s="1296"/>
      <c r="F810" s="1296"/>
      <c r="G810" s="877"/>
      <c r="I810" s="391"/>
    </row>
    <row r="811" spans="1:9" hidden="1">
      <c r="A811" s="122"/>
      <c r="B811" s="122"/>
      <c r="C811" s="878"/>
      <c r="D811" s="1296"/>
      <c r="E811" s="1296"/>
      <c r="F811" s="1296"/>
      <c r="G811" s="877"/>
      <c r="I811" s="391"/>
    </row>
    <row r="812" spans="1:9" hidden="1">
      <c r="A812" s="122"/>
      <c r="B812" s="257"/>
      <c r="C812" s="878"/>
      <c r="D812" s="879"/>
      <c r="E812" s="879"/>
      <c r="F812" s="879"/>
      <c r="G812" s="877"/>
      <c r="I812" s="391"/>
    </row>
    <row r="813" spans="1:9" hidden="1">
      <c r="A813" s="122"/>
      <c r="B813" s="386" t="s">
        <v>348</v>
      </c>
      <c r="C813" s="878"/>
      <c r="D813" s="1296" t="s">
        <v>544</v>
      </c>
      <c r="E813" s="1296"/>
      <c r="F813" s="1296"/>
      <c r="G813" s="877"/>
      <c r="I813" s="384"/>
    </row>
    <row r="814" spans="1:9" hidden="1">
      <c r="A814" s="122"/>
      <c r="B814" s="122"/>
      <c r="C814" s="878"/>
      <c r="D814" s="1296"/>
      <c r="E814" s="1296"/>
      <c r="F814" s="1296"/>
      <c r="G814" s="877"/>
      <c r="I814" s="391"/>
    </row>
    <row r="815" spans="1:9" hidden="1">
      <c r="A815" s="122"/>
      <c r="B815" s="122"/>
      <c r="C815" s="878"/>
      <c r="D815" s="1296"/>
      <c r="E815" s="1296"/>
      <c r="F815" s="1296"/>
      <c r="G815" s="877"/>
      <c r="I815" s="391"/>
    </row>
    <row r="816" spans="1:9" hidden="1">
      <c r="A816" s="122"/>
      <c r="B816" s="122"/>
      <c r="C816" s="878"/>
      <c r="D816" s="1296"/>
      <c r="E816" s="1296"/>
      <c r="F816" s="1296"/>
      <c r="G816" s="877"/>
      <c r="I816" s="391"/>
    </row>
    <row r="817" spans="1:9" hidden="1">
      <c r="A817" s="122"/>
      <c r="B817" s="122"/>
      <c r="C817" s="878"/>
      <c r="D817" s="1296"/>
      <c r="E817" s="1296"/>
      <c r="F817" s="1296"/>
      <c r="G817" s="877"/>
      <c r="I817" s="391"/>
    </row>
    <row r="818" spans="1:9" hidden="1">
      <c r="A818" s="122"/>
      <c r="B818" s="122"/>
      <c r="C818" s="878"/>
      <c r="D818" s="1296"/>
      <c r="E818" s="1296"/>
      <c r="F818" s="1296"/>
      <c r="G818" s="877"/>
      <c r="I818" s="391"/>
    </row>
    <row r="819" spans="1:9" hidden="1">
      <c r="A819" s="122"/>
      <c r="B819" s="122"/>
      <c r="C819" s="878"/>
      <c r="D819" s="871"/>
      <c r="E819" s="871"/>
      <c r="F819" s="871"/>
      <c r="G819" s="877"/>
      <c r="I819" s="391"/>
    </row>
    <row r="820" spans="1:9" hidden="1">
      <c r="A820" s="122"/>
      <c r="B820" s="386" t="s">
        <v>348</v>
      </c>
      <c r="C820" s="878"/>
      <c r="D820" s="1296" t="s">
        <v>545</v>
      </c>
      <c r="E820" s="1296"/>
      <c r="F820" s="1296"/>
      <c r="G820" s="877"/>
      <c r="I820" s="384"/>
    </row>
    <row r="821" spans="1:9" hidden="1">
      <c r="A821" s="122"/>
      <c r="B821" s="122"/>
      <c r="C821" s="878"/>
      <c r="D821" s="1296"/>
      <c r="E821" s="1296"/>
      <c r="F821" s="1296"/>
      <c r="G821" s="877"/>
      <c r="I821" s="391"/>
    </row>
    <row r="822" spans="1:9" hidden="1">
      <c r="A822" s="122"/>
      <c r="B822" s="122"/>
      <c r="C822" s="878"/>
      <c r="D822" s="1296"/>
      <c r="E822" s="1296"/>
      <c r="F822" s="1296"/>
      <c r="G822" s="877"/>
      <c r="I822" s="391"/>
    </row>
    <row r="823" spans="1:9" hidden="1">
      <c r="A823" s="122"/>
      <c r="B823" s="122"/>
      <c r="C823" s="878"/>
      <c r="D823" s="1296"/>
      <c r="E823" s="1296"/>
      <c r="F823" s="1296"/>
      <c r="G823" s="877"/>
      <c r="I823" s="391"/>
    </row>
    <row r="824" spans="1:9" hidden="1">
      <c r="A824" s="122"/>
      <c r="B824" s="122"/>
      <c r="C824" s="878"/>
      <c r="D824" s="1296"/>
      <c r="E824" s="1296"/>
      <c r="F824" s="1296"/>
      <c r="G824" s="877"/>
      <c r="I824" s="391"/>
    </row>
    <row r="825" spans="1:9" hidden="1">
      <c r="A825" s="122"/>
      <c r="B825" s="122"/>
      <c r="C825" s="878"/>
      <c r="D825" s="1296"/>
      <c r="E825" s="1296"/>
      <c r="F825" s="1296"/>
      <c r="G825" s="877"/>
      <c r="I825" s="391"/>
    </row>
    <row r="826" spans="1:9" hidden="1">
      <c r="A826" s="122"/>
      <c r="B826" s="122"/>
      <c r="C826" s="878"/>
      <c r="D826" s="871"/>
      <c r="E826" s="871"/>
      <c r="F826" s="871"/>
      <c r="G826" s="877"/>
      <c r="I826" s="391"/>
    </row>
    <row r="827" spans="1:9" hidden="1">
      <c r="A827" s="122"/>
      <c r="B827" s="386" t="s">
        <v>348</v>
      </c>
      <c r="C827" s="878"/>
      <c r="D827" s="1270" t="s">
        <v>546</v>
      </c>
      <c r="E827" s="1270"/>
      <c r="F827" s="1270"/>
      <c r="G827" s="877"/>
      <c r="I827" s="384"/>
    </row>
    <row r="828" spans="1:9" hidden="1">
      <c r="A828" s="122"/>
      <c r="B828" s="122"/>
      <c r="C828" s="878"/>
      <c r="D828" s="1270"/>
      <c r="E828" s="1270"/>
      <c r="F828" s="1270"/>
      <c r="G828" s="877"/>
      <c r="I828" s="391"/>
    </row>
    <row r="829" spans="1:9" hidden="1">
      <c r="A829" s="12"/>
      <c r="B829" s="12"/>
      <c r="C829" s="878"/>
      <c r="D829" s="1270"/>
      <c r="E829" s="1270"/>
      <c r="F829" s="1270"/>
      <c r="G829" s="877"/>
      <c r="I829" s="391"/>
    </row>
    <row r="830" spans="1:9" hidden="1">
      <c r="A830" s="122"/>
      <c r="B830" s="12"/>
      <c r="C830" s="878"/>
      <c r="D830" s="1270"/>
      <c r="E830" s="1270"/>
      <c r="F830" s="1270"/>
      <c r="G830" s="877"/>
      <c r="I830" s="391"/>
    </row>
    <row r="831" spans="1:9" ht="12.75" hidden="1" customHeight="1">
      <c r="A831" s="122"/>
      <c r="B831" s="12"/>
      <c r="C831" s="878"/>
      <c r="D831" s="1270"/>
      <c r="E831" s="1270"/>
      <c r="F831" s="1270"/>
      <c r="G831" s="877"/>
      <c r="I831" s="391"/>
    </row>
    <row r="832" spans="1:9" ht="12.75" hidden="1" customHeight="1">
      <c r="A832" s="122"/>
      <c r="B832" s="12"/>
      <c r="C832" s="878"/>
      <c r="D832" s="1270"/>
      <c r="E832" s="1270"/>
      <c r="F832" s="1270"/>
      <c r="G832" s="877"/>
      <c r="I832" s="391"/>
    </row>
    <row r="833" spans="1:9" ht="12.75" hidden="1" customHeight="1">
      <c r="A833" s="12"/>
      <c r="B833" s="12"/>
      <c r="C833" s="878"/>
      <c r="D833" s="877"/>
      <c r="E833" s="3"/>
      <c r="F833" s="3"/>
      <c r="G833" s="877"/>
      <c r="I833" s="391"/>
    </row>
    <row r="834" spans="1:9" ht="12.75" customHeight="1">
      <c r="A834" s="1288" t="s">
        <v>547</v>
      </c>
      <c r="B834" s="1288"/>
      <c r="C834" s="1288"/>
      <c r="D834" s="1288"/>
      <c r="E834" s="1288"/>
      <c r="F834" s="1288"/>
      <c r="G834" s="1288"/>
      <c r="H834" s="914"/>
      <c r="I834" s="1036"/>
    </row>
    <row r="835" spans="1:9" ht="12.75" customHeight="1">
      <c r="A835" s="119"/>
      <c r="B835" s="119"/>
      <c r="C835" s="878"/>
      <c r="D835" s="877"/>
      <c r="E835" s="877"/>
      <c r="F835" s="877"/>
      <c r="G835" s="877"/>
      <c r="I835" s="391"/>
    </row>
    <row r="836" spans="1:9" ht="12.75" customHeight="1">
      <c r="A836" s="122"/>
      <c r="B836" s="122"/>
      <c r="C836" s="257"/>
      <c r="D836" s="1293" t="s">
        <v>548</v>
      </c>
      <c r="E836" s="1293"/>
      <c r="F836" s="1293"/>
      <c r="G836" s="3"/>
      <c r="I836" s="391"/>
    </row>
    <row r="837" spans="1:9" ht="14.25" customHeight="1">
      <c r="A837" s="122"/>
      <c r="B837" s="122"/>
      <c r="C837" s="257"/>
      <c r="D837" s="1241" t="s">
        <v>549</v>
      </c>
      <c r="E837" s="1241"/>
      <c r="F837" s="1241"/>
      <c r="G837" s="3"/>
      <c r="I837" s="391"/>
    </row>
    <row r="838" spans="1:9" ht="12.75" customHeight="1">
      <c r="A838" s="122"/>
      <c r="B838" s="122"/>
      <c r="C838" s="257"/>
      <c r="D838" s="344"/>
      <c r="E838" s="344"/>
      <c r="F838" s="344"/>
      <c r="G838" s="3"/>
      <c r="I838" s="391"/>
    </row>
    <row r="839" spans="1:9" ht="12.75" customHeight="1">
      <c r="A839" s="257"/>
      <c r="B839" s="386" t="s">
        <v>311</v>
      </c>
      <c r="C839" s="878"/>
      <c r="D839" s="1241" t="s">
        <v>550</v>
      </c>
      <c r="E839" s="1241"/>
      <c r="F839" s="1241"/>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302" t="s">
        <v>552</v>
      </c>
      <c r="E842" s="1302"/>
      <c r="F842" s="1302"/>
      <c r="G842" s="3"/>
      <c r="I842" s="391"/>
    </row>
    <row r="843" spans="1:9" ht="12.75" hidden="1" customHeight="1">
      <c r="A843" s="12"/>
      <c r="B843" s="12"/>
      <c r="C843" s="878"/>
      <c r="D843" s="1302"/>
      <c r="E843" s="1302"/>
      <c r="F843" s="1302"/>
      <c r="G843" s="3"/>
      <c r="I843" s="391"/>
    </row>
    <row r="844" spans="1:9" ht="12.75" hidden="1" customHeight="1">
      <c r="A844" s="12"/>
      <c r="B844" s="12"/>
      <c r="C844" s="878"/>
      <c r="D844" s="1302"/>
      <c r="E844" s="1302"/>
      <c r="F844" s="1302"/>
      <c r="G844" s="3"/>
      <c r="I844" s="391"/>
    </row>
    <row r="845" spans="1:9" ht="12.75" hidden="1" customHeight="1">
      <c r="A845" s="12"/>
      <c r="B845" s="12"/>
      <c r="C845" s="878"/>
      <c r="D845" s="1302"/>
      <c r="E845" s="1302"/>
      <c r="F845" s="1302"/>
      <c r="G845" s="3"/>
      <c r="I845" s="391"/>
    </row>
    <row r="846" spans="1:9" ht="12.75" hidden="1" customHeight="1">
      <c r="A846" s="12"/>
      <c r="B846" s="12"/>
      <c r="C846" s="878"/>
      <c r="D846" s="1302"/>
      <c r="E846" s="1302"/>
      <c r="F846" s="1302"/>
      <c r="G846" s="3"/>
      <c r="I846" s="391"/>
    </row>
    <row r="847" spans="1:9" ht="12.75" hidden="1" customHeight="1">
      <c r="A847" s="12"/>
      <c r="B847" s="12"/>
      <c r="C847" s="878"/>
      <c r="D847" s="1302"/>
      <c r="E847" s="1302"/>
      <c r="F847" s="1302"/>
      <c r="G847" s="3"/>
      <c r="I847" s="391"/>
    </row>
    <row r="848" spans="1:9" ht="12.75" hidden="1" customHeight="1">
      <c r="A848" s="12"/>
      <c r="B848" s="12"/>
      <c r="C848" s="878"/>
      <c r="D848" s="1302"/>
      <c r="E848" s="1302"/>
      <c r="F848" s="1302"/>
      <c r="G848" s="3"/>
      <c r="I848" s="391"/>
    </row>
    <row r="849" spans="1:9" ht="12.75" hidden="1" customHeight="1">
      <c r="A849" s="12"/>
      <c r="B849" s="12"/>
      <c r="C849" s="878"/>
      <c r="D849" s="1302"/>
      <c r="E849" s="1302"/>
      <c r="F849" s="1302"/>
      <c r="G849" s="3"/>
      <c r="I849" s="391"/>
    </row>
    <row r="850" spans="1:9" ht="12.75" hidden="1" customHeight="1">
      <c r="A850" s="12"/>
      <c r="B850" s="12"/>
      <c r="C850" s="878"/>
      <c r="D850" s="1302"/>
      <c r="E850" s="1302"/>
      <c r="F850" s="1302"/>
      <c r="G850" s="3"/>
      <c r="I850" s="391"/>
    </row>
    <row r="851" spans="1:9" ht="12.75" hidden="1" customHeight="1">
      <c r="A851" s="12"/>
      <c r="B851" s="12"/>
      <c r="C851" s="878"/>
      <c r="D851" s="1302"/>
      <c r="E851" s="1302"/>
      <c r="F851" s="1302"/>
      <c r="G851" s="3"/>
      <c r="I851" s="391"/>
    </row>
    <row r="852" spans="1:9" ht="12.75" hidden="1" customHeight="1">
      <c r="A852" s="12"/>
      <c r="B852" s="12"/>
      <c r="C852" s="878"/>
      <c r="D852" s="880"/>
      <c r="E852" s="3"/>
      <c r="F852" s="3"/>
      <c r="G852" s="3"/>
      <c r="I852" s="391"/>
    </row>
    <row r="853" spans="1:9" ht="12.75" customHeight="1">
      <c r="A853" s="122"/>
      <c r="B853" s="386" t="s">
        <v>311</v>
      </c>
      <c r="C853" s="878"/>
      <c r="D853" s="1241" t="s">
        <v>553</v>
      </c>
      <c r="E853" s="1241"/>
      <c r="F853" s="1241"/>
      <c r="G853" s="3"/>
      <c r="I853" s="391" t="s">
        <v>554</v>
      </c>
    </row>
    <row r="854" spans="1:9" ht="12.75" customHeight="1">
      <c r="A854" s="122"/>
      <c r="B854" s="122"/>
      <c r="C854" s="878"/>
      <c r="D854" s="1241"/>
      <c r="E854" s="1241"/>
      <c r="F854" s="1241"/>
      <c r="G854" s="3"/>
      <c r="I854" s="391"/>
    </row>
    <row r="855" spans="1:9" ht="12.75" customHeight="1">
      <c r="A855" s="122"/>
      <c r="B855" s="122"/>
      <c r="C855" s="878"/>
      <c r="D855" s="1241"/>
      <c r="E855" s="1241"/>
      <c r="F855" s="1241"/>
      <c r="G855" s="3"/>
      <c r="I855" s="391"/>
    </row>
    <row r="856" spans="1:9" ht="12.75" customHeight="1">
      <c r="A856" s="122"/>
      <c r="B856" s="122"/>
      <c r="C856" s="878"/>
      <c r="D856" s="84"/>
      <c r="E856" s="3"/>
      <c r="F856" s="3"/>
      <c r="G856" s="3"/>
      <c r="I856" s="391"/>
    </row>
    <row r="857" spans="1:9" ht="12.75" customHeight="1">
      <c r="A857" s="881"/>
      <c r="B857" s="386" t="s">
        <v>311</v>
      </c>
      <c r="C857" s="878"/>
      <c r="D857" s="1293" t="s">
        <v>555</v>
      </c>
      <c r="E857" s="1293"/>
      <c r="F857" s="1293"/>
      <c r="G857" s="3"/>
      <c r="I857" s="391"/>
    </row>
    <row r="858" spans="1:9" ht="12.75" customHeight="1">
      <c r="A858" s="257"/>
      <c r="B858" s="881"/>
      <c r="C858" s="878"/>
      <c r="D858" s="1293"/>
      <c r="E858" s="1293"/>
      <c r="F858" s="1293"/>
      <c r="G858" s="3"/>
      <c r="I858" s="391"/>
    </row>
    <row r="859" spans="1:9" ht="12.75" customHeight="1">
      <c r="A859" s="122"/>
      <c r="B859" s="257"/>
      <c r="C859" s="878"/>
      <c r="D859" s="1241" t="s">
        <v>556</v>
      </c>
      <c r="E859" s="1241"/>
      <c r="F859" s="1241"/>
      <c r="G859" s="3"/>
      <c r="I859" s="391"/>
    </row>
    <row r="860" spans="1:9" ht="12.75" customHeight="1">
      <c r="A860" s="122"/>
      <c r="B860" s="122"/>
      <c r="C860" s="878"/>
      <c r="D860" s="1241"/>
      <c r="E860" s="1241"/>
      <c r="F860" s="1241"/>
      <c r="G860" s="3"/>
      <c r="I860" s="391"/>
    </row>
    <row r="861" spans="1:9" ht="12.75" customHeight="1">
      <c r="A861" s="122"/>
      <c r="B861" s="122"/>
      <c r="C861" s="878"/>
      <c r="D861" s="1241"/>
      <c r="E861" s="1241"/>
      <c r="F861" s="1241"/>
      <c r="G861" s="3"/>
      <c r="I861" s="391"/>
    </row>
    <row r="862" spans="1:9" ht="12.75" customHeight="1">
      <c r="A862" s="122"/>
      <c r="B862" s="122"/>
      <c r="C862" s="878"/>
      <c r="D862" s="1241"/>
      <c r="E862" s="1241"/>
      <c r="F862" s="1241"/>
      <c r="G862" s="3"/>
      <c r="I862" s="391"/>
    </row>
    <row r="863" spans="1:9" ht="12.75" customHeight="1">
      <c r="A863" s="122"/>
      <c r="B863" s="122"/>
      <c r="C863" s="878"/>
      <c r="D863" s="1241"/>
      <c r="E863" s="1241"/>
      <c r="F863" s="1241"/>
      <c r="G863" s="3"/>
      <c r="I863" s="391"/>
    </row>
    <row r="864" spans="1:9" ht="12.75" customHeight="1">
      <c r="A864" s="122"/>
      <c r="B864" s="122"/>
      <c r="C864" s="878"/>
      <c r="D864" s="1241"/>
      <c r="E864" s="1241"/>
      <c r="F864" s="1241"/>
      <c r="G864" s="3"/>
      <c r="I864" s="391"/>
    </row>
    <row r="865" spans="1:9" ht="12.75" customHeight="1">
      <c r="A865" s="122"/>
      <c r="B865" s="122"/>
      <c r="C865" s="878"/>
      <c r="D865" s="84"/>
      <c r="E865" s="3"/>
      <c r="F865" s="3"/>
      <c r="G865" s="3"/>
      <c r="I865" s="391"/>
    </row>
    <row r="866" spans="1:9" ht="12.75" customHeight="1">
      <c r="A866" s="122"/>
      <c r="B866" s="386" t="s">
        <v>316</v>
      </c>
      <c r="C866" s="878"/>
      <c r="D866" s="1241" t="s">
        <v>557</v>
      </c>
      <c r="E866" s="1241"/>
      <c r="F866" s="1241"/>
      <c r="G866" s="3"/>
      <c r="I866" s="391" t="s">
        <v>558</v>
      </c>
    </row>
    <row r="867" spans="1:9" ht="12.75" customHeight="1">
      <c r="A867" s="122"/>
      <c r="B867" s="122"/>
      <c r="C867" s="878"/>
      <c r="D867" s="1241" t="s">
        <v>559</v>
      </c>
      <c r="E867" s="1241"/>
      <c r="F867" s="1241"/>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41" t="s">
        <v>560</v>
      </c>
      <c r="E870" s="1241"/>
      <c r="F870" s="1241"/>
      <c r="G870" s="3"/>
      <c r="I870" s="391" t="s">
        <v>561</v>
      </c>
    </row>
    <row r="871" spans="1:9" ht="12.75" customHeight="1">
      <c r="A871" s="122"/>
      <c r="B871" s="122"/>
      <c r="C871" s="878"/>
      <c r="D871" s="1241"/>
      <c r="E871" s="1241"/>
      <c r="F871" s="1241"/>
      <c r="G871" s="3"/>
      <c r="I871" s="391"/>
    </row>
    <row r="872" spans="1:9" ht="12.75" customHeight="1">
      <c r="A872" s="122"/>
      <c r="B872" s="122"/>
      <c r="C872" s="878"/>
      <c r="D872" s="1241"/>
      <c r="E872" s="1241"/>
      <c r="F872" s="1241"/>
      <c r="G872" s="3"/>
      <c r="I872" s="391"/>
    </row>
    <row r="873" spans="1:9" ht="12.75" customHeight="1">
      <c r="A873" s="122"/>
      <c r="B873" s="122"/>
      <c r="C873" s="878"/>
      <c r="D873" s="1241"/>
      <c r="E873" s="1241"/>
      <c r="F873" s="1241"/>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300" t="s">
        <v>563</v>
      </c>
      <c r="E877" s="1300"/>
      <c r="F877" s="1300"/>
      <c r="G877" s="877"/>
      <c r="I877" s="391"/>
    </row>
    <row r="878" spans="1:9" ht="12.75" customHeight="1">
      <c r="A878" s="257"/>
      <c r="B878" s="257"/>
      <c r="C878" s="121"/>
      <c r="D878" s="1301" t="s">
        <v>564</v>
      </c>
      <c r="E878" s="1301"/>
      <c r="F878" s="1301"/>
      <c r="G878" s="877"/>
      <c r="I878" s="391"/>
    </row>
    <row r="879" spans="1:9" ht="12.75" customHeight="1">
      <c r="A879" s="257"/>
      <c r="B879" s="257"/>
      <c r="C879" s="121"/>
      <c r="D879" s="884"/>
      <c r="E879" s="884"/>
      <c r="F879" s="884"/>
      <c r="G879" s="877"/>
      <c r="I879" s="391"/>
    </row>
    <row r="880" spans="1:9" ht="12.75" customHeight="1">
      <c r="A880" s="122"/>
      <c r="B880" s="386" t="s">
        <v>311</v>
      </c>
      <c r="C880" s="257"/>
      <c r="D880" s="1280" t="s">
        <v>565</v>
      </c>
      <c r="E880" s="1280"/>
      <c r="F880" s="1280"/>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41" t="s">
        <v>566</v>
      </c>
      <c r="E883" s="1290"/>
      <c r="F883" s="1290"/>
      <c r="G883" s="3"/>
      <c r="I883" s="391" t="s">
        <v>561</v>
      </c>
    </row>
    <row r="884" spans="1:9" ht="12.75" customHeight="1">
      <c r="A884" s="257"/>
      <c r="B884" s="257"/>
      <c r="C884" s="257"/>
      <c r="D884" s="1290"/>
      <c r="E884" s="1290"/>
      <c r="F884" s="1290"/>
      <c r="G884" s="3"/>
      <c r="I884" s="391"/>
    </row>
    <row r="885" spans="1:9" ht="12.75" customHeight="1">
      <c r="A885" s="257"/>
      <c r="B885" s="257"/>
      <c r="C885" s="257"/>
      <c r="D885" s="84"/>
      <c r="E885" s="3"/>
      <c r="F885" s="3"/>
      <c r="G885" s="3"/>
      <c r="I885" s="391"/>
    </row>
    <row r="886" spans="1:9" ht="12.75" customHeight="1">
      <c r="A886" s="257"/>
      <c r="B886" s="386" t="s">
        <v>316</v>
      </c>
      <c r="C886" s="257"/>
      <c r="D886" s="1291" t="s">
        <v>567</v>
      </c>
      <c r="E886" s="1291"/>
      <c r="F886" s="1291"/>
      <c r="G886" s="877"/>
      <c r="I886" s="391"/>
    </row>
    <row r="887" spans="1:9" ht="12.75" customHeight="1">
      <c r="A887" s="257"/>
      <c r="B887" s="885"/>
      <c r="C887" s="257"/>
      <c r="D887" s="1291"/>
      <c r="E887" s="1291"/>
      <c r="F887" s="1291"/>
      <c r="G887" s="877"/>
      <c r="I887" s="391"/>
    </row>
    <row r="888" spans="1:9" ht="12.75" customHeight="1">
      <c r="A888" s="122"/>
      <c r="B888"/>
      <c r="C888" s="257"/>
      <c r="D888" s="1241" t="s">
        <v>556</v>
      </c>
      <c r="E888" s="1241"/>
      <c r="F888" s="1241"/>
      <c r="G888" s="877"/>
      <c r="I888" s="391"/>
    </row>
    <row r="889" spans="1:9" ht="12.75" customHeight="1">
      <c r="A889" s="122"/>
      <c r="B889" s="122"/>
      <c r="C889" s="257"/>
      <c r="D889" s="1241"/>
      <c r="E889" s="1241"/>
      <c r="F889" s="1241"/>
      <c r="G889" s="877"/>
      <c r="I889" s="391"/>
    </row>
    <row r="890" spans="1:9" ht="12.75" customHeight="1">
      <c r="A890" s="122"/>
      <c r="B890" s="122"/>
      <c r="C890" s="257"/>
      <c r="D890" s="1241"/>
      <c r="E890" s="1241"/>
      <c r="F890" s="1241"/>
      <c r="G890" s="877"/>
      <c r="I890" s="391"/>
    </row>
    <row r="891" spans="1:9" ht="12.75" customHeight="1">
      <c r="A891" s="122"/>
      <c r="B891" s="122"/>
      <c r="C891" s="257"/>
      <c r="D891" s="1241"/>
      <c r="E891" s="1241"/>
      <c r="F891" s="1241"/>
      <c r="G891" s="877"/>
      <c r="I891" s="391"/>
    </row>
    <row r="892" spans="1:9" ht="12.75" customHeight="1">
      <c r="A892" s="122"/>
      <c r="B892" s="122"/>
      <c r="C892" s="257"/>
      <c r="D892" s="1241"/>
      <c r="E892" s="1241"/>
      <c r="F892" s="1241"/>
      <c r="G892" s="877"/>
      <c r="I892" s="391"/>
    </row>
    <row r="893" spans="1:9" ht="12.75" customHeight="1">
      <c r="A893" s="122"/>
      <c r="B893" s="122"/>
      <c r="C893" s="257"/>
      <c r="D893" s="1241"/>
      <c r="E893" s="1241"/>
      <c r="F893" s="1241"/>
      <c r="G893" s="877"/>
      <c r="I893" s="391"/>
    </row>
    <row r="894" spans="1:9" ht="12.75" customHeight="1">
      <c r="A894" s="122"/>
      <c r="B894" s="122"/>
      <c r="C894" s="257"/>
      <c r="D894" s="84"/>
      <c r="E894" s="877"/>
      <c r="F894" s="877"/>
      <c r="G894" s="877"/>
      <c r="I894" s="391"/>
    </row>
    <row r="895" spans="1:9" ht="12.75" customHeight="1">
      <c r="A895" s="122"/>
      <c r="B895" s="386" t="s">
        <v>316</v>
      </c>
      <c r="C895" s="257"/>
      <c r="D895" s="1281" t="s">
        <v>557</v>
      </c>
      <c r="E895" s="1281"/>
      <c r="F895" s="1281"/>
      <c r="G895" s="877"/>
      <c r="I895" s="391"/>
    </row>
    <row r="896" spans="1:9" ht="12.75" customHeight="1">
      <c r="A896" s="122"/>
      <c r="B896" s="122"/>
      <c r="C896" s="257"/>
      <c r="D896" s="1281" t="s">
        <v>559</v>
      </c>
      <c r="E896" s="1281"/>
      <c r="F896" s="1281"/>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41" t="s">
        <v>560</v>
      </c>
      <c r="E899" s="1241"/>
      <c r="F899" s="1241"/>
      <c r="G899" s="877"/>
      <c r="I899" s="391"/>
    </row>
    <row r="900" spans="1:9" ht="12.75" customHeight="1">
      <c r="A900" s="122"/>
      <c r="B900" s="122"/>
      <c r="C900" s="257"/>
      <c r="D900" s="1241"/>
      <c r="E900" s="1241"/>
      <c r="F900" s="1241"/>
      <c r="G900" s="877"/>
      <c r="I900" s="391"/>
    </row>
    <row r="901" spans="1:9" ht="12.75" customHeight="1">
      <c r="A901" s="122"/>
      <c r="B901" s="122"/>
      <c r="C901" s="257"/>
      <c r="D901" s="1241"/>
      <c r="E901" s="1241"/>
      <c r="F901" s="1241"/>
      <c r="G901" s="877"/>
      <c r="I901" s="391"/>
    </row>
    <row r="902" spans="1:9" ht="12.75" customHeight="1">
      <c r="A902" s="122"/>
      <c r="B902" s="122"/>
      <c r="C902" s="257"/>
      <c r="D902" s="1241"/>
      <c r="E902" s="1241"/>
      <c r="F902" s="1241"/>
      <c r="G902" s="877"/>
      <c r="I902" s="391"/>
    </row>
    <row r="903" spans="1:9" ht="12.75" customHeight="1">
      <c r="A903" s="84"/>
      <c r="B903" s="84"/>
      <c r="C903" s="878"/>
      <c r="D903" s="877"/>
      <c r="E903" s="877"/>
      <c r="F903" s="877"/>
      <c r="G903" s="877"/>
      <c r="I903" s="391"/>
    </row>
    <row r="904" spans="1:9" ht="12.75" customHeight="1">
      <c r="A904" s="1288" t="s">
        <v>569</v>
      </c>
      <c r="B904" s="1288"/>
      <c r="C904" s="1288"/>
      <c r="D904" s="1288"/>
      <c r="E904" s="1288"/>
      <c r="F904" s="1288"/>
      <c r="G904" s="1288"/>
      <c r="H904" s="914"/>
      <c r="I904" s="1036"/>
    </row>
    <row r="905" spans="1:9" ht="12.75" customHeight="1">
      <c r="A905" s="49"/>
      <c r="B905" s="49"/>
      <c r="C905" s="49"/>
      <c r="D905" s="49"/>
      <c r="E905" s="49"/>
      <c r="F905" s="49"/>
      <c r="G905" s="49"/>
      <c r="I905" s="391"/>
    </row>
    <row r="906" spans="1:9" ht="12.75" customHeight="1">
      <c r="A906" s="49"/>
      <c r="B906" s="49"/>
      <c r="C906" s="49"/>
      <c r="D906" s="1304" t="s">
        <v>570</v>
      </c>
      <c r="E906" s="1304"/>
      <c r="F906" s="1304"/>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304" t="s">
        <v>572</v>
      </c>
      <c r="E910" s="1304"/>
      <c r="F910" s="1304"/>
      <c r="G910" s="877"/>
      <c r="I910" s="391"/>
    </row>
    <row r="911" spans="1:9" ht="12.75" customHeight="1">
      <c r="A911" s="119"/>
      <c r="B911" s="119"/>
      <c r="C911" s="119"/>
      <c r="D911" s="1280" t="s">
        <v>573</v>
      </c>
      <c r="E911" s="1280"/>
      <c r="F911" s="1280"/>
      <c r="G911" s="877"/>
      <c r="I911" s="391"/>
    </row>
    <row r="912" spans="1:9" ht="12.75" customHeight="1">
      <c r="A912" s="878"/>
      <c r="B912" s="878"/>
      <c r="C912" s="878"/>
      <c r="D912" s="2"/>
      <c r="E912" s="877"/>
      <c r="F912" s="877"/>
      <c r="G912" s="877"/>
      <c r="I912" s="391"/>
    </row>
    <row r="913" spans="1:9" ht="12.75" customHeight="1">
      <c r="A913" s="122"/>
      <c r="B913" s="386" t="s">
        <v>311</v>
      </c>
      <c r="C913" s="257"/>
      <c r="D913" s="1241" t="s">
        <v>574</v>
      </c>
      <c r="E913" s="1241"/>
      <c r="F913" s="1241"/>
      <c r="G913" s="3"/>
      <c r="I913" s="391"/>
    </row>
    <row r="914" spans="1:9" ht="12.75" customHeight="1">
      <c r="A914" s="257"/>
      <c r="B914" s="257"/>
      <c r="C914" s="257"/>
      <c r="D914" s="1241"/>
      <c r="E914" s="1241"/>
      <c r="F914" s="1241"/>
      <c r="G914" s="3"/>
      <c r="I914" s="391"/>
    </row>
    <row r="915" spans="1:9" ht="12.75" customHeight="1">
      <c r="A915" s="119"/>
      <c r="B915" s="119"/>
      <c r="C915" s="119"/>
      <c r="D915" s="1241" t="s">
        <v>575</v>
      </c>
      <c r="E915" s="1241"/>
      <c r="F915" s="1241"/>
      <c r="G915" s="877"/>
      <c r="I915" s="391"/>
    </row>
    <row r="916" spans="1:9" ht="12.75" customHeight="1">
      <c r="A916" s="119"/>
      <c r="B916" s="119"/>
      <c r="C916" s="119"/>
      <c r="D916" s="1241"/>
      <c r="E916" s="1241"/>
      <c r="F916" s="1241"/>
      <c r="G916" s="877"/>
      <c r="I916" s="391"/>
    </row>
    <row r="917" spans="1:9" ht="12.75" customHeight="1">
      <c r="A917" s="119"/>
      <c r="B917" s="119"/>
      <c r="C917" s="119"/>
      <c r="D917" s="3"/>
      <c r="E917" s="3"/>
      <c r="F917" s="877"/>
      <c r="G917" s="877"/>
      <c r="I917" s="391"/>
    </row>
    <row r="918" spans="1:9" ht="12.75" customHeight="1">
      <c r="A918" s="122"/>
      <c r="B918" s="386" t="s">
        <v>311</v>
      </c>
      <c r="C918" s="121"/>
      <c r="D918" s="1245" t="s">
        <v>576</v>
      </c>
      <c r="E918" s="1245"/>
      <c r="F918" s="1245"/>
      <c r="G918" s="877"/>
      <c r="I918" s="391"/>
    </row>
    <row r="919" spans="1:9" ht="12.75" customHeight="1">
      <c r="A919" s="122"/>
      <c r="B919" s="122"/>
      <c r="C919" s="121"/>
      <c r="D919" s="1245"/>
      <c r="E919" s="1245"/>
      <c r="F919" s="1245"/>
      <c r="G919" s="877"/>
      <c r="I919" s="391"/>
    </row>
    <row r="920" spans="1:9" ht="12.75" customHeight="1">
      <c r="A920" s="122"/>
      <c r="B920" s="122"/>
      <c r="C920" s="121"/>
      <c r="D920" s="1245"/>
      <c r="E920" s="1245"/>
      <c r="F920" s="1245"/>
      <c r="G920" s="877"/>
      <c r="I920" s="391"/>
    </row>
    <row r="921" spans="1:9" ht="12.75" customHeight="1">
      <c r="A921" s="122"/>
      <c r="B921" s="122"/>
      <c r="C921" s="121"/>
      <c r="D921" s="1245"/>
      <c r="E921" s="1245"/>
      <c r="F921" s="1245"/>
      <c r="G921" s="877"/>
      <c r="I921" s="391"/>
    </row>
    <row r="922" spans="1:9" ht="12.75" customHeight="1">
      <c r="A922" s="122"/>
      <c r="B922" s="122"/>
      <c r="C922" s="121"/>
      <c r="D922" s="1245"/>
      <c r="E922" s="1245"/>
      <c r="F922" s="1245"/>
      <c r="G922" s="877"/>
      <c r="I922" s="391"/>
    </row>
    <row r="923" spans="1:9" ht="12.75" customHeight="1">
      <c r="A923" s="121"/>
      <c r="B923" s="121"/>
      <c r="C923" s="121"/>
      <c r="D923" s="1245"/>
      <c r="E923" s="1245"/>
      <c r="F923" s="1245"/>
      <c r="G923" s="877"/>
      <c r="I923" s="391"/>
    </row>
    <row r="924" spans="1:9" ht="12.75" customHeight="1">
      <c r="A924" s="121"/>
      <c r="B924" s="121"/>
      <c r="C924" s="121"/>
      <c r="D924" s="1245"/>
      <c r="E924" s="1245"/>
      <c r="F924" s="1245"/>
      <c r="G924" s="877"/>
      <c r="I924" s="391"/>
    </row>
    <row r="925" spans="1:9" ht="12.75" customHeight="1">
      <c r="A925" s="121"/>
      <c r="B925" s="121"/>
      <c r="C925" s="121"/>
      <c r="D925" s="1245"/>
      <c r="E925" s="1245"/>
      <c r="F925" s="1245"/>
      <c r="G925" s="877"/>
      <c r="I925" s="391"/>
    </row>
    <row r="926" spans="1:9" ht="12.75" customHeight="1">
      <c r="A926" s="121"/>
      <c r="B926" s="121"/>
      <c r="C926" s="121"/>
      <c r="D926" s="240"/>
      <c r="E926" s="240"/>
      <c r="F926" s="240"/>
      <c r="G926" s="877"/>
      <c r="I926" s="391"/>
    </row>
    <row r="927" spans="1:9" ht="12.75" customHeight="1">
      <c r="A927" s="878"/>
      <c r="B927" s="386" t="s">
        <v>316</v>
      </c>
      <c r="C927" s="878"/>
      <c r="D927" s="1241" t="s">
        <v>577</v>
      </c>
      <c r="E927" s="1241"/>
      <c r="F927" s="1241"/>
      <c r="G927" s="877"/>
      <c r="I927" s="391"/>
    </row>
    <row r="928" spans="1:9" ht="12.75" customHeight="1">
      <c r="A928" s="878"/>
      <c r="B928" s="878"/>
      <c r="C928" s="878"/>
      <c r="D928" s="1241"/>
      <c r="E928" s="1241"/>
      <c r="F928" s="1241"/>
      <c r="G928" s="877"/>
      <c r="I928" s="391"/>
    </row>
    <row r="929" spans="1:9" ht="12.75" customHeight="1">
      <c r="A929" s="878"/>
      <c r="B929" s="878"/>
      <c r="C929" s="878"/>
      <c r="D929" s="877"/>
      <c r="E929" s="877"/>
      <c r="F929" s="877"/>
      <c r="G929" s="877"/>
      <c r="I929" s="391"/>
    </row>
    <row r="930" spans="1:9" ht="12.75" customHeight="1">
      <c r="A930" s="878"/>
      <c r="B930" s="386" t="s">
        <v>316</v>
      </c>
      <c r="C930" s="878"/>
      <c r="D930" s="1270" t="s">
        <v>578</v>
      </c>
      <c r="E930" s="1270"/>
      <c r="F930" s="1270"/>
      <c r="G930" s="877"/>
      <c r="I930" s="391"/>
    </row>
    <row r="931" spans="1:9" ht="12.75" customHeight="1">
      <c r="A931" s="878"/>
      <c r="B931" s="878"/>
      <c r="C931" s="878"/>
      <c r="D931" s="1270"/>
      <c r="E931" s="1270"/>
      <c r="F931" s="1270"/>
      <c r="G931" s="877"/>
      <c r="I931" s="391"/>
    </row>
    <row r="932" spans="1:9" ht="12.75" customHeight="1">
      <c r="A932" s="878"/>
      <c r="B932" s="878"/>
      <c r="C932" s="878"/>
      <c r="D932" s="1270"/>
      <c r="E932" s="1270"/>
      <c r="F932" s="1270"/>
      <c r="G932" s="877"/>
      <c r="I932" s="391"/>
    </row>
    <row r="933" spans="1:9" ht="12.75" customHeight="1">
      <c r="A933" s="878"/>
      <c r="B933" s="878"/>
      <c r="C933" s="878"/>
      <c r="D933" s="1270"/>
      <c r="E933" s="1270"/>
      <c r="F933" s="1270"/>
      <c r="G933" s="877"/>
      <c r="I933" s="391"/>
    </row>
    <row r="934" spans="1:9" ht="12.75" customHeight="1">
      <c r="A934" s="878"/>
      <c r="B934" s="878"/>
      <c r="C934" s="878"/>
      <c r="D934" s="84"/>
      <c r="E934" s="877"/>
      <c r="F934" s="877"/>
      <c r="G934" s="877"/>
      <c r="I934" s="391"/>
    </row>
    <row r="935" spans="1:9" ht="12.75" customHeight="1">
      <c r="A935" s="878"/>
      <c r="B935" s="386" t="s">
        <v>316</v>
      </c>
      <c r="C935" s="878"/>
      <c r="D935" s="1280" t="s">
        <v>579</v>
      </c>
      <c r="E935" s="1280"/>
      <c r="F935" s="1280"/>
      <c r="G935" s="877"/>
      <c r="I935" s="391"/>
    </row>
    <row r="936" spans="1:9" ht="12.75" customHeight="1">
      <c r="A936" s="878"/>
      <c r="B936" s="878"/>
      <c r="C936" s="878"/>
      <c r="D936" s="84"/>
      <c r="E936" s="877"/>
      <c r="F936" s="877"/>
      <c r="G936" s="877"/>
      <c r="I936" s="391"/>
    </row>
    <row r="937" spans="1:9" ht="12.75" customHeight="1">
      <c r="A937" s="878"/>
      <c r="B937" s="386" t="s">
        <v>316</v>
      </c>
      <c r="C937" s="878"/>
      <c r="D937" s="1280" t="s">
        <v>580</v>
      </c>
      <c r="E937" s="1280"/>
      <c r="F937" s="1280"/>
      <c r="G937" s="877"/>
      <c r="I937" s="391"/>
    </row>
    <row r="938" spans="1:9" ht="12.75" customHeight="1">
      <c r="A938" s="121"/>
      <c r="B938" s="121"/>
      <c r="C938" s="121"/>
      <c r="D938" s="2"/>
      <c r="E938" s="3"/>
      <c r="F938" s="877"/>
      <c r="G938" s="877"/>
      <c r="I938" s="391"/>
    </row>
    <row r="939" spans="1:9" ht="12.75" customHeight="1">
      <c r="A939" s="886"/>
      <c r="B939" s="386" t="s">
        <v>311</v>
      </c>
      <c r="C939" s="887"/>
      <c r="D939" s="1245" t="s">
        <v>581</v>
      </c>
      <c r="E939" s="1245"/>
      <c r="F939" s="1245"/>
      <c r="G939" s="888"/>
      <c r="I939" s="391"/>
    </row>
    <row r="940" spans="1:9" ht="12.75" customHeight="1">
      <c r="A940" s="886"/>
      <c r="B940" s="886"/>
      <c r="C940" s="887"/>
      <c r="D940" s="1245"/>
      <c r="E940" s="1245"/>
      <c r="F940" s="1245"/>
      <c r="G940" s="888"/>
      <c r="I940" s="391"/>
    </row>
    <row r="941" spans="1:9" ht="12.75" customHeight="1">
      <c r="A941" s="886"/>
      <c r="B941" s="886"/>
      <c r="C941" s="887"/>
      <c r="D941" s="1245"/>
      <c r="E941" s="1245"/>
      <c r="F941" s="1245"/>
      <c r="G941" s="888"/>
      <c r="I941" s="391"/>
    </row>
    <row r="942" spans="1:9" ht="12.75" customHeight="1">
      <c r="A942" s="886"/>
      <c r="B942" s="886"/>
      <c r="C942" s="887"/>
      <c r="D942" s="1245"/>
      <c r="E942" s="1245"/>
      <c r="F942" s="1245"/>
      <c r="G942" s="888"/>
      <c r="I942" s="391"/>
    </row>
    <row r="943" spans="1:9" ht="12.75" customHeight="1">
      <c r="A943" s="886"/>
      <c r="B943" s="886"/>
      <c r="C943" s="887"/>
      <c r="D943" s="1245"/>
      <c r="E943" s="1245"/>
      <c r="F943" s="1245"/>
      <c r="G943" s="888"/>
      <c r="I943" s="391"/>
    </row>
    <row r="944" spans="1:9" ht="12.75" customHeight="1">
      <c r="A944" s="886"/>
      <c r="B944" s="886"/>
      <c r="C944" s="887"/>
      <c r="D944" s="1245"/>
      <c r="E944" s="1245"/>
      <c r="F944" s="1245"/>
      <c r="G944" s="888"/>
      <c r="I944" s="391"/>
    </row>
    <row r="945" spans="1:9" ht="12.75" customHeight="1">
      <c r="A945" s="886"/>
      <c r="B945" s="886"/>
      <c r="C945" s="887"/>
      <c r="D945" s="1245"/>
      <c r="E945" s="1245"/>
      <c r="F945" s="1245"/>
      <c r="G945" s="888"/>
      <c r="I945" s="391"/>
    </row>
    <row r="946" spans="1:9" ht="12.75" customHeight="1">
      <c r="A946" s="886"/>
      <c r="B946" s="886"/>
      <c r="C946" s="887"/>
      <c r="D946" s="1245"/>
      <c r="E946" s="1245"/>
      <c r="F946" s="1245"/>
      <c r="G946" s="888"/>
      <c r="I946" s="391"/>
    </row>
    <row r="947" spans="1:9" ht="12.75" customHeight="1">
      <c r="A947" s="886"/>
      <c r="B947" s="886"/>
      <c r="C947" s="887"/>
      <c r="D947" s="1245"/>
      <c r="E947" s="1245"/>
      <c r="F947" s="1245"/>
      <c r="G947" s="888"/>
      <c r="I947" s="391"/>
    </row>
    <row r="948" spans="1:9" ht="12.75" customHeight="1">
      <c r="A948" s="121"/>
      <c r="B948" s="121"/>
      <c r="C948" s="121"/>
      <c r="D948" s="2"/>
      <c r="E948" s="3"/>
      <c r="F948" s="877"/>
      <c r="G948" s="877"/>
      <c r="I948" s="391"/>
    </row>
    <row r="949" spans="1:9" ht="12.75" customHeight="1">
      <c r="A949" s="122"/>
      <c r="B949" s="386" t="s">
        <v>311</v>
      </c>
      <c r="C949" s="121"/>
      <c r="D949" s="1305" t="s">
        <v>582</v>
      </c>
      <c r="E949" s="1305"/>
      <c r="F949" s="1305"/>
      <c r="G949" s="877"/>
      <c r="I949" s="391"/>
    </row>
    <row r="950" spans="1:9" ht="12.75" customHeight="1">
      <c r="A950" s="122"/>
      <c r="B950" s="122"/>
      <c r="C950" s="121"/>
      <c r="D950" s="1305"/>
      <c r="E950" s="1305"/>
      <c r="F950" s="1305"/>
      <c r="G950" s="877"/>
      <c r="I950" s="391"/>
    </row>
    <row r="951" spans="1:9" ht="12.75" customHeight="1">
      <c r="A951" s="122"/>
      <c r="B951" s="122"/>
      <c r="C951" s="121"/>
      <c r="D951" s="1305"/>
      <c r="E951" s="1305"/>
      <c r="F951" s="1305"/>
      <c r="G951" s="877"/>
      <c r="I951" s="391"/>
    </row>
    <row r="952" spans="1:9" ht="12.75" customHeight="1">
      <c r="A952" s="122"/>
      <c r="B952" s="122"/>
      <c r="C952" s="121"/>
      <c r="D952" s="1305"/>
      <c r="E952" s="1305"/>
      <c r="F952" s="1305"/>
      <c r="G952" s="877"/>
      <c r="I952" s="391"/>
    </row>
    <row r="953" spans="1:9" ht="12.75" customHeight="1">
      <c r="A953" s="122"/>
      <c r="B953" s="122"/>
      <c r="C953" s="121"/>
      <c r="D953" s="1305"/>
      <c r="E953" s="1305"/>
      <c r="F953" s="1305"/>
      <c r="G953" s="877"/>
      <c r="I953" s="391"/>
    </row>
    <row r="954" spans="1:9" ht="12.75" customHeight="1">
      <c r="A954" s="122"/>
      <c r="B954" s="122"/>
      <c r="C954" s="121"/>
      <c r="D954" s="1305"/>
      <c r="E954" s="1305"/>
      <c r="F954" s="1305"/>
      <c r="G954" s="877"/>
      <c r="I954" s="391"/>
    </row>
    <row r="955" spans="1:9" ht="12.75" customHeight="1">
      <c r="A955" s="122"/>
      <c r="B955" s="122"/>
      <c r="C955" s="121"/>
      <c r="D955" s="1305"/>
      <c r="E955" s="1305"/>
      <c r="F955" s="1305"/>
      <c r="G955" s="877"/>
      <c r="I955" s="391"/>
    </row>
    <row r="956" spans="1:9" ht="12.75" customHeight="1">
      <c r="A956" s="122"/>
      <c r="B956" s="122"/>
      <c r="C956" s="121"/>
      <c r="D956" s="912"/>
      <c r="E956" s="912"/>
      <c r="F956" s="912"/>
      <c r="G956" s="877"/>
      <c r="I956" s="391"/>
    </row>
    <row r="957" spans="1:9" ht="12.75" customHeight="1">
      <c r="A957" s="122"/>
      <c r="B957" s="386" t="s">
        <v>311</v>
      </c>
      <c r="C957" s="121"/>
      <c r="D957" s="1244" t="s">
        <v>583</v>
      </c>
      <c r="E957" s="1244"/>
      <c r="F957" s="1244"/>
      <c r="G957" s="877"/>
      <c r="I957" s="391"/>
    </row>
    <row r="958" spans="1:9" ht="12.75" customHeight="1">
      <c r="A958" s="122"/>
      <c r="B958" s="122"/>
      <c r="C958" s="121"/>
      <c r="D958" s="1244"/>
      <c r="E958" s="1244"/>
      <c r="F958" s="1244"/>
      <c r="G958" s="877"/>
      <c r="I958" s="391"/>
    </row>
    <row r="959" spans="1:9" ht="12.75" customHeight="1">
      <c r="A959" s="122"/>
      <c r="B959" s="122"/>
      <c r="C959" s="121"/>
      <c r="D959" s="1244"/>
      <c r="E959" s="1244"/>
      <c r="F959" s="1244"/>
      <c r="G959" s="877"/>
      <c r="I959" s="391"/>
    </row>
    <row r="960" spans="1:9" ht="12.75" customHeight="1">
      <c r="A960" s="122"/>
      <c r="B960" s="122"/>
      <c r="C960" s="121"/>
      <c r="D960" s="1244"/>
      <c r="E960" s="1244"/>
      <c r="F960" s="1244"/>
      <c r="G960" s="877"/>
      <c r="I960" s="391"/>
    </row>
    <row r="961" spans="1:9" ht="12.75" customHeight="1">
      <c r="A961" s="122"/>
      <c r="B961" s="122"/>
      <c r="C961" s="121"/>
      <c r="D961" s="1244"/>
      <c r="E961" s="1244"/>
      <c r="F961" s="1244"/>
      <c r="G961" s="877"/>
      <c r="I961" s="391"/>
    </row>
    <row r="962" spans="1:9" ht="12.75" customHeight="1">
      <c r="A962" s="122"/>
      <c r="B962" s="122"/>
      <c r="C962" s="121"/>
      <c r="D962" s="1244"/>
      <c r="E962" s="1244"/>
      <c r="F962" s="1244"/>
      <c r="G962" s="877"/>
      <c r="I962" s="391"/>
    </row>
    <row r="963" spans="1:9" ht="12.75" customHeight="1">
      <c r="A963" s="122"/>
      <c r="B963" s="122"/>
      <c r="C963" s="121"/>
      <c r="D963" s="912"/>
      <c r="E963" s="912"/>
      <c r="F963" s="912"/>
      <c r="G963" s="877"/>
      <c r="I963" s="391"/>
    </row>
    <row r="964" spans="1:9" ht="12.75" customHeight="1">
      <c r="A964" s="878"/>
      <c r="B964" s="386" t="s">
        <v>316</v>
      </c>
      <c r="C964" s="878"/>
      <c r="D964" s="1270" t="s">
        <v>584</v>
      </c>
      <c r="E964" s="1270"/>
      <c r="F964" s="1270"/>
      <c r="G964" s="877"/>
      <c r="I964" s="391"/>
    </row>
    <row r="965" spans="1:9" ht="12.75" customHeight="1">
      <c r="A965" s="878"/>
      <c r="B965" s="878"/>
      <c r="C965" s="878"/>
      <c r="D965" s="1270"/>
      <c r="E965" s="1270"/>
      <c r="F965" s="1270"/>
      <c r="G965" s="877"/>
      <c r="I965" s="391"/>
    </row>
    <row r="966" spans="1:9" ht="12.75" customHeight="1">
      <c r="A966" s="878"/>
      <c r="B966" s="878"/>
      <c r="C966" s="878"/>
      <c r="D966" s="1270"/>
      <c r="E966" s="1270"/>
      <c r="F966" s="1270"/>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45" t="s">
        <v>585</v>
      </c>
      <c r="E969" s="1245"/>
      <c r="F969" s="1245"/>
      <c r="G969" s="877"/>
      <c r="I969" s="391"/>
    </row>
    <row r="970" spans="1:9" ht="12.75" customHeight="1">
      <c r="A970" s="122"/>
      <c r="B970" s="122"/>
      <c r="C970" s="121"/>
      <c r="D970" s="1245"/>
      <c r="E970" s="1245"/>
      <c r="F970" s="1245"/>
      <c r="G970" s="877"/>
      <c r="I970" s="391"/>
    </row>
    <row r="971" spans="1:9" ht="12.75" customHeight="1">
      <c r="A971" s="122"/>
      <c r="B971" s="122"/>
      <c r="C971" s="121"/>
      <c r="D971" s="1245"/>
      <c r="E971" s="1245"/>
      <c r="F971" s="1245"/>
      <c r="G971" s="877"/>
      <c r="I971" s="391"/>
    </row>
    <row r="972" spans="1:9" ht="12.75" customHeight="1">
      <c r="A972" s="122"/>
      <c r="B972" s="122"/>
      <c r="C972" s="121"/>
      <c r="D972" s="1245"/>
      <c r="E972" s="1245"/>
      <c r="F972" s="1245"/>
      <c r="G972" s="877"/>
      <c r="I972" s="391"/>
    </row>
    <row r="973" spans="1:9" ht="12.75" customHeight="1">
      <c r="A973" s="878"/>
      <c r="B973" s="878"/>
      <c r="C973" s="878"/>
      <c r="D973" s="869"/>
      <c r="E973" s="869"/>
      <c r="F973" s="869"/>
      <c r="G973" s="869"/>
      <c r="I973" s="391"/>
    </row>
    <row r="974" spans="1:9" ht="12.75" customHeight="1">
      <c r="A974" s="257"/>
      <c r="B974" s="257"/>
      <c r="C974" s="257"/>
      <c r="D974" s="1300" t="s">
        <v>586</v>
      </c>
      <c r="E974" s="1300"/>
      <c r="F974" s="1300"/>
      <c r="G974" s="3"/>
      <c r="I974" s="391"/>
    </row>
    <row r="975" spans="1:9" ht="12.75" customHeight="1">
      <c r="A975" s="122"/>
      <c r="B975" s="386" t="s">
        <v>316</v>
      </c>
      <c r="C975" s="257"/>
      <c r="D975" s="1280" t="s">
        <v>587</v>
      </c>
      <c r="E975" s="1280"/>
      <c r="F975" s="1280"/>
      <c r="G975" s="3"/>
      <c r="I975" s="391"/>
    </row>
    <row r="976" spans="1:9" ht="12.75" customHeight="1">
      <c r="A976" s="257"/>
      <c r="B976" s="257"/>
      <c r="C976" s="257"/>
      <c r="D976" s="3"/>
      <c r="E976" s="3"/>
      <c r="F976" s="3"/>
      <c r="G976" s="3"/>
      <c r="I976" s="391"/>
    </row>
    <row r="977" spans="1:9" ht="12.75" customHeight="1">
      <c r="A977" s="257"/>
      <c r="B977" s="257"/>
      <c r="C977" s="257"/>
      <c r="D977" s="1300" t="s">
        <v>588</v>
      </c>
      <c r="E977" s="1300"/>
      <c r="F977" s="1300"/>
      <c r="G977"/>
      <c r="I977" s="391"/>
    </row>
    <row r="978" spans="1:9" ht="12.75" customHeight="1">
      <c r="A978" s="122"/>
      <c r="B978" s="386" t="s">
        <v>316</v>
      </c>
      <c r="C978" s="257"/>
      <c r="D978" s="1241" t="s">
        <v>589</v>
      </c>
      <c r="E978" s="1241"/>
      <c r="F978" s="1241"/>
      <c r="G978"/>
      <c r="I978" s="391"/>
    </row>
    <row r="979" spans="1:9" ht="12.75" customHeight="1">
      <c r="A979" s="122"/>
      <c r="B979" s="122"/>
      <c r="C979" s="257"/>
      <c r="D979" s="1241"/>
      <c r="E979" s="1241"/>
      <c r="F979" s="1241"/>
      <c r="G979"/>
      <c r="I979" s="391"/>
    </row>
    <row r="980" spans="1:9" ht="12.75" customHeight="1">
      <c r="A980" s="122"/>
      <c r="B980" s="122"/>
      <c r="C980" s="257"/>
      <c r="D980" s="1241"/>
      <c r="E980" s="1241"/>
      <c r="F980" s="1241"/>
      <c r="G980"/>
      <c r="I980" s="391"/>
    </row>
    <row r="981" spans="1:9" ht="12.75" customHeight="1">
      <c r="A981" s="122"/>
      <c r="B981" s="122"/>
      <c r="C981" s="257"/>
      <c r="D981" s="1241"/>
      <c r="E981" s="1241"/>
      <c r="F981" s="1241"/>
      <c r="G981"/>
      <c r="I981" s="391"/>
    </row>
    <row r="982" spans="1:9" ht="12.75" customHeight="1">
      <c r="A982" s="122"/>
      <c r="B982" s="122"/>
      <c r="C982" s="257"/>
      <c r="D982" s="1241"/>
      <c r="E982" s="1241"/>
      <c r="F982" s="1241"/>
      <c r="G982"/>
      <c r="I982" s="391"/>
    </row>
    <row r="983" spans="1:9" ht="12.75" customHeight="1">
      <c r="A983" s="122"/>
      <c r="B983" s="122"/>
      <c r="C983" s="257"/>
      <c r="D983" s="1241"/>
      <c r="E983" s="1241"/>
      <c r="F983" s="1241"/>
      <c r="G983"/>
      <c r="I983" s="391"/>
    </row>
    <row r="984" spans="1:9" ht="12.75" customHeight="1">
      <c r="A984" s="122"/>
      <c r="B984" s="122"/>
      <c r="C984" s="257"/>
      <c r="D984" s="1241"/>
      <c r="E984" s="1241"/>
      <c r="F984" s="1241"/>
      <c r="G984"/>
      <c r="I984" s="391"/>
    </row>
    <row r="985" spans="1:9" ht="12.75" customHeight="1">
      <c r="A985" s="122"/>
      <c r="B985" s="122"/>
      <c r="C985" s="257"/>
      <c r="D985" s="1241"/>
      <c r="E985" s="1241"/>
      <c r="F985" s="1241"/>
      <c r="G985"/>
      <c r="I985" s="391"/>
    </row>
    <row r="986" spans="1:9" ht="12.75" customHeight="1">
      <c r="A986" s="122"/>
      <c r="B986" s="122"/>
      <c r="C986" s="257"/>
      <c r="D986" s="1241"/>
      <c r="E986" s="1241"/>
      <c r="F986" s="1241"/>
      <c r="G986"/>
      <c r="I986" s="391"/>
    </row>
    <row r="987" spans="1:9" ht="12.75" customHeight="1">
      <c r="A987" s="122"/>
      <c r="B987" s="122"/>
      <c r="C987" s="257"/>
      <c r="D987" s="1241"/>
      <c r="E987" s="1241"/>
      <c r="F987" s="1241"/>
      <c r="G987"/>
      <c r="I987" s="391"/>
    </row>
    <row r="988" spans="1:9" ht="12.75" customHeight="1">
      <c r="A988" s="122"/>
      <c r="B988" s="122"/>
      <c r="C988" s="257"/>
      <c r="D988" s="1241"/>
      <c r="E988" s="1241"/>
      <c r="F988" s="1241"/>
      <c r="G988"/>
      <c r="I988" s="391"/>
    </row>
    <row r="989" spans="1:9" ht="12.75" customHeight="1">
      <c r="A989" s="122"/>
      <c r="B989" s="122"/>
      <c r="C989" s="257"/>
      <c r="D989" s="1241"/>
      <c r="E989" s="1241"/>
      <c r="F989" s="1241"/>
      <c r="G989"/>
      <c r="I989" s="391"/>
    </row>
    <row r="990" spans="1:9" ht="12.75" customHeight="1">
      <c r="A990" s="122"/>
      <c r="B990" s="122"/>
      <c r="C990" s="257"/>
      <c r="D990" s="1241"/>
      <c r="E990" s="1241"/>
      <c r="F990" s="1241"/>
      <c r="G990"/>
      <c r="I990" s="391"/>
    </row>
    <row r="991" spans="1:9" ht="12.75" customHeight="1">
      <c r="A991" s="122"/>
      <c r="B991" s="122"/>
      <c r="C991" s="257"/>
      <c r="D991" s="1241"/>
      <c r="E991" s="1241"/>
      <c r="F991" s="1241"/>
      <c r="G991"/>
      <c r="I991" s="391"/>
    </row>
    <row r="992" spans="1:9" ht="12.75" customHeight="1">
      <c r="A992" s="122"/>
      <c r="B992" s="122"/>
      <c r="C992" s="257"/>
      <c r="D992" s="1241"/>
      <c r="E992" s="1241"/>
      <c r="F992" s="1241"/>
      <c r="G992" s="3"/>
      <c r="I992" s="391"/>
    </row>
    <row r="993" spans="1:9" ht="12.75" customHeight="1">
      <c r="A993" s="257"/>
      <c r="B993" s="257"/>
      <c r="C993" s="257"/>
      <c r="D993" s="3"/>
      <c r="E993" s="3"/>
      <c r="F993" s="3"/>
      <c r="G993" s="3"/>
      <c r="I993" s="391"/>
    </row>
    <row r="994" spans="1:9" ht="12.75" customHeight="1">
      <c r="A994" s="1288" t="s">
        <v>590</v>
      </c>
      <c r="B994" s="1288"/>
      <c r="C994" s="1288"/>
      <c r="D994" s="1288"/>
      <c r="E994" s="1288"/>
      <c r="F994" s="1288"/>
      <c r="G994" s="1288"/>
      <c r="H994" s="914"/>
      <c r="I994" s="1036"/>
    </row>
    <row r="995" spans="1:9" ht="12.75" customHeight="1">
      <c r="A995" s="84"/>
      <c r="B995" s="84"/>
      <c r="C995" s="257"/>
      <c r="D995" s="3"/>
      <c r="E995" s="3"/>
      <c r="F995" s="3"/>
      <c r="G995" s="3"/>
      <c r="I995" s="391"/>
    </row>
    <row r="996" spans="1:9" ht="12.75" customHeight="1">
      <c r="A996" s="257"/>
      <c r="B996" s="257"/>
      <c r="C996" s="878"/>
      <c r="D996" s="1300" t="s">
        <v>591</v>
      </c>
      <c r="E996" s="1300"/>
      <c r="F996" s="1300"/>
      <c r="G996" s="3"/>
      <c r="I996" s="391"/>
    </row>
    <row r="997" spans="1:9" ht="12.75" customHeight="1">
      <c r="A997" s="119"/>
      <c r="B997" s="119"/>
      <c r="C997" s="119"/>
      <c r="D997" s="1280" t="s">
        <v>592</v>
      </c>
      <c r="E997" s="1280"/>
      <c r="F997" s="1280"/>
      <c r="G997" s="3"/>
      <c r="I997" s="391"/>
    </row>
    <row r="998" spans="1:9" ht="12.75" customHeight="1">
      <c r="A998" s="119"/>
      <c r="B998" s="119"/>
      <c r="C998" s="119"/>
      <c r="D998" s="3"/>
      <c r="E998" s="3"/>
      <c r="F998" s="877"/>
      <c r="G998"/>
      <c r="I998" s="391"/>
    </row>
    <row r="999" spans="1:9" ht="12.75" customHeight="1">
      <c r="A999" s="257"/>
      <c r="B999" s="386" t="s">
        <v>311</v>
      </c>
      <c r="C999" s="257"/>
      <c r="D999" s="1309" t="s">
        <v>593</v>
      </c>
      <c r="E999" s="1309"/>
      <c r="F999" s="1309"/>
      <c r="G999"/>
      <c r="I999" s="391"/>
    </row>
    <row r="1000" spans="1:9" ht="12.75" customHeight="1">
      <c r="A1000" s="257"/>
      <c r="B1000" s="257"/>
      <c r="C1000" s="257"/>
      <c r="D1000" s="1309"/>
      <c r="E1000" s="1309"/>
      <c r="F1000" s="1309"/>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247" t="s">
        <v>595</v>
      </c>
      <c r="E1002" s="1247"/>
      <c r="F1002" s="1247"/>
      <c r="G1002"/>
      <c r="I1002" s="391"/>
    </row>
    <row r="1003" spans="1:9" ht="12.75" customHeight="1">
      <c r="A1003" s="257"/>
      <c r="B1003" s="257"/>
      <c r="C1003" s="257"/>
      <c r="D1003" s="1247"/>
      <c r="E1003" s="1247"/>
      <c r="F1003" s="1247"/>
      <c r="G1003"/>
      <c r="I1003" s="391"/>
    </row>
    <row r="1004" spans="1:9" ht="12.75" customHeight="1">
      <c r="A1004" s="121"/>
      <c r="B1004" s="121"/>
      <c r="C1004" s="121"/>
      <c r="D1004" s="1247"/>
      <c r="E1004" s="1247"/>
      <c r="F1004" s="1247"/>
      <c r="G1004"/>
      <c r="I1004" s="391"/>
    </row>
    <row r="1005" spans="1:9" ht="12.75" customHeight="1">
      <c r="A1005" s="121"/>
      <c r="B1005" s="121"/>
      <c r="C1005" s="121"/>
      <c r="D1005" s="1247"/>
      <c r="E1005" s="1247"/>
      <c r="F1005" s="1247"/>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41" t="s">
        <v>596</v>
      </c>
      <c r="E1007" s="1241"/>
      <c r="F1007" s="1241"/>
      <c r="G1007"/>
      <c r="I1007" s="391"/>
    </row>
    <row r="1008" spans="1:9" ht="12.75" customHeight="1">
      <c r="A1008" s="121"/>
      <c r="B1008" s="121"/>
      <c r="C1008" s="121"/>
      <c r="D1008" s="1241"/>
      <c r="E1008" s="1241"/>
      <c r="F1008" s="1241"/>
      <c r="G1008"/>
      <c r="I1008" s="391"/>
    </row>
    <row r="1009" spans="1:9" ht="12.75" customHeight="1">
      <c r="A1009" s="121"/>
      <c r="B1009" s="121"/>
      <c r="C1009" s="121"/>
      <c r="D1009" s="1241"/>
      <c r="E1009" s="1241"/>
      <c r="F1009" s="1241"/>
      <c r="G1009"/>
      <c r="I1009" s="391"/>
    </row>
    <row r="1010" spans="1:9" ht="12.75" customHeight="1">
      <c r="A1010" s="121"/>
      <c r="B1010" s="121"/>
      <c r="C1010" s="121"/>
      <c r="D1010" s="1241"/>
      <c r="E1010" s="1241"/>
      <c r="F1010" s="1241"/>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41" t="s">
        <v>597</v>
      </c>
      <c r="E1012" s="1241"/>
      <c r="F1012" s="1241"/>
      <c r="G1012"/>
      <c r="I1012" s="391"/>
    </row>
    <row r="1013" spans="1:9" ht="12.75" customHeight="1">
      <c r="A1013" s="121"/>
      <c r="B1013" s="121"/>
      <c r="C1013" s="121"/>
      <c r="D1013" s="1241"/>
      <c r="E1013" s="1241"/>
      <c r="F1013" s="1241"/>
      <c r="G1013"/>
      <c r="I1013" s="391"/>
    </row>
    <row r="1014" spans="1:9" ht="12.75" customHeight="1">
      <c r="A1014" s="121"/>
      <c r="B1014" s="121"/>
      <c r="C1014" s="121"/>
      <c r="D1014" s="344"/>
      <c r="E1014" s="344"/>
      <c r="F1014" s="344"/>
      <c r="G1014"/>
      <c r="I1014" s="391"/>
    </row>
    <row r="1015" spans="1:9" ht="12.75" customHeight="1">
      <c r="A1015" s="122"/>
      <c r="B1015" s="386" t="s">
        <v>316</v>
      </c>
      <c r="C1015" s="257"/>
      <c r="D1015" s="1280" t="s">
        <v>598</v>
      </c>
      <c r="E1015" s="1280"/>
      <c r="F1015" s="1280"/>
      <c r="G1015"/>
      <c r="I1015" s="391"/>
    </row>
    <row r="1016" spans="1:9" ht="12.75" customHeight="1">
      <c r="A1016" s="257"/>
      <c r="B1016" s="257"/>
      <c r="C1016" s="257"/>
      <c r="D1016" s="3"/>
      <c r="E1016" s="3"/>
      <c r="F1016" s="3"/>
      <c r="G1016"/>
      <c r="I1016" s="391"/>
    </row>
    <row r="1017" spans="1:9" ht="12.75" customHeight="1">
      <c r="A1017" s="122"/>
      <c r="B1017" s="386" t="s">
        <v>316</v>
      </c>
      <c r="C1017" s="257"/>
      <c r="D1017" s="1280" t="s">
        <v>599</v>
      </c>
      <c r="E1017" s="1280"/>
      <c r="F1017" s="1280"/>
      <c r="G1017"/>
      <c r="I1017" s="391"/>
    </row>
    <row r="1018" spans="1:9" ht="12.75" customHeight="1">
      <c r="A1018" s="257"/>
      <c r="B1018" s="257"/>
      <c r="C1018" s="257"/>
      <c r="D1018" s="84"/>
      <c r="E1018" s="3"/>
      <c r="F1018" s="3"/>
      <c r="G1018"/>
      <c r="I1018" s="391"/>
    </row>
    <row r="1019" spans="1:9" ht="12.75" customHeight="1">
      <c r="A1019" s="122"/>
      <c r="B1019" s="386" t="s">
        <v>311</v>
      </c>
      <c r="C1019" s="257"/>
      <c r="D1019" s="1280" t="s">
        <v>600</v>
      </c>
      <c r="E1019" s="1280"/>
      <c r="F1019" s="1280"/>
      <c r="G1019"/>
      <c r="I1019" s="391"/>
    </row>
    <row r="1020" spans="1:9" ht="12.75" customHeight="1">
      <c r="A1020" s="257"/>
      <c r="B1020" s="257"/>
      <c r="C1020" s="257"/>
      <c r="D1020" s="84"/>
      <c r="E1020" s="3"/>
      <c r="F1020" s="3"/>
      <c r="G1020"/>
      <c r="I1020" s="391"/>
    </row>
    <row r="1021" spans="1:9" ht="12.75" customHeight="1">
      <c r="A1021" s="122"/>
      <c r="B1021" s="386" t="s">
        <v>311</v>
      </c>
      <c r="C1021" s="257"/>
      <c r="D1021" s="1241" t="s">
        <v>601</v>
      </c>
      <c r="E1021" s="1241"/>
      <c r="F1021" s="1241"/>
      <c r="G1021"/>
      <c r="I1021" s="391"/>
    </row>
    <row r="1022" spans="1:9" ht="12.75" customHeight="1">
      <c r="A1022" s="122"/>
      <c r="B1022" s="122"/>
      <c r="C1022" s="257"/>
      <c r="D1022" s="1241"/>
      <c r="E1022" s="1241"/>
      <c r="F1022" s="1241"/>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96" t="s">
        <v>602</v>
      </c>
      <c r="E1024" s="1296"/>
      <c r="F1024" s="1296"/>
      <c r="G1024" s="890"/>
      <c r="I1024" s="391"/>
    </row>
    <row r="1025" spans="1:9" ht="12.75" customHeight="1">
      <c r="A1025" s="889"/>
      <c r="B1025" s="889"/>
      <c r="C1025" s="889"/>
      <c r="D1025" s="1296"/>
      <c r="E1025" s="1296"/>
      <c r="F1025" s="1296"/>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310" t="s">
        <v>603</v>
      </c>
      <c r="E1027" s="1310"/>
      <c r="F1027" s="1310"/>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280" t="s">
        <v>604</v>
      </c>
      <c r="E1029" s="1280"/>
      <c r="F1029" s="1280"/>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41" t="s">
        <v>605</v>
      </c>
      <c r="E1031" s="1241"/>
      <c r="F1031" s="1241"/>
      <c r="G1031" s="3"/>
      <c r="I1031" s="391"/>
    </row>
    <row r="1032" spans="1:9" ht="12.75" customHeight="1">
      <c r="A1032" s="122"/>
      <c r="B1032" s="122"/>
      <c r="C1032" s="257"/>
      <c r="D1032" s="1241"/>
      <c r="E1032" s="1241"/>
      <c r="F1032" s="1241"/>
      <c r="G1032" s="3"/>
      <c r="I1032" s="391"/>
    </row>
    <row r="1033" spans="1:9" ht="12.75" customHeight="1">
      <c r="A1033" s="257"/>
      <c r="B1033" s="257"/>
      <c r="C1033" s="257"/>
      <c r="D1033" s="3"/>
      <c r="E1033" s="3"/>
      <c r="F1033" s="3"/>
      <c r="G1033" s="3"/>
      <c r="I1033" s="391"/>
    </row>
    <row r="1034" spans="1:9" ht="12.75" customHeight="1">
      <c r="A1034" s="1288" t="s">
        <v>606</v>
      </c>
      <c r="B1034" s="1288"/>
      <c r="C1034" s="1288"/>
      <c r="D1034" s="1288"/>
      <c r="E1034" s="1288"/>
      <c r="F1034" s="1288"/>
      <c r="G1034" s="1288"/>
      <c r="H1034" s="914"/>
      <c r="I1034" s="1036"/>
    </row>
    <row r="1035" spans="1:9" ht="12.75" customHeight="1">
      <c r="A1035" s="257"/>
      <c r="B1035" s="257"/>
      <c r="C1035" s="257"/>
      <c r="D1035" s="3"/>
      <c r="E1035" s="3"/>
      <c r="F1035" s="3"/>
      <c r="G1035" s="3"/>
      <c r="I1035" s="391"/>
    </row>
    <row r="1036" spans="1:9" ht="12.75" customHeight="1">
      <c r="A1036" s="257"/>
      <c r="B1036" s="257"/>
      <c r="C1036" s="257"/>
      <c r="D1036" s="1304" t="s">
        <v>607</v>
      </c>
      <c r="E1036" s="1304"/>
      <c r="F1036" s="1304"/>
      <c r="G1036" s="3"/>
      <c r="I1036" s="391"/>
    </row>
    <row r="1037" spans="1:9" ht="12.75" customHeight="1">
      <c r="A1037" s="257"/>
      <c r="B1037" s="257"/>
      <c r="C1037" s="257"/>
      <c r="D1037" s="1310" t="s">
        <v>608</v>
      </c>
      <c r="E1037" s="1310"/>
      <c r="F1037" s="1310"/>
      <c r="G1037" s="3"/>
      <c r="I1037" s="391"/>
    </row>
    <row r="1038" spans="1:9" ht="12.75" customHeight="1">
      <c r="A1038" s="119"/>
      <c r="B1038" s="119"/>
      <c r="C1038" s="119"/>
      <c r="D1038" s="3"/>
      <c r="E1038" s="3"/>
      <c r="F1038" s="3"/>
      <c r="G1038" s="3"/>
      <c r="I1038" s="391"/>
    </row>
    <row r="1039" spans="1:9" ht="12.75" customHeight="1">
      <c r="A1039" s="122"/>
      <c r="B1039" s="122"/>
      <c r="C1039" s="121"/>
      <c r="D1039" s="1304" t="s">
        <v>609</v>
      </c>
      <c r="E1039" s="1304"/>
      <c r="F1039" s="1304"/>
      <c r="G1039" s="3"/>
      <c r="I1039" s="391"/>
    </row>
    <row r="1040" spans="1:9" ht="12.75" customHeight="1">
      <c r="A1040" s="257"/>
      <c r="B1040" s="386" t="s">
        <v>311</v>
      </c>
      <c r="C1040" s="257"/>
      <c r="D1040" s="1310" t="s">
        <v>610</v>
      </c>
      <c r="E1040" s="1310"/>
      <c r="F1040" s="1310"/>
      <c r="G1040" s="3"/>
      <c r="I1040" s="391"/>
    </row>
    <row r="1041" spans="1:9" ht="12.75" customHeight="1">
      <c r="A1041" s="257"/>
      <c r="B1041" s="122"/>
      <c r="C1041" s="257"/>
      <c r="D1041" s="1310" t="s">
        <v>611</v>
      </c>
      <c r="E1041" s="1310"/>
      <c r="F1041" s="1310"/>
      <c r="G1041" s="3"/>
      <c r="I1041" s="391"/>
    </row>
    <row r="1042" spans="1:9" ht="12.75" customHeight="1">
      <c r="A1042" s="257"/>
      <c r="B1042" s="257"/>
      <c r="C1042" s="257"/>
      <c r="D1042" s="1310"/>
      <c r="E1042" s="1310"/>
      <c r="F1042" s="1310"/>
      <c r="G1042" s="3"/>
      <c r="I1042" s="391"/>
    </row>
    <row r="1043" spans="1:9" ht="12.75" customHeight="1">
      <c r="A1043" s="1288" t="s">
        <v>612</v>
      </c>
      <c r="B1043" s="1288"/>
      <c r="C1043" s="1288"/>
      <c r="D1043" s="1288"/>
      <c r="E1043" s="1288"/>
      <c r="F1043" s="1288"/>
      <c r="G1043" s="1288"/>
      <c r="H1043" s="914"/>
      <c r="I1043" s="1036"/>
    </row>
    <row r="1044" spans="1:9" ht="12.75" customHeight="1">
      <c r="A1044" s="84"/>
      <c r="B1044" s="84"/>
      <c r="C1044" s="257"/>
      <c r="D1044" s="3"/>
      <c r="E1044" s="3"/>
      <c r="F1044" s="3"/>
      <c r="G1044" s="3"/>
      <c r="I1044" s="391"/>
    </row>
    <row r="1045" spans="1:9" ht="12.75" hidden="1" customHeight="1">
      <c r="A1045" s="84"/>
      <c r="B1045" s="305"/>
      <c r="D1045" s="1311" t="s">
        <v>613</v>
      </c>
      <c r="E1045" s="1311"/>
      <c r="F1045" s="1311"/>
      <c r="G1045" s="3"/>
      <c r="I1045" s="391"/>
    </row>
    <row r="1046" spans="1:9" ht="12.75" hidden="1" customHeight="1">
      <c r="A1046" s="84"/>
      <c r="B1046" s="386" t="s">
        <v>348</v>
      </c>
      <c r="D1046" s="1275" t="s">
        <v>610</v>
      </c>
      <c r="E1046" s="1275"/>
      <c r="F1046" s="1275"/>
      <c r="G1046" s="3"/>
      <c r="I1046" s="391"/>
    </row>
    <row r="1047" spans="1:9" ht="12.75" hidden="1" customHeight="1">
      <c r="A1047" s="84"/>
      <c r="B1047" s="305"/>
      <c r="D1047" s="1275" t="s">
        <v>614</v>
      </c>
      <c r="E1047" s="1275"/>
      <c r="F1047" s="1275"/>
      <c r="G1047" s="3"/>
      <c r="I1047" s="391"/>
    </row>
    <row r="1048" spans="1:9" ht="12.75" hidden="1" customHeight="1">
      <c r="A1048" s="84"/>
      <c r="B1048" s="305"/>
      <c r="D1048" s="346"/>
      <c r="E1048" s="346"/>
      <c r="F1048" s="346"/>
      <c r="G1048" s="3"/>
      <c r="I1048" s="391"/>
    </row>
    <row r="1049" spans="1:9" ht="12.75" customHeight="1">
      <c r="A1049" s="84"/>
      <c r="B1049" s="84"/>
      <c r="C1049" s="257"/>
      <c r="D1049" s="1312" t="s">
        <v>615</v>
      </c>
      <c r="E1049" s="1312"/>
      <c r="F1049" s="1312"/>
      <c r="G1049" s="3"/>
      <c r="I1049" s="391"/>
    </row>
    <row r="1050" spans="1:9" ht="12.75" customHeight="1">
      <c r="A1050" s="224"/>
      <c r="B1050" s="224"/>
      <c r="C1050" s="224"/>
      <c r="D1050" s="1281" t="s">
        <v>616</v>
      </c>
      <c r="E1050" s="1281"/>
      <c r="F1050" s="1281"/>
      <c r="G1050" s="73"/>
      <c r="I1050" s="391"/>
    </row>
    <row r="1051" spans="1:9" ht="12.75" customHeight="1">
      <c r="A1051" s="122"/>
      <c r="B1051" s="386" t="s">
        <v>316</v>
      </c>
      <c r="C1051" s="257"/>
      <c r="D1051" s="1281" t="s">
        <v>617</v>
      </c>
      <c r="E1051" s="1281"/>
      <c r="F1051" s="1281"/>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288" t="s">
        <v>619</v>
      </c>
      <c r="B1054" s="1288"/>
      <c r="C1054" s="1288"/>
      <c r="D1054" s="1288"/>
      <c r="E1054" s="1288"/>
      <c r="F1054" s="1288"/>
      <c r="G1054" s="1288"/>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262" t="s">
        <v>622</v>
      </c>
      <c r="E1059" s="1262"/>
      <c r="F1059" s="1262"/>
      <c r="I1059" s="391"/>
    </row>
    <row r="1060" spans="1:9">
      <c r="A1060" s="305"/>
      <c r="B1060" s="305"/>
      <c r="C1060" s="305"/>
      <c r="D1060" s="1262"/>
      <c r="E1060" s="1262"/>
      <c r="F1060" s="1262"/>
      <c r="I1060" s="391"/>
    </row>
    <row r="1061" spans="1:9">
      <c r="A1061" s="305"/>
      <c r="B1061" s="305"/>
      <c r="C1061" s="305"/>
      <c r="D1061" s="1262"/>
      <c r="E1061" s="1262"/>
      <c r="F1061" s="1262"/>
      <c r="I1061" s="391"/>
    </row>
    <row r="1062" spans="1:9">
      <c r="A1062" s="305"/>
      <c r="B1062" s="305"/>
      <c r="C1062" s="305"/>
      <c r="D1062" s="1262"/>
      <c r="E1062" s="1262"/>
      <c r="F1062" s="1262"/>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311</v>
      </c>
      <c r="C1067" s="305"/>
      <c r="D1067" s="305" t="s">
        <v>571</v>
      </c>
      <c r="I1067" s="391"/>
    </row>
    <row r="1068" spans="1:9">
      <c r="A1068" s="305"/>
      <c r="B1068" s="305"/>
      <c r="C1068" s="305"/>
      <c r="I1068" s="391"/>
    </row>
    <row r="1069" spans="1:9">
      <c r="A1069" s="305"/>
      <c r="B1069" s="386" t="s">
        <v>311</v>
      </c>
      <c r="C1069" s="305"/>
      <c r="D1069" s="1262" t="s">
        <v>625</v>
      </c>
      <c r="E1069" s="1262"/>
      <c r="F1069" s="1262"/>
      <c r="I1069" s="391"/>
    </row>
    <row r="1070" spans="1:9">
      <c r="A1070" s="305"/>
      <c r="B1070" s="305"/>
      <c r="C1070" s="305"/>
      <c r="D1070" s="1262"/>
      <c r="E1070" s="1262"/>
      <c r="F1070" s="1262"/>
      <c r="I1070" s="391"/>
    </row>
    <row r="1071" spans="1:9">
      <c r="A1071" s="305"/>
      <c r="B1071" s="305"/>
      <c r="C1071" s="305"/>
      <c r="D1071" s="1262"/>
      <c r="E1071" s="1262"/>
      <c r="F1071" s="1262"/>
      <c r="I1071" s="391"/>
    </row>
    <row r="1072" spans="1:9">
      <c r="A1072" s="305"/>
      <c r="B1072" s="305"/>
      <c r="C1072" s="305"/>
      <c r="D1072" s="1262"/>
      <c r="E1072" s="1262"/>
      <c r="F1072" s="1262"/>
      <c r="I1072" s="391"/>
    </row>
    <row r="1073" spans="1:9">
      <c r="A1073" s="305"/>
      <c r="B1073" s="305"/>
      <c r="C1073" s="305"/>
      <c r="D1073" s="1262"/>
      <c r="E1073" s="1262"/>
      <c r="F1073" s="1262"/>
      <c r="I1073" s="391"/>
    </row>
    <row r="1074" spans="1:9">
      <c r="A1074" s="305"/>
      <c r="B1074" s="305"/>
      <c r="C1074" s="305"/>
      <c r="I1074" s="391"/>
    </row>
    <row r="1075" spans="1:9">
      <c r="A1075" s="1288" t="s">
        <v>626</v>
      </c>
      <c r="B1075" s="1288"/>
      <c r="C1075" s="1288"/>
      <c r="D1075" s="1288"/>
      <c r="E1075" s="1288"/>
      <c r="F1075" s="1288"/>
      <c r="G1075" s="1288"/>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316</v>
      </c>
      <c r="C1081" s="305"/>
      <c r="D1081" s="1308" t="s">
        <v>629</v>
      </c>
      <c r="E1081" s="1308"/>
      <c r="F1081" s="1308"/>
      <c r="I1081" s="391"/>
    </row>
    <row r="1082" spans="1:9">
      <c r="A1082" s="305"/>
      <c r="B1082" s="305"/>
      <c r="C1082" s="305"/>
      <c r="D1082" s="1308"/>
      <c r="E1082" s="1308"/>
      <c r="F1082" s="1308"/>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241" t="s">
        <v>632</v>
      </c>
      <c r="E1086" s="1241"/>
      <c r="F1086" s="1241"/>
      <c r="I1086" s="391"/>
    </row>
    <row r="1087" spans="1:9">
      <c r="A1087" s="305"/>
      <c r="B1087" s="305"/>
      <c r="C1087" s="305"/>
      <c r="D1087" s="1241"/>
      <c r="E1087" s="1241"/>
      <c r="F1087" s="1241"/>
      <c r="I1087" s="391"/>
    </row>
    <row r="1088" spans="1:9">
      <c r="A1088" s="305"/>
      <c r="B1088" s="305"/>
      <c r="C1088" s="305"/>
      <c r="D1088" s="1241"/>
      <c r="E1088" s="1241"/>
      <c r="F1088" s="1241"/>
      <c r="I1088" s="391"/>
    </row>
    <row r="1089" spans="1:9">
      <c r="A1089" s="305"/>
      <c r="B1089" s="305"/>
      <c r="C1089" s="305"/>
      <c r="D1089" s="1241"/>
      <c r="E1089" s="1241"/>
      <c r="F1089" s="1241"/>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306" t="s">
        <v>635</v>
      </c>
      <c r="E1093" s="1306"/>
      <c r="F1093" s="1306"/>
      <c r="I1093" s="391"/>
    </row>
    <row r="1094" spans="1:9">
      <c r="A1094" s="305"/>
      <c r="B1094" s="305"/>
      <c r="C1094" s="305"/>
      <c r="D1094" s="1306"/>
      <c r="E1094" s="1306"/>
      <c r="F1094" s="1306"/>
      <c r="I1094" s="391"/>
    </row>
    <row r="1095" spans="1:9">
      <c r="A1095" s="305"/>
      <c r="B1095" s="305"/>
      <c r="C1095" s="305"/>
      <c r="D1095" s="1306"/>
      <c r="E1095" s="1306"/>
      <c r="F1095" s="1306"/>
      <c r="I1095" s="391"/>
    </row>
    <row r="1096" spans="1:9">
      <c r="A1096" s="305"/>
      <c r="B1096" s="305"/>
      <c r="C1096" s="305"/>
      <c r="D1096" s="1306"/>
      <c r="E1096" s="1306"/>
      <c r="F1096" s="1306"/>
      <c r="I1096" s="391"/>
    </row>
    <row r="1097" spans="1:9">
      <c r="A1097" s="305"/>
      <c r="B1097" s="305"/>
      <c r="C1097" s="305"/>
      <c r="D1097" s="1306"/>
      <c r="E1097" s="1306"/>
      <c r="F1097" s="1306"/>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257" t="s">
        <v>637</v>
      </c>
      <c r="E1100" s="1257"/>
      <c r="F1100" s="1257"/>
      <c r="I1100" s="391"/>
    </row>
    <row r="1101" spans="1:9">
      <c r="A1101" s="305"/>
      <c r="B1101" s="305"/>
      <c r="C1101" s="305"/>
      <c r="D1101" s="1257"/>
      <c r="E1101" s="1257"/>
      <c r="F1101" s="1257"/>
      <c r="I1101" s="391"/>
    </row>
    <row r="1102" spans="1:9">
      <c r="A1102" s="305"/>
      <c r="B1102" s="305"/>
      <c r="C1102" s="305"/>
      <c r="D1102" s="1257"/>
      <c r="E1102" s="1257"/>
      <c r="F1102" s="1257"/>
      <c r="I1102" s="391"/>
    </row>
    <row r="1103" spans="1:9">
      <c r="A1103" s="305"/>
      <c r="B1103" s="305"/>
      <c r="C1103" s="305"/>
      <c r="I1103" s="391"/>
    </row>
    <row r="1104" spans="1:9">
      <c r="A1104" s="1288" t="s">
        <v>638</v>
      </c>
      <c r="B1104" s="1288"/>
      <c r="C1104" s="1288"/>
      <c r="D1104" s="1288"/>
      <c r="E1104" s="1288"/>
      <c r="F1104" s="1288"/>
      <c r="G1104" s="1288"/>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232" t="s">
        <v>639</v>
      </c>
      <c r="E1107" s="1232"/>
      <c r="F1107" s="1232"/>
      <c r="I1107" s="391"/>
    </row>
    <row r="1108" spans="1:9">
      <c r="A1108" s="305"/>
      <c r="B1108" s="305"/>
      <c r="C1108" s="305"/>
      <c r="D1108" s="1232"/>
      <c r="E1108" s="1232"/>
      <c r="F1108" s="1232"/>
      <c r="I1108" s="391"/>
    </row>
    <row r="1109" spans="1:9">
      <c r="A1109" s="305"/>
      <c r="B1109" s="305"/>
      <c r="C1109" s="305"/>
      <c r="D1109" s="1307" t="s">
        <v>640</v>
      </c>
      <c r="E1109" s="1241"/>
      <c r="F1109" s="1241"/>
      <c r="I1109" s="391"/>
    </row>
    <row r="1110" spans="1:9">
      <c r="A1110" s="305"/>
      <c r="B1110" s="305"/>
      <c r="C1110" s="305"/>
      <c r="D1110" s="427"/>
      <c r="I1110" s="391"/>
    </row>
    <row r="1111" spans="1:9">
      <c r="A1111" s="305"/>
      <c r="B1111" s="386" t="s">
        <v>316</v>
      </c>
      <c r="C1111" s="305"/>
      <c r="D1111" s="1306" t="s">
        <v>641</v>
      </c>
      <c r="E1111" s="1306"/>
      <c r="F1111" s="1306"/>
      <c r="I1111" s="391"/>
    </row>
    <row r="1112" spans="1:9">
      <c r="A1112" s="305"/>
      <c r="B1112" s="305"/>
      <c r="C1112" s="305"/>
      <c r="D1112" s="1306"/>
      <c r="E1112" s="1306"/>
      <c r="F1112" s="1306"/>
      <c r="I1112" s="391"/>
    </row>
    <row r="1113" spans="1:9">
      <c r="A1113" s="305"/>
      <c r="B1113" s="305"/>
      <c r="C1113" s="305"/>
      <c r="D1113" s="1306"/>
      <c r="E1113" s="1306"/>
      <c r="F1113" s="1306"/>
      <c r="I1113" s="391"/>
    </row>
    <row r="1114" spans="1:9">
      <c r="A1114" s="305"/>
      <c r="B1114" s="305"/>
      <c r="C1114" s="305"/>
      <c r="D1114" s="427"/>
      <c r="I1114" s="391"/>
    </row>
    <row r="1115" spans="1:9">
      <c r="A1115" s="305"/>
      <c r="B1115" s="386" t="s">
        <v>316</v>
      </c>
      <c r="C1115" s="305"/>
      <c r="D1115" s="1306" t="s">
        <v>642</v>
      </c>
      <c r="E1115" s="1306"/>
      <c r="F1115" s="1306"/>
      <c r="I1115" s="391"/>
    </row>
    <row r="1116" spans="1:9">
      <c r="A1116" s="305"/>
      <c r="B1116" s="305"/>
      <c r="C1116" s="305"/>
      <c r="D1116" s="1306"/>
      <c r="E1116" s="1306"/>
      <c r="F1116" s="1306"/>
      <c r="I1116" s="391"/>
    </row>
    <row r="1117" spans="1:9">
      <c r="A1117" s="305"/>
      <c r="B1117" s="305"/>
      <c r="C1117" s="305"/>
      <c r="D1117" s="1306"/>
      <c r="E1117" s="1306"/>
      <c r="F1117" s="1306"/>
      <c r="I1117" s="391"/>
    </row>
    <row r="1118" spans="1:9">
      <c r="A1118" s="305"/>
      <c r="B1118" s="305"/>
      <c r="C1118" s="305"/>
      <c r="D1118" s="1306"/>
      <c r="E1118" s="1306"/>
      <c r="F1118" s="1306"/>
      <c r="I1118" s="391"/>
    </row>
    <row r="1119" spans="1:9">
      <c r="A1119" s="305"/>
      <c r="B1119" s="305"/>
      <c r="C1119" s="305"/>
      <c r="D1119" s="1306"/>
      <c r="E1119" s="1306"/>
      <c r="F1119" s="1306"/>
      <c r="I1119" s="391"/>
    </row>
    <row r="1120" spans="1:9" ht="12.5">
      <c r="A1120" s="305"/>
      <c r="B1120" s="305"/>
      <c r="C1120" s="305"/>
      <c r="D1120" s="427"/>
      <c r="I1120" s="381"/>
    </row>
    <row r="1121" spans="1:9">
      <c r="A1121" s="305"/>
      <c r="B1121" s="386" t="s">
        <v>316</v>
      </c>
      <c r="C1121" s="305"/>
      <c r="D1121" s="1306" t="s">
        <v>643</v>
      </c>
      <c r="E1121" s="1306"/>
      <c r="F1121" s="1306"/>
      <c r="I1121" s="391"/>
    </row>
    <row r="1122" spans="1:9">
      <c r="A1122" s="305"/>
      <c r="B1122" s="305"/>
      <c r="C1122" s="305"/>
      <c r="D1122" s="1306"/>
      <c r="E1122" s="1306"/>
      <c r="F1122" s="1306"/>
      <c r="I1122" s="391"/>
    </row>
    <row r="1123" spans="1:9">
      <c r="A1123" s="305"/>
      <c r="B1123" s="305"/>
      <c r="C1123" s="305"/>
      <c r="D1123" s="1306"/>
      <c r="E1123" s="1306"/>
      <c r="F1123" s="1306"/>
      <c r="I1123" s="391"/>
    </row>
    <row r="1124" spans="1:9">
      <c r="A1124" s="305"/>
      <c r="B1124" s="305"/>
      <c r="C1124" s="305"/>
      <c r="D1124" s="427"/>
      <c r="I1124" s="391"/>
    </row>
    <row r="1125" spans="1:9">
      <c r="A1125" s="305"/>
      <c r="B1125" s="386" t="s">
        <v>311</v>
      </c>
      <c r="C1125" s="305"/>
      <c r="D1125" s="1247" t="s">
        <v>644</v>
      </c>
      <c r="E1125" s="1247"/>
      <c r="F1125" s="1247"/>
      <c r="I1125" s="391"/>
    </row>
    <row r="1126" spans="1:9">
      <c r="A1126" s="305"/>
      <c r="B1126" s="305"/>
      <c r="C1126" s="305"/>
      <c r="D1126" s="1247"/>
      <c r="E1126" s="1247"/>
      <c r="F1126" s="1247"/>
      <c r="I1126" s="391"/>
    </row>
    <row r="1127" spans="1:9">
      <c r="A1127" s="305"/>
      <c r="B1127" s="305"/>
      <c r="C1127" s="305"/>
      <c r="D1127" s="1247"/>
      <c r="E1127" s="1247"/>
      <c r="F1127" s="1247"/>
      <c r="I1127" s="391"/>
    </row>
    <row r="1128" spans="1:9">
      <c r="A1128" s="305"/>
      <c r="B1128" s="305"/>
      <c r="C1128" s="305"/>
      <c r="D1128" s="869"/>
      <c r="E1128" s="869"/>
      <c r="F1128" s="869"/>
      <c r="I1128" s="391"/>
    </row>
    <row r="1129" spans="1:9" ht="15.75" customHeight="1">
      <c r="A1129" s="305"/>
      <c r="B1129" s="386" t="s">
        <v>316</v>
      </c>
      <c r="C1129" s="305"/>
      <c r="D1129" s="1241" t="s">
        <v>645</v>
      </c>
      <c r="E1129" s="1241"/>
      <c r="F1129" s="1241"/>
      <c r="I1129" s="391"/>
    </row>
    <row r="1130" spans="1:9">
      <c r="A1130" s="305"/>
      <c r="B1130" s="305"/>
      <c r="C1130" s="305"/>
      <c r="D1130" s="1241"/>
      <c r="E1130" s="1241"/>
      <c r="F1130" s="1241"/>
      <c r="I1130" s="391"/>
    </row>
    <row r="1131" spans="1:9">
      <c r="A1131" s="305"/>
      <c r="B1131" s="305"/>
      <c r="C1131" s="305"/>
      <c r="D1131" s="1241"/>
      <c r="E1131" s="1241"/>
      <c r="F1131" s="1241"/>
      <c r="I1131" s="391"/>
    </row>
    <row r="1132" spans="1:9">
      <c r="A1132" s="305"/>
      <c r="B1132" s="305"/>
      <c r="C1132" s="305"/>
      <c r="D1132" s="1241"/>
      <c r="E1132" s="1241"/>
      <c r="F1132" s="1241"/>
      <c r="I1132" s="391"/>
    </row>
    <row r="1133" spans="1:9">
      <c r="A1133" s="305"/>
      <c r="B1133" s="305"/>
      <c r="C1133" s="305"/>
      <c r="D1133" s="869"/>
      <c r="E1133" s="869"/>
      <c r="F1133" s="869"/>
      <c r="I1133" s="391"/>
    </row>
    <row r="1134" spans="1:9">
      <c r="A1134" s="305"/>
      <c r="B1134" s="386" t="s">
        <v>316</v>
      </c>
      <c r="C1134" s="305"/>
      <c r="D1134" s="1247" t="s">
        <v>646</v>
      </c>
      <c r="E1134" s="1247"/>
      <c r="F1134" s="1247"/>
      <c r="I1134" s="391"/>
    </row>
    <row r="1135" spans="1:9">
      <c r="A1135" s="305"/>
      <c r="B1135" s="305"/>
      <c r="C1135" s="305"/>
      <c r="D1135" s="1247"/>
      <c r="E1135" s="1247"/>
      <c r="F1135" s="1247"/>
      <c r="I1135" s="391"/>
    </row>
    <row r="1136" spans="1:9">
      <c r="A1136" s="305"/>
      <c r="B1136" s="305"/>
      <c r="C1136" s="305"/>
      <c r="D1136" s="1247"/>
      <c r="E1136" s="1247"/>
      <c r="F1136" s="1247"/>
      <c r="I1136" s="391"/>
    </row>
    <row r="1137" spans="1:9">
      <c r="A1137" s="305"/>
      <c r="B1137" s="305"/>
      <c r="C1137" s="305"/>
      <c r="D1137" s="1247"/>
      <c r="E1137" s="1247"/>
      <c r="F1137" s="1247"/>
      <c r="I1137" s="391"/>
    </row>
    <row r="1138" spans="1:9">
      <c r="A1138" s="305"/>
      <c r="B1138" s="305"/>
      <c r="C1138" s="305"/>
      <c r="D1138" s="1247"/>
      <c r="E1138" s="1247"/>
      <c r="F1138" s="1247"/>
      <c r="I1138" s="391"/>
    </row>
    <row r="1139" spans="1:9">
      <c r="A1139" s="305"/>
      <c r="B1139" s="305"/>
      <c r="C1139" s="305"/>
      <c r="D1139" s="1247"/>
      <c r="E1139" s="1247"/>
      <c r="F1139" s="1247"/>
      <c r="I1139" s="391"/>
    </row>
    <row r="1140" spans="1:9">
      <c r="A1140" s="305"/>
      <c r="B1140" s="305"/>
      <c r="C1140" s="305"/>
      <c r="D1140" s="869"/>
      <c r="E1140" s="869"/>
      <c r="F1140" s="869"/>
      <c r="I1140" s="391"/>
    </row>
    <row r="1141" spans="1:9" ht="12.5">
      <c r="A1141" s="305"/>
      <c r="B1141" s="386" t="s">
        <v>316</v>
      </c>
      <c r="C1141" s="305"/>
      <c r="D1141" s="1262" t="s">
        <v>647</v>
      </c>
      <c r="E1141" s="1262"/>
      <c r="F1141" s="1262"/>
      <c r="I1141" s="1042"/>
    </row>
    <row r="1142" spans="1:9">
      <c r="A1142" s="305"/>
      <c r="B1142" s="305"/>
      <c r="C1142" s="305"/>
      <c r="D1142" s="1262"/>
      <c r="E1142" s="1262"/>
      <c r="F1142" s="1262"/>
      <c r="I1142" s="391"/>
    </row>
    <row r="1143" spans="1:9">
      <c r="A1143" s="305"/>
      <c r="B1143" s="305"/>
      <c r="C1143" s="305"/>
      <c r="D1143" s="1262"/>
      <c r="E1143" s="1262"/>
      <c r="F1143" s="1262"/>
    </row>
    <row r="1144" spans="1:9">
      <c r="A1144" s="305"/>
      <c r="B1144" s="305"/>
      <c r="C1144" s="305"/>
      <c r="D1144" s="1262"/>
      <c r="E1144" s="1262"/>
      <c r="F1144" s="1262"/>
    </row>
    <row r="1145" spans="1:9">
      <c r="A1145" s="305"/>
      <c r="B1145" s="305"/>
      <c r="C1145" s="305"/>
      <c r="D1145" s="1262"/>
      <c r="E1145" s="1262"/>
      <c r="F1145" s="1262"/>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74"/>
      <c r="H1553" s="1274"/>
      <c r="I1553" s="1274"/>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4" zoomScale="160" zoomScaleNormal="160" workbookViewId="0">
      <selection activeCell="W638" sqref="W638:Y638"/>
    </sheetView>
  </sheetViews>
  <sheetFormatPr defaultColWidth="0" defaultRowHeight="0" customHeight="1" zeroHeight="1"/>
  <cols>
    <col min="1" max="45" width="2.453125" customWidth="1"/>
    <col min="46" max="46" width="12.453125" customWidth="1"/>
    <col min="47" max="16384" width="12.453125" hidden="1"/>
  </cols>
  <sheetData>
    <row r="1" spans="1:58" ht="13" customHeight="1">
      <c r="J1" s="75"/>
      <c r="AS1" s="917">
        <v>4</v>
      </c>
      <c r="BD1" s="3" t="s">
        <v>648</v>
      </c>
      <c r="BE1" s="3"/>
      <c r="BF1" s="3"/>
    </row>
    <row r="2" spans="1:58" ht="13" customHeight="1">
      <c r="BD2" s="3" t="s">
        <v>649</v>
      </c>
      <c r="BE2" s="3" t="s">
        <v>650</v>
      </c>
      <c r="BF2" s="3" t="s">
        <v>651</v>
      </c>
    </row>
    <row r="3" spans="1:58" ht="13" customHeight="1">
      <c r="BD3" s="3" t="s">
        <v>652</v>
      </c>
      <c r="BE3" t="str">
        <f>AC220</f>
        <v>Bay Area ((Alameda, Contra Costa, Marin, San Francisco, San Mateo, Santa Clara, and Santa Cruz Counties)</v>
      </c>
    </row>
    <row r="4" spans="1:58" ht="13" customHeight="1">
      <c r="BD4" s="3" t="s">
        <v>653</v>
      </c>
      <c r="BE4" s="1069"/>
    </row>
    <row r="5" spans="1:58" ht="13" customHeight="1">
      <c r="BD5" s="3" t="s">
        <v>654</v>
      </c>
      <c r="BE5">
        <f>SUMIF($AC$726:$AC$760,"&lt;=20%",$G$726:G$760)</f>
        <v>0</v>
      </c>
      <c r="BF5" s="3" t="s">
        <v>655</v>
      </c>
    </row>
    <row r="6" spans="1:58" ht="13" customHeight="1">
      <c r="BD6" s="3" t="s">
        <v>656</v>
      </c>
      <c r="BE6" s="1072">
        <f>SUMIF($AC$726:$AC$760,"&lt;=25%",$G$726:G$760)-SUM($BE$5:BE5)</f>
        <v>0</v>
      </c>
    </row>
    <row r="7" spans="1:58" ht="13" customHeight="1">
      <c r="BD7" s="1070" t="s">
        <v>657</v>
      </c>
      <c r="BE7" s="1072">
        <f>SUMIF($AC$726:$AC$760,"&lt;=30%",$G$726:G$760)-SUM($BE$5:BE6)</f>
        <v>13</v>
      </c>
    </row>
    <row r="8" spans="1:58" ht="26.25" customHeight="1">
      <c r="A8" s="1784" t="s">
        <v>658</v>
      </c>
      <c r="B8" s="1784"/>
      <c r="C8" s="1784"/>
      <c r="D8" s="1784"/>
      <c r="E8" s="1784"/>
      <c r="F8" s="1784"/>
      <c r="G8" s="1784"/>
      <c r="H8" s="1784"/>
      <c r="I8" s="1784"/>
      <c r="J8" s="1784"/>
      <c r="K8" s="1784"/>
      <c r="L8" s="1784"/>
      <c r="M8" s="1784"/>
      <c r="N8" s="1784"/>
      <c r="O8" s="1784"/>
      <c r="P8" s="1784"/>
      <c r="Q8" s="1784"/>
      <c r="R8" s="1784"/>
      <c r="S8" s="1784"/>
      <c r="T8" s="1784"/>
      <c r="U8" s="1784"/>
      <c r="V8" s="1784"/>
      <c r="W8" s="1784"/>
      <c r="X8" s="1784"/>
      <c r="Y8" s="1784"/>
      <c r="Z8" s="1784"/>
      <c r="AA8" s="1784"/>
      <c r="AB8" s="1784"/>
      <c r="AC8" s="1784"/>
      <c r="AD8" s="1784"/>
      <c r="AE8" s="1784"/>
      <c r="AF8" s="1784"/>
      <c r="AG8" s="1784"/>
      <c r="AH8" s="1784"/>
      <c r="AI8" s="1784"/>
      <c r="AJ8" s="1784"/>
      <c r="AK8" s="1784"/>
      <c r="AL8" s="1784"/>
      <c r="AM8" s="1784"/>
      <c r="AN8" s="1784"/>
      <c r="AO8" s="1784"/>
      <c r="AP8" s="1784"/>
      <c r="AQ8" s="1784"/>
      <c r="AR8" s="1784"/>
      <c r="AS8" s="1784"/>
      <c r="AT8" s="1784"/>
      <c r="AU8" s="790"/>
      <c r="AV8" s="790"/>
      <c r="AW8" s="790"/>
      <c r="AX8" s="790"/>
      <c r="AY8" s="790"/>
      <c r="BD8" s="3" t="s">
        <v>659</v>
      </c>
      <c r="BE8" s="1072">
        <f>SUMIF($AC$726:$AC$760,"&lt;=35%",$G$726:G$760)-SUM($BE$5:BE7)</f>
        <v>0</v>
      </c>
    </row>
    <row r="9" spans="1:58" ht="13" customHeight="1">
      <c r="A9" s="1785" t="s">
        <v>660</v>
      </c>
      <c r="B9" s="1785"/>
      <c r="C9" s="1785"/>
      <c r="D9" s="1785"/>
      <c r="E9" s="1785"/>
      <c r="F9" s="1785"/>
      <c r="G9" s="1785"/>
      <c r="H9" s="1785"/>
      <c r="I9" s="1785"/>
      <c r="J9" s="1785"/>
      <c r="K9" s="1785"/>
      <c r="L9" s="1785"/>
      <c r="M9" s="1785"/>
      <c r="N9" s="1785"/>
      <c r="O9" s="1785"/>
      <c r="P9" s="1785"/>
      <c r="Q9" s="1785"/>
      <c r="R9" s="1785"/>
      <c r="S9" s="1785"/>
      <c r="T9" s="1785"/>
      <c r="U9" s="1785"/>
      <c r="V9" s="1785"/>
      <c r="W9" s="1785"/>
      <c r="X9" s="1785"/>
      <c r="Y9" s="1785"/>
      <c r="Z9" s="1785"/>
      <c r="AA9" s="1785"/>
      <c r="AB9" s="1785"/>
      <c r="AC9" s="1785"/>
      <c r="AD9" s="1785"/>
      <c r="AE9" s="1785"/>
      <c r="AF9" s="1785"/>
      <c r="AG9" s="1785"/>
      <c r="AH9" s="1785"/>
      <c r="AI9" s="1785"/>
      <c r="AJ9" s="1785"/>
      <c r="AK9" s="1785"/>
      <c r="AL9" s="1785"/>
      <c r="AM9" s="1785"/>
      <c r="AN9" s="1785"/>
      <c r="AO9" s="1785"/>
      <c r="AP9" s="1785"/>
      <c r="AQ9" s="1785"/>
      <c r="AR9" s="1785"/>
      <c r="AS9" s="1785"/>
      <c r="AT9" s="1785"/>
      <c r="AU9" s="12"/>
      <c r="AV9" s="12"/>
      <c r="AW9" s="12"/>
      <c r="AX9" s="12"/>
      <c r="AY9" s="12"/>
      <c r="BD9" s="1071" t="s">
        <v>661</v>
      </c>
      <c r="BE9" s="1072">
        <f>SUMIF($AC$726:$AC$760,"&lt;=40%",$G$726:G$760)-SUM($BE$5:BE8)</f>
        <v>0</v>
      </c>
    </row>
    <row r="10" spans="1:58" ht="13" customHeight="1">
      <c r="A10" s="1785" t="s">
        <v>662</v>
      </c>
      <c r="B10" s="1785"/>
      <c r="C10" s="1785"/>
      <c r="D10" s="1785"/>
      <c r="E10" s="1785"/>
      <c r="F10" s="1785"/>
      <c r="G10" s="1785"/>
      <c r="H10" s="1785"/>
      <c r="I10" s="1785"/>
      <c r="J10" s="1785"/>
      <c r="K10" s="1785"/>
      <c r="L10" s="1785"/>
      <c r="M10" s="1785"/>
      <c r="N10" s="1785"/>
      <c r="O10" s="1785"/>
      <c r="P10" s="1785"/>
      <c r="Q10" s="1785"/>
      <c r="R10" s="1785"/>
      <c r="S10" s="1785"/>
      <c r="T10" s="1785"/>
      <c r="U10" s="1785"/>
      <c r="V10" s="1785"/>
      <c r="W10" s="1785"/>
      <c r="X10" s="1785"/>
      <c r="Y10" s="1785"/>
      <c r="Z10" s="1785"/>
      <c r="AA10" s="1785"/>
      <c r="AB10" s="1785"/>
      <c r="AC10" s="1785"/>
      <c r="AD10" s="1785"/>
      <c r="AE10" s="1785"/>
      <c r="AF10" s="1785"/>
      <c r="AG10" s="1785"/>
      <c r="AH10" s="1785"/>
      <c r="AI10" s="1785"/>
      <c r="AJ10" s="1785"/>
      <c r="AK10" s="1785"/>
      <c r="AL10" s="1785"/>
      <c r="AM10" s="1785"/>
      <c r="AN10" s="1785"/>
      <c r="AO10" s="1785"/>
      <c r="AP10" s="1785"/>
      <c r="AQ10" s="1785"/>
      <c r="AR10" s="1785"/>
      <c r="AS10" s="1785"/>
      <c r="AT10" s="1785"/>
      <c r="AU10" s="12"/>
      <c r="AV10" s="12"/>
      <c r="AW10" s="12"/>
      <c r="AX10" s="12"/>
      <c r="AY10" s="12"/>
      <c r="BD10" s="3" t="s">
        <v>663</v>
      </c>
      <c r="BE10" s="1072">
        <f>SUMIF($AC$726:$AC$760,"&lt;=45%",$G$726:G$760)-SUM($BE$5:BE9)</f>
        <v>0</v>
      </c>
    </row>
    <row r="11" spans="1:58" ht="13" customHeight="1">
      <c r="A11" s="1785" t="s">
        <v>664</v>
      </c>
      <c r="B11" s="1785"/>
      <c r="C11" s="1785"/>
      <c r="D11" s="1785"/>
      <c r="E11" s="1785"/>
      <c r="F11" s="1785"/>
      <c r="G11" s="1785"/>
      <c r="H11" s="1785"/>
      <c r="I11" s="1785"/>
      <c r="J11" s="1785"/>
      <c r="K11" s="1785"/>
      <c r="L11" s="1785"/>
      <c r="M11" s="1785"/>
      <c r="N11" s="1785"/>
      <c r="O11" s="1785"/>
      <c r="P11" s="1785"/>
      <c r="Q11" s="1785"/>
      <c r="R11" s="1785"/>
      <c r="S11" s="1785"/>
      <c r="T11" s="1785"/>
      <c r="U11" s="1785"/>
      <c r="V11" s="1785"/>
      <c r="W11" s="1785"/>
      <c r="X11" s="1785"/>
      <c r="Y11" s="1785"/>
      <c r="Z11" s="1785"/>
      <c r="AA11" s="1785"/>
      <c r="AB11" s="1785"/>
      <c r="AC11" s="1785"/>
      <c r="AD11" s="1785"/>
      <c r="AE11" s="1785"/>
      <c r="AF11" s="1785"/>
      <c r="AG11" s="1785"/>
      <c r="AH11" s="1785"/>
      <c r="AI11" s="1785"/>
      <c r="AJ11" s="1785"/>
      <c r="AK11" s="1785"/>
      <c r="AL11" s="1785"/>
      <c r="AM11" s="1785"/>
      <c r="AN11" s="1785"/>
      <c r="AO11" s="1785"/>
      <c r="AP11" s="1785"/>
      <c r="AQ11" s="1785"/>
      <c r="AR11" s="1785"/>
      <c r="AS11" s="1785"/>
      <c r="AT11" s="1785"/>
      <c r="AU11" s="12"/>
      <c r="AV11" s="12"/>
      <c r="AW11" s="12"/>
      <c r="AX11" s="12"/>
      <c r="AY11" s="12"/>
      <c r="BD11" s="1070" t="s">
        <v>665</v>
      </c>
      <c r="BE11" s="1072">
        <f>SUMIF($AC$726:$AC$760,"&lt;=50%",$G$726:G$760)-SUM($BE$5:BE10)</f>
        <v>13</v>
      </c>
    </row>
    <row r="12" spans="1:58" ht="13" customHeight="1">
      <c r="A12" s="1786" t="s">
        <v>666</v>
      </c>
      <c r="B12" s="1786"/>
      <c r="C12" s="1786"/>
      <c r="D12" s="1786"/>
      <c r="E12" s="1786"/>
      <c r="F12" s="1786"/>
      <c r="G12" s="1786"/>
      <c r="H12" s="1786"/>
      <c r="I12" s="1786"/>
      <c r="J12" s="1786"/>
      <c r="K12" s="1786"/>
      <c r="L12" s="1786"/>
      <c r="M12" s="1786"/>
      <c r="N12" s="1786"/>
      <c r="O12" s="1786"/>
      <c r="P12" s="1786"/>
      <c r="Q12" s="1786"/>
      <c r="R12" s="1786"/>
      <c r="S12" s="1786"/>
      <c r="T12" s="1786"/>
      <c r="U12" s="1786"/>
      <c r="V12" s="1786"/>
      <c r="W12" s="1786"/>
      <c r="X12" s="1786"/>
      <c r="Y12" s="1786"/>
      <c r="Z12" s="1786"/>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257"/>
      <c r="AV12" s="257"/>
      <c r="AW12" s="257"/>
      <c r="AX12" s="257"/>
      <c r="AY12" s="257"/>
      <c r="BD12" s="3" t="s">
        <v>667</v>
      </c>
      <c r="BE12" s="1072">
        <f>SUMIF($AC$726:$AC$760,"&lt;=55%",$G$726:G$760)-SUM($BE$5:BE11)</f>
        <v>0</v>
      </c>
    </row>
    <row r="13" spans="1:58" ht="13" customHeight="1">
      <c r="A13" s="1251" t="s">
        <v>668</v>
      </c>
      <c r="B13" s="1251"/>
      <c r="C13" s="1251"/>
      <c r="D13" s="1251"/>
      <c r="E13" s="1251"/>
      <c r="F13" s="1251"/>
      <c r="G13" s="1251"/>
      <c r="H13" s="1251"/>
      <c r="I13" s="1251"/>
      <c r="J13" s="1251"/>
      <c r="K13" s="1251"/>
      <c r="L13" s="1251"/>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791"/>
      <c r="AV13" s="791"/>
      <c r="AW13" s="791"/>
      <c r="AX13" s="791"/>
      <c r="AY13" s="791"/>
      <c r="BD13" s="1071" t="s">
        <v>669</v>
      </c>
      <c r="BE13" s="1072">
        <f>SUMIF($AC$726:$AC$760,"&lt;=60%",$G$726:G$760)-SUM($BE$5:BE12)</f>
        <v>61</v>
      </c>
    </row>
    <row r="14" spans="1:58" ht="13" customHeight="1">
      <c r="A14" s="1251"/>
      <c r="B14" s="1251"/>
      <c r="C14" s="1251"/>
      <c r="D14" s="1251"/>
      <c r="E14" s="1251"/>
      <c r="F14" s="1251"/>
      <c r="G14" s="1251"/>
      <c r="H14" s="1251"/>
      <c r="I14" s="1251"/>
      <c r="J14" s="1251"/>
      <c r="K14" s="1251"/>
      <c r="L14" s="1251"/>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791"/>
      <c r="AV14" s="791"/>
      <c r="AW14" s="791"/>
      <c r="AX14" s="791"/>
      <c r="AY14" s="791"/>
      <c r="BD14" s="1070" t="s">
        <v>670</v>
      </c>
      <c r="BE14" s="1072">
        <f>SUMIF($AC$726:$AC$760,"&lt;=70%",$G$726:G$760)-SUM($BE$5:BE13)</f>
        <v>25</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0</v>
      </c>
    </row>
    <row r="16" spans="1:58" ht="13" customHeight="1">
      <c r="A16" s="49" t="s">
        <v>672</v>
      </c>
      <c r="C16" s="3"/>
      <c r="D16" s="3"/>
      <c r="E16" s="3"/>
      <c r="F16" s="3"/>
      <c r="G16" s="3"/>
      <c r="H16" s="1508" t="s">
        <v>673</v>
      </c>
      <c r="I16" s="1508"/>
      <c r="J16" s="1508"/>
      <c r="K16" s="1508"/>
      <c r="L16" s="1508"/>
      <c r="M16" s="1508"/>
      <c r="N16" s="1508"/>
      <c r="O16" s="1508"/>
      <c r="P16" s="1508"/>
      <c r="Q16" s="1508"/>
      <c r="R16" s="1508"/>
      <c r="S16" s="1508"/>
      <c r="T16" s="1508"/>
      <c r="U16" s="1508"/>
      <c r="V16" s="1508"/>
      <c r="W16" s="1508"/>
      <c r="X16" s="1508"/>
      <c r="Y16" s="1508"/>
      <c r="Z16" s="1508"/>
      <c r="AA16" s="1508"/>
      <c r="AB16" s="1508"/>
      <c r="AC16" s="1508"/>
      <c r="AD16" s="1508"/>
      <c r="AE16" s="1508"/>
      <c r="AF16" s="1508"/>
      <c r="AG16" s="1508"/>
      <c r="AH16" s="1508"/>
      <c r="AI16" s="1508"/>
      <c r="AJ16" s="1508"/>
      <c r="BD16" s="1071" t="s">
        <v>77</v>
      </c>
      <c r="BE16" s="1072" t="str">
        <f>Application!H18</f>
        <v>8955 Monterey Apartments</v>
      </c>
    </row>
    <row r="17" spans="1:58" ht="13" customHeight="1">
      <c r="BD17" s="1070" t="s">
        <v>674</v>
      </c>
      <c r="BE17" s="1072">
        <f>Application!AA943</f>
        <v>0</v>
      </c>
    </row>
    <row r="18" spans="1:58" ht="13" customHeight="1">
      <c r="A18" s="49" t="s">
        <v>675</v>
      </c>
      <c r="C18" s="3"/>
      <c r="D18" s="3"/>
      <c r="E18" s="3"/>
      <c r="F18" s="3"/>
      <c r="G18" s="3"/>
      <c r="H18" s="1469" t="s">
        <v>676</v>
      </c>
      <c r="I18" s="1469"/>
      <c r="J18" s="1469"/>
      <c r="K18" s="1469"/>
      <c r="L18" s="1469"/>
      <c r="M18" s="1469"/>
      <c r="N18" s="1469"/>
      <c r="O18" s="1469"/>
      <c r="P18" s="1469"/>
      <c r="Q18" s="1469"/>
      <c r="R18" s="1469"/>
      <c r="S18" s="1469"/>
      <c r="T18" s="1469"/>
      <c r="U18" s="1469"/>
      <c r="V18" s="1469"/>
      <c r="W18" s="1469"/>
      <c r="X18" s="1469"/>
      <c r="Y18" s="1469"/>
      <c r="Z18" s="1469"/>
      <c r="AA18" s="1469"/>
      <c r="AB18" s="1469"/>
      <c r="AC18" s="1469"/>
      <c r="AD18" s="1469"/>
      <c r="AE18" s="1469"/>
      <c r="AF18" s="1469"/>
      <c r="AG18" s="1469"/>
      <c r="AH18" s="1469"/>
      <c r="AI18" s="1469"/>
      <c r="AJ18" s="1469"/>
      <c r="BD18" s="1071" t="s">
        <v>677</v>
      </c>
      <c r="BE18" s="1072">
        <f>AA943</f>
        <v>0</v>
      </c>
    </row>
    <row r="19" spans="1:58" ht="13" customHeight="1">
      <c r="BD19" s="1070" t="s">
        <v>678</v>
      </c>
      <c r="BE19" s="1072">
        <f>Application!M26</f>
        <v>3737633</v>
      </c>
    </row>
    <row r="20" spans="1:58" ht="13" customHeight="1">
      <c r="A20" s="1787" t="s">
        <v>679</v>
      </c>
      <c r="B20" s="1787"/>
      <c r="C20" s="1787"/>
      <c r="D20" s="1787"/>
      <c r="E20" s="1787"/>
      <c r="F20" s="1787"/>
      <c r="G20" s="1787"/>
      <c r="H20" s="1787"/>
      <c r="I20" s="1787"/>
      <c r="J20" s="1787"/>
      <c r="K20" s="1787"/>
      <c r="L20" s="1787"/>
      <c r="M20" s="1787"/>
      <c r="N20" s="1787"/>
      <c r="O20" s="1787"/>
      <c r="P20" s="1787"/>
      <c r="Q20" s="1787"/>
      <c r="R20" s="1787"/>
      <c r="S20" s="1787"/>
      <c r="T20" s="1787"/>
      <c r="U20" s="1787"/>
      <c r="V20" s="1787"/>
      <c r="W20" s="1787"/>
      <c r="X20" s="1787"/>
      <c r="Y20" s="1787"/>
      <c r="Z20" s="1787"/>
      <c r="AA20" s="1787"/>
      <c r="AB20" s="1787"/>
      <c r="AC20" s="1787"/>
      <c r="AD20" s="1787"/>
      <c r="AE20" s="1787"/>
      <c r="AF20" s="1787"/>
      <c r="AG20" s="1787"/>
      <c r="AH20" s="1787"/>
      <c r="AI20" s="1787"/>
      <c r="AJ20" s="1787"/>
      <c r="AK20" s="1787"/>
      <c r="AL20" s="1787"/>
      <c r="AM20" s="1787"/>
      <c r="AN20" s="1787"/>
      <c r="AO20" s="1787"/>
      <c r="AP20" s="1787"/>
      <c r="AQ20" s="1787"/>
      <c r="AR20" s="1787"/>
      <c r="AS20" s="1787"/>
      <c r="AT20" s="1787"/>
      <c r="AU20" s="792"/>
      <c r="AV20" s="792"/>
      <c r="AW20" s="792"/>
      <c r="AX20" s="792"/>
      <c r="AY20" s="792"/>
      <c r="BD20" s="1071" t="s">
        <v>680</v>
      </c>
      <c r="BE20" s="1072">
        <f>Application!M27</f>
        <v>5500000</v>
      </c>
    </row>
    <row r="21" spans="1:58" ht="13" customHeight="1">
      <c r="A21" s="1793" t="s">
        <v>681</v>
      </c>
      <c r="B21" s="1793"/>
      <c r="C21" s="1793"/>
      <c r="D21" s="1793"/>
      <c r="E21" s="1793"/>
      <c r="F21" s="1793"/>
      <c r="G21" s="1793"/>
      <c r="H21" s="1793"/>
      <c r="I21" s="1793"/>
      <c r="J21" s="1793"/>
      <c r="K21" s="1793"/>
      <c r="L21" s="1793"/>
      <c r="M21" s="1793"/>
      <c r="N21" s="1793"/>
      <c r="O21" s="1793"/>
      <c r="P21" s="1793"/>
      <c r="Q21" s="1793"/>
      <c r="R21" s="1793"/>
      <c r="S21" s="1793"/>
      <c r="T21" s="1793"/>
      <c r="U21" s="1793"/>
      <c r="V21" s="1793"/>
      <c r="W21" s="1793"/>
      <c r="X21" s="1793"/>
      <c r="Y21" s="1793"/>
      <c r="Z21" s="1793"/>
      <c r="AA21" s="1793"/>
      <c r="AB21" s="1793"/>
      <c r="AC21" s="1793"/>
      <c r="AD21" s="1793"/>
      <c r="AE21" s="1793"/>
      <c r="AF21" s="1793"/>
      <c r="AG21" s="1793"/>
      <c r="AH21" s="1793"/>
      <c r="AI21" s="1793"/>
      <c r="AJ21" s="1793"/>
      <c r="AK21" s="1793"/>
      <c r="AL21" s="1793"/>
      <c r="AM21" s="793"/>
      <c r="AN21" s="793"/>
      <c r="AO21" s="793"/>
      <c r="AP21" s="793"/>
      <c r="AQ21" s="793"/>
      <c r="AR21" s="793"/>
      <c r="AS21" s="793"/>
      <c r="AT21" s="793"/>
      <c r="AU21" s="793"/>
      <c r="AV21" s="793"/>
      <c r="AW21" s="793"/>
      <c r="AX21" s="793"/>
      <c r="AY21" s="793"/>
      <c r="BD21" s="1070" t="s">
        <v>682</v>
      </c>
      <c r="BE21" s="1072">
        <f>Application!AM562</f>
        <v>21500000</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78307447</v>
      </c>
      <c r="BF22" s="3" t="s">
        <v>684</v>
      </c>
    </row>
    <row r="23" spans="1:58" ht="13" customHeight="1">
      <c r="A23" s="1232" t="s">
        <v>685</v>
      </c>
      <c r="B23" s="1232"/>
      <c r="C23" s="1232"/>
      <c r="D23" s="1232"/>
      <c r="E23" s="1232"/>
      <c r="F23" s="1232"/>
      <c r="G23" s="1232"/>
      <c r="H23" s="1232"/>
      <c r="I23" s="1232"/>
      <c r="J23" s="1232"/>
      <c r="K23" s="1232"/>
      <c r="L23" s="1232"/>
      <c r="M23" s="1232"/>
      <c r="N23" s="1232"/>
      <c r="O23" s="1232"/>
      <c r="P23" s="1232"/>
      <c r="Q23" s="1232"/>
      <c r="R23" s="1232"/>
      <c r="S23" s="1232"/>
      <c r="T23" s="1232"/>
      <c r="U23" s="1232"/>
      <c r="V23" s="1232"/>
      <c r="W23" s="1232"/>
      <c r="X23" s="1232"/>
      <c r="Y23" s="1232"/>
      <c r="Z23" s="1232"/>
      <c r="AA23" s="1232"/>
      <c r="AB23" s="1232"/>
      <c r="AC23" s="1232"/>
      <c r="AD23" s="1232"/>
      <c r="AE23" s="1232"/>
      <c r="AF23" s="1232"/>
      <c r="AG23" s="1232"/>
      <c r="AH23" s="1232"/>
      <c r="AI23" s="1232"/>
      <c r="AJ23" s="1232"/>
      <c r="AK23" s="1232"/>
      <c r="AL23" s="1232"/>
      <c r="AM23" s="1232"/>
      <c r="AN23" s="1232"/>
      <c r="AO23" s="1232"/>
      <c r="AP23" s="1232"/>
      <c r="AQ23" s="1232"/>
      <c r="AR23" s="1232"/>
      <c r="AS23" s="1232"/>
      <c r="AT23" s="1232"/>
      <c r="AU23" s="16"/>
      <c r="AV23" s="16"/>
      <c r="AW23" s="16"/>
      <c r="AX23" s="16"/>
      <c r="AY23" s="16"/>
      <c r="AZ23" s="16"/>
      <c r="BD23" s="1070" t="s">
        <v>686</v>
      </c>
      <c r="BE23" s="1072">
        <f>'Sources and Uses Budget'!B4</f>
        <v>2900000</v>
      </c>
    </row>
    <row r="24" spans="1:58" ht="13" customHeight="1">
      <c r="A24" s="1232"/>
      <c r="B24" s="1232"/>
      <c r="C24" s="1232"/>
      <c r="D24" s="1232"/>
      <c r="E24" s="1232"/>
      <c r="F24" s="1232"/>
      <c r="G24" s="1232"/>
      <c r="H24" s="1232"/>
      <c r="I24" s="1232"/>
      <c r="J24" s="1232"/>
      <c r="K24" s="1232"/>
      <c r="L24" s="1232"/>
      <c r="M24" s="1232"/>
      <c r="N24" s="1232"/>
      <c r="O24" s="1232"/>
      <c r="P24" s="1232"/>
      <c r="Q24" s="1232"/>
      <c r="R24" s="1232"/>
      <c r="S24" s="1232"/>
      <c r="T24" s="1232"/>
      <c r="U24" s="1232"/>
      <c r="V24" s="1232"/>
      <c r="W24" s="1232"/>
      <c r="X24" s="1232"/>
      <c r="Y24" s="1232"/>
      <c r="Z24" s="1232"/>
      <c r="AA24" s="1232"/>
      <c r="AB24" s="1232"/>
      <c r="AC24" s="1232"/>
      <c r="AD24" s="1232"/>
      <c r="AE24" s="1232"/>
      <c r="AF24" s="1232"/>
      <c r="AG24" s="1232"/>
      <c r="AH24" s="1232"/>
      <c r="AI24" s="1232"/>
      <c r="AJ24" s="1232"/>
      <c r="AK24" s="1232"/>
      <c r="AL24" s="1232"/>
      <c r="AM24" s="1232"/>
      <c r="AN24" s="1232"/>
      <c r="AO24" s="1232"/>
      <c r="AP24" s="1232"/>
      <c r="AQ24" s="1232"/>
      <c r="AR24" s="1232"/>
      <c r="AS24" s="1232"/>
      <c r="AT24" s="1232"/>
      <c r="AU24" s="16"/>
      <c r="AV24" s="16"/>
      <c r="AW24" s="16"/>
      <c r="AX24" s="16"/>
      <c r="AY24" s="16"/>
      <c r="AZ24" s="16"/>
      <c r="BD24" s="1071" t="s">
        <v>687</v>
      </c>
      <c r="BE24" s="1072">
        <f>Application!AG459</f>
        <v>152195</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 Average Income</v>
      </c>
    </row>
    <row r="26" spans="1:58" ht="13" customHeight="1">
      <c r="A26" s="3"/>
      <c r="C26" s="3"/>
      <c r="D26" s="3"/>
      <c r="E26" s="3"/>
      <c r="F26" s="3"/>
      <c r="G26" s="3"/>
      <c r="H26" s="3"/>
      <c r="I26" s="3"/>
      <c r="J26" s="3"/>
      <c r="K26" s="3"/>
      <c r="L26" s="3"/>
      <c r="M26" s="1496">
        <f>'Basis &amp; Credits'!AB56</f>
        <v>3737633</v>
      </c>
      <c r="N26" s="1496"/>
      <c r="O26" s="1496"/>
      <c r="P26" s="1496"/>
      <c r="Q26" s="1496"/>
      <c r="R26" s="3" t="s">
        <v>689</v>
      </c>
      <c r="S26" s="3"/>
      <c r="T26" s="3"/>
      <c r="U26" s="3"/>
      <c r="V26" s="3"/>
      <c r="W26" s="3"/>
      <c r="X26" s="3"/>
      <c r="Y26" s="3"/>
      <c r="Z26" s="3"/>
      <c r="AF26" s="3"/>
      <c r="AG26" s="3"/>
      <c r="AH26" s="3"/>
      <c r="AI26" s="3"/>
      <c r="AJ26" s="3"/>
      <c r="AK26" s="3"/>
      <c r="BD26" s="1071" t="s">
        <v>690</v>
      </c>
      <c r="BE26" s="1072" t="b">
        <f>Application!M365="Yes"</f>
        <v>0</v>
      </c>
    </row>
    <row r="27" spans="1:58" ht="13" customHeight="1">
      <c r="A27" s="3"/>
      <c r="C27" s="3"/>
      <c r="D27" s="3"/>
      <c r="E27" s="3"/>
      <c r="F27" s="3"/>
      <c r="G27" s="3"/>
      <c r="H27" s="3"/>
      <c r="I27" s="3"/>
      <c r="J27" s="3"/>
      <c r="K27" s="3"/>
      <c r="L27" s="3"/>
      <c r="M27" s="1337">
        <f>'Basis &amp; Credits'!AB78</f>
        <v>5500000</v>
      </c>
      <c r="N27" s="1337"/>
      <c r="O27" s="1337"/>
      <c r="P27" s="1337"/>
      <c r="Q27" s="1337"/>
      <c r="R27" s="3" t="s">
        <v>691</v>
      </c>
      <c r="S27" s="3"/>
      <c r="T27" s="3"/>
      <c r="U27" s="3"/>
      <c r="V27" s="3"/>
      <c r="W27" s="3"/>
      <c r="X27" s="3"/>
      <c r="Y27" s="3"/>
      <c r="Z27" s="3"/>
      <c r="AF27" s="3"/>
      <c r="AG27" s="3"/>
      <c r="AH27" s="3"/>
      <c r="AI27" s="3"/>
      <c r="AJ27" s="3"/>
      <c r="AK27" s="3"/>
      <c r="BD27" s="1070" t="s">
        <v>692</v>
      </c>
      <c r="BE27" s="1072" t="b">
        <f>Application!M364="Yes"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3" customHeight="1">
      <c r="A29" s="1488" t="s">
        <v>694</v>
      </c>
      <c r="B29" s="1488"/>
      <c r="C29" s="1488"/>
      <c r="D29" s="1488"/>
      <c r="E29" s="1488"/>
      <c r="F29" s="1488"/>
      <c r="G29" s="1488"/>
      <c r="H29" s="1488"/>
      <c r="I29" s="1488"/>
      <c r="J29" s="1488"/>
      <c r="K29" s="1488"/>
      <c r="L29" s="1488"/>
      <c r="M29" s="1488"/>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c r="AL29" s="1488"/>
      <c r="AM29" s="1488"/>
      <c r="AN29" s="1488"/>
      <c r="AO29" s="1488"/>
      <c r="AP29" s="1488"/>
      <c r="AQ29" s="1488"/>
      <c r="AR29" s="1488"/>
      <c r="AS29" s="1488"/>
      <c r="AT29" s="1488"/>
      <c r="BD29" s="1070" t="s">
        <v>695</v>
      </c>
      <c r="BE29" s="1072" t="b">
        <f>Application!M367="Yes"</f>
        <v>0</v>
      </c>
    </row>
    <row r="30" spans="1:58" ht="13" customHeight="1">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c r="W30" s="1488"/>
      <c r="X30" s="1488"/>
      <c r="Y30" s="1488"/>
      <c r="Z30" s="1488"/>
      <c r="AA30" s="1488"/>
      <c r="AB30" s="1488"/>
      <c r="AC30" s="1488"/>
      <c r="AD30" s="1488"/>
      <c r="AE30" s="1488"/>
      <c r="AF30" s="1488"/>
      <c r="AG30" s="1488"/>
      <c r="AH30" s="1488"/>
      <c r="AI30" s="1488"/>
      <c r="AJ30" s="1488"/>
      <c r="AK30" s="1488"/>
      <c r="AL30" s="1488"/>
      <c r="AM30" s="1488"/>
      <c r="AN30" s="1488"/>
      <c r="AO30" s="1488"/>
      <c r="AP30" s="1488"/>
      <c r="AQ30" s="1488"/>
      <c r="AR30" s="1488"/>
      <c r="AS30" s="1488"/>
      <c r="AT30" s="1488"/>
      <c r="AZ30" s="17"/>
      <c r="BD30" s="1071" t="s">
        <v>696</v>
      </c>
      <c r="BE30" s="1072" t="b">
        <f>Application!AJ364="Yes"</f>
        <v>1</v>
      </c>
    </row>
    <row r="31" spans="1:58" ht="13" customHeight="1">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c r="W31" s="1488"/>
      <c r="X31" s="1488"/>
      <c r="Y31" s="1488"/>
      <c r="Z31" s="1488"/>
      <c r="AA31" s="1488"/>
      <c r="AB31" s="1488"/>
      <c r="AC31" s="1488"/>
      <c r="AD31" s="1488"/>
      <c r="AE31" s="1488"/>
      <c r="AF31" s="1488"/>
      <c r="AG31" s="1488"/>
      <c r="AH31" s="1488"/>
      <c r="AI31" s="1488"/>
      <c r="AJ31" s="1488"/>
      <c r="AK31" s="1488"/>
      <c r="AL31" s="1488"/>
      <c r="AM31" s="1488"/>
      <c r="AN31" s="1488"/>
      <c r="AO31" s="1488"/>
      <c r="AP31" s="1488"/>
      <c r="AQ31" s="1488"/>
      <c r="AR31" s="1488"/>
      <c r="AS31" s="1488"/>
      <c r="AT31" s="1488"/>
      <c r="AU31" s="17"/>
      <c r="AV31" s="17"/>
      <c r="AW31" s="17"/>
      <c r="AX31" s="17"/>
      <c r="AY31" s="17"/>
      <c r="AZ31" s="17"/>
      <c r="BD31" s="1070" t="s">
        <v>697</v>
      </c>
      <c r="BE31" s="1072" t="str">
        <f>Application!D211</f>
        <v>Large Family</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3" hidden="1" customHeight="1">
      <c r="A33" s="419" t="s">
        <v>699</v>
      </c>
      <c r="C33" s="419"/>
      <c r="D33" s="419"/>
      <c r="E33" s="419"/>
      <c r="F33" s="419"/>
      <c r="G33" s="419"/>
      <c r="H33" s="419"/>
      <c r="I33" s="419"/>
      <c r="J33" s="419"/>
      <c r="K33" s="419"/>
      <c r="L33" s="419"/>
      <c r="M33" s="419"/>
      <c r="N33" s="419"/>
      <c r="O33" s="1387" t="s">
        <v>700</v>
      </c>
      <c r="P33" s="1387"/>
      <c r="Q33" s="1788" t="s">
        <v>701</v>
      </c>
      <c r="R33" s="1788"/>
      <c r="S33" s="1788"/>
      <c r="T33" s="1788"/>
      <c r="U33" s="1788"/>
      <c r="V33" s="1788"/>
      <c r="W33" s="1788"/>
      <c r="X33" s="1788"/>
      <c r="Y33" s="1788"/>
      <c r="Z33" s="1788"/>
      <c r="AA33" s="1788"/>
      <c r="AB33" s="1788"/>
      <c r="AC33" s="1788"/>
      <c r="AD33" s="1788"/>
      <c r="AE33" s="1788"/>
      <c r="AF33" s="1788"/>
      <c r="AG33" s="1788"/>
      <c r="AH33" s="1788"/>
      <c r="AI33" s="1788"/>
      <c r="AJ33" s="1788"/>
      <c r="AK33" s="1788"/>
      <c r="AL33" s="1788"/>
      <c r="AM33" s="1788"/>
      <c r="AN33" s="1788"/>
      <c r="AO33" s="1788"/>
      <c r="AP33" s="1788"/>
      <c r="AQ33" s="1788"/>
      <c r="AR33" s="1788"/>
      <c r="AS33" s="1788"/>
      <c r="AT33" s="1788"/>
      <c r="AU33" s="17"/>
      <c r="AV33" s="17"/>
      <c r="AW33" s="17"/>
      <c r="AX33" s="17"/>
      <c r="AY33" s="17"/>
      <c r="BD33" s="1070" t="s">
        <v>702</v>
      </c>
      <c r="BE33" s="1072" t="str">
        <f>Application!D220</f>
        <v>South and West Bay Region: San Mateo and Santa Clara Counties</v>
      </c>
    </row>
    <row r="34" spans="1:57" ht="13" hidden="1" customHeight="1">
      <c r="A34" s="1488" t="s">
        <v>703</v>
      </c>
      <c r="B34" s="1488"/>
      <c r="C34" s="1488"/>
      <c r="D34" s="1488"/>
      <c r="E34" s="1488"/>
      <c r="F34" s="1488"/>
      <c r="G34" s="1488"/>
      <c r="H34" s="1488"/>
      <c r="I34" s="1488"/>
      <c r="J34" s="1488"/>
      <c r="K34" s="1488"/>
      <c r="L34" s="1488"/>
      <c r="M34" s="1488"/>
      <c r="N34" s="1488"/>
      <c r="O34" s="1488"/>
      <c r="P34" s="1488"/>
      <c r="Q34" s="1488"/>
      <c r="R34" s="1488"/>
      <c r="S34" s="1488"/>
      <c r="T34" s="1488"/>
      <c r="U34" s="1488"/>
      <c r="V34" s="1488"/>
      <c r="W34" s="1488"/>
      <c r="X34" s="1488"/>
      <c r="Y34" s="1488"/>
      <c r="Z34" s="1488"/>
      <c r="AA34" s="1488"/>
      <c r="AB34" s="1488"/>
      <c r="AC34" s="1488"/>
      <c r="AD34" s="1488"/>
      <c r="AE34" s="1488"/>
      <c r="AF34" s="1488"/>
      <c r="AG34" s="1488"/>
      <c r="AH34" s="1488"/>
      <c r="AI34" s="1488"/>
      <c r="AJ34" s="1488"/>
      <c r="AK34" s="1488"/>
      <c r="AL34" s="1488"/>
      <c r="AM34" s="1488"/>
      <c r="AN34" s="1488"/>
      <c r="AO34" s="1488"/>
      <c r="AP34" s="1488"/>
      <c r="AQ34" s="1488"/>
      <c r="AR34" s="1488"/>
      <c r="AS34" s="1488"/>
      <c r="AT34" s="1488"/>
      <c r="AU34" s="17"/>
      <c r="AV34" s="17"/>
      <c r="AW34" s="17"/>
      <c r="AX34" s="17"/>
      <c r="AY34" s="17"/>
      <c r="AZ34" s="17"/>
      <c r="BD34" s="1071" t="s">
        <v>704</v>
      </c>
      <c r="BE34" s="1072" t="str">
        <f>Application!I185</f>
        <v>8955 Monterey Rd</v>
      </c>
    </row>
    <row r="35" spans="1:57" ht="13" hidden="1" customHeight="1">
      <c r="A35" s="1488"/>
      <c r="B35" s="1488"/>
      <c r="C35" s="1488"/>
      <c r="D35" s="1488"/>
      <c r="E35" s="1488"/>
      <c r="F35" s="1488"/>
      <c r="G35" s="1488"/>
      <c r="H35" s="1488"/>
      <c r="I35" s="1488"/>
      <c r="J35" s="1488"/>
      <c r="K35" s="1488"/>
      <c r="L35" s="1488"/>
      <c r="M35" s="1488"/>
      <c r="N35" s="1488"/>
      <c r="O35" s="1488"/>
      <c r="P35" s="1488"/>
      <c r="Q35" s="1488"/>
      <c r="R35" s="1488"/>
      <c r="S35" s="1488"/>
      <c r="T35" s="1488"/>
      <c r="U35" s="1488"/>
      <c r="V35" s="1488"/>
      <c r="W35" s="1488"/>
      <c r="X35" s="1488"/>
      <c r="Y35" s="1488"/>
      <c r="Z35" s="1488"/>
      <c r="AA35" s="1488"/>
      <c r="AB35" s="1488"/>
      <c r="AC35" s="1488"/>
      <c r="AD35" s="1488"/>
      <c r="AE35" s="1488"/>
      <c r="AF35" s="1488"/>
      <c r="AG35" s="1488"/>
      <c r="AH35" s="1488"/>
      <c r="AI35" s="1488"/>
      <c r="AJ35" s="1488"/>
      <c r="AK35" s="1488"/>
      <c r="AL35" s="1488"/>
      <c r="AM35" s="1488"/>
      <c r="AN35" s="1488"/>
      <c r="AO35" s="1488"/>
      <c r="AP35" s="1488"/>
      <c r="AQ35" s="1488"/>
      <c r="AR35" s="1488"/>
      <c r="AS35" s="1488"/>
      <c r="AT35" s="1488"/>
      <c r="AU35" s="17"/>
      <c r="AV35" s="17"/>
      <c r="AW35" s="17"/>
      <c r="AX35" s="17"/>
      <c r="AY35" s="17"/>
      <c r="AZ35" s="17"/>
      <c r="BD35" s="1070" t="s">
        <v>705</v>
      </c>
      <c r="BE35" s="1072" t="str">
        <f>IF(Application!E187="","",Application!E187)</f>
        <v/>
      </c>
    </row>
    <row r="36" spans="1:57" ht="13" hidden="1" customHeight="1">
      <c r="A36" s="1488"/>
      <c r="B36" s="1488"/>
      <c r="C36" s="1488"/>
      <c r="D36" s="1488"/>
      <c r="E36" s="1488"/>
      <c r="F36" s="1488"/>
      <c r="G36" s="1488"/>
      <c r="H36" s="1488"/>
      <c r="I36" s="1488"/>
      <c r="J36" s="1488"/>
      <c r="K36" s="1488"/>
      <c r="L36" s="1488"/>
      <c r="M36" s="1488"/>
      <c r="N36" s="1488"/>
      <c r="O36" s="1488"/>
      <c r="P36" s="1488"/>
      <c r="Q36" s="1488"/>
      <c r="R36" s="1488"/>
      <c r="S36" s="1488"/>
      <c r="T36" s="1488"/>
      <c r="U36" s="1488"/>
      <c r="V36" s="1488"/>
      <c r="W36" s="1488"/>
      <c r="X36" s="1488"/>
      <c r="Y36" s="1488"/>
      <c r="Z36" s="1488"/>
      <c r="AA36" s="1488"/>
      <c r="AB36" s="1488"/>
      <c r="AC36" s="1488"/>
      <c r="AD36" s="1488"/>
      <c r="AE36" s="1488"/>
      <c r="AF36" s="1488"/>
      <c r="AG36" s="1488"/>
      <c r="AH36" s="1488"/>
      <c r="AI36" s="1488"/>
      <c r="AJ36" s="1488"/>
      <c r="AK36" s="1488"/>
      <c r="AL36" s="1488"/>
      <c r="AM36" s="1488"/>
      <c r="AN36" s="1488"/>
      <c r="AO36" s="1488"/>
      <c r="AP36" s="1488"/>
      <c r="AQ36" s="1488"/>
      <c r="AR36" s="1488"/>
      <c r="AS36" s="1488"/>
      <c r="AT36" s="1488"/>
      <c r="AU36" s="17"/>
      <c r="AV36" s="17"/>
      <c r="AW36" s="17"/>
      <c r="AX36" s="17"/>
      <c r="AY36" s="17"/>
      <c r="AZ36" s="17"/>
      <c r="BD36" s="1071" t="s">
        <v>706</v>
      </c>
      <c r="BE36" s="1072" t="str">
        <f>Application!I189</f>
        <v>Gilroy</v>
      </c>
    </row>
    <row r="37" spans="1:57" ht="13" hidden="1" customHeight="1">
      <c r="A37" s="1488"/>
      <c r="B37" s="1488"/>
      <c r="C37" s="1488"/>
      <c r="D37" s="1488"/>
      <c r="E37" s="1488"/>
      <c r="F37" s="1488"/>
      <c r="G37" s="1488"/>
      <c r="H37" s="1488"/>
      <c r="I37" s="1488"/>
      <c r="J37" s="1488"/>
      <c r="K37" s="1488"/>
      <c r="L37" s="1488"/>
      <c r="M37" s="1488"/>
      <c r="N37" s="1488"/>
      <c r="O37" s="1488"/>
      <c r="P37" s="1488"/>
      <c r="Q37" s="1488"/>
      <c r="R37" s="1488"/>
      <c r="S37" s="1488"/>
      <c r="T37" s="1488"/>
      <c r="U37" s="1488"/>
      <c r="V37" s="1488"/>
      <c r="W37" s="1488"/>
      <c r="X37" s="1488"/>
      <c r="Y37" s="1488"/>
      <c r="Z37" s="1488"/>
      <c r="AA37" s="1488"/>
      <c r="AB37" s="1488"/>
      <c r="AC37" s="1488"/>
      <c r="AD37" s="1488"/>
      <c r="AE37" s="1488"/>
      <c r="AF37" s="1488"/>
      <c r="AG37" s="1488"/>
      <c r="AH37" s="1488"/>
      <c r="AI37" s="1488"/>
      <c r="AJ37" s="1488"/>
      <c r="AK37" s="1488"/>
      <c r="AL37" s="1488"/>
      <c r="AM37" s="1488"/>
      <c r="AN37" s="1488"/>
      <c r="AO37" s="1488"/>
      <c r="AP37" s="1488"/>
      <c r="AQ37" s="1488"/>
      <c r="AR37" s="1488"/>
      <c r="AS37" s="1488"/>
      <c r="AT37" s="1488"/>
      <c r="AZ37" s="17"/>
      <c r="BD37" s="1070" t="s">
        <v>707</v>
      </c>
      <c r="BE37" s="1072" t="str">
        <f>Application!T189</f>
        <v>Santa Clara</v>
      </c>
    </row>
    <row r="38" spans="1:57" ht="13" hidden="1" customHeight="1">
      <c r="A38" s="3"/>
      <c r="AZ38" s="17"/>
      <c r="BD38" s="1071" t="s">
        <v>708</v>
      </c>
      <c r="BE38" s="1072">
        <f>Application!I190</f>
        <v>95020</v>
      </c>
    </row>
    <row r="39" spans="1:57" ht="13" customHeight="1">
      <c r="A39" s="1241" t="s">
        <v>709</v>
      </c>
      <c r="B39" s="1241"/>
      <c r="C39" s="1241"/>
      <c r="D39" s="1241"/>
      <c r="E39" s="1241"/>
      <c r="F39" s="1241"/>
      <c r="G39" s="1241"/>
      <c r="H39" s="1241"/>
      <c r="I39" s="1241"/>
      <c r="J39" s="1241"/>
      <c r="K39" s="1241"/>
      <c r="L39" s="1241"/>
      <c r="M39" s="1241"/>
      <c r="N39" s="1241"/>
      <c r="O39" s="1241"/>
      <c r="P39" s="1241"/>
      <c r="Q39" s="1241"/>
      <c r="R39" s="1241"/>
      <c r="S39" s="1241"/>
      <c r="T39" s="1241"/>
      <c r="U39" s="1241"/>
      <c r="V39" s="1241"/>
      <c r="W39" s="1241"/>
      <c r="X39" s="1241"/>
      <c r="Y39" s="1241"/>
      <c r="Z39" s="1241"/>
      <c r="AA39" s="1241"/>
      <c r="AB39" s="1241"/>
      <c r="AC39" s="1241"/>
      <c r="AD39" s="1241"/>
      <c r="AE39" s="1241"/>
      <c r="AF39" s="1241"/>
      <c r="AG39" s="1241"/>
      <c r="AH39" s="1241"/>
      <c r="AI39" s="1241"/>
      <c r="AJ39" s="1241"/>
      <c r="AK39" s="1241"/>
      <c r="AL39" s="1241"/>
      <c r="AM39" s="1241"/>
      <c r="AN39" s="1241"/>
      <c r="AO39" s="1241"/>
      <c r="AP39" s="1241"/>
      <c r="AQ39" s="1241"/>
      <c r="AR39" s="1241"/>
      <c r="AS39" s="1241"/>
      <c r="AT39" s="1241"/>
      <c r="AZ39" s="17"/>
      <c r="BD39" s="1070" t="s">
        <v>710</v>
      </c>
      <c r="BE39" s="1072">
        <f>Application!AG446</f>
        <v>113</v>
      </c>
    </row>
    <row r="40" spans="1:57" ht="13" customHeight="1">
      <c r="A40" s="1241"/>
      <c r="B40" s="1241"/>
      <c r="C40" s="1241"/>
      <c r="D40" s="1241"/>
      <c r="E40" s="1241"/>
      <c r="F40" s="1241"/>
      <c r="G40" s="1241"/>
      <c r="H40" s="1241"/>
      <c r="I40" s="1241"/>
      <c r="J40" s="1241"/>
      <c r="K40" s="1241"/>
      <c r="L40" s="1241"/>
      <c r="M40" s="1241"/>
      <c r="N40" s="1241"/>
      <c r="O40" s="1241"/>
      <c r="P40" s="1241"/>
      <c r="Q40" s="1241"/>
      <c r="R40" s="1241"/>
      <c r="S40" s="1241"/>
      <c r="T40" s="1241"/>
      <c r="U40" s="1241"/>
      <c r="V40" s="1241"/>
      <c r="W40" s="1241"/>
      <c r="X40" s="1241"/>
      <c r="Y40" s="1241"/>
      <c r="Z40" s="1241"/>
      <c r="AA40" s="1241"/>
      <c r="AB40" s="1241"/>
      <c r="AC40" s="1241"/>
      <c r="AD40" s="1241"/>
      <c r="AE40" s="1241"/>
      <c r="AF40" s="1241"/>
      <c r="AG40" s="1241"/>
      <c r="AH40" s="1241"/>
      <c r="AI40" s="1241"/>
      <c r="AJ40" s="1241"/>
      <c r="AK40" s="1241"/>
      <c r="AL40" s="1241"/>
      <c r="AM40" s="1241"/>
      <c r="AN40" s="1241"/>
      <c r="AO40" s="1241"/>
      <c r="AP40" s="1241"/>
      <c r="AQ40" s="1241"/>
      <c r="AR40" s="1241"/>
      <c r="AS40" s="1241"/>
      <c r="AT40" s="1241"/>
      <c r="AU40" s="17"/>
      <c r="AV40" s="17"/>
      <c r="AW40" s="17"/>
      <c r="AX40" s="17"/>
      <c r="AY40" s="17"/>
      <c r="AZ40" s="17"/>
      <c r="BD40" s="1071" t="s">
        <v>201</v>
      </c>
      <c r="BE40" s="1072">
        <f>Application!AG449</f>
        <v>112</v>
      </c>
    </row>
    <row r="41" spans="1:57" ht="13" customHeight="1">
      <c r="A41" s="1241"/>
      <c r="B41" s="1241"/>
      <c r="C41" s="1241"/>
      <c r="D41" s="1241"/>
      <c r="E41" s="1241"/>
      <c r="F41" s="1241"/>
      <c r="G41" s="1241"/>
      <c r="H41" s="1241"/>
      <c r="I41" s="1241"/>
      <c r="J41" s="1241"/>
      <c r="K41" s="1241"/>
      <c r="L41" s="1241"/>
      <c r="M41" s="1241"/>
      <c r="N41" s="1241"/>
      <c r="O41" s="1241"/>
      <c r="P41" s="1241"/>
      <c r="Q41" s="1241"/>
      <c r="R41" s="1241"/>
      <c r="S41" s="1241"/>
      <c r="T41" s="1241"/>
      <c r="U41" s="1241"/>
      <c r="V41" s="1241"/>
      <c r="W41" s="1241"/>
      <c r="X41" s="1241"/>
      <c r="Y41" s="1241"/>
      <c r="Z41" s="1241"/>
      <c r="AA41" s="1241"/>
      <c r="AB41" s="1241"/>
      <c r="AC41" s="1241"/>
      <c r="AD41" s="1241"/>
      <c r="AE41" s="1241"/>
      <c r="AF41" s="1241"/>
      <c r="AG41" s="1241"/>
      <c r="AH41" s="1241"/>
      <c r="AI41" s="1241"/>
      <c r="AJ41" s="1241"/>
      <c r="AK41" s="1241"/>
      <c r="AL41" s="1241"/>
      <c r="AM41" s="1241"/>
      <c r="AN41" s="1241"/>
      <c r="AO41" s="1241"/>
      <c r="AP41" s="1241"/>
      <c r="AQ41" s="1241"/>
      <c r="AR41" s="1241"/>
      <c r="AS41" s="1241"/>
      <c r="AT41" s="1241"/>
      <c r="AU41" s="17"/>
      <c r="AV41" s="17"/>
      <c r="AW41" s="17"/>
      <c r="AX41" s="17"/>
      <c r="AY41" s="17"/>
      <c r="AZ41" s="17"/>
      <c r="BD41" s="1070" t="s">
        <v>209</v>
      </c>
      <c r="BE41" s="1072">
        <f>Application!AG447</f>
        <v>0</v>
      </c>
    </row>
    <row r="42" spans="1:57" ht="13" customHeight="1">
      <c r="A42" s="1241"/>
      <c r="B42" s="1241"/>
      <c r="C42" s="1241"/>
      <c r="D42" s="1241"/>
      <c r="E42" s="1241"/>
      <c r="F42" s="1241"/>
      <c r="G42" s="1241"/>
      <c r="H42" s="1241"/>
      <c r="I42" s="1241"/>
      <c r="J42" s="1241"/>
      <c r="K42" s="1241"/>
      <c r="L42" s="1241"/>
      <c r="M42" s="1241"/>
      <c r="N42" s="1241"/>
      <c r="O42" s="1241"/>
      <c r="P42" s="1241"/>
      <c r="Q42" s="1241"/>
      <c r="R42" s="1241"/>
      <c r="S42" s="1241"/>
      <c r="T42" s="1241"/>
      <c r="U42" s="1241"/>
      <c r="V42" s="1241"/>
      <c r="W42" s="1241"/>
      <c r="X42" s="1241"/>
      <c r="Y42" s="1241"/>
      <c r="Z42" s="1241"/>
      <c r="AA42" s="1241"/>
      <c r="AB42" s="1241"/>
      <c r="AC42" s="1241"/>
      <c r="AD42" s="1241"/>
      <c r="AE42" s="1241"/>
      <c r="AF42" s="1241"/>
      <c r="AG42" s="1241"/>
      <c r="AH42" s="1241"/>
      <c r="AI42" s="1241"/>
      <c r="AJ42" s="1241"/>
      <c r="AK42" s="1241"/>
      <c r="AL42" s="1241"/>
      <c r="AM42" s="1241"/>
      <c r="AN42" s="1241"/>
      <c r="AO42" s="1241"/>
      <c r="AP42" s="1241"/>
      <c r="AQ42" s="1241"/>
      <c r="AR42" s="1241"/>
      <c r="AS42" s="1241"/>
      <c r="AT42" s="1241"/>
      <c r="AZ42" s="17"/>
      <c r="BD42" s="1071" t="s">
        <v>711</v>
      </c>
      <c r="BE42" s="1074">
        <f>Application!AC761</f>
        <v>0.57589285714285721</v>
      </c>
    </row>
    <row r="43" spans="1:57" ht="13" customHeight="1">
      <c r="A43" s="1241"/>
      <c r="B43" s="1241"/>
      <c r="C43" s="1241"/>
      <c r="D43" s="1241"/>
      <c r="E43" s="1241"/>
      <c r="F43" s="1241"/>
      <c r="G43" s="1241"/>
      <c r="H43" s="1241"/>
      <c r="I43" s="1241"/>
      <c r="J43" s="1241"/>
      <c r="K43" s="1241"/>
      <c r="L43" s="1241"/>
      <c r="M43" s="1241"/>
      <c r="N43" s="1241"/>
      <c r="O43" s="1241"/>
      <c r="P43" s="1241"/>
      <c r="Q43" s="1241"/>
      <c r="R43" s="1241"/>
      <c r="S43" s="1241"/>
      <c r="T43" s="1241"/>
      <c r="U43" s="1241"/>
      <c r="V43" s="1241"/>
      <c r="W43" s="1241"/>
      <c r="X43" s="1241"/>
      <c r="Y43" s="1241"/>
      <c r="Z43" s="1241"/>
      <c r="AA43" s="1241"/>
      <c r="AB43" s="1241"/>
      <c r="AC43" s="1241"/>
      <c r="AD43" s="1241"/>
      <c r="AE43" s="1241"/>
      <c r="AF43" s="1241"/>
      <c r="AG43" s="1241"/>
      <c r="AH43" s="1241"/>
      <c r="AI43" s="1241"/>
      <c r="AJ43" s="1241"/>
      <c r="AK43" s="1241"/>
      <c r="AL43" s="1241"/>
      <c r="AM43" s="1241"/>
      <c r="AN43" s="1241"/>
      <c r="AO43" s="1241"/>
      <c r="AP43" s="1241"/>
      <c r="AQ43" s="1241"/>
      <c r="AR43" s="1241"/>
      <c r="AS43" s="1241"/>
      <c r="AT43" s="1241"/>
      <c r="AU43" s="17"/>
      <c r="AV43" s="17"/>
      <c r="AW43" s="17"/>
      <c r="AX43" s="17"/>
      <c r="AY43" s="17"/>
      <c r="AZ43" s="17"/>
      <c r="BD43" s="1070" t="s">
        <v>712</v>
      </c>
      <c r="BE43" s="1074">
        <f>Application!AH761</f>
        <v>0.55967246169142693</v>
      </c>
    </row>
    <row r="44" spans="1:57" ht="13" customHeight="1">
      <c r="A44" s="1241"/>
      <c r="B44" s="1241"/>
      <c r="C44" s="1241"/>
      <c r="D44" s="1241"/>
      <c r="E44" s="1241"/>
      <c r="F44" s="1241"/>
      <c r="G44" s="1241"/>
      <c r="H44" s="1241"/>
      <c r="I44" s="1241"/>
      <c r="J44" s="1241"/>
      <c r="K44" s="1241"/>
      <c r="L44" s="1241"/>
      <c r="M44" s="1241"/>
      <c r="N44" s="1241"/>
      <c r="O44" s="1241"/>
      <c r="P44" s="1241"/>
      <c r="Q44" s="1241"/>
      <c r="R44" s="1241"/>
      <c r="S44" s="1241"/>
      <c r="T44" s="1241"/>
      <c r="U44" s="1241"/>
      <c r="V44" s="1241"/>
      <c r="W44" s="1241"/>
      <c r="X44" s="1241"/>
      <c r="Y44" s="1241"/>
      <c r="Z44" s="1241"/>
      <c r="AA44" s="1241"/>
      <c r="AB44" s="1241"/>
      <c r="AC44" s="1241"/>
      <c r="AD44" s="1241"/>
      <c r="AE44" s="1241"/>
      <c r="AF44" s="1241"/>
      <c r="AG44" s="1241"/>
      <c r="AH44" s="1241"/>
      <c r="AI44" s="1241"/>
      <c r="AJ44" s="1241"/>
      <c r="AK44" s="1241"/>
      <c r="AL44" s="1241"/>
      <c r="AM44" s="1241"/>
      <c r="AN44" s="1241"/>
      <c r="AO44" s="1241"/>
      <c r="AP44" s="1241"/>
      <c r="AQ44" s="1241"/>
      <c r="AR44" s="1241"/>
      <c r="AS44" s="1241"/>
      <c r="AT44" s="1241"/>
      <c r="AU44" s="17"/>
      <c r="AV44" s="17"/>
      <c r="AW44" s="17"/>
      <c r="AX44" s="17"/>
      <c r="AY44" s="17"/>
      <c r="AZ44" s="17"/>
      <c r="BD44" s="1071" t="s">
        <v>713</v>
      </c>
      <c r="BE44" s="1072">
        <f>Application!AC463</f>
        <v>692986.25663716812</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1</v>
      </c>
    </row>
    <row r="46" spans="1:57" ht="13" customHeight="1">
      <c r="A46" s="1232" t="s">
        <v>715</v>
      </c>
      <c r="B46" s="1232"/>
      <c r="C46" s="1232"/>
      <c r="D46" s="1232"/>
      <c r="E46" s="1232"/>
      <c r="F46" s="1232"/>
      <c r="G46" s="1232"/>
      <c r="H46" s="1232"/>
      <c r="I46" s="1232"/>
      <c r="J46" s="1232"/>
      <c r="K46" s="1232"/>
      <c r="L46" s="1232"/>
      <c r="M46" s="1232"/>
      <c r="N46" s="1232"/>
      <c r="O46" s="1232"/>
      <c r="P46" s="1232"/>
      <c r="Q46" s="1232"/>
      <c r="R46" s="1232"/>
      <c r="S46" s="1232"/>
      <c r="T46" s="1232"/>
      <c r="U46" s="1232"/>
      <c r="V46" s="1232"/>
      <c r="W46" s="1232"/>
      <c r="X46" s="1232"/>
      <c r="Y46" s="1232"/>
      <c r="Z46" s="1232"/>
      <c r="AA46" s="1232"/>
      <c r="AB46" s="1232"/>
      <c r="AC46" s="1232"/>
      <c r="AD46" s="1232"/>
      <c r="AE46" s="1232"/>
      <c r="AF46" s="1232"/>
      <c r="AG46" s="1232"/>
      <c r="AH46" s="1232"/>
      <c r="AI46" s="1232"/>
      <c r="AJ46" s="1232"/>
      <c r="AK46" s="1232"/>
      <c r="AL46" s="1232"/>
      <c r="AM46" s="1232"/>
      <c r="AN46" s="1232"/>
      <c r="AO46" s="1232"/>
      <c r="AP46" s="1232"/>
      <c r="AQ46" s="1232"/>
      <c r="AR46" s="1232"/>
      <c r="AS46" s="1232"/>
      <c r="AT46" s="1232"/>
      <c r="AU46" s="17"/>
      <c r="AV46" s="17"/>
      <c r="AW46" s="17"/>
      <c r="AX46" s="17"/>
      <c r="AY46" s="17"/>
      <c r="AZ46" s="17"/>
      <c r="BD46" s="1071" t="s">
        <v>716</v>
      </c>
      <c r="BE46" s="1072" t="b">
        <f>Application!T195="Yes"</f>
        <v>0</v>
      </c>
    </row>
    <row r="47" spans="1:57" ht="13" customHeight="1">
      <c r="A47" s="1232"/>
      <c r="B47" s="1232"/>
      <c r="C47" s="1232"/>
      <c r="D47" s="1232"/>
      <c r="E47" s="1232"/>
      <c r="F47" s="1232"/>
      <c r="G47" s="1232"/>
      <c r="H47" s="1232"/>
      <c r="I47" s="1232"/>
      <c r="J47" s="1232"/>
      <c r="K47" s="1232"/>
      <c r="L47" s="1232"/>
      <c r="M47" s="1232"/>
      <c r="N47" s="1232"/>
      <c r="O47" s="1232"/>
      <c r="P47" s="1232"/>
      <c r="Q47" s="1232"/>
      <c r="R47" s="1232"/>
      <c r="S47" s="1232"/>
      <c r="T47" s="1232"/>
      <c r="U47" s="1232"/>
      <c r="V47" s="1232"/>
      <c r="W47" s="1232"/>
      <c r="X47" s="1232"/>
      <c r="Y47" s="1232"/>
      <c r="Z47" s="1232"/>
      <c r="AA47" s="1232"/>
      <c r="AB47" s="1232"/>
      <c r="AC47" s="1232"/>
      <c r="AD47" s="1232"/>
      <c r="AE47" s="1232"/>
      <c r="AF47" s="1232"/>
      <c r="AG47" s="1232"/>
      <c r="AH47" s="1232"/>
      <c r="AI47" s="1232"/>
      <c r="AJ47" s="1232"/>
      <c r="AK47" s="1232"/>
      <c r="AL47" s="1232"/>
      <c r="AM47" s="1232"/>
      <c r="AN47" s="1232"/>
      <c r="AO47" s="1232"/>
      <c r="AP47" s="1232"/>
      <c r="AQ47" s="1232"/>
      <c r="AR47" s="1232"/>
      <c r="AS47" s="1232"/>
      <c r="AT47" s="1232"/>
      <c r="AU47" s="17"/>
      <c r="AV47" s="17"/>
      <c r="AW47" s="17"/>
      <c r="AX47" s="17"/>
      <c r="AY47" s="17"/>
      <c r="AZ47" s="17"/>
      <c r="BD47" s="1070" t="s">
        <v>717</v>
      </c>
      <c r="BE47" s="1072" t="b">
        <f>Application!T196="Yes"</f>
        <v>1</v>
      </c>
    </row>
    <row r="48" spans="1:57" ht="13" customHeight="1">
      <c r="A48" s="1232"/>
      <c r="B48" s="1232"/>
      <c r="C48" s="1232"/>
      <c r="D48" s="1232"/>
      <c r="E48" s="1232"/>
      <c r="F48" s="1232"/>
      <c r="G48" s="1232"/>
      <c r="H48" s="1232"/>
      <c r="I48" s="1232"/>
      <c r="J48" s="1232"/>
      <c r="K48" s="1232"/>
      <c r="L48" s="1232"/>
      <c r="M48" s="1232"/>
      <c r="N48" s="1232"/>
      <c r="O48" s="1232"/>
      <c r="P48" s="1232"/>
      <c r="Q48" s="1232"/>
      <c r="R48" s="1232"/>
      <c r="S48" s="1232"/>
      <c r="T48" s="1232"/>
      <c r="U48" s="1232"/>
      <c r="V48" s="1232"/>
      <c r="W48" s="1232"/>
      <c r="X48" s="1232"/>
      <c r="Y48" s="1232"/>
      <c r="Z48" s="1232"/>
      <c r="AA48" s="1232"/>
      <c r="AB48" s="1232"/>
      <c r="AC48" s="1232"/>
      <c r="AD48" s="1232"/>
      <c r="AE48" s="1232"/>
      <c r="AF48" s="1232"/>
      <c r="AG48" s="1232"/>
      <c r="AH48" s="1232"/>
      <c r="AI48" s="1232"/>
      <c r="AJ48" s="1232"/>
      <c r="AK48" s="1232"/>
      <c r="AL48" s="1232"/>
      <c r="AM48" s="1232"/>
      <c r="AN48" s="1232"/>
      <c r="AO48" s="1232"/>
      <c r="AP48" s="1232"/>
      <c r="AQ48" s="1232"/>
      <c r="AR48" s="1232"/>
      <c r="AS48" s="1232"/>
      <c r="AT48" s="1232"/>
      <c r="AU48" s="17"/>
      <c r="AV48" s="17"/>
      <c r="AW48" s="17"/>
      <c r="AX48" s="17"/>
      <c r="AY48" s="17"/>
      <c r="AZ48" s="17"/>
      <c r="BD48" s="1071" t="s">
        <v>718</v>
      </c>
      <c r="BE48" s="1072" t="str">
        <f>Application!M252</f>
        <v>Community Revitalization and Development Corporation</v>
      </c>
    </row>
    <row r="49" spans="1:57" ht="13" customHeight="1">
      <c r="A49" s="1232"/>
      <c r="B49" s="1232"/>
      <c r="C49" s="1232"/>
      <c r="D49" s="1232"/>
      <c r="E49" s="1232"/>
      <c r="F49" s="1232"/>
      <c r="G49" s="1232"/>
      <c r="H49" s="1232"/>
      <c r="I49" s="1232"/>
      <c r="J49" s="1232"/>
      <c r="K49" s="1232"/>
      <c r="L49" s="1232"/>
      <c r="M49" s="1232"/>
      <c r="N49" s="1232"/>
      <c r="O49" s="1232"/>
      <c r="P49" s="1232"/>
      <c r="Q49" s="1232"/>
      <c r="R49" s="1232"/>
      <c r="S49" s="1232"/>
      <c r="T49" s="1232"/>
      <c r="U49" s="1232"/>
      <c r="V49" s="1232"/>
      <c r="W49" s="1232"/>
      <c r="X49" s="1232"/>
      <c r="Y49" s="1232"/>
      <c r="Z49" s="1232"/>
      <c r="AA49" s="1232"/>
      <c r="AB49" s="1232"/>
      <c r="AC49" s="1232"/>
      <c r="AD49" s="1232"/>
      <c r="AE49" s="1232"/>
      <c r="AF49" s="1232"/>
      <c r="AG49" s="1232"/>
      <c r="AH49" s="1232"/>
      <c r="AI49" s="1232"/>
      <c r="AJ49" s="1232"/>
      <c r="AK49" s="1232"/>
      <c r="AL49" s="1232"/>
      <c r="AM49" s="1232"/>
      <c r="AN49" s="1232"/>
      <c r="AO49" s="1232"/>
      <c r="AP49" s="1232"/>
      <c r="AQ49" s="1232"/>
      <c r="AR49" s="1232"/>
      <c r="AS49" s="1232"/>
      <c r="AT49" s="1232"/>
      <c r="AU49" s="17"/>
      <c r="AV49" s="17"/>
      <c r="AW49" s="17"/>
      <c r="AX49" s="17"/>
      <c r="AY49" s="17"/>
      <c r="AZ49" s="17"/>
      <c r="BD49" s="1070" t="s">
        <v>719</v>
      </c>
      <c r="BE49" s="1072" t="str">
        <f>Application!M255</f>
        <v>David Rutledge</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f>Application!AA258</f>
        <v>0</v>
      </c>
    </row>
    <row r="51" spans="1:57" ht="13" customHeight="1">
      <c r="A51" s="1241" t="s">
        <v>721</v>
      </c>
      <c r="B51" s="1241"/>
      <c r="C51" s="1241"/>
      <c r="D51" s="1241"/>
      <c r="E51" s="1241"/>
      <c r="F51" s="1241"/>
      <c r="G51" s="1241"/>
      <c r="H51" s="1241"/>
      <c r="I51" s="1241"/>
      <c r="J51" s="1241"/>
      <c r="K51" s="1241"/>
      <c r="L51" s="1241"/>
      <c r="M51" s="1241"/>
      <c r="N51" s="1241"/>
      <c r="O51" s="1241"/>
      <c r="P51" s="1241"/>
      <c r="Q51" s="1241"/>
      <c r="R51" s="1241"/>
      <c r="S51" s="1241"/>
      <c r="T51" s="1241"/>
      <c r="U51" s="1241"/>
      <c r="V51" s="1241"/>
      <c r="W51" s="1241"/>
      <c r="X51" s="1241"/>
      <c r="Y51" s="1241"/>
      <c r="Z51" s="1241"/>
      <c r="AA51" s="1241"/>
      <c r="AB51" s="1241"/>
      <c r="AC51" s="1241"/>
      <c r="AD51" s="1241"/>
      <c r="AE51" s="1241"/>
      <c r="AF51" s="1241"/>
      <c r="AG51" s="1241"/>
      <c r="AH51" s="1241"/>
      <c r="AI51" s="1241"/>
      <c r="AJ51" s="1241"/>
      <c r="AK51" s="1241"/>
      <c r="AL51" s="1241"/>
      <c r="AM51" s="1241"/>
      <c r="AN51" s="1241"/>
      <c r="AO51" s="1241"/>
      <c r="AP51" s="1241"/>
      <c r="AQ51" s="1241"/>
      <c r="AR51" s="1241"/>
      <c r="AS51" s="1241"/>
      <c r="AT51" s="1241"/>
      <c r="AU51" s="17"/>
      <c r="AV51" s="17"/>
      <c r="AW51" s="17"/>
      <c r="AX51" s="17"/>
      <c r="AY51" s="17"/>
      <c r="AZ51" s="17"/>
      <c r="BD51" s="1070" t="s">
        <v>722</v>
      </c>
      <c r="BE51" s="1072" t="str">
        <f>Application!M260</f>
        <v>CRP Monterey AGP LLC</v>
      </c>
    </row>
    <row r="52" spans="1:57" ht="13" customHeight="1">
      <c r="A52" s="1241"/>
      <c r="B52" s="1241"/>
      <c r="C52" s="1241"/>
      <c r="D52" s="1241"/>
      <c r="E52" s="1241"/>
      <c r="F52" s="1241"/>
      <c r="G52" s="1241"/>
      <c r="H52" s="1241"/>
      <c r="I52" s="1241"/>
      <c r="J52" s="1241"/>
      <c r="K52" s="1241"/>
      <c r="L52" s="1241"/>
      <c r="M52" s="1241"/>
      <c r="N52" s="1241"/>
      <c r="O52" s="1241"/>
      <c r="P52" s="1241"/>
      <c r="Q52" s="1241"/>
      <c r="R52" s="1241"/>
      <c r="S52" s="1241"/>
      <c r="T52" s="1241"/>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T52" s="1241"/>
      <c r="AU52" s="17"/>
      <c r="AV52" s="17"/>
      <c r="AW52" s="17"/>
      <c r="AX52" s="17"/>
      <c r="AY52" s="17"/>
      <c r="AZ52" s="17"/>
      <c r="BD52" s="1071" t="s">
        <v>723</v>
      </c>
      <c r="BE52" s="1072" t="str">
        <f>Application!M263</f>
        <v>Paul Salib</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t="str">
        <f>Application!AA266</f>
        <v>CRP Affordable Housing and Community Development LLC</v>
      </c>
    </row>
    <row r="54" spans="1:57" ht="13" customHeight="1">
      <c r="A54" s="1241" t="s">
        <v>725</v>
      </c>
      <c r="B54" s="1241"/>
      <c r="C54" s="1241"/>
      <c r="D54" s="1241"/>
      <c r="E54" s="1241"/>
      <c r="F54" s="1241"/>
      <c r="G54" s="1241"/>
      <c r="H54" s="1241"/>
      <c r="I54" s="1241"/>
      <c r="J54" s="1241"/>
      <c r="K54" s="1241"/>
      <c r="L54" s="1241"/>
      <c r="M54" s="1241"/>
      <c r="N54" s="1241"/>
      <c r="O54" s="1241"/>
      <c r="P54" s="1241"/>
      <c r="Q54" s="1241"/>
      <c r="R54" s="1241"/>
      <c r="S54" s="1241"/>
      <c r="T54" s="1241"/>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7"/>
      <c r="AV54" s="17"/>
      <c r="AW54" s="17"/>
      <c r="AX54" s="17"/>
      <c r="AY54" s="17"/>
      <c r="AZ54" s="18"/>
      <c r="BD54" s="1071" t="s">
        <v>726</v>
      </c>
      <c r="BE54" s="1072">
        <f>Application!M268</f>
        <v>0</v>
      </c>
    </row>
    <row r="55" spans="1:57" ht="13" customHeight="1">
      <c r="A55" s="1241"/>
      <c r="B55" s="1241"/>
      <c r="C55" s="1241"/>
      <c r="D55" s="1241"/>
      <c r="E55" s="1241"/>
      <c r="F55" s="1241"/>
      <c r="G55" s="1241"/>
      <c r="H55" s="1241"/>
      <c r="I55" s="1241"/>
      <c r="J55" s="1241"/>
      <c r="K55" s="1241"/>
      <c r="L55" s="1241"/>
      <c r="M55" s="1241"/>
      <c r="N55" s="1241"/>
      <c r="O55" s="1241"/>
      <c r="P55" s="1241"/>
      <c r="Q55" s="1241"/>
      <c r="R55" s="1241"/>
      <c r="S55" s="1241"/>
      <c r="T55" s="1241"/>
      <c r="U55" s="1241"/>
      <c r="V55" s="1241"/>
      <c r="W55" s="1241"/>
      <c r="X55" s="1241"/>
      <c r="Y55" s="1241"/>
      <c r="Z55" s="1241"/>
      <c r="AA55" s="1241"/>
      <c r="AB55" s="1241"/>
      <c r="AC55" s="1241"/>
      <c r="AD55" s="1241"/>
      <c r="AE55" s="1241"/>
      <c r="AF55" s="1241"/>
      <c r="AG55" s="1241"/>
      <c r="AH55" s="1241"/>
      <c r="AI55" s="1241"/>
      <c r="AJ55" s="1241"/>
      <c r="AK55" s="1241"/>
      <c r="AL55" s="1241"/>
      <c r="AM55" s="1241"/>
      <c r="AN55" s="1241"/>
      <c r="AO55" s="1241"/>
      <c r="AP55" s="1241"/>
      <c r="AQ55" s="1241"/>
      <c r="AR55" s="1241"/>
      <c r="AS55" s="1241"/>
      <c r="AT55" s="1241"/>
      <c r="AZ55" s="18"/>
      <c r="BD55" s="1070" t="s">
        <v>727</v>
      </c>
      <c r="BE55" s="1072">
        <f>Application!M271</f>
        <v>0</v>
      </c>
    </row>
    <row r="56" spans="1:57" ht="13" customHeight="1">
      <c r="A56" s="1241"/>
      <c r="B56" s="1241"/>
      <c r="C56" s="1241"/>
      <c r="D56" s="1241"/>
      <c r="E56" s="1241"/>
      <c r="F56" s="1241"/>
      <c r="G56" s="1241"/>
      <c r="H56" s="1241"/>
      <c r="I56" s="1241"/>
      <c r="J56" s="1241"/>
      <c r="K56" s="1241"/>
      <c r="L56" s="1241"/>
      <c r="M56" s="1241"/>
      <c r="N56" s="1241"/>
      <c r="O56" s="1241"/>
      <c r="P56" s="1241"/>
      <c r="Q56" s="1241"/>
      <c r="R56" s="1241"/>
      <c r="S56" s="1241"/>
      <c r="T56" s="1241"/>
      <c r="U56" s="1241"/>
      <c r="V56" s="1241"/>
      <c r="W56" s="1241"/>
      <c r="X56" s="1241"/>
      <c r="Y56" s="1241"/>
      <c r="Z56" s="1241"/>
      <c r="AA56" s="1241"/>
      <c r="AB56" s="1241"/>
      <c r="AC56" s="1241"/>
      <c r="AD56" s="1241"/>
      <c r="AE56" s="1241"/>
      <c r="AF56" s="1241"/>
      <c r="AG56" s="1241"/>
      <c r="AH56" s="1241"/>
      <c r="AI56" s="1241"/>
      <c r="AJ56" s="1241"/>
      <c r="AK56" s="1241"/>
      <c r="AL56" s="1241"/>
      <c r="AM56" s="1241"/>
      <c r="AN56" s="1241"/>
      <c r="AO56" s="1241"/>
      <c r="AP56" s="1241"/>
      <c r="AQ56" s="1241"/>
      <c r="AR56" s="1241"/>
      <c r="AS56" s="1241"/>
      <c r="AT56" s="1241"/>
      <c r="BD56" s="1071" t="s">
        <v>728</v>
      </c>
      <c r="BE56" s="1072">
        <f>Application!AA274</f>
        <v>0</v>
      </c>
    </row>
    <row r="57" spans="1:57" ht="13" customHeight="1">
      <c r="A57" s="1241"/>
      <c r="B57" s="1241"/>
      <c r="C57" s="1241"/>
      <c r="D57" s="1241"/>
      <c r="E57" s="1241"/>
      <c r="F57" s="1241"/>
      <c r="G57" s="1241"/>
      <c r="H57" s="1241"/>
      <c r="I57" s="1241"/>
      <c r="J57" s="1241"/>
      <c r="K57" s="1241"/>
      <c r="L57" s="1241"/>
      <c r="M57" s="1241"/>
      <c r="N57" s="1241"/>
      <c r="O57" s="1241"/>
      <c r="P57" s="1241"/>
      <c r="Q57" s="1241"/>
      <c r="R57" s="1241"/>
      <c r="S57" s="1241"/>
      <c r="T57" s="1241"/>
      <c r="U57" s="1241"/>
      <c r="V57" s="1241"/>
      <c r="W57" s="1241"/>
      <c r="X57" s="1241"/>
      <c r="Y57" s="1241"/>
      <c r="Z57" s="1241"/>
      <c r="AA57" s="1241"/>
      <c r="AB57" s="1241"/>
      <c r="AC57" s="1241"/>
      <c r="AD57" s="1241"/>
      <c r="AE57" s="1241"/>
      <c r="AF57" s="1241"/>
      <c r="AG57" s="1241"/>
      <c r="AH57" s="1241"/>
      <c r="AI57" s="1241"/>
      <c r="AJ57" s="1241"/>
      <c r="AK57" s="1241"/>
      <c r="AL57" s="1241"/>
      <c r="AM57" s="1241"/>
      <c r="AN57" s="1241"/>
      <c r="AO57" s="1241"/>
      <c r="AP57" s="1241"/>
      <c r="AQ57" s="1241"/>
      <c r="AR57" s="1241"/>
      <c r="AS57" s="1241"/>
      <c r="AT57" s="1241"/>
      <c r="BD57" s="1070" t="s">
        <v>729</v>
      </c>
      <c r="BE57" s="1072" t="str">
        <f>Application!H296</f>
        <v>CRP Affordable Housing and Community Development LLC</v>
      </c>
    </row>
    <row r="58" spans="1:57" ht="13" customHeight="1">
      <c r="A58" s="1241"/>
      <c r="B58" s="1241"/>
      <c r="C58" s="1241"/>
      <c r="D58" s="1241"/>
      <c r="E58" s="1241"/>
      <c r="F58" s="1241"/>
      <c r="G58" s="1241"/>
      <c r="H58" s="1241"/>
      <c r="I58" s="1241"/>
      <c r="J58" s="1241"/>
      <c r="K58" s="1241"/>
      <c r="L58" s="1241"/>
      <c r="M58" s="1241"/>
      <c r="N58" s="1241"/>
      <c r="O58" s="1241"/>
      <c r="P58" s="1241"/>
      <c r="Q58" s="1241"/>
      <c r="R58" s="1241"/>
      <c r="S58" s="1241"/>
      <c r="T58" s="1241"/>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BD58" s="1071" t="s">
        <v>730</v>
      </c>
      <c r="BE58" s="1072" t="str">
        <f>Application!H297</f>
        <v>122 E 42nd Street, Suite 1903</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New York, NY 10168</v>
      </c>
    </row>
    <row r="60" spans="1:57" ht="13" customHeight="1">
      <c r="A60" s="1241" t="s">
        <v>732</v>
      </c>
      <c r="B60" s="1241"/>
      <c r="C60" s="1241"/>
      <c r="D60" s="1241"/>
      <c r="E60" s="1241"/>
      <c r="F60" s="1241"/>
      <c r="G60" s="1241"/>
      <c r="H60" s="1241"/>
      <c r="I60" s="1241"/>
      <c r="J60" s="1241"/>
      <c r="K60" s="1241"/>
      <c r="L60" s="1241"/>
      <c r="M60" s="1241"/>
      <c r="N60" s="1241"/>
      <c r="O60" s="1241"/>
      <c r="P60" s="1241"/>
      <c r="Q60" s="1241"/>
      <c r="R60" s="1241"/>
      <c r="S60" s="1241"/>
      <c r="T60" s="1241"/>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7"/>
      <c r="AV60" s="17"/>
      <c r="AW60" s="17"/>
      <c r="AX60" s="17"/>
      <c r="AY60" s="17"/>
      <c r="AZ60" s="17"/>
      <c r="BD60" s="1071" t="s">
        <v>733</v>
      </c>
      <c r="BE60" s="1072" t="str">
        <f>Application!H299</f>
        <v>Paul Salib</v>
      </c>
    </row>
    <row r="61" spans="1:57" ht="13" customHeight="1">
      <c r="A61" s="1241"/>
      <c r="B61" s="1241"/>
      <c r="C61" s="1241"/>
      <c r="D61" s="1241"/>
      <c r="E61" s="1241"/>
      <c r="F61" s="1241"/>
      <c r="G61" s="1241"/>
      <c r="H61" s="1241"/>
      <c r="I61" s="1241"/>
      <c r="J61" s="1241"/>
      <c r="K61" s="1241"/>
      <c r="L61" s="1241"/>
      <c r="M61" s="1241"/>
      <c r="N61" s="1241"/>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7"/>
      <c r="AV61" s="17"/>
      <c r="AW61" s="17"/>
      <c r="AX61" s="17"/>
      <c r="AY61" s="17"/>
      <c r="AZ61" s="17"/>
      <c r="BD61" s="1070" t="s">
        <v>734</v>
      </c>
      <c r="BE61" s="1072" t="str">
        <f>Application!H302</f>
        <v>psalib@crpaffordable.com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0.81991809999999998</v>
      </c>
    </row>
    <row r="63" spans="1:57" ht="13"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0.9</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3" customHeight="1">
      <c r="A65" s="1241" t="s">
        <v>739</v>
      </c>
      <c r="B65" s="1241"/>
      <c r="C65" s="1241"/>
      <c r="D65" s="1241"/>
      <c r="E65" s="1241"/>
      <c r="F65" s="1241"/>
      <c r="G65" s="1241"/>
      <c r="H65" s="1241"/>
      <c r="I65" s="1241"/>
      <c r="J65" s="1241"/>
      <c r="K65" s="1241"/>
      <c r="L65" s="1241"/>
      <c r="M65" s="1241"/>
      <c r="N65" s="1241"/>
      <c r="O65" s="1241"/>
      <c r="P65" s="1241"/>
      <c r="Q65" s="1241"/>
      <c r="R65" s="1241"/>
      <c r="S65" s="1241"/>
      <c r="T65" s="1241"/>
      <c r="U65" s="1241"/>
      <c r="V65" s="1241"/>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R65" s="1241"/>
      <c r="AS65" s="1241"/>
      <c r="AT65" s="1241"/>
      <c r="AU65" s="18"/>
      <c r="AV65" s="18"/>
      <c r="AW65" s="18"/>
      <c r="AX65" s="18"/>
      <c r="AY65" s="18"/>
      <c r="AZ65" s="17"/>
      <c r="BD65" s="1070" t="s">
        <v>740</v>
      </c>
      <c r="BE65" s="1072" t="str">
        <f>Z205</f>
        <v>$500M</v>
      </c>
    </row>
    <row r="66" spans="1:57" ht="13" customHeight="1">
      <c r="A66" s="1241"/>
      <c r="B66" s="1241"/>
      <c r="C66" s="1241"/>
      <c r="D66" s="1241"/>
      <c r="E66" s="1241"/>
      <c r="F66" s="1241"/>
      <c r="G66" s="1241"/>
      <c r="H66" s="1241"/>
      <c r="I66" s="1241"/>
      <c r="J66" s="1241"/>
      <c r="K66" s="1241"/>
      <c r="L66" s="1241"/>
      <c r="M66" s="1241"/>
      <c r="N66" s="1241"/>
      <c r="O66" s="1241"/>
      <c r="P66" s="1241"/>
      <c r="Q66" s="1241"/>
      <c r="R66" s="1241"/>
      <c r="S66" s="1241"/>
      <c r="T66" s="1241"/>
      <c r="U66" s="1241"/>
      <c r="V66" s="1241"/>
      <c r="W66" s="1241"/>
      <c r="X66" s="1241"/>
      <c r="Y66" s="1241"/>
      <c r="Z66" s="1241"/>
      <c r="AA66" s="1241"/>
      <c r="AB66" s="1241"/>
      <c r="AC66" s="1241"/>
      <c r="AD66" s="1241"/>
      <c r="AE66" s="1241"/>
      <c r="AF66" s="1241"/>
      <c r="AG66" s="1241"/>
      <c r="AH66" s="1241"/>
      <c r="AI66" s="1241"/>
      <c r="AJ66" s="1241"/>
      <c r="AK66" s="1241"/>
      <c r="AL66" s="1241"/>
      <c r="AM66" s="1241"/>
      <c r="AN66" s="1241"/>
      <c r="AO66" s="1241"/>
      <c r="AP66" s="1241"/>
      <c r="AQ66" s="1241"/>
      <c r="AR66" s="1241"/>
      <c r="AS66" s="1241"/>
      <c r="AT66" s="1241"/>
      <c r="AU66" s="18"/>
      <c r="AV66" s="18"/>
      <c r="AW66" s="18"/>
      <c r="AX66" s="18"/>
      <c r="AY66" s="18"/>
      <c r="AZ66" s="17"/>
      <c r="BD66" s="1071" t="s">
        <v>741</v>
      </c>
      <c r="BE66" s="1072" t="b">
        <f>Application!Z205="State Farmworker Credit"</f>
        <v>0</v>
      </c>
    </row>
    <row r="67" spans="1:57" ht="13" customHeight="1">
      <c r="A67" s="1241"/>
      <c r="B67" s="1241"/>
      <c r="C67" s="1241"/>
      <c r="D67" s="1241"/>
      <c r="E67" s="1241"/>
      <c r="F67" s="1241"/>
      <c r="G67" s="1241"/>
      <c r="H67" s="1241"/>
      <c r="I67" s="1241"/>
      <c r="J67" s="1241"/>
      <c r="K67" s="1241"/>
      <c r="L67" s="1241"/>
      <c r="M67" s="1241"/>
      <c r="N67" s="1241"/>
      <c r="O67" s="1241"/>
      <c r="P67" s="1241"/>
      <c r="Q67" s="1241"/>
      <c r="R67" s="1241"/>
      <c r="S67" s="1241"/>
      <c r="T67" s="1241"/>
      <c r="U67" s="1241"/>
      <c r="V67" s="1241"/>
      <c r="W67" s="1241"/>
      <c r="X67" s="1241"/>
      <c r="Y67" s="1241"/>
      <c r="Z67" s="1241"/>
      <c r="AA67" s="1241"/>
      <c r="AB67" s="1241"/>
      <c r="AC67" s="1241"/>
      <c r="AD67" s="1241"/>
      <c r="AE67" s="1241"/>
      <c r="AF67" s="1241"/>
      <c r="AG67" s="1241"/>
      <c r="AH67" s="1241"/>
      <c r="AI67" s="1241"/>
      <c r="AJ67" s="1241"/>
      <c r="AK67" s="1241"/>
      <c r="AL67" s="1241"/>
      <c r="AM67" s="1241"/>
      <c r="AN67" s="1241"/>
      <c r="AO67" s="1241"/>
      <c r="AP67" s="1241"/>
      <c r="AQ67" s="1241"/>
      <c r="AR67" s="1241"/>
      <c r="AS67" s="1241"/>
      <c r="AT67" s="1241"/>
      <c r="AZ67" s="17"/>
      <c r="BD67" s="1070" t="s">
        <v>742</v>
      </c>
      <c r="BE67" s="1072"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3" customHeight="1">
      <c r="A69" s="1241" t="s">
        <v>744</v>
      </c>
      <c r="B69" s="1241"/>
      <c r="C69" s="1241"/>
      <c r="D69" s="1241"/>
      <c r="E69" s="1241"/>
      <c r="F69" s="1241"/>
      <c r="G69" s="1241"/>
      <c r="H69" s="1241"/>
      <c r="I69" s="1241"/>
      <c r="J69" s="1241"/>
      <c r="K69" s="1241"/>
      <c r="L69" s="1241"/>
      <c r="M69" s="1241"/>
      <c r="N69" s="1241"/>
      <c r="O69" s="1241"/>
      <c r="P69" s="1241"/>
      <c r="Q69" s="1241"/>
      <c r="R69" s="1241"/>
      <c r="S69" s="1241"/>
      <c r="T69" s="1241"/>
      <c r="U69" s="1241"/>
      <c r="V69" s="1241"/>
      <c r="W69" s="1241"/>
      <c r="X69" s="1241"/>
      <c r="Y69" s="1241"/>
      <c r="Z69" s="1241"/>
      <c r="AA69" s="1241"/>
      <c r="AB69" s="1241"/>
      <c r="AC69" s="1241"/>
      <c r="AD69" s="1241"/>
      <c r="AE69" s="1241"/>
      <c r="AF69" s="1241"/>
      <c r="AG69" s="1241"/>
      <c r="AH69" s="1241"/>
      <c r="AI69" s="1241"/>
      <c r="AJ69" s="1241"/>
      <c r="AK69" s="1241"/>
      <c r="AL69" s="1241"/>
      <c r="AM69" s="1241"/>
      <c r="AN69" s="1241"/>
      <c r="AO69" s="1241"/>
      <c r="AP69" s="1241"/>
      <c r="AQ69" s="1241"/>
      <c r="AR69" s="1241"/>
      <c r="AS69" s="1241"/>
      <c r="AT69" s="1241"/>
      <c r="AZ69" s="17"/>
      <c r="BD69" s="1070" t="s">
        <v>745</v>
      </c>
      <c r="BE69" s="1072" t="str">
        <f>Application!W708</f>
        <v>California Housing Finance Authority</v>
      </c>
    </row>
    <row r="70" spans="1:57" ht="13" customHeight="1">
      <c r="A70" s="1241"/>
      <c r="B70" s="1241"/>
      <c r="C70" s="1241"/>
      <c r="D70" s="1241"/>
      <c r="E70" s="1241"/>
      <c r="F70" s="1241"/>
      <c r="G70" s="1241"/>
      <c r="H70" s="1241"/>
      <c r="I70" s="1241"/>
      <c r="J70" s="1241"/>
      <c r="K70" s="1241"/>
      <c r="L70" s="1241"/>
      <c r="M70" s="1241"/>
      <c r="N70" s="1241"/>
      <c r="O70" s="1241"/>
      <c r="P70" s="1241"/>
      <c r="Q70" s="1241"/>
      <c r="R70" s="1241"/>
      <c r="S70" s="1241"/>
      <c r="T70" s="1241"/>
      <c r="U70" s="1241"/>
      <c r="V70" s="1241"/>
      <c r="W70" s="1241"/>
      <c r="X70" s="1241"/>
      <c r="Y70" s="1241"/>
      <c r="Z70" s="1241"/>
      <c r="AA70" s="1241"/>
      <c r="AB70" s="1241"/>
      <c r="AC70" s="1241"/>
      <c r="AD70" s="1241"/>
      <c r="AE70" s="1241"/>
      <c r="AF70" s="1241"/>
      <c r="AG70" s="1241"/>
      <c r="AH70" s="1241"/>
      <c r="AI70" s="1241"/>
      <c r="AJ70" s="1241"/>
      <c r="AK70" s="1241"/>
      <c r="AL70" s="1241"/>
      <c r="AM70" s="1241"/>
      <c r="AN70" s="1241"/>
      <c r="AO70" s="1241"/>
      <c r="AP70" s="1241"/>
      <c r="AQ70" s="1241"/>
      <c r="AR70" s="1241"/>
      <c r="AS70" s="1241"/>
      <c r="AT70" s="1241"/>
      <c r="AU70" s="17"/>
      <c r="AV70" s="17"/>
      <c r="AW70" s="17"/>
      <c r="AX70" s="17"/>
      <c r="AY70" s="17"/>
      <c r="AZ70" s="17"/>
      <c r="BD70" s="1071" t="s">
        <v>746</v>
      </c>
      <c r="BE70" s="1072">
        <f ca="1">'Points System'!AF843</f>
        <v>111</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3" customHeight="1">
      <c r="A72" s="1488" t="s">
        <v>748</v>
      </c>
      <c r="B72" s="1488"/>
      <c r="C72" s="1488"/>
      <c r="D72" s="1488"/>
      <c r="E72" s="1488"/>
      <c r="F72" s="1488"/>
      <c r="G72" s="1488"/>
      <c r="H72" s="1488"/>
      <c r="I72" s="1488"/>
      <c r="J72" s="1488"/>
      <c r="K72" s="1488"/>
      <c r="L72" s="1488"/>
      <c r="M72" s="1488"/>
      <c r="N72" s="1488"/>
      <c r="O72" s="1488"/>
      <c r="P72" s="1488"/>
      <c r="Q72" s="1488"/>
      <c r="R72" s="1488"/>
      <c r="S72" s="1488"/>
      <c r="T72" s="1488"/>
      <c r="U72" s="1488"/>
      <c r="V72" s="1488"/>
      <c r="W72" s="1488"/>
      <c r="X72" s="1488"/>
      <c r="Y72" s="1488"/>
      <c r="Z72" s="1488"/>
      <c r="AA72" s="1488"/>
      <c r="AB72" s="1488"/>
      <c r="AC72" s="1488"/>
      <c r="AD72" s="1488"/>
      <c r="AE72" s="1488"/>
      <c r="AF72" s="1488"/>
      <c r="AG72" s="1488"/>
      <c r="AH72" s="1488"/>
      <c r="AI72" s="1488"/>
      <c r="AJ72" s="1488"/>
      <c r="AK72" s="1488"/>
      <c r="AL72" s="1488"/>
      <c r="AM72" s="1488"/>
      <c r="AN72" s="1488"/>
      <c r="AO72" s="1488"/>
      <c r="AP72" s="1488"/>
      <c r="AQ72" s="1488"/>
      <c r="AR72" s="1488"/>
      <c r="AS72" s="1488"/>
      <c r="AT72" s="1488"/>
      <c r="AU72" s="17"/>
      <c r="AV72" s="17"/>
      <c r="AW72" s="17"/>
      <c r="AX72" s="17"/>
      <c r="AY72" s="17"/>
      <c r="AZ72" s="17"/>
      <c r="BD72" s="1071" t="s">
        <v>749</v>
      </c>
      <c r="BE72" s="1072">
        <f>'Points System'!AF827</f>
        <v>10</v>
      </c>
    </row>
    <row r="73" spans="1:57" ht="13" customHeight="1">
      <c r="A73" s="1488"/>
      <c r="B73" s="1488"/>
      <c r="C73" s="1488"/>
      <c r="D73" s="1488"/>
      <c r="E73" s="1488"/>
      <c r="F73" s="1488"/>
      <c r="G73" s="1488"/>
      <c r="H73" s="1488"/>
      <c r="I73" s="1488"/>
      <c r="J73" s="1488"/>
      <c r="K73" s="1488"/>
      <c r="L73" s="1488"/>
      <c r="M73" s="1488"/>
      <c r="N73" s="1488"/>
      <c r="O73" s="1488"/>
      <c r="P73" s="1488"/>
      <c r="Q73" s="1488"/>
      <c r="R73" s="1488"/>
      <c r="S73" s="1488"/>
      <c r="T73" s="1488"/>
      <c r="U73" s="1488"/>
      <c r="V73" s="1488"/>
      <c r="W73" s="1488"/>
      <c r="X73" s="1488"/>
      <c r="Y73" s="1488"/>
      <c r="Z73" s="1488"/>
      <c r="AA73" s="1488"/>
      <c r="AB73" s="1488"/>
      <c r="AC73" s="1488"/>
      <c r="AD73" s="1488"/>
      <c r="AE73" s="1488"/>
      <c r="AF73" s="1488"/>
      <c r="AG73" s="1488"/>
      <c r="AH73" s="1488"/>
      <c r="AI73" s="1488"/>
      <c r="AJ73" s="1488"/>
      <c r="AK73" s="1488"/>
      <c r="AL73" s="1488"/>
      <c r="AM73" s="1488"/>
      <c r="AN73" s="1488"/>
      <c r="AO73" s="1488"/>
      <c r="AP73" s="1488"/>
      <c r="AQ73" s="1488"/>
      <c r="AR73" s="1488"/>
      <c r="AS73" s="1488"/>
      <c r="AT73" s="1488"/>
      <c r="AU73" s="17"/>
      <c r="AV73" s="17"/>
      <c r="AW73" s="17"/>
      <c r="AX73" s="17"/>
      <c r="AY73" s="17"/>
      <c r="AZ73" s="17"/>
      <c r="BD73" s="1070" t="s">
        <v>750</v>
      </c>
      <c r="BE73" s="1072">
        <f ca="1">'Points System'!AF828</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3" customHeight="1">
      <c r="A75" s="1490" t="s">
        <v>752</v>
      </c>
      <c r="B75" s="1490"/>
      <c r="C75" s="1490"/>
      <c r="D75" s="1490"/>
      <c r="E75" s="1490"/>
      <c r="F75" s="1490"/>
      <c r="G75" s="1490"/>
      <c r="H75" s="1490"/>
      <c r="I75" s="1490"/>
      <c r="J75" s="1490"/>
      <c r="K75" s="1490"/>
      <c r="L75" s="1490"/>
      <c r="M75" s="1490"/>
      <c r="N75" s="1490"/>
      <c r="O75" s="1490"/>
      <c r="P75" s="1490"/>
      <c r="Q75" s="1490"/>
      <c r="R75" s="1490"/>
      <c r="S75" s="1490"/>
      <c r="T75" s="1490"/>
      <c r="U75" s="1490"/>
      <c r="V75" s="1490"/>
      <c r="W75" s="1490"/>
      <c r="X75" s="1490"/>
      <c r="Y75" s="1490"/>
      <c r="Z75" s="1490"/>
      <c r="AA75" s="1490"/>
      <c r="AB75" s="1490"/>
      <c r="AC75" s="1490"/>
      <c r="AD75" s="1490"/>
      <c r="AE75" s="1490"/>
      <c r="AF75" s="1490"/>
      <c r="AG75" s="1490"/>
      <c r="AH75" s="1490"/>
      <c r="AI75" s="1490"/>
      <c r="AJ75" s="1490"/>
      <c r="AK75" s="1490"/>
      <c r="AL75" s="1490"/>
      <c r="AM75" s="1490"/>
      <c r="AN75" s="1490"/>
      <c r="AO75" s="1490"/>
      <c r="AP75" s="1490"/>
      <c r="AQ75" s="1490"/>
      <c r="AR75" s="1490"/>
      <c r="AS75" s="1490"/>
      <c r="AT75" s="1490"/>
      <c r="AU75" s="17"/>
      <c r="AV75" s="17"/>
      <c r="AW75" s="17"/>
      <c r="AX75" s="17"/>
      <c r="AY75" s="17"/>
      <c r="AZ75" s="17"/>
      <c r="BD75" s="1070" t="s">
        <v>753</v>
      </c>
      <c r="BE75" s="1072">
        <f>'Points System'!AF830</f>
        <v>10</v>
      </c>
    </row>
    <row r="76" spans="1:57" ht="13" customHeight="1">
      <c r="A76" s="1490"/>
      <c r="B76" s="1490"/>
      <c r="C76" s="1490"/>
      <c r="D76" s="1490"/>
      <c r="E76" s="1490"/>
      <c r="F76" s="1490"/>
      <c r="G76" s="1490"/>
      <c r="H76" s="1490"/>
      <c r="I76" s="1490"/>
      <c r="J76" s="1490"/>
      <c r="K76" s="1490"/>
      <c r="L76" s="1490"/>
      <c r="M76" s="1490"/>
      <c r="N76" s="1490"/>
      <c r="O76" s="1490"/>
      <c r="P76" s="1490"/>
      <c r="Q76" s="1490"/>
      <c r="R76" s="1490"/>
      <c r="S76" s="1490"/>
      <c r="T76" s="1490"/>
      <c r="U76" s="1490"/>
      <c r="V76" s="1490"/>
      <c r="W76" s="1490"/>
      <c r="X76" s="1490"/>
      <c r="Y76" s="1490"/>
      <c r="Z76" s="1490"/>
      <c r="AA76" s="1490"/>
      <c r="AB76" s="1490"/>
      <c r="AC76" s="1490"/>
      <c r="AD76" s="1490"/>
      <c r="AE76" s="1490"/>
      <c r="AF76" s="1490"/>
      <c r="AG76" s="1490"/>
      <c r="AH76" s="1490"/>
      <c r="AI76" s="1490"/>
      <c r="AJ76" s="1490"/>
      <c r="AK76" s="1490"/>
      <c r="AL76" s="1490"/>
      <c r="AM76" s="1490"/>
      <c r="AN76" s="1490"/>
      <c r="AO76" s="1490"/>
      <c r="AP76" s="1490"/>
      <c r="AQ76" s="1490"/>
      <c r="AR76" s="1490"/>
      <c r="AS76" s="1490"/>
      <c r="AT76" s="1490"/>
      <c r="AU76" s="17"/>
      <c r="AV76" s="17"/>
      <c r="AW76" s="17"/>
      <c r="AX76" s="17"/>
      <c r="AY76" s="17"/>
      <c r="AZ76" s="15"/>
      <c r="BD76" s="1071" t="s">
        <v>754</v>
      </c>
      <c r="BE76" s="1072">
        <f>'Points System'!AF833</f>
        <v>10</v>
      </c>
    </row>
    <row r="77" spans="1:57" ht="13" customHeight="1">
      <c r="A77" s="1490"/>
      <c r="B77" s="1490"/>
      <c r="C77" s="1490"/>
      <c r="D77" s="1490"/>
      <c r="E77" s="1490"/>
      <c r="F77" s="1490"/>
      <c r="G77" s="1490"/>
      <c r="H77" s="1490"/>
      <c r="I77" s="1490"/>
      <c r="J77" s="1490"/>
      <c r="K77" s="1490"/>
      <c r="L77" s="1490"/>
      <c r="M77" s="1490"/>
      <c r="N77" s="1490"/>
      <c r="O77" s="1490"/>
      <c r="P77" s="1490"/>
      <c r="Q77" s="1490"/>
      <c r="R77" s="1490"/>
      <c r="S77" s="1490"/>
      <c r="T77" s="1490"/>
      <c r="U77" s="1490"/>
      <c r="V77" s="1490"/>
      <c r="W77" s="1490"/>
      <c r="X77" s="1490"/>
      <c r="Y77" s="1490"/>
      <c r="Z77" s="1490"/>
      <c r="AA77" s="1490"/>
      <c r="AB77" s="1490"/>
      <c r="AC77" s="1490"/>
      <c r="AD77" s="1490"/>
      <c r="AE77" s="1490"/>
      <c r="AF77" s="1490"/>
      <c r="AG77" s="1490"/>
      <c r="AH77" s="1490"/>
      <c r="AI77" s="1490"/>
      <c r="AJ77" s="1490"/>
      <c r="AK77" s="1490"/>
      <c r="AL77" s="1490"/>
      <c r="AM77" s="1490"/>
      <c r="AN77" s="1490"/>
      <c r="AO77" s="1490"/>
      <c r="AP77" s="1490"/>
      <c r="AQ77" s="1490"/>
      <c r="AR77" s="1490"/>
      <c r="AS77" s="1490"/>
      <c r="AT77" s="1490"/>
      <c r="AU77" s="17"/>
      <c r="AV77" s="17"/>
      <c r="AW77" s="17"/>
      <c r="AX77" s="17"/>
      <c r="AY77" s="17"/>
      <c r="AZ77" s="15"/>
      <c r="BD77" s="1070" t="s">
        <v>755</v>
      </c>
      <c r="BE77" s="1072">
        <f>'Points System'!AF834</f>
        <v>0</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3" customHeight="1">
      <c r="A79" s="1241" t="s">
        <v>757</v>
      </c>
      <c r="B79" s="1241"/>
      <c r="C79" s="1241"/>
      <c r="D79" s="1241"/>
      <c r="E79" s="1241"/>
      <c r="F79" s="1241"/>
      <c r="G79" s="1241"/>
      <c r="H79" s="1241"/>
      <c r="I79" s="1241"/>
      <c r="J79" s="1241"/>
      <c r="K79" s="1241"/>
      <c r="L79" s="1241"/>
      <c r="M79" s="1241"/>
      <c r="N79" s="1241"/>
      <c r="O79" s="1241"/>
      <c r="P79" s="1241"/>
      <c r="Q79" s="1241"/>
      <c r="R79" s="1241"/>
      <c r="S79" s="1241"/>
      <c r="T79" s="1241"/>
      <c r="U79" s="1241"/>
      <c r="V79" s="1241"/>
      <c r="W79" s="1241"/>
      <c r="X79" s="1241"/>
      <c r="Y79" s="1241"/>
      <c r="Z79" s="1241"/>
      <c r="AA79" s="1241"/>
      <c r="AB79" s="1241"/>
      <c r="AC79" s="1241"/>
      <c r="AD79" s="1241"/>
      <c r="AE79" s="1241"/>
      <c r="AF79" s="1241"/>
      <c r="AG79" s="1241"/>
      <c r="AH79" s="1241"/>
      <c r="AI79" s="1241"/>
      <c r="AJ79" s="1241"/>
      <c r="AK79" s="1241"/>
      <c r="AL79" s="1241"/>
      <c r="AM79" s="1241"/>
      <c r="AN79" s="1241"/>
      <c r="AO79" s="1241"/>
      <c r="AP79" s="1241"/>
      <c r="AQ79" s="1241"/>
      <c r="AR79" s="1241"/>
      <c r="AS79" s="1241"/>
      <c r="AT79" s="1241"/>
      <c r="AU79" s="17"/>
      <c r="AV79" s="17"/>
      <c r="AW79" s="17"/>
      <c r="AX79" s="17"/>
      <c r="AY79" s="17"/>
      <c r="AZ79" s="17"/>
      <c r="BD79" s="1070" t="s">
        <v>758</v>
      </c>
      <c r="BE79" s="1072">
        <f>'Points System'!AF837</f>
        <v>9</v>
      </c>
    </row>
    <row r="80" spans="1:57" ht="13" customHeight="1">
      <c r="A80" s="1241"/>
      <c r="B80" s="1241"/>
      <c r="C80" s="1241"/>
      <c r="D80" s="1241"/>
      <c r="E80" s="1241"/>
      <c r="F80" s="1241"/>
      <c r="G80" s="1241"/>
      <c r="H80" s="1241"/>
      <c r="I80" s="1241"/>
      <c r="J80" s="1241"/>
      <c r="K80" s="1241"/>
      <c r="L80" s="1241"/>
      <c r="M80" s="1241"/>
      <c r="N80" s="1241"/>
      <c r="O80" s="1241"/>
      <c r="P80" s="1241"/>
      <c r="Q80" s="1241"/>
      <c r="R80" s="1241"/>
      <c r="S80" s="1241"/>
      <c r="T80" s="1241"/>
      <c r="U80" s="1241"/>
      <c r="V80" s="1241"/>
      <c r="W80" s="1241"/>
      <c r="X80" s="1241"/>
      <c r="Y80" s="1241"/>
      <c r="Z80" s="1241"/>
      <c r="AA80" s="1241"/>
      <c r="AB80" s="1241"/>
      <c r="AC80" s="1241"/>
      <c r="AD80" s="1241"/>
      <c r="AE80" s="1241"/>
      <c r="AF80" s="1241"/>
      <c r="AG80" s="1241"/>
      <c r="AH80" s="1241"/>
      <c r="AI80" s="1241"/>
      <c r="AJ80" s="1241"/>
      <c r="AK80" s="1241"/>
      <c r="AL80" s="1241"/>
      <c r="AM80" s="1241"/>
      <c r="AN80" s="1241"/>
      <c r="AO80" s="1241"/>
      <c r="AP80" s="1241"/>
      <c r="AQ80" s="1241"/>
      <c r="AR80" s="1241"/>
      <c r="AS80" s="1241"/>
      <c r="AT80" s="1241"/>
      <c r="AU80" s="17"/>
      <c r="AV80" s="17"/>
      <c r="AW80" s="17"/>
      <c r="AX80" s="17"/>
      <c r="AY80" s="17"/>
      <c r="AZ80" s="17"/>
      <c r="BD80" s="1071" t="s">
        <v>759</v>
      </c>
      <c r="BE80" s="1072">
        <f>'Points System'!AF839</f>
        <v>10</v>
      </c>
    </row>
    <row r="81" spans="1:57" ht="13" customHeight="1">
      <c r="A81" s="1241"/>
      <c r="B81" s="1241"/>
      <c r="C81" s="1241"/>
      <c r="D81" s="1241"/>
      <c r="E81" s="1241"/>
      <c r="F81" s="1241"/>
      <c r="G81" s="1241"/>
      <c r="H81" s="1241"/>
      <c r="I81" s="1241"/>
      <c r="J81" s="1241"/>
      <c r="K81" s="1241"/>
      <c r="L81" s="1241"/>
      <c r="M81" s="1241"/>
      <c r="N81" s="1241"/>
      <c r="O81" s="1241"/>
      <c r="P81" s="1241"/>
      <c r="Q81" s="1241"/>
      <c r="R81" s="1241"/>
      <c r="S81" s="1241"/>
      <c r="T81" s="1241"/>
      <c r="U81" s="1241"/>
      <c r="V81" s="1241"/>
      <c r="W81" s="1241"/>
      <c r="X81" s="1241"/>
      <c r="Y81" s="1241"/>
      <c r="Z81" s="1241"/>
      <c r="AA81" s="1241"/>
      <c r="AB81" s="1241"/>
      <c r="AC81" s="1241"/>
      <c r="AD81" s="1241"/>
      <c r="AE81" s="1241"/>
      <c r="AF81" s="1241"/>
      <c r="AG81" s="1241"/>
      <c r="AH81" s="1241"/>
      <c r="AI81" s="1241"/>
      <c r="AJ81" s="1241"/>
      <c r="AK81" s="1241"/>
      <c r="AL81" s="1241"/>
      <c r="AM81" s="1241"/>
      <c r="AN81" s="1241"/>
      <c r="AO81" s="1241"/>
      <c r="AP81" s="1241"/>
      <c r="AQ81" s="1241"/>
      <c r="AR81" s="1241"/>
      <c r="AS81" s="1241"/>
      <c r="AT81" s="1241"/>
      <c r="AU81" s="17"/>
      <c r="AV81" s="17"/>
      <c r="AW81" s="17"/>
      <c r="AX81" s="17"/>
      <c r="AY81" s="17"/>
      <c r="AZ81" s="17"/>
      <c r="BD81" s="1070" t="s">
        <v>760</v>
      </c>
      <c r="BE81" s="1072">
        <f>'Points System'!AF840</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3" customHeight="1">
      <c r="A83" s="1241" t="s">
        <v>762</v>
      </c>
      <c r="B83" s="1241"/>
      <c r="C83" s="1241"/>
      <c r="D83" s="1241"/>
      <c r="E83" s="1241"/>
      <c r="F83" s="1241"/>
      <c r="G83" s="1241"/>
      <c r="H83" s="1241"/>
      <c r="I83" s="1241"/>
      <c r="J83" s="1241"/>
      <c r="K83" s="1241"/>
      <c r="L83" s="1241"/>
      <c r="M83" s="1241"/>
      <c r="N83" s="1241"/>
      <c r="O83" s="1241"/>
      <c r="P83" s="1241"/>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c r="AL83" s="1241"/>
      <c r="AM83" s="1241"/>
      <c r="AN83" s="1241"/>
      <c r="AO83" s="1241"/>
      <c r="AP83" s="1241"/>
      <c r="AQ83" s="1241"/>
      <c r="AR83" s="1241"/>
      <c r="AS83" s="1241"/>
      <c r="AT83" s="1241"/>
      <c r="AU83" s="17"/>
      <c r="AV83" s="17"/>
      <c r="AW83" s="17"/>
      <c r="AX83" s="17"/>
      <c r="AY83" s="17"/>
      <c r="AZ83" s="17"/>
      <c r="BD83" s="1070" t="s">
        <v>763</v>
      </c>
      <c r="BE83" s="1076">
        <f>'Tie Breaker'!H5</f>
        <v>1.6665230329302609</v>
      </c>
    </row>
    <row r="84" spans="1:57" ht="13" customHeight="1">
      <c r="A84" s="1241"/>
      <c r="B84" s="1241"/>
      <c r="C84" s="1241"/>
      <c r="D84" s="1241"/>
      <c r="E84" s="1241"/>
      <c r="F84" s="1241"/>
      <c r="G84" s="1241"/>
      <c r="H84" s="1241"/>
      <c r="I84" s="1241"/>
      <c r="J84" s="1241"/>
      <c r="K84" s="1241"/>
      <c r="L84" s="1241"/>
      <c r="M84" s="1241"/>
      <c r="N84" s="1241"/>
      <c r="O84" s="1241"/>
      <c r="P84" s="1241"/>
      <c r="Q84" s="1241"/>
      <c r="R84" s="1241"/>
      <c r="S84" s="1241"/>
      <c r="T84" s="1241"/>
      <c r="U84" s="1241"/>
      <c r="V84" s="1241"/>
      <c r="W84" s="1241"/>
      <c r="X84" s="1241"/>
      <c r="Y84" s="1241"/>
      <c r="Z84" s="1241"/>
      <c r="AA84" s="1241"/>
      <c r="AB84" s="1241"/>
      <c r="AC84" s="1241"/>
      <c r="AD84" s="1241"/>
      <c r="AE84" s="1241"/>
      <c r="AF84" s="1241"/>
      <c r="AG84" s="1241"/>
      <c r="AH84" s="1241"/>
      <c r="AI84" s="1241"/>
      <c r="AJ84" s="1241"/>
      <c r="AK84" s="1241"/>
      <c r="AL84" s="1241"/>
      <c r="AM84" s="1241"/>
      <c r="AN84" s="1241"/>
      <c r="AO84" s="1241"/>
      <c r="AP84" s="1241"/>
      <c r="AQ84" s="1241"/>
      <c r="AR84" s="1241"/>
      <c r="AS84" s="1241"/>
      <c r="AT84" s="1241"/>
      <c r="AU84" s="17"/>
      <c r="AV84" s="17"/>
      <c r="AW84" s="17"/>
      <c r="AX84" s="17"/>
      <c r="AY84" s="17"/>
      <c r="AZ84" s="17"/>
      <c r="BD84" s="1071" t="s">
        <v>764</v>
      </c>
      <c r="BE84" s="1072" t="str">
        <f>Application!O153</f>
        <v>City of Gilroy, Housing and Community Development Department</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Ms.Marilyn L. Roaf</v>
      </c>
    </row>
    <row r="86" spans="1:57" ht="13" customHeight="1">
      <c r="A86" s="1241" t="s">
        <v>766</v>
      </c>
      <c r="B86" s="1241"/>
      <c r="C86" s="1241"/>
      <c r="D86" s="1241"/>
      <c r="E86" s="1241"/>
      <c r="F86" s="1241"/>
      <c r="G86" s="1241"/>
      <c r="H86" s="1241"/>
      <c r="I86" s="1241"/>
      <c r="J86" s="1241"/>
      <c r="K86" s="1241"/>
      <c r="L86" s="1241"/>
      <c r="M86" s="1241"/>
      <c r="N86" s="1241"/>
      <c r="O86" s="1241"/>
      <c r="P86" s="1241"/>
      <c r="Q86" s="1241"/>
      <c r="R86" s="1241"/>
      <c r="S86" s="1241"/>
      <c r="T86" s="1241"/>
      <c r="U86" s="1241"/>
      <c r="V86" s="1241"/>
      <c r="W86" s="1241"/>
      <c r="X86" s="1241"/>
      <c r="Y86" s="1241"/>
      <c r="Z86" s="1241"/>
      <c r="AA86" s="1241"/>
      <c r="AB86" s="1241"/>
      <c r="AC86" s="1241"/>
      <c r="AD86" s="1241"/>
      <c r="AE86" s="1241"/>
      <c r="AF86" s="1241"/>
      <c r="AG86" s="1241"/>
      <c r="AH86" s="1241"/>
      <c r="AI86" s="1241"/>
      <c r="AJ86" s="1241"/>
      <c r="AK86" s="1241"/>
      <c r="AL86" s="1241"/>
      <c r="AM86" s="1241"/>
      <c r="AN86" s="1241"/>
      <c r="AO86" s="1241"/>
      <c r="AP86" s="1241"/>
      <c r="AQ86" s="1241"/>
      <c r="AR86" s="1241"/>
      <c r="AS86" s="1241"/>
      <c r="AT86" s="1241"/>
      <c r="AU86" s="17"/>
      <c r="AV86" s="17"/>
      <c r="AW86" s="17"/>
      <c r="AX86" s="17"/>
      <c r="AY86" s="17"/>
      <c r="AZ86" s="17"/>
      <c r="BD86" s="1071" t="s">
        <v>767</v>
      </c>
      <c r="BE86" s="1072" t="str">
        <f>Application!O155</f>
        <v>HCD Coordinator</v>
      </c>
    </row>
    <row r="87" spans="1:57" ht="13" customHeight="1">
      <c r="A87" s="1241"/>
      <c r="B87" s="1241"/>
      <c r="C87" s="1241"/>
      <c r="D87" s="1241"/>
      <c r="E87" s="1241"/>
      <c r="F87" s="1241"/>
      <c r="G87" s="1241"/>
      <c r="H87" s="1241"/>
      <c r="I87" s="1241"/>
      <c r="J87" s="1241"/>
      <c r="K87" s="1241"/>
      <c r="L87" s="1241"/>
      <c r="M87" s="1241"/>
      <c r="N87" s="1241"/>
      <c r="O87" s="1241"/>
      <c r="P87" s="1241"/>
      <c r="Q87" s="1241"/>
      <c r="R87" s="1241"/>
      <c r="S87" s="1241"/>
      <c r="T87" s="1241"/>
      <c r="U87" s="1241"/>
      <c r="V87" s="1241"/>
      <c r="W87" s="1241"/>
      <c r="X87" s="1241"/>
      <c r="Y87" s="1241"/>
      <c r="Z87" s="1241"/>
      <c r="AA87" s="1241"/>
      <c r="AB87" s="1241"/>
      <c r="AC87" s="1241"/>
      <c r="AD87" s="1241"/>
      <c r="AE87" s="1241"/>
      <c r="AF87" s="1241"/>
      <c r="AG87" s="1241"/>
      <c r="AH87" s="1241"/>
      <c r="AI87" s="1241"/>
      <c r="AJ87" s="1241"/>
      <c r="AK87" s="1241"/>
      <c r="AL87" s="1241"/>
      <c r="AM87" s="1241"/>
      <c r="AN87" s="1241"/>
      <c r="AO87" s="1241"/>
      <c r="AP87" s="1241"/>
      <c r="AQ87" s="1241"/>
      <c r="AR87" s="1241"/>
      <c r="AS87" s="1241"/>
      <c r="AT87" s="1241"/>
      <c r="AU87" s="17"/>
      <c r="AV87" s="17"/>
      <c r="AW87" s="17"/>
      <c r="AX87" s="17"/>
      <c r="AY87" s="17"/>
      <c r="AZ87" s="17"/>
      <c r="BD87" s="1070" t="s">
        <v>768</v>
      </c>
      <c r="BE87" s="1072" t="str">
        <f>Application!O156</f>
        <v>7351 Rosanna St</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Gilroy</v>
      </c>
    </row>
    <row r="89" spans="1:57" ht="13" customHeight="1">
      <c r="A89" s="1231" t="s">
        <v>770</v>
      </c>
      <c r="B89" s="1231"/>
      <c r="C89" s="1231"/>
      <c r="D89" s="1231"/>
      <c r="E89" s="1231"/>
      <c r="F89" s="1231"/>
      <c r="G89" s="1231"/>
      <c r="H89" s="1231"/>
      <c r="I89" s="1231"/>
      <c r="J89" s="1231"/>
      <c r="K89" s="1231"/>
      <c r="L89" s="1231"/>
      <c r="M89" s="1231"/>
      <c r="N89" s="1231"/>
      <c r="O89" s="1231"/>
      <c r="P89" s="1231"/>
      <c r="Q89" s="1231"/>
      <c r="R89" s="1231"/>
      <c r="S89" s="1231"/>
      <c r="T89" s="1231"/>
      <c r="U89" s="1231"/>
      <c r="V89" s="1231"/>
      <c r="W89" s="1231"/>
      <c r="X89" s="1231"/>
      <c r="Y89" s="1231"/>
      <c r="Z89" s="1231"/>
      <c r="AA89" s="1231"/>
      <c r="AB89" s="1231"/>
      <c r="AC89" s="1231"/>
      <c r="AD89" s="1231"/>
      <c r="AE89" s="1231"/>
      <c r="AF89" s="1231"/>
      <c r="AG89" s="1231"/>
      <c r="AH89" s="1231"/>
      <c r="AI89" s="1231"/>
      <c r="AJ89" s="1231"/>
      <c r="AK89" s="1231"/>
      <c r="AL89" s="1231"/>
      <c r="AM89" s="1231"/>
      <c r="AN89" s="1231"/>
      <c r="AO89" s="1231"/>
      <c r="AP89" s="1231"/>
      <c r="AQ89" s="1231"/>
      <c r="AR89" s="1231"/>
      <c r="AS89" s="1231"/>
      <c r="AT89" s="1231"/>
      <c r="AU89" s="15"/>
      <c r="AV89" s="15"/>
      <c r="AW89" s="15"/>
      <c r="AX89" s="15"/>
      <c r="AY89" s="15"/>
      <c r="AZ89" s="17"/>
      <c r="BD89" s="1070" t="s">
        <v>771</v>
      </c>
      <c r="BE89" s="1072">
        <f>Application!O158</f>
        <v>95020</v>
      </c>
    </row>
    <row r="90" spans="1:57" ht="13" customHeight="1">
      <c r="A90" s="1231"/>
      <c r="B90" s="1231"/>
      <c r="C90" s="1231"/>
      <c r="D90" s="1231"/>
      <c r="E90" s="1231"/>
      <c r="F90" s="1231"/>
      <c r="G90" s="1231"/>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c r="AL90" s="1231"/>
      <c r="AM90" s="1231"/>
      <c r="AN90" s="1231"/>
      <c r="AO90" s="1231"/>
      <c r="AP90" s="1231"/>
      <c r="AQ90" s="1231"/>
      <c r="AR90" s="1231"/>
      <c r="AS90" s="1231"/>
      <c r="AT90" s="1231"/>
      <c r="AU90" s="15"/>
      <c r="AV90" s="15"/>
      <c r="AW90" s="15"/>
      <c r="AX90" s="15"/>
      <c r="AY90" s="15"/>
      <c r="AZ90" s="17"/>
      <c r="BD90" s="1071" t="s">
        <v>772</v>
      </c>
      <c r="BE90" s="1072" t="str">
        <f>Application!H16</f>
        <v>CRP Monterey LP</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122 E 42nd Street, Suite 1903</v>
      </c>
    </row>
    <row r="92" spans="1:57" ht="13" customHeight="1">
      <c r="A92" s="1490" t="s">
        <v>774</v>
      </c>
      <c r="B92" s="1490"/>
      <c r="C92" s="1490"/>
      <c r="D92" s="1490"/>
      <c r="E92" s="1490"/>
      <c r="F92" s="1490"/>
      <c r="G92" s="1490"/>
      <c r="H92" s="1490"/>
      <c r="I92" s="1490"/>
      <c r="J92" s="1490"/>
      <c r="K92" s="1490"/>
      <c r="L92" s="1490"/>
      <c r="M92" s="1490"/>
      <c r="N92" s="1490"/>
      <c r="O92" s="1490"/>
      <c r="P92" s="1490"/>
      <c r="Q92" s="1490"/>
      <c r="R92" s="1490"/>
      <c r="S92" s="1490"/>
      <c r="T92" s="1490"/>
      <c r="U92" s="1490"/>
      <c r="V92" s="1490"/>
      <c r="W92" s="1490"/>
      <c r="X92" s="1490"/>
      <c r="Y92" s="1490"/>
      <c r="Z92" s="1490"/>
      <c r="AA92" s="1490"/>
      <c r="AB92" s="1490"/>
      <c r="AC92" s="1490"/>
      <c r="AD92" s="1490"/>
      <c r="AE92" s="1490"/>
      <c r="AF92" s="1490"/>
      <c r="AG92" s="1490"/>
      <c r="AH92" s="1490"/>
      <c r="AI92" s="1490"/>
      <c r="AJ92" s="1490"/>
      <c r="AK92" s="1490"/>
      <c r="AL92" s="1490"/>
      <c r="AM92" s="1490"/>
      <c r="AN92" s="1490"/>
      <c r="AO92" s="1490"/>
      <c r="AP92" s="1490"/>
      <c r="AQ92" s="1490"/>
      <c r="AR92" s="1490"/>
      <c r="AS92" s="1490"/>
      <c r="AT92" s="1490"/>
      <c r="AU92" s="17"/>
      <c r="AV92" s="17"/>
      <c r="AW92" s="17"/>
      <c r="AX92" s="17"/>
      <c r="AY92" s="17"/>
      <c r="AZ92" s="17"/>
      <c r="BD92" s="1071" t="s">
        <v>775</v>
      </c>
      <c r="BE92" s="1072" t="str">
        <f>Application!M243</f>
        <v>New York</v>
      </c>
    </row>
    <row r="93" spans="1:57" ht="13" customHeight="1">
      <c r="A93" s="1490"/>
      <c r="B93" s="1490"/>
      <c r="C93" s="1490"/>
      <c r="D93" s="1490"/>
      <c r="E93" s="1490"/>
      <c r="F93" s="1490"/>
      <c r="G93" s="1490"/>
      <c r="H93" s="1490"/>
      <c r="I93" s="1490"/>
      <c r="J93" s="1490"/>
      <c r="K93" s="1490"/>
      <c r="L93" s="1490"/>
      <c r="M93" s="1490"/>
      <c r="N93" s="1490"/>
      <c r="O93" s="1490"/>
      <c r="P93" s="1490"/>
      <c r="Q93" s="1490"/>
      <c r="R93" s="1490"/>
      <c r="S93" s="1490"/>
      <c r="T93" s="1490"/>
      <c r="U93" s="1490"/>
      <c r="V93" s="1490"/>
      <c r="W93" s="1490"/>
      <c r="X93" s="1490"/>
      <c r="Y93" s="1490"/>
      <c r="Z93" s="1490"/>
      <c r="AA93" s="1490"/>
      <c r="AB93" s="1490"/>
      <c r="AC93" s="1490"/>
      <c r="AD93" s="1490"/>
      <c r="AE93" s="1490"/>
      <c r="AF93" s="1490"/>
      <c r="AG93" s="1490"/>
      <c r="AH93" s="1490"/>
      <c r="AI93" s="1490"/>
      <c r="AJ93" s="1490"/>
      <c r="AK93" s="1490"/>
      <c r="AL93" s="1490"/>
      <c r="AM93" s="1490"/>
      <c r="AN93" s="1490"/>
      <c r="AO93" s="1490"/>
      <c r="AP93" s="1490"/>
      <c r="AQ93" s="1490"/>
      <c r="AR93" s="1490"/>
      <c r="AS93" s="1490"/>
      <c r="AT93" s="1490"/>
      <c r="AU93" s="17"/>
      <c r="AV93" s="17"/>
      <c r="AW93" s="17"/>
      <c r="AX93" s="17"/>
      <c r="AY93" s="17"/>
      <c r="AZ93" s="17"/>
      <c r="BD93" s="1070" t="s">
        <v>776</v>
      </c>
      <c r="BE93" s="1072" t="str">
        <f>Application!W243</f>
        <v>NY</v>
      </c>
    </row>
    <row r="94" spans="1:57" ht="13" customHeight="1">
      <c r="A94" s="1490"/>
      <c r="B94" s="1490"/>
      <c r="C94" s="1490"/>
      <c r="D94" s="1490"/>
      <c r="E94" s="1490"/>
      <c r="F94" s="1490"/>
      <c r="G94" s="1490"/>
      <c r="H94" s="1490"/>
      <c r="I94" s="1490"/>
      <c r="J94" s="1490"/>
      <c r="K94" s="1490"/>
      <c r="L94" s="1490"/>
      <c r="M94" s="1490"/>
      <c r="N94" s="1490"/>
      <c r="O94" s="1490"/>
      <c r="P94" s="1490"/>
      <c r="Q94" s="1490"/>
      <c r="R94" s="1490"/>
      <c r="S94" s="1490"/>
      <c r="T94" s="1490"/>
      <c r="U94" s="1490"/>
      <c r="V94" s="1490"/>
      <c r="W94" s="1490"/>
      <c r="X94" s="1490"/>
      <c r="Y94" s="1490"/>
      <c r="Z94" s="1490"/>
      <c r="AA94" s="1490"/>
      <c r="AB94" s="1490"/>
      <c r="AC94" s="1490"/>
      <c r="AD94" s="1490"/>
      <c r="AE94" s="1490"/>
      <c r="AF94" s="1490"/>
      <c r="AG94" s="1490"/>
      <c r="AH94" s="1490"/>
      <c r="AI94" s="1490"/>
      <c r="AJ94" s="1490"/>
      <c r="AK94" s="1490"/>
      <c r="AL94" s="1490"/>
      <c r="AM94" s="1490"/>
      <c r="AN94" s="1490"/>
      <c r="AO94" s="1490"/>
      <c r="AP94" s="1490"/>
      <c r="AQ94" s="1490"/>
      <c r="AR94" s="1490"/>
      <c r="AS94" s="1490"/>
      <c r="AT94" s="1490"/>
      <c r="AU94" s="17"/>
      <c r="AV94" s="17"/>
      <c r="AW94" s="17"/>
      <c r="AX94" s="17"/>
      <c r="AY94" s="17"/>
      <c r="AZ94" s="17"/>
      <c r="BD94" s="1071" t="s">
        <v>777</v>
      </c>
      <c r="BE94" s="1072">
        <f>Application!AC243</f>
        <v>10168</v>
      </c>
    </row>
    <row r="95" spans="1:57" ht="13" customHeight="1">
      <c r="A95" s="1490"/>
      <c r="B95" s="1490"/>
      <c r="C95" s="1490"/>
      <c r="D95" s="1490"/>
      <c r="E95" s="1490"/>
      <c r="F95" s="1490"/>
      <c r="G95" s="1490"/>
      <c r="H95" s="1490"/>
      <c r="I95" s="1490"/>
      <c r="J95" s="1490"/>
      <c r="K95" s="1490"/>
      <c r="L95" s="1490"/>
      <c r="M95" s="1490"/>
      <c r="N95" s="1490"/>
      <c r="O95" s="1490"/>
      <c r="P95" s="1490"/>
      <c r="Q95" s="1490"/>
      <c r="R95" s="1490"/>
      <c r="S95" s="1490"/>
      <c r="T95" s="1490"/>
      <c r="U95" s="1490"/>
      <c r="V95" s="1490"/>
      <c r="W95" s="1490"/>
      <c r="X95" s="1490"/>
      <c r="Y95" s="1490"/>
      <c r="Z95" s="1490"/>
      <c r="AA95" s="1490"/>
      <c r="AB95" s="1490"/>
      <c r="AC95" s="1490"/>
      <c r="AD95" s="1490"/>
      <c r="AE95" s="1490"/>
      <c r="AF95" s="1490"/>
      <c r="AG95" s="1490"/>
      <c r="AH95" s="1490"/>
      <c r="AI95" s="1490"/>
      <c r="AJ95" s="1490"/>
      <c r="AK95" s="1490"/>
      <c r="AL95" s="1490"/>
      <c r="AM95" s="1490"/>
      <c r="AN95" s="1490"/>
      <c r="AO95" s="1490"/>
      <c r="AP95" s="1490"/>
      <c r="AQ95" s="1490"/>
      <c r="AR95" s="1490"/>
      <c r="AS95" s="1490"/>
      <c r="AT95" s="1490"/>
      <c r="AU95" s="17"/>
      <c r="AV95" s="17"/>
      <c r="AW95" s="17"/>
      <c r="AX95" s="17"/>
      <c r="AY95" s="17"/>
      <c r="AZ95" s="17"/>
      <c r="BD95" s="1070" t="s">
        <v>778</v>
      </c>
      <c r="BE95" s="1072" t="str">
        <f>Application!M244</f>
        <v>Paul Salib</v>
      </c>
    </row>
    <row r="96" spans="1:57" ht="13" customHeight="1">
      <c r="A96" s="1490"/>
      <c r="B96" s="1490"/>
      <c r="C96" s="1490"/>
      <c r="D96" s="1490"/>
      <c r="E96" s="1490"/>
      <c r="F96" s="1490"/>
      <c r="G96" s="1490"/>
      <c r="H96" s="1490"/>
      <c r="I96" s="1490"/>
      <c r="J96" s="1490"/>
      <c r="K96" s="1490"/>
      <c r="L96" s="1490"/>
      <c r="M96" s="1490"/>
      <c r="N96" s="1490"/>
      <c r="O96" s="1490"/>
      <c r="P96" s="1490"/>
      <c r="Q96" s="1490"/>
      <c r="R96" s="1490"/>
      <c r="S96" s="1490"/>
      <c r="T96" s="1490"/>
      <c r="U96" s="1490"/>
      <c r="V96" s="1490"/>
      <c r="W96" s="1490"/>
      <c r="X96" s="1490"/>
      <c r="Y96" s="1490"/>
      <c r="Z96" s="1490"/>
      <c r="AA96" s="1490"/>
      <c r="AB96" s="1490"/>
      <c r="AC96" s="1490"/>
      <c r="AD96" s="1490"/>
      <c r="AE96" s="1490"/>
      <c r="AF96" s="1490"/>
      <c r="AG96" s="1490"/>
      <c r="AH96" s="1490"/>
      <c r="AI96" s="1490"/>
      <c r="AJ96" s="1490"/>
      <c r="AK96" s="1490"/>
      <c r="AL96" s="1490"/>
      <c r="AM96" s="1490"/>
      <c r="AN96" s="1490"/>
      <c r="AO96" s="1490"/>
      <c r="AP96" s="1490"/>
      <c r="AQ96" s="1490"/>
      <c r="AR96" s="1490"/>
      <c r="AS96" s="1490"/>
      <c r="AT96" s="1490"/>
      <c r="AU96" s="17"/>
      <c r="AV96" s="17"/>
      <c r="AW96" s="17"/>
      <c r="AX96" s="17"/>
      <c r="AY96" s="17"/>
      <c r="AZ96" s="17"/>
      <c r="BD96" s="1071" t="s">
        <v>779</v>
      </c>
      <c r="BE96" s="1072" t="str">
        <f>Application!M246</f>
        <v>psalib@crpaffordable.com</v>
      </c>
    </row>
    <row r="97" spans="1:57" ht="13" customHeight="1">
      <c r="A97" s="1490"/>
      <c r="B97" s="1490"/>
      <c r="C97" s="1490"/>
      <c r="D97" s="1490"/>
      <c r="E97" s="1490"/>
      <c r="F97" s="1490"/>
      <c r="G97" s="1490"/>
      <c r="H97" s="1490"/>
      <c r="I97" s="1490"/>
      <c r="J97" s="1490"/>
      <c r="K97" s="1490"/>
      <c r="L97" s="1490"/>
      <c r="M97" s="1490"/>
      <c r="N97" s="1490"/>
      <c r="O97" s="1490"/>
      <c r="P97" s="1490"/>
      <c r="Q97" s="1490"/>
      <c r="R97" s="1490"/>
      <c r="S97" s="1490"/>
      <c r="T97" s="1490"/>
      <c r="U97" s="1490"/>
      <c r="V97" s="1490"/>
      <c r="W97" s="1490"/>
      <c r="X97" s="1490"/>
      <c r="Y97" s="1490"/>
      <c r="Z97" s="1490"/>
      <c r="AA97" s="1490"/>
      <c r="AB97" s="1490"/>
      <c r="AC97" s="1490"/>
      <c r="AD97" s="1490"/>
      <c r="AE97" s="1490"/>
      <c r="AF97" s="1490"/>
      <c r="AG97" s="1490"/>
      <c r="AH97" s="1490"/>
      <c r="AI97" s="1490"/>
      <c r="AJ97" s="1490"/>
      <c r="AK97" s="1490"/>
      <c r="AL97" s="1490"/>
      <c r="AM97" s="1490"/>
      <c r="AN97" s="1490"/>
      <c r="AO97" s="1490"/>
      <c r="AP97" s="1490"/>
      <c r="AQ97" s="1490"/>
      <c r="AR97" s="1490"/>
      <c r="AS97" s="1490"/>
      <c r="AT97" s="1490"/>
      <c r="AU97" s="17"/>
      <c r="AV97" s="17"/>
      <c r="AW97" s="17"/>
      <c r="AX97" s="17"/>
      <c r="AY97" s="17"/>
      <c r="AZ97" s="17"/>
      <c r="BD97" s="1070" t="s">
        <v>780</v>
      </c>
      <c r="BE97" s="1072" t="str">
        <f>Application!M257</f>
        <v>david@crdc.org</v>
      </c>
    </row>
    <row r="98" spans="1:57" ht="13" customHeight="1">
      <c r="A98" s="1490"/>
      <c r="B98" s="1490"/>
      <c r="C98" s="1490"/>
      <c r="D98" s="1490"/>
      <c r="E98" s="1490"/>
      <c r="F98" s="1490"/>
      <c r="G98" s="1490"/>
      <c r="H98" s="1490"/>
      <c r="I98" s="1490"/>
      <c r="J98" s="1490"/>
      <c r="K98" s="1490"/>
      <c r="L98" s="1490"/>
      <c r="M98" s="1490"/>
      <c r="N98" s="1490"/>
      <c r="O98" s="1490"/>
      <c r="P98" s="1490"/>
      <c r="Q98" s="1490"/>
      <c r="R98" s="1490"/>
      <c r="S98" s="1490"/>
      <c r="T98" s="1490"/>
      <c r="U98" s="1490"/>
      <c r="V98" s="1490"/>
      <c r="W98" s="1490"/>
      <c r="X98" s="1490"/>
      <c r="Y98" s="1490"/>
      <c r="Z98" s="1490"/>
      <c r="AA98" s="1490"/>
      <c r="AB98" s="1490"/>
      <c r="AC98" s="1490"/>
      <c r="AD98" s="1490"/>
      <c r="AE98" s="1490"/>
      <c r="AF98" s="1490"/>
      <c r="AG98" s="1490"/>
      <c r="AH98" s="1490"/>
      <c r="AI98" s="1490"/>
      <c r="AJ98" s="1490"/>
      <c r="AK98" s="1490"/>
      <c r="AL98" s="1490"/>
      <c r="AM98" s="1490"/>
      <c r="AN98" s="1490"/>
      <c r="AO98" s="1490"/>
      <c r="AP98" s="1490"/>
      <c r="AQ98" s="1490"/>
      <c r="AR98" s="1490"/>
      <c r="AS98" s="1490"/>
      <c r="AT98" s="1490"/>
      <c r="AU98" s="17"/>
      <c r="AV98" s="17"/>
      <c r="AW98" s="17"/>
      <c r="AX98" s="17"/>
      <c r="AY98" s="17"/>
      <c r="AZ98" s="17"/>
      <c r="BD98" s="1071" t="s">
        <v>781</v>
      </c>
      <c r="BE98" s="1072" t="str">
        <f>Application!M265</f>
        <v>psalib@crpaffordable.com</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3" customHeight="1">
      <c r="A100" s="1500" t="s">
        <v>783</v>
      </c>
      <c r="B100" s="1500"/>
      <c r="C100" s="1500"/>
      <c r="D100" s="1500"/>
      <c r="E100" s="1500"/>
      <c r="F100" s="1500"/>
      <c r="G100" s="1500"/>
      <c r="H100" s="1500"/>
      <c r="I100" s="1500"/>
      <c r="J100" s="1500"/>
      <c r="K100" s="1500"/>
      <c r="L100" s="1500"/>
      <c r="M100" s="1500"/>
      <c r="N100" s="1500"/>
      <c r="O100" s="1500"/>
      <c r="P100" s="1500"/>
      <c r="Q100" s="1500"/>
      <c r="R100" s="1500"/>
      <c r="S100" s="1500"/>
      <c r="T100" s="1500"/>
      <c r="U100" s="1500"/>
      <c r="V100" s="1500"/>
      <c r="W100" s="1500"/>
      <c r="X100" s="1500"/>
      <c r="Y100" s="1500"/>
      <c r="Z100" s="1500"/>
      <c r="AA100" s="1500"/>
      <c r="AB100" s="1500"/>
      <c r="AC100" s="1500"/>
      <c r="AD100" s="1500"/>
      <c r="AE100" s="1500"/>
      <c r="AF100" s="1500"/>
      <c r="AG100" s="1500"/>
      <c r="AH100" s="1500"/>
      <c r="AI100" s="1500"/>
      <c r="AJ100" s="1500"/>
      <c r="AK100" s="1500"/>
      <c r="AL100" s="1500"/>
      <c r="AM100" s="1500"/>
      <c r="AN100" s="1500"/>
      <c r="AO100" s="1500"/>
      <c r="AP100" s="1500"/>
      <c r="AQ100" s="1500"/>
      <c r="AR100" s="1500"/>
      <c r="AS100" s="1500"/>
      <c r="AT100" s="1500"/>
      <c r="AU100" s="17"/>
      <c r="AV100" s="17"/>
      <c r="AW100" s="17"/>
      <c r="AX100" s="17"/>
      <c r="AY100" s="17"/>
      <c r="AZ100" s="17"/>
      <c r="BD100" s="1071" t="s">
        <v>784</v>
      </c>
      <c r="BE100" s="1072" t="str">
        <f>Application!L288</f>
        <v>ssterneck@crpaffordable.com</v>
      </c>
    </row>
    <row r="101" spans="1:57" ht="13" customHeight="1">
      <c r="A101" s="1500"/>
      <c r="B101" s="1500"/>
      <c r="C101" s="1500"/>
      <c r="D101" s="1500"/>
      <c r="E101" s="1500"/>
      <c r="F101" s="1500"/>
      <c r="G101" s="1500"/>
      <c r="H101" s="1500"/>
      <c r="I101" s="1500"/>
      <c r="J101" s="1500"/>
      <c r="K101" s="1500"/>
      <c r="L101" s="1500"/>
      <c r="M101" s="1500"/>
      <c r="N101" s="1500"/>
      <c r="O101" s="1500"/>
      <c r="P101" s="1500"/>
      <c r="Q101" s="1500"/>
      <c r="R101" s="1500"/>
      <c r="S101" s="1500"/>
      <c r="T101" s="1500"/>
      <c r="U101" s="1500"/>
      <c r="V101" s="1500"/>
      <c r="W101" s="1500"/>
      <c r="X101" s="1500"/>
      <c r="Y101" s="1500"/>
      <c r="Z101" s="1500"/>
      <c r="AA101" s="1500"/>
      <c r="AB101" s="1500"/>
      <c r="AC101" s="1500"/>
      <c r="AD101" s="1500"/>
      <c r="AE101" s="1500"/>
      <c r="AF101" s="1500"/>
      <c r="AG101" s="1500"/>
      <c r="AH101" s="1500"/>
      <c r="AI101" s="1500"/>
      <c r="AJ101" s="1500"/>
      <c r="AK101" s="1500"/>
      <c r="AL101" s="1500"/>
      <c r="AM101" s="1500"/>
      <c r="AN101" s="1500"/>
      <c r="AO101" s="1500"/>
      <c r="AP101" s="1500"/>
      <c r="AQ101" s="1500"/>
      <c r="AR101" s="1500"/>
      <c r="AS101" s="1500"/>
      <c r="AT101" s="1500"/>
      <c r="AU101" s="17"/>
      <c r="AV101" s="17"/>
      <c r="AW101" s="17"/>
      <c r="AX101" s="17"/>
      <c r="AY101" s="17"/>
      <c r="AZ101" s="17"/>
      <c r="BD101" s="3" t="s">
        <v>785</v>
      </c>
      <c r="BE101">
        <f>'Sources and Uses Budget'!C105</f>
        <v>78307447</v>
      </c>
    </row>
    <row r="102" spans="1:57" ht="13" customHeight="1">
      <c r="A102" s="1500"/>
      <c r="B102" s="1500"/>
      <c r="C102" s="1500"/>
      <c r="D102" s="1500"/>
      <c r="E102" s="1500"/>
      <c r="F102" s="1500"/>
      <c r="G102" s="1500"/>
      <c r="H102" s="1500"/>
      <c r="I102" s="1500"/>
      <c r="J102" s="1500"/>
      <c r="K102" s="1500"/>
      <c r="L102" s="1500"/>
      <c r="M102" s="1500"/>
      <c r="N102" s="1500"/>
      <c r="O102" s="1500"/>
      <c r="P102" s="1500"/>
      <c r="Q102" s="1500"/>
      <c r="R102" s="1500"/>
      <c r="S102" s="1500"/>
      <c r="T102" s="1500"/>
      <c r="U102" s="1500"/>
      <c r="V102" s="1500"/>
      <c r="W102" s="1500"/>
      <c r="X102" s="1500"/>
      <c r="Y102" s="1500"/>
      <c r="Z102" s="1500"/>
      <c r="AA102" s="1500"/>
      <c r="AB102" s="1500"/>
      <c r="AC102" s="1500"/>
      <c r="AD102" s="1500"/>
      <c r="AE102" s="1500"/>
      <c r="AF102" s="1500"/>
      <c r="AG102" s="1500"/>
      <c r="AH102" s="1500"/>
      <c r="AI102" s="1500"/>
      <c r="AJ102" s="1500"/>
      <c r="AK102" s="1500"/>
      <c r="AL102" s="1500"/>
      <c r="AM102" s="1500"/>
      <c r="AN102" s="1500"/>
      <c r="AO102" s="1500"/>
      <c r="AP102" s="1500"/>
      <c r="AQ102" s="1500"/>
      <c r="AR102" s="1500"/>
      <c r="AS102" s="1500"/>
      <c r="AT102" s="1500"/>
      <c r="AU102" s="17"/>
      <c r="AV102" s="17"/>
      <c r="AW102" s="17"/>
      <c r="AX102" s="17"/>
      <c r="AY102" s="17"/>
      <c r="AZ102" s="17"/>
      <c r="BD102" s="3" t="s">
        <v>786</v>
      </c>
      <c r="BE102" t="b">
        <f>T197="Yes"</f>
        <v>0</v>
      </c>
    </row>
    <row r="103" spans="1:57" ht="13" customHeight="1">
      <c r="A103" s="1500"/>
      <c r="B103" s="1500"/>
      <c r="C103" s="1500"/>
      <c r="D103" s="1500"/>
      <c r="E103" s="1500"/>
      <c r="F103" s="1500"/>
      <c r="G103" s="1500"/>
      <c r="H103" s="1500"/>
      <c r="I103" s="1500"/>
      <c r="J103" s="1500"/>
      <c r="K103" s="1500"/>
      <c r="L103" s="1500"/>
      <c r="M103" s="1500"/>
      <c r="N103" s="1500"/>
      <c r="O103" s="1500"/>
      <c r="P103" s="1500"/>
      <c r="Q103" s="1500"/>
      <c r="R103" s="1500"/>
      <c r="S103" s="1500"/>
      <c r="T103" s="1500"/>
      <c r="U103" s="1500"/>
      <c r="V103" s="1500"/>
      <c r="W103" s="1500"/>
      <c r="X103" s="1500"/>
      <c r="Y103" s="1500"/>
      <c r="Z103" s="1500"/>
      <c r="AA103" s="1500"/>
      <c r="AB103" s="1500"/>
      <c r="AC103" s="1500"/>
      <c r="AD103" s="1500"/>
      <c r="AE103" s="1500"/>
      <c r="AF103" s="1500"/>
      <c r="AG103" s="1500"/>
      <c r="AH103" s="1500"/>
      <c r="AI103" s="1500"/>
      <c r="AJ103" s="1500"/>
      <c r="AK103" s="1500"/>
      <c r="AL103" s="1500"/>
      <c r="AM103" s="1500"/>
      <c r="AN103" s="1500"/>
      <c r="AO103" s="1500"/>
      <c r="AP103" s="1500"/>
      <c r="AQ103" s="1500"/>
      <c r="AR103" s="1500"/>
      <c r="AS103" s="1500"/>
      <c r="AT103" s="1500"/>
      <c r="AU103" s="17"/>
      <c r="AV103" s="17"/>
      <c r="AW103" s="17"/>
      <c r="AX103" s="17"/>
      <c r="AY103" s="17"/>
      <c r="BD103" t="s">
        <v>787</v>
      </c>
      <c r="BE103" s="1072"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3" customHeight="1">
      <c r="A105" s="1500" t="s">
        <v>789</v>
      </c>
      <c r="B105" s="1500"/>
      <c r="C105" s="1500"/>
      <c r="D105" s="1500"/>
      <c r="E105" s="1500"/>
      <c r="F105" s="1500"/>
      <c r="G105" s="1500"/>
      <c r="H105" s="1500"/>
      <c r="I105" s="1500"/>
      <c r="J105" s="1500"/>
      <c r="K105" s="1500"/>
      <c r="L105" s="1500"/>
      <c r="M105" s="1500"/>
      <c r="N105" s="1500"/>
      <c r="O105" s="1500"/>
      <c r="P105" s="1500"/>
      <c r="Q105" s="1500"/>
      <c r="R105" s="1500"/>
      <c r="S105" s="1500"/>
      <c r="T105" s="1500"/>
      <c r="U105" s="1500"/>
      <c r="V105" s="1500"/>
      <c r="W105" s="1500"/>
      <c r="X105" s="1500"/>
      <c r="Y105" s="1500"/>
      <c r="Z105" s="1500"/>
      <c r="AA105" s="1500"/>
      <c r="AB105" s="1500"/>
      <c r="AC105" s="1500"/>
      <c r="AD105" s="1500"/>
      <c r="AE105" s="1500"/>
      <c r="AF105" s="1500"/>
      <c r="AG105" s="1500"/>
      <c r="AH105" s="1500"/>
      <c r="AI105" s="1500"/>
      <c r="AJ105" s="1500"/>
      <c r="AK105" s="1500"/>
      <c r="AL105" s="1500"/>
      <c r="AM105" s="1500"/>
      <c r="AN105" s="1500"/>
      <c r="AO105" s="1500"/>
      <c r="AP105" s="1500"/>
      <c r="AQ105" s="1500"/>
      <c r="AR105" s="1500"/>
      <c r="AS105" s="1500"/>
      <c r="AT105" s="1500"/>
      <c r="AU105" s="17"/>
      <c r="AV105" s="17"/>
      <c r="AW105" s="17"/>
      <c r="AX105" s="17"/>
      <c r="AY105" s="17"/>
      <c r="BD105" s="3" t="s">
        <v>790</v>
      </c>
      <c r="BE105" s="1072" t="b">
        <f>V224="Yes"</f>
        <v>0</v>
      </c>
    </row>
    <row r="106" spans="1:57" ht="13" customHeight="1">
      <c r="A106" s="1500"/>
      <c r="B106" s="1500"/>
      <c r="C106" s="1500"/>
      <c r="D106" s="1500"/>
      <c r="E106" s="1500"/>
      <c r="F106" s="1500"/>
      <c r="G106" s="1500"/>
      <c r="H106" s="1500"/>
      <c r="I106" s="1500"/>
      <c r="J106" s="1500"/>
      <c r="K106" s="1500"/>
      <c r="L106" s="1500"/>
      <c r="M106" s="1500"/>
      <c r="N106" s="1500"/>
      <c r="O106" s="1500"/>
      <c r="P106" s="1500"/>
      <c r="Q106" s="1500"/>
      <c r="R106" s="1500"/>
      <c r="S106" s="1500"/>
      <c r="T106" s="1500"/>
      <c r="U106" s="1500"/>
      <c r="V106" s="1500"/>
      <c r="W106" s="1500"/>
      <c r="X106" s="1500"/>
      <c r="Y106" s="1500"/>
      <c r="Z106" s="1500"/>
      <c r="AA106" s="1500"/>
      <c r="AB106" s="1500"/>
      <c r="AC106" s="1500"/>
      <c r="AD106" s="1500"/>
      <c r="AE106" s="1500"/>
      <c r="AF106" s="1500"/>
      <c r="AG106" s="1500"/>
      <c r="AH106" s="1500"/>
      <c r="AI106" s="1500"/>
      <c r="AJ106" s="1500"/>
      <c r="AK106" s="1500"/>
      <c r="AL106" s="1500"/>
      <c r="AM106" s="1500"/>
      <c r="AN106" s="1500"/>
      <c r="AO106" s="1500"/>
      <c r="AP106" s="1500"/>
      <c r="AQ106" s="1500"/>
      <c r="AR106" s="1500"/>
      <c r="AS106" s="1500"/>
      <c r="AT106" s="1500"/>
      <c r="AU106" s="17"/>
      <c r="AV106" s="17"/>
      <c r="AW106" s="17"/>
      <c r="AX106" s="17"/>
      <c r="AY106" s="17"/>
      <c r="BD106" s="3" t="s">
        <v>791</v>
      </c>
      <c r="BE106" s="1072" t="b">
        <f t="shared" ref="BE106:BE110" si="0">V225="Yes"</f>
        <v>0</v>
      </c>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3"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797</v>
      </c>
      <c r="G113" s="1493">
        <v>8</v>
      </c>
      <c r="H113" s="1493"/>
      <c r="I113" s="3" t="s">
        <v>798</v>
      </c>
      <c r="L113" s="1493" t="s">
        <v>799</v>
      </c>
      <c r="M113" s="1493"/>
      <c r="N113" s="1493"/>
      <c r="O113" s="1493"/>
      <c r="P113" s="1507" t="s">
        <v>800</v>
      </c>
      <c r="Q113" s="1507"/>
      <c r="R113" s="1507"/>
      <c r="S113" s="1507"/>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494" t="s">
        <v>801</v>
      </c>
      <c r="D115" s="1494"/>
      <c r="E115" s="1494"/>
      <c r="F115" s="1494"/>
      <c r="G115" s="1494"/>
      <c r="H115" s="1494"/>
      <c r="I115" s="1494"/>
      <c r="J115" s="1494"/>
      <c r="K115" s="1494"/>
      <c r="L115" s="134" t="s">
        <v>802</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803</v>
      </c>
      <c r="Y117" s="1493"/>
      <c r="Z117" s="1493"/>
      <c r="AA117" s="1493"/>
      <c r="AB117" s="1493"/>
      <c r="AC117" s="1493"/>
      <c r="AD117" s="1493"/>
      <c r="AE117" s="1493"/>
      <c r="AF117" s="1493"/>
      <c r="AG117" s="1493"/>
      <c r="AH117" s="1493"/>
      <c r="AI117" s="1493"/>
      <c r="AJ117" s="1493"/>
      <c r="AK117" s="1493"/>
    </row>
    <row r="118" spans="1:117" ht="13" customHeight="1">
      <c r="X118" s="3"/>
      <c r="Y118" s="3"/>
      <c r="Z118" s="3" t="s">
        <v>804</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493" t="s">
        <v>805</v>
      </c>
      <c r="Z120" s="1493"/>
      <c r="AA120" s="1493"/>
      <c r="AB120" s="1493"/>
      <c r="AC120" s="1493"/>
      <c r="AD120" s="1493"/>
      <c r="AE120" s="1493"/>
      <c r="AF120" s="1493"/>
      <c r="AG120" s="1493"/>
      <c r="AH120" s="1493"/>
      <c r="AI120" s="1493"/>
      <c r="AJ120" s="1493"/>
      <c r="AK120" s="1493"/>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806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807</v>
      </c>
      <c r="CR122" s="13"/>
      <c r="CS122" s="13"/>
      <c r="CT122" s="13"/>
      <c r="CU122" s="1648" t="s">
        <v>808</v>
      </c>
      <c r="CV122" s="1649"/>
      <c r="CW122" s="13"/>
      <c r="CX122" s="13" t="s">
        <v>809</v>
      </c>
      <c r="CY122" s="13"/>
      <c r="CZ122" s="13"/>
      <c r="DA122" s="13"/>
      <c r="DB122" s="13"/>
      <c r="DC122" s="13"/>
      <c r="DD122" s="13"/>
      <c r="DE122" s="13"/>
      <c r="DF122" s="13"/>
      <c r="DG122" s="1645" t="str">
        <f>T189</f>
        <v>Santa Clara</v>
      </c>
      <c r="DH122" s="1646"/>
      <c r="DI122" s="1646"/>
      <c r="DJ122" s="1646"/>
      <c r="DK122" s="1646"/>
      <c r="DL122" s="1646"/>
      <c r="DM122" s="1647"/>
    </row>
    <row r="123" spans="1:117" ht="13" customHeight="1">
      <c r="A123" s="3"/>
      <c r="B123" s="3"/>
      <c r="T123" s="3"/>
      <c r="U123" s="3"/>
      <c r="V123" s="3"/>
      <c r="W123" s="3"/>
      <c r="X123" s="3"/>
      <c r="Y123" s="1493" t="s">
        <v>810</v>
      </c>
      <c r="Z123" s="1493"/>
      <c r="AA123" s="1493"/>
      <c r="AB123" s="1493"/>
      <c r="AC123" s="1493"/>
      <c r="AD123" s="1493"/>
      <c r="AE123" s="1493"/>
      <c r="AF123" s="1493"/>
      <c r="AG123" s="1493"/>
      <c r="AH123" s="1493"/>
      <c r="AI123" s="1493"/>
      <c r="AJ123" s="1493"/>
      <c r="AK123" s="1493"/>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811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808</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812</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808</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813</v>
      </c>
    </row>
    <row r="150" spans="1:108" ht="13" customHeight="1">
      <c r="A150" s="3"/>
      <c r="B150" s="3"/>
      <c r="D150" s="3"/>
      <c r="E150" s="3"/>
      <c r="F150" s="1377"/>
      <c r="G150" s="1377"/>
      <c r="H150" s="1377"/>
      <c r="I150" s="1377"/>
      <c r="J150" s="1377"/>
      <c r="K150" s="1377"/>
      <c r="L150" s="1377"/>
      <c r="M150" s="1377"/>
      <c r="N150" s="1377"/>
      <c r="O150" s="1377"/>
      <c r="P150" s="1377"/>
      <c r="Q150" s="1377"/>
      <c r="R150" s="1377"/>
      <c r="S150" s="1377"/>
      <c r="T150" s="137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814</v>
      </c>
    </row>
    <row r="152" spans="1:108" ht="13" customHeight="1">
      <c r="BM152">
        <v>4</v>
      </c>
      <c r="BN152" s="3" t="s">
        <v>815</v>
      </c>
    </row>
    <row r="153" spans="1:108" ht="13" customHeight="1">
      <c r="D153" t="s">
        <v>816</v>
      </c>
      <c r="O153" s="1469" t="s">
        <v>817</v>
      </c>
      <c r="P153" s="1469"/>
      <c r="Q153" s="1469"/>
      <c r="R153" s="1469"/>
      <c r="S153" s="1469"/>
      <c r="T153" s="1469"/>
      <c r="U153" s="1469"/>
      <c r="V153" s="1469"/>
      <c r="W153" s="1469"/>
      <c r="X153" s="1469"/>
      <c r="Y153" s="1469"/>
      <c r="Z153" s="1469"/>
      <c r="AA153" s="1469"/>
      <c r="AB153" s="1469"/>
      <c r="AC153" s="1469"/>
      <c r="AD153" s="1469"/>
      <c r="AE153" s="1469"/>
      <c r="AF153" s="1469"/>
      <c r="AG153" s="1469"/>
      <c r="AH153" s="1469"/>
      <c r="BM153">
        <v>5</v>
      </c>
      <c r="BN153" s="3" t="s">
        <v>818</v>
      </c>
      <c r="CR153" s="26" t="s">
        <v>819</v>
      </c>
      <c r="CS153" s="27"/>
      <c r="CT153" s="27"/>
      <c r="CU153" s="27"/>
      <c r="CV153" s="27"/>
      <c r="CW153" s="27"/>
      <c r="CX153" s="13"/>
      <c r="CY153" s="26" t="s">
        <v>820</v>
      </c>
      <c r="CZ153" s="13"/>
      <c r="DA153" s="13"/>
      <c r="DB153" s="13"/>
      <c r="DC153" s="13"/>
      <c r="DD153" s="13"/>
    </row>
    <row r="154" spans="1:108" ht="13" customHeight="1">
      <c r="D154" s="210" t="s">
        <v>821</v>
      </c>
      <c r="O154" s="1445" t="s">
        <v>822</v>
      </c>
      <c r="P154" s="1445"/>
      <c r="Q154" s="1445"/>
      <c r="R154" s="1445"/>
      <c r="S154" s="1445"/>
      <c r="T154" s="1445"/>
      <c r="U154" s="1445"/>
      <c r="V154" s="1445"/>
      <c r="W154" s="1445"/>
      <c r="X154" s="1445"/>
      <c r="Y154" s="1445"/>
      <c r="Z154" s="1445"/>
      <c r="AA154" s="1445"/>
      <c r="AB154" s="1445"/>
      <c r="AC154" s="1445"/>
      <c r="AD154" s="1445"/>
      <c r="AE154" s="1445"/>
      <c r="AF154" s="1445"/>
      <c r="AG154" s="1445"/>
      <c r="AH154" s="1445"/>
      <c r="BM154">
        <v>6</v>
      </c>
      <c r="BN154" s="3" t="s">
        <v>823</v>
      </c>
      <c r="CR154" s="26"/>
      <c r="CS154" s="27"/>
      <c r="CT154" s="27"/>
      <c r="CU154" s="27"/>
      <c r="CV154" s="27"/>
      <c r="CW154" s="27"/>
      <c r="CX154" s="13"/>
      <c r="CY154" s="26"/>
      <c r="CZ154" s="13"/>
      <c r="DA154" s="13"/>
      <c r="DB154" s="13"/>
      <c r="DC154" s="13"/>
      <c r="DD154" s="13"/>
    </row>
    <row r="155" spans="1:108" ht="13" customHeight="1">
      <c r="D155" s="7" t="s">
        <v>824</v>
      </c>
      <c r="F155" s="7"/>
      <c r="G155" s="7"/>
      <c r="H155" s="7"/>
      <c r="I155" s="7"/>
      <c r="J155" s="7"/>
      <c r="K155" s="7"/>
      <c r="L155" s="7"/>
      <c r="M155" s="7"/>
      <c r="N155" s="7"/>
      <c r="O155" s="1485" t="s">
        <v>825</v>
      </c>
      <c r="P155" s="1485"/>
      <c r="Q155" s="1485"/>
      <c r="R155" s="1485"/>
      <c r="S155" s="1485"/>
      <c r="T155" s="1485"/>
      <c r="U155" s="1485"/>
      <c r="V155" s="1485"/>
      <c r="W155" s="1485"/>
      <c r="X155" s="1485"/>
      <c r="Y155" s="1485"/>
      <c r="Z155" s="1485"/>
      <c r="AA155" s="1485"/>
      <c r="AB155" s="1485"/>
      <c r="AC155" s="1485"/>
      <c r="AD155" s="1485"/>
      <c r="AE155" s="1485"/>
      <c r="AF155" s="1485"/>
      <c r="AG155" s="1485"/>
      <c r="AH155" s="1485"/>
      <c r="BM155">
        <v>7</v>
      </c>
      <c r="BN155" s="3" t="s">
        <v>826</v>
      </c>
      <c r="CR155" s="26"/>
      <c r="CS155" s="27"/>
      <c r="CT155" s="27"/>
      <c r="CU155" s="27"/>
      <c r="CV155" s="27"/>
      <c r="CW155" s="27"/>
      <c r="CX155" s="13"/>
      <c r="CY155" s="26"/>
      <c r="CZ155" s="13"/>
      <c r="DA155" s="13"/>
      <c r="DB155" s="13"/>
      <c r="DC155" s="13"/>
      <c r="DD155" s="13"/>
    </row>
    <row r="156" spans="1:108" ht="13" customHeight="1">
      <c r="D156" t="s">
        <v>827</v>
      </c>
      <c r="O156" s="1379" t="s">
        <v>828</v>
      </c>
      <c r="P156" s="1379"/>
      <c r="Q156" s="1379"/>
      <c r="R156" s="1379"/>
      <c r="S156" s="1379"/>
      <c r="T156" s="1379"/>
      <c r="U156" s="1379"/>
      <c r="V156" s="1379"/>
      <c r="W156" s="1379"/>
      <c r="X156" s="1379"/>
      <c r="Y156" s="1379"/>
      <c r="Z156" s="1379"/>
      <c r="AA156" s="1379"/>
      <c r="AB156" s="1379"/>
      <c r="AC156" s="1379"/>
      <c r="AD156" s="1379"/>
      <c r="AE156" s="1379"/>
      <c r="AF156" s="1379"/>
      <c r="AG156" s="1379"/>
      <c r="AH156" s="1379"/>
      <c r="BT156" t="s">
        <v>348</v>
      </c>
      <c r="CB156" s="131" t="s">
        <v>829</v>
      </c>
      <c r="CC156" s="132"/>
      <c r="CD156" s="132"/>
      <c r="CE156" s="132"/>
      <c r="CF156" s="132"/>
      <c r="CG156" s="132"/>
      <c r="CH156" s="132"/>
      <c r="CI156" s="3"/>
      <c r="CJ156" s="131" t="s">
        <v>830</v>
      </c>
      <c r="CK156" s="3"/>
      <c r="CL156" s="3"/>
      <c r="CM156" s="3"/>
      <c r="CN156" s="3"/>
      <c r="CR156" s="26"/>
      <c r="CS156" s="27"/>
      <c r="CT156" s="27"/>
      <c r="CU156" s="27"/>
      <c r="CV156" s="27"/>
      <c r="CW156" s="27"/>
      <c r="CX156" s="13"/>
      <c r="CY156" s="26"/>
      <c r="CZ156" s="13"/>
      <c r="DA156" s="13"/>
      <c r="DB156" s="13"/>
      <c r="DC156" s="13"/>
      <c r="DD156" s="13"/>
    </row>
    <row r="157" spans="1:108" ht="13" customHeight="1">
      <c r="D157" t="s">
        <v>831</v>
      </c>
      <c r="O157" s="1469" t="s">
        <v>832</v>
      </c>
      <c r="P157" s="1469"/>
      <c r="Q157" s="1469"/>
      <c r="R157" s="1469"/>
      <c r="S157" s="1469"/>
      <c r="T157" s="1469"/>
      <c r="U157" s="1469"/>
      <c r="V157" s="1469"/>
      <c r="W157" s="1469"/>
      <c r="X157" s="1469"/>
      <c r="Y157" s="7"/>
      <c r="Z157" s="7"/>
      <c r="AA157" s="7"/>
      <c r="AB157" s="7"/>
      <c r="AC157" s="7"/>
      <c r="AD157" s="7"/>
      <c r="AE157" s="7"/>
      <c r="AF157" s="7"/>
      <c r="BN157" s="133" t="s">
        <v>833</v>
      </c>
      <c r="BS157">
        <v>2</v>
      </c>
      <c r="BT157" t="s">
        <v>834</v>
      </c>
      <c r="CB157" s="196" t="s">
        <v>835</v>
      </c>
      <c r="CC157" s="132"/>
      <c r="CD157" s="132"/>
      <c r="CE157" s="132"/>
      <c r="CF157" s="132"/>
      <c r="CG157" s="132"/>
      <c r="CH157" s="132"/>
      <c r="CI157" s="3"/>
      <c r="CJ157" s="196" t="s">
        <v>836</v>
      </c>
      <c r="CK157" s="3"/>
      <c r="CL157" s="3"/>
      <c r="CM157" s="3"/>
      <c r="CN157" s="3"/>
      <c r="CR157" s="13"/>
      <c r="CS157" s="27"/>
      <c r="CT157" s="27"/>
      <c r="CU157" s="27"/>
      <c r="CV157" s="27"/>
      <c r="CW157" s="27"/>
      <c r="CX157" s="13"/>
      <c r="CY157" s="13"/>
      <c r="CZ157" s="13"/>
      <c r="DA157" s="13"/>
      <c r="DB157" s="13"/>
      <c r="DC157" s="13"/>
      <c r="DD157" s="13"/>
    </row>
    <row r="158" spans="1:108" ht="13" customHeight="1">
      <c r="D158" t="s">
        <v>837</v>
      </c>
      <c r="O158" s="1503">
        <v>95020</v>
      </c>
      <c r="P158" s="1503"/>
      <c r="Q158" s="1503"/>
      <c r="R158" s="1503"/>
      <c r="S158" s="8"/>
      <c r="T158" s="8"/>
      <c r="U158" s="8"/>
      <c r="V158" s="8"/>
      <c r="W158" s="8"/>
      <c r="X158" s="8"/>
      <c r="Y158" s="8"/>
      <c r="Z158" s="8"/>
      <c r="AA158" s="8"/>
      <c r="AB158" s="8"/>
      <c r="AC158" s="8"/>
      <c r="AD158" s="8"/>
      <c r="AE158" s="8"/>
      <c r="AF158" s="8"/>
      <c r="BN158" s="133" t="s">
        <v>838</v>
      </c>
      <c r="BS158">
        <v>7</v>
      </c>
      <c r="BT158" t="s">
        <v>839</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840</v>
      </c>
      <c r="O159" s="1499" t="s">
        <v>841</v>
      </c>
      <c r="P159" s="1499"/>
      <c r="Q159" s="1499"/>
      <c r="R159" s="1499"/>
      <c r="S159" s="1499"/>
      <c r="T159" s="1499"/>
      <c r="V159" s="72" t="s">
        <v>842</v>
      </c>
      <c r="W159" s="1504"/>
      <c r="X159" s="1504"/>
      <c r="Y159" s="9"/>
      <c r="Z159" s="9"/>
      <c r="AA159" s="9"/>
      <c r="AB159" s="9"/>
      <c r="AC159" s="9"/>
      <c r="AD159" s="9"/>
      <c r="AE159" s="9"/>
      <c r="AF159" s="9"/>
      <c r="BN159" s="133" t="s">
        <v>843</v>
      </c>
      <c r="BS159">
        <v>7</v>
      </c>
      <c r="BT159" t="s">
        <v>844</v>
      </c>
      <c r="CB159" s="250" t="s">
        <v>845</v>
      </c>
      <c r="CC159" s="251" t="s">
        <v>846</v>
      </c>
      <c r="CD159" s="251" t="s">
        <v>847</v>
      </c>
      <c r="CE159" s="251" t="s">
        <v>848</v>
      </c>
      <c r="CF159" s="251" t="s">
        <v>849</v>
      </c>
      <c r="CG159" s="251" t="s">
        <v>850</v>
      </c>
      <c r="CH159" s="251" t="s">
        <v>851</v>
      </c>
      <c r="CI159" s="3"/>
      <c r="CJ159" s="251" t="s">
        <v>846</v>
      </c>
      <c r="CK159" s="251" t="s">
        <v>847</v>
      </c>
      <c r="CL159" s="251" t="s">
        <v>848</v>
      </c>
      <c r="CM159" s="251" t="s">
        <v>849</v>
      </c>
      <c r="CN159" s="251" t="s">
        <v>850</v>
      </c>
      <c r="CR159" s="13"/>
      <c r="CS159" s="1160" t="s">
        <v>852</v>
      </c>
      <c r="CT159" s="1161" t="s">
        <v>847</v>
      </c>
      <c r="CU159" s="1161" t="s">
        <v>848</v>
      </c>
      <c r="CV159" s="1161" t="s">
        <v>849</v>
      </c>
      <c r="CW159" s="1161" t="s">
        <v>853</v>
      </c>
      <c r="CX159" s="13"/>
      <c r="CY159" s="13"/>
      <c r="CZ159" s="1160" t="s">
        <v>852</v>
      </c>
      <c r="DA159" s="1161" t="s">
        <v>847</v>
      </c>
      <c r="DB159" s="1161" t="s">
        <v>848</v>
      </c>
      <c r="DC159" s="1161" t="s">
        <v>849</v>
      </c>
      <c r="DD159" s="1161" t="s">
        <v>853</v>
      </c>
    </row>
    <row r="160" spans="1:108" ht="13" customHeight="1">
      <c r="D160" t="s">
        <v>854</v>
      </c>
      <c r="O160" s="1499" t="s">
        <v>855</v>
      </c>
      <c r="P160" s="1499"/>
      <c r="Q160" s="1499"/>
      <c r="R160" s="1499"/>
      <c r="S160" s="1499"/>
      <c r="T160" s="1499"/>
      <c r="U160" s="9"/>
      <c r="V160" s="9"/>
      <c r="W160" s="9"/>
      <c r="X160" s="9"/>
      <c r="Y160" s="9"/>
      <c r="Z160" s="9"/>
      <c r="AA160" s="9"/>
      <c r="AB160" s="9"/>
      <c r="AC160" s="9"/>
      <c r="AD160" s="9"/>
      <c r="AE160" s="9"/>
      <c r="AF160" s="9"/>
      <c r="BN160" s="133" t="s">
        <v>856</v>
      </c>
      <c r="BS160">
        <v>6</v>
      </c>
      <c r="BT160" t="s">
        <v>857</v>
      </c>
      <c r="CB160" s="252" t="s">
        <v>834</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833</v>
      </c>
      <c r="CS160" s="228">
        <v>491221</v>
      </c>
      <c r="CT160" s="228">
        <v>566373</v>
      </c>
      <c r="CU160" s="228">
        <v>683200</v>
      </c>
      <c r="CV160" s="228">
        <v>874496</v>
      </c>
      <c r="CW160" s="228">
        <v>974243</v>
      </c>
      <c r="CX160" s="13"/>
      <c r="CY160" s="133" t="s">
        <v>833</v>
      </c>
      <c r="CZ160" s="228">
        <v>491221</v>
      </c>
      <c r="DA160" s="228">
        <v>566373</v>
      </c>
      <c r="DB160" s="228">
        <v>683200</v>
      </c>
      <c r="DC160" s="228">
        <v>874496</v>
      </c>
      <c r="DD160" s="228">
        <v>974243</v>
      </c>
    </row>
    <row r="161" spans="1:108" ht="13" customHeight="1">
      <c r="D161" t="s">
        <v>858</v>
      </c>
      <c r="O161" s="1483" t="s">
        <v>859</v>
      </c>
      <c r="P161" s="1483"/>
      <c r="Q161" s="1483"/>
      <c r="R161" s="1483"/>
      <c r="S161" s="1483"/>
      <c r="T161" s="1483"/>
      <c r="U161" s="1483"/>
      <c r="V161" s="1483"/>
      <c r="W161" s="1483"/>
      <c r="X161" s="1483"/>
      <c r="Y161" s="1483"/>
      <c r="Z161" s="1483"/>
      <c r="AA161" s="1483"/>
      <c r="AB161" s="1483"/>
      <c r="AC161" s="1483"/>
      <c r="AD161" s="1483"/>
      <c r="AE161" s="1483"/>
      <c r="AF161" s="1483"/>
      <c r="AG161" s="1483"/>
      <c r="AH161" s="1483"/>
      <c r="BJ161" t="s">
        <v>700</v>
      </c>
      <c r="BN161" s="133" t="s">
        <v>860</v>
      </c>
      <c r="BS161">
        <v>7</v>
      </c>
      <c r="BT161" t="s">
        <v>861</v>
      </c>
      <c r="CB161" s="253" t="s">
        <v>839</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838</v>
      </c>
      <c r="CS161" s="226">
        <v>402640</v>
      </c>
      <c r="CT161" s="226">
        <v>464240</v>
      </c>
      <c r="CU161" s="226">
        <v>560000</v>
      </c>
      <c r="CV161" s="226">
        <v>716800</v>
      </c>
      <c r="CW161" s="226">
        <v>798560</v>
      </c>
      <c r="CX161" s="13"/>
      <c r="CY161" s="133" t="s">
        <v>838</v>
      </c>
      <c r="CZ161" s="226">
        <v>402640</v>
      </c>
      <c r="DA161" s="226">
        <v>464240</v>
      </c>
      <c r="DB161" s="226">
        <v>560000</v>
      </c>
      <c r="DC161" s="226">
        <v>716800</v>
      </c>
      <c r="DD161" s="226">
        <v>798560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862</v>
      </c>
      <c r="BN162" s="133" t="s">
        <v>863</v>
      </c>
      <c r="BS162">
        <v>7</v>
      </c>
      <c r="BT162" t="s">
        <v>864</v>
      </c>
      <c r="CB162" s="253" t="s">
        <v>844</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843</v>
      </c>
      <c r="CS162" s="228">
        <v>402640</v>
      </c>
      <c r="CT162" s="228">
        <v>464240</v>
      </c>
      <c r="CU162" s="228">
        <v>560000</v>
      </c>
      <c r="CV162" s="228">
        <v>716800</v>
      </c>
      <c r="CW162" s="228">
        <v>798560</v>
      </c>
      <c r="CX162" s="13"/>
      <c r="CY162" s="133" t="s">
        <v>843</v>
      </c>
      <c r="CZ162" s="228">
        <v>402640</v>
      </c>
      <c r="DA162" s="228">
        <v>464240</v>
      </c>
      <c r="DB162" s="228">
        <v>560000</v>
      </c>
      <c r="DC162" s="228">
        <v>716800</v>
      </c>
      <c r="DD162" s="228">
        <v>798560</v>
      </c>
    </row>
    <row r="163" spans="1:108" ht="13" customHeight="1">
      <c r="C163" s="23" t="s">
        <v>865</v>
      </c>
      <c r="D163" s="3" t="s">
        <v>866</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867</v>
      </c>
      <c r="BS163">
        <v>2</v>
      </c>
      <c r="BT163" t="s">
        <v>868</v>
      </c>
      <c r="CB163" s="253" t="s">
        <v>857</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856</v>
      </c>
      <c r="CS163" s="226">
        <v>369278</v>
      </c>
      <c r="CT163" s="226">
        <v>425774</v>
      </c>
      <c r="CU163" s="226">
        <v>513600</v>
      </c>
      <c r="CV163" s="226">
        <v>657408</v>
      </c>
      <c r="CW163" s="226">
        <v>732394</v>
      </c>
      <c r="CX163" s="13"/>
      <c r="CY163" s="133" t="s">
        <v>856</v>
      </c>
      <c r="CZ163" s="226">
        <v>369278</v>
      </c>
      <c r="DA163" s="226">
        <v>425774</v>
      </c>
      <c r="DB163" s="226">
        <v>513600</v>
      </c>
      <c r="DC163" s="226">
        <v>657408</v>
      </c>
      <c r="DD163" s="226">
        <v>732394</v>
      </c>
    </row>
    <row r="164" spans="1:108" ht="13" customHeight="1">
      <c r="C164" s="23"/>
      <c r="D164" s="1495" t="s">
        <v>869</v>
      </c>
      <c r="E164" s="1495"/>
      <c r="F164" s="1495"/>
      <c r="G164" s="1495"/>
      <c r="H164" s="1495"/>
      <c r="I164" s="1495"/>
      <c r="J164" s="1495"/>
      <c r="K164" s="1495"/>
      <c r="L164" s="1495"/>
      <c r="M164" s="1495"/>
      <c r="N164" s="1495"/>
      <c r="O164" s="1495"/>
      <c r="P164" s="1495"/>
      <c r="Q164" s="1495"/>
      <c r="R164" s="1495"/>
      <c r="S164" s="1495"/>
      <c r="T164" s="1495"/>
      <c r="U164" s="1495"/>
      <c r="V164" s="1495"/>
      <c r="W164" s="1495"/>
      <c r="X164" s="1495"/>
      <c r="Y164" s="1495"/>
      <c r="Z164" s="1495"/>
      <c r="AA164" s="1495"/>
      <c r="AB164" s="1495"/>
      <c r="AC164" s="1495"/>
      <c r="AD164" s="1495"/>
      <c r="AE164" s="1495"/>
      <c r="AF164" s="1495"/>
      <c r="AG164" s="1495"/>
      <c r="AH164" s="1495"/>
      <c r="BN164" s="133" t="s">
        <v>870</v>
      </c>
      <c r="BS164">
        <v>7</v>
      </c>
      <c r="BT164" t="s">
        <v>871</v>
      </c>
      <c r="CB164" s="253" t="s">
        <v>861</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860</v>
      </c>
      <c r="CS164" s="228">
        <v>402640</v>
      </c>
      <c r="CT164" s="228">
        <v>464240</v>
      </c>
      <c r="CU164" s="228">
        <v>560000</v>
      </c>
      <c r="CV164" s="228">
        <v>716800</v>
      </c>
      <c r="CW164" s="228">
        <v>798560</v>
      </c>
      <c r="CX164" s="13"/>
      <c r="CY164" s="133" t="s">
        <v>860</v>
      </c>
      <c r="CZ164" s="228">
        <v>402640</v>
      </c>
      <c r="DA164" s="228">
        <v>464240</v>
      </c>
      <c r="DB164" s="228">
        <v>560000</v>
      </c>
      <c r="DC164" s="228">
        <v>716800</v>
      </c>
      <c r="DD164" s="228">
        <v>798560</v>
      </c>
    </row>
    <row r="165" spans="1:108" ht="13"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872</v>
      </c>
      <c r="BS165">
        <v>6</v>
      </c>
      <c r="BT165" t="s">
        <v>873</v>
      </c>
      <c r="CB165" s="253" t="s">
        <v>864</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863</v>
      </c>
      <c r="CS165" s="226">
        <v>402640</v>
      </c>
      <c r="CT165" s="226">
        <v>464240</v>
      </c>
      <c r="CU165" s="226">
        <v>560000</v>
      </c>
      <c r="CV165" s="226">
        <v>716800</v>
      </c>
      <c r="CW165" s="226">
        <v>798560</v>
      </c>
      <c r="CX165" s="13"/>
      <c r="CY165" s="133" t="s">
        <v>863</v>
      </c>
      <c r="CZ165" s="226">
        <v>402640</v>
      </c>
      <c r="DA165" s="226">
        <v>464240</v>
      </c>
      <c r="DB165" s="226">
        <v>560000</v>
      </c>
      <c r="DC165" s="226">
        <v>716800</v>
      </c>
      <c r="DD165" s="226">
        <v>798560</v>
      </c>
    </row>
    <row r="166" spans="1:108" ht="13"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874</v>
      </c>
      <c r="BS166">
        <v>5</v>
      </c>
      <c r="BT166" t="s">
        <v>875</v>
      </c>
      <c r="CB166" s="253" t="s">
        <v>868</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867</v>
      </c>
      <c r="CS166" s="228">
        <v>491221</v>
      </c>
      <c r="CT166" s="228">
        <v>566373</v>
      </c>
      <c r="CU166" s="228">
        <v>683200</v>
      </c>
      <c r="CV166" s="228">
        <v>874496</v>
      </c>
      <c r="CW166" s="228">
        <v>974243</v>
      </c>
      <c r="CX166" s="13"/>
      <c r="CY166" s="133" t="s">
        <v>867</v>
      </c>
      <c r="CZ166" s="228">
        <v>491221</v>
      </c>
      <c r="DA166" s="228">
        <v>566373</v>
      </c>
      <c r="DB166" s="228">
        <v>683200</v>
      </c>
      <c r="DC166" s="228">
        <v>874496</v>
      </c>
      <c r="DD166" s="228">
        <v>974243</v>
      </c>
    </row>
    <row r="167" spans="1:108" ht="13"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876</v>
      </c>
      <c r="BS167">
        <v>7</v>
      </c>
      <c r="BT167" t="s">
        <v>877</v>
      </c>
      <c r="CB167" s="253" t="s">
        <v>871</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870</v>
      </c>
      <c r="CS167" s="226">
        <v>402640</v>
      </c>
      <c r="CT167" s="226">
        <v>464240</v>
      </c>
      <c r="CU167" s="226">
        <v>560000</v>
      </c>
      <c r="CV167" s="226">
        <v>716800</v>
      </c>
      <c r="CW167" s="226">
        <v>798560</v>
      </c>
      <c r="CX167" s="13"/>
      <c r="CY167" s="133" t="s">
        <v>870</v>
      </c>
      <c r="CZ167" s="226">
        <v>402640</v>
      </c>
      <c r="DA167" s="226">
        <v>464240</v>
      </c>
      <c r="DB167" s="226">
        <v>560000</v>
      </c>
      <c r="DC167" s="226">
        <v>716800</v>
      </c>
      <c r="DD167" s="226">
        <v>798560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878</v>
      </c>
      <c r="BS168">
        <v>7</v>
      </c>
      <c r="BT168" t="s">
        <v>879</v>
      </c>
      <c r="CB168" s="253" t="s">
        <v>873</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872</v>
      </c>
      <c r="CS168" s="228">
        <v>360075</v>
      </c>
      <c r="CT168" s="228">
        <v>415163</v>
      </c>
      <c r="CU168" s="228">
        <v>500800</v>
      </c>
      <c r="CV168" s="228">
        <v>641024</v>
      </c>
      <c r="CW168" s="228">
        <v>714141</v>
      </c>
      <c r="CX168" s="13"/>
      <c r="CY168" s="133" t="s">
        <v>872</v>
      </c>
      <c r="CZ168" s="228">
        <v>360075</v>
      </c>
      <c r="DA168" s="228">
        <v>415163</v>
      </c>
      <c r="DB168" s="228">
        <v>500800</v>
      </c>
      <c r="DC168" s="228">
        <v>641024</v>
      </c>
      <c r="DD168" s="228">
        <v>714141</v>
      </c>
    </row>
    <row r="169" spans="1:108" ht="13" customHeight="1">
      <c r="A169" s="1487" t="s">
        <v>880</v>
      </c>
      <c r="B169" s="1487"/>
      <c r="C169" s="1487"/>
      <c r="D169" s="1487"/>
      <c r="E169" s="1487"/>
      <c r="F169" s="1487"/>
      <c r="G169" s="1487"/>
      <c r="H169" s="1487"/>
      <c r="I169" s="1487"/>
      <c r="J169" s="1487"/>
      <c r="K169" s="1487"/>
      <c r="L169" s="1487"/>
      <c r="M169" s="1487"/>
      <c r="N169" s="1487"/>
      <c r="O169" s="1487"/>
      <c r="P169" s="1487"/>
      <c r="Q169" s="1487"/>
      <c r="R169" s="1487"/>
      <c r="S169" s="1487"/>
      <c r="T169" s="1487"/>
      <c r="U169" s="1487"/>
      <c r="V169" s="1487"/>
      <c r="W169" s="1487"/>
      <c r="X169" s="1487"/>
      <c r="Y169" s="1487"/>
      <c r="Z169" s="1487"/>
      <c r="AA169" s="1487"/>
      <c r="AB169" s="1487"/>
      <c r="AC169" s="1487"/>
      <c r="AD169" s="1487"/>
      <c r="AE169" s="1487"/>
      <c r="AF169" s="1487"/>
      <c r="AG169" s="1487"/>
      <c r="AH169" s="1487"/>
      <c r="AI169" s="1487"/>
      <c r="AJ169" s="1487"/>
      <c r="AK169" s="1487"/>
      <c r="AL169" s="1487"/>
      <c r="AM169" s="1487"/>
      <c r="AN169" s="1487"/>
      <c r="AO169" s="1487"/>
      <c r="AP169" s="1487"/>
      <c r="AQ169" s="1487"/>
      <c r="AR169" s="1487"/>
      <c r="AS169" s="1487"/>
      <c r="AT169" s="1487"/>
      <c r="AU169" s="70"/>
      <c r="AV169" s="70"/>
      <c r="AW169" s="70"/>
      <c r="AX169" s="70"/>
      <c r="AY169" s="70"/>
      <c r="BN169" s="133" t="s">
        <v>881</v>
      </c>
      <c r="BS169">
        <v>5</v>
      </c>
      <c r="BT169" t="s">
        <v>882</v>
      </c>
      <c r="CB169" s="253" t="s">
        <v>875</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874</v>
      </c>
      <c r="CS169" s="226">
        <v>323262</v>
      </c>
      <c r="CT169" s="226">
        <v>372718</v>
      </c>
      <c r="CU169" s="226">
        <v>449600</v>
      </c>
      <c r="CV169" s="226">
        <v>575488</v>
      </c>
      <c r="CW169" s="226">
        <v>641130</v>
      </c>
      <c r="CX169" s="13"/>
      <c r="CY169" s="133" t="s">
        <v>874</v>
      </c>
      <c r="CZ169" s="226">
        <v>323262</v>
      </c>
      <c r="DA169" s="226">
        <v>372718</v>
      </c>
      <c r="DB169" s="226">
        <v>449600</v>
      </c>
      <c r="DC169" s="226">
        <v>575488</v>
      </c>
      <c r="DD169" s="226">
        <v>641130</v>
      </c>
    </row>
    <row r="170" spans="1:108" ht="13" customHeight="1">
      <c r="A170" s="1487"/>
      <c r="B170" s="1487"/>
      <c r="C170" s="1487"/>
      <c r="D170" s="1487"/>
      <c r="E170" s="1487"/>
      <c r="F170" s="1487"/>
      <c r="G170" s="1487"/>
      <c r="H170" s="1487"/>
      <c r="I170" s="1487"/>
      <c r="J170" s="1487"/>
      <c r="K170" s="1487"/>
      <c r="L170" s="1487"/>
      <c r="M170" s="1487"/>
      <c r="N170" s="1487"/>
      <c r="O170" s="1487"/>
      <c r="P170" s="1487"/>
      <c r="Q170" s="1487"/>
      <c r="R170" s="1487"/>
      <c r="S170" s="1487"/>
      <c r="T170" s="1487"/>
      <c r="U170" s="1487"/>
      <c r="V170" s="1487"/>
      <c r="W170" s="1487"/>
      <c r="X170" s="1487"/>
      <c r="Y170" s="1487"/>
      <c r="Z170" s="1487"/>
      <c r="AA170" s="1487"/>
      <c r="AB170" s="1487"/>
      <c r="AC170" s="1487"/>
      <c r="AD170" s="1487"/>
      <c r="AE170" s="1487"/>
      <c r="AF170" s="1487"/>
      <c r="AG170" s="1487"/>
      <c r="AH170" s="1487"/>
      <c r="AI170" s="1487"/>
      <c r="AJ170" s="1487"/>
      <c r="AK170" s="1487"/>
      <c r="AL170" s="1487"/>
      <c r="AM170" s="1487"/>
      <c r="AN170" s="1487"/>
      <c r="AO170" s="1487"/>
      <c r="AP170" s="1487"/>
      <c r="AQ170" s="1487"/>
      <c r="AR170" s="1487"/>
      <c r="AS170" s="1487"/>
      <c r="AT170" s="1487"/>
      <c r="AU170" s="70"/>
      <c r="AV170" s="70"/>
      <c r="AW170" s="70"/>
      <c r="AX170" s="70"/>
      <c r="AY170" s="70"/>
      <c r="BN170" s="133" t="s">
        <v>883</v>
      </c>
      <c r="BS170">
        <v>7</v>
      </c>
      <c r="BT170" t="s">
        <v>884</v>
      </c>
      <c r="CB170" s="253" t="s">
        <v>877</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876</v>
      </c>
      <c r="CS170" s="228">
        <v>402640</v>
      </c>
      <c r="CT170" s="228">
        <v>464240</v>
      </c>
      <c r="CU170" s="228">
        <v>560000</v>
      </c>
      <c r="CV170" s="228">
        <v>716800</v>
      </c>
      <c r="CW170" s="228">
        <v>798560</v>
      </c>
      <c r="CX170" s="13"/>
      <c r="CY170" s="133" t="s">
        <v>876</v>
      </c>
      <c r="CZ170" s="228">
        <v>402640</v>
      </c>
      <c r="DA170" s="228">
        <v>464240</v>
      </c>
      <c r="DB170" s="228">
        <v>560000</v>
      </c>
      <c r="DC170" s="228">
        <v>716800</v>
      </c>
      <c r="DD170" s="228">
        <v>798560</v>
      </c>
    </row>
    <row r="171" spans="1:108" ht="13" customHeight="1">
      <c r="BN171" s="133" t="s">
        <v>885</v>
      </c>
      <c r="BS171">
        <v>5</v>
      </c>
      <c r="BT171" t="s">
        <v>886</v>
      </c>
      <c r="CB171" s="253" t="s">
        <v>879</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878</v>
      </c>
      <c r="CS171" s="226">
        <v>402640</v>
      </c>
      <c r="CT171" s="226">
        <v>464240</v>
      </c>
      <c r="CU171" s="226">
        <v>560000</v>
      </c>
      <c r="CV171" s="226">
        <v>716800</v>
      </c>
      <c r="CW171" s="226">
        <v>798560</v>
      </c>
      <c r="CX171" s="13"/>
      <c r="CY171" s="133" t="s">
        <v>878</v>
      </c>
      <c r="CZ171" s="226">
        <v>402640</v>
      </c>
      <c r="DA171" s="226">
        <v>464240</v>
      </c>
      <c r="DB171" s="226">
        <v>560000</v>
      </c>
      <c r="DC171" s="226">
        <v>716800</v>
      </c>
      <c r="DD171" s="226">
        <v>798560</v>
      </c>
    </row>
    <row r="172" spans="1:108" ht="13" customHeight="1">
      <c r="A172" s="2" t="s">
        <v>887</v>
      </c>
      <c r="C172" s="2" t="s">
        <v>91</v>
      </c>
      <c r="BN172" s="133" t="s">
        <v>888</v>
      </c>
      <c r="BS172">
        <v>5</v>
      </c>
      <c r="BT172" t="s">
        <v>889</v>
      </c>
      <c r="CB172" s="253" t="s">
        <v>882</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881</v>
      </c>
      <c r="CS172" s="228">
        <v>381933</v>
      </c>
      <c r="CT172" s="228">
        <v>440365</v>
      </c>
      <c r="CU172" s="228">
        <v>531200</v>
      </c>
      <c r="CV172" s="228">
        <v>679936</v>
      </c>
      <c r="CW172" s="228">
        <v>757491</v>
      </c>
      <c r="CX172" s="13"/>
      <c r="CY172" s="133" t="s">
        <v>881</v>
      </c>
      <c r="CZ172" s="228">
        <v>381933</v>
      </c>
      <c r="DA172" s="228">
        <v>440365</v>
      </c>
      <c r="DB172" s="228">
        <v>531200</v>
      </c>
      <c r="DC172" s="228">
        <v>679936</v>
      </c>
      <c r="DD172" s="228">
        <v>757491</v>
      </c>
    </row>
    <row r="173" spans="1:108" ht="13" customHeight="1">
      <c r="C173" s="20"/>
      <c r="D173" t="s">
        <v>890</v>
      </c>
      <c r="J173" s="1484" t="s">
        <v>891</v>
      </c>
      <c r="K173" s="1484"/>
      <c r="L173" s="1484"/>
      <c r="M173" s="1484"/>
      <c r="N173" s="1484"/>
      <c r="O173" s="1484"/>
      <c r="P173" s="1484"/>
      <c r="Q173" s="1484"/>
      <c r="R173" s="1484"/>
      <c r="S173" s="1484"/>
      <c r="U173" s="21"/>
      <c r="X173" s="21"/>
      <c r="BB173" s="3" t="s">
        <v>348</v>
      </c>
      <c r="BN173" s="133" t="s">
        <v>892</v>
      </c>
      <c r="BS173">
        <v>7</v>
      </c>
      <c r="BT173" t="s">
        <v>893</v>
      </c>
      <c r="CB173" s="253" t="s">
        <v>884</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883</v>
      </c>
      <c r="CS173" s="226">
        <v>402640</v>
      </c>
      <c r="CT173" s="226">
        <v>464240</v>
      </c>
      <c r="CU173" s="226">
        <v>560000</v>
      </c>
      <c r="CV173" s="226">
        <v>716800</v>
      </c>
      <c r="CW173" s="226">
        <v>798560</v>
      </c>
      <c r="CX173" s="13"/>
      <c r="CY173" s="133" t="s">
        <v>883</v>
      </c>
      <c r="CZ173" s="226">
        <v>402640</v>
      </c>
      <c r="DA173" s="226">
        <v>464240</v>
      </c>
      <c r="DB173" s="226">
        <v>560000</v>
      </c>
      <c r="DC173" s="226">
        <v>716800</v>
      </c>
      <c r="DD173" s="226">
        <v>798560</v>
      </c>
    </row>
    <row r="174" spans="1:108" ht="13" customHeight="1">
      <c r="C174" s="20"/>
      <c r="D174" s="3" t="s">
        <v>894</v>
      </c>
      <c r="J174" s="1379" t="s">
        <v>895</v>
      </c>
      <c r="K174" s="1379"/>
      <c r="L174" s="1379"/>
      <c r="M174" s="1379"/>
      <c r="N174" s="1379"/>
      <c r="O174" s="1379"/>
      <c r="P174" s="1379"/>
      <c r="Q174" s="1379"/>
      <c r="R174" s="1379"/>
      <c r="S174" s="1379"/>
      <c r="T174" s="1379"/>
      <c r="U174" s="1379"/>
      <c r="V174" s="1379"/>
      <c r="W174" s="1379"/>
      <c r="X174" s="1379"/>
      <c r="Y174" s="1379"/>
      <c r="Z174" s="1379"/>
      <c r="AA174" s="1379"/>
      <c r="AB174" s="1379"/>
      <c r="BB174" t="s">
        <v>896</v>
      </c>
      <c r="BN174" s="133" t="s">
        <v>897</v>
      </c>
      <c r="BS174">
        <v>7</v>
      </c>
      <c r="BT174" t="s">
        <v>898</v>
      </c>
      <c r="CB174" s="253" t="s">
        <v>886</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885</v>
      </c>
      <c r="CS174" s="228">
        <v>323262</v>
      </c>
      <c r="CT174" s="228">
        <v>372718</v>
      </c>
      <c r="CU174" s="228">
        <v>449600</v>
      </c>
      <c r="CV174" s="228">
        <v>575488</v>
      </c>
      <c r="CW174" s="228">
        <v>641130</v>
      </c>
      <c r="CX174" s="13"/>
      <c r="CY174" s="133" t="s">
        <v>885</v>
      </c>
      <c r="CZ174" s="228">
        <v>323262</v>
      </c>
      <c r="DA174" s="228">
        <v>372718</v>
      </c>
      <c r="DB174" s="228">
        <v>449600</v>
      </c>
      <c r="DC174" s="228">
        <v>575488</v>
      </c>
      <c r="DD174" s="228">
        <v>641130</v>
      </c>
    </row>
    <row r="175" spans="1:108" ht="13" customHeight="1">
      <c r="C175" s="7"/>
      <c r="D175" s="3" t="s">
        <v>899</v>
      </c>
      <c r="O175" s="23"/>
      <c r="U175" s="1387" t="s">
        <v>700</v>
      </c>
      <c r="V175" s="1387"/>
      <c r="BB175" t="s">
        <v>900</v>
      </c>
      <c r="BN175" s="133" t="s">
        <v>901</v>
      </c>
      <c r="BS175">
        <v>1</v>
      </c>
      <c r="BT175" t="s">
        <v>902</v>
      </c>
      <c r="CB175" s="253" t="s">
        <v>889</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888</v>
      </c>
      <c r="CS175" s="226">
        <v>323262</v>
      </c>
      <c r="CT175" s="226">
        <v>372718</v>
      </c>
      <c r="CU175" s="226">
        <v>449600</v>
      </c>
      <c r="CV175" s="226">
        <v>575488</v>
      </c>
      <c r="CW175" s="226">
        <v>641130</v>
      </c>
      <c r="CX175" s="13"/>
      <c r="CY175" s="133" t="s">
        <v>888</v>
      </c>
      <c r="CZ175" s="226">
        <v>323262</v>
      </c>
      <c r="DA175" s="226">
        <v>372718</v>
      </c>
      <c r="DB175" s="226">
        <v>449600</v>
      </c>
      <c r="DC175" s="226">
        <v>575488</v>
      </c>
      <c r="DD175" s="226">
        <v>641130</v>
      </c>
    </row>
    <row r="176" spans="1:108" ht="13" customHeight="1">
      <c r="C176" s="7"/>
      <c r="D176" s="22"/>
      <c r="E176" t="s">
        <v>903</v>
      </c>
      <c r="O176" s="23"/>
      <c r="P176" t="s">
        <v>904</v>
      </c>
      <c r="T176" s="23" t="s">
        <v>905</v>
      </c>
      <c r="U176" s="1498"/>
      <c r="V176" s="1498"/>
      <c r="W176" s="1" t="s">
        <v>906</v>
      </c>
      <c r="X176" s="1511"/>
      <c r="Y176" s="1511"/>
      <c r="BB176" t="s">
        <v>907</v>
      </c>
      <c r="BN176" s="133" t="s">
        <v>908</v>
      </c>
      <c r="BS176">
        <v>5</v>
      </c>
      <c r="BT176" t="s">
        <v>909</v>
      </c>
      <c r="CB176" s="253" t="s">
        <v>893</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892</v>
      </c>
      <c r="CS176" s="228">
        <v>402640</v>
      </c>
      <c r="CT176" s="228">
        <v>464240</v>
      </c>
      <c r="CU176" s="228">
        <v>560000</v>
      </c>
      <c r="CV176" s="228">
        <v>716800</v>
      </c>
      <c r="CW176" s="228">
        <v>798560</v>
      </c>
      <c r="CX176" s="13"/>
      <c r="CY176" s="133" t="s">
        <v>892</v>
      </c>
      <c r="CZ176" s="228">
        <v>402640</v>
      </c>
      <c r="DA176" s="228">
        <v>464240</v>
      </c>
      <c r="DB176" s="228">
        <v>560000</v>
      </c>
      <c r="DC176" s="228">
        <v>716800</v>
      </c>
      <c r="DD176" s="228">
        <v>798560</v>
      </c>
    </row>
    <row r="177" spans="1:108" ht="13" customHeight="1">
      <c r="C177" s="20"/>
      <c r="D177" t="s">
        <v>910</v>
      </c>
      <c r="R177" s="1387" t="s">
        <v>700</v>
      </c>
      <c r="S177" s="1387"/>
      <c r="BB177" t="s">
        <v>911</v>
      </c>
      <c r="BN177" s="133" t="s">
        <v>912</v>
      </c>
      <c r="BS177">
        <v>2</v>
      </c>
      <c r="BT177" t="s">
        <v>913</v>
      </c>
      <c r="CB177" s="253" t="s">
        <v>898</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897</v>
      </c>
      <c r="CS177" s="226">
        <v>402640</v>
      </c>
      <c r="CT177" s="226">
        <v>464240</v>
      </c>
      <c r="CU177" s="226">
        <v>560000</v>
      </c>
      <c r="CV177" s="226">
        <v>716800</v>
      </c>
      <c r="CW177" s="226">
        <v>798560</v>
      </c>
      <c r="CX177" s="13"/>
      <c r="CY177" s="133" t="s">
        <v>897</v>
      </c>
      <c r="CZ177" s="226">
        <v>402640</v>
      </c>
      <c r="DA177" s="226">
        <v>464240</v>
      </c>
      <c r="DB177" s="226">
        <v>560000</v>
      </c>
      <c r="DC177" s="226">
        <v>716800</v>
      </c>
      <c r="DD177" s="226">
        <v>798560</v>
      </c>
    </row>
    <row r="178" spans="1:108" ht="13" customHeight="1">
      <c r="C178" s="20"/>
      <c r="D178" s="3" t="s">
        <v>914</v>
      </c>
      <c r="AA178" t="s">
        <v>904</v>
      </c>
      <c r="AE178" s="23" t="s">
        <v>905</v>
      </c>
      <c r="AF178" s="1510"/>
      <c r="AG178" s="1510"/>
      <c r="AH178" s="1" t="s">
        <v>906</v>
      </c>
      <c r="AI178" s="1477"/>
      <c r="AJ178" s="1477"/>
      <c r="AK178" s="1477"/>
      <c r="BB178" t="s">
        <v>915</v>
      </c>
      <c r="BN178" s="133" t="s">
        <v>916</v>
      </c>
      <c r="BS178">
        <v>7</v>
      </c>
      <c r="BT178" t="s">
        <v>917</v>
      </c>
      <c r="CB178" s="253" t="s">
        <v>902</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901</v>
      </c>
      <c r="CS178" s="228">
        <v>437727</v>
      </c>
      <c r="CT178" s="228">
        <v>504695</v>
      </c>
      <c r="CU178" s="228">
        <v>608800</v>
      </c>
      <c r="CV178" s="228">
        <v>779264</v>
      </c>
      <c r="CW178" s="228">
        <v>868149</v>
      </c>
      <c r="CX178" s="13"/>
      <c r="CY178" s="133" t="s">
        <v>901</v>
      </c>
      <c r="CZ178" s="228">
        <v>437727</v>
      </c>
      <c r="DA178" s="228">
        <v>504695</v>
      </c>
      <c r="DB178" s="228">
        <v>608800</v>
      </c>
      <c r="DC178" s="228">
        <v>779264</v>
      </c>
      <c r="DD178" s="228">
        <v>868149</v>
      </c>
    </row>
    <row r="179" spans="1:108" ht="13" customHeight="1">
      <c r="C179" s="20"/>
      <c r="BN179" s="133" t="s">
        <v>918</v>
      </c>
      <c r="BS179">
        <v>7</v>
      </c>
      <c r="BT179" t="s">
        <v>919</v>
      </c>
      <c r="CB179" s="253" t="s">
        <v>909</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908</v>
      </c>
      <c r="CS179" s="226">
        <v>323262</v>
      </c>
      <c r="CT179" s="226">
        <v>372718</v>
      </c>
      <c r="CU179" s="226">
        <v>449600</v>
      </c>
      <c r="CV179" s="226">
        <v>575488</v>
      </c>
      <c r="CW179" s="226">
        <v>641130</v>
      </c>
      <c r="CX179" s="13"/>
      <c r="CY179" s="133" t="s">
        <v>908</v>
      </c>
      <c r="CZ179" s="226">
        <v>323262</v>
      </c>
      <c r="DA179" s="226">
        <v>372718</v>
      </c>
      <c r="DB179" s="226">
        <v>449600</v>
      </c>
      <c r="DC179" s="226">
        <v>575488</v>
      </c>
      <c r="DD179" s="226">
        <v>641130</v>
      </c>
    </row>
    <row r="180" spans="1:108" ht="13" customHeight="1">
      <c r="C180" s="20"/>
      <c r="D180" s="3" t="s">
        <v>920</v>
      </c>
      <c r="X180" s="1387" t="s">
        <v>700</v>
      </c>
      <c r="Y180" s="1387"/>
      <c r="BN180" s="133" t="s">
        <v>921</v>
      </c>
      <c r="BS180">
        <v>5</v>
      </c>
      <c r="BT180" t="s">
        <v>922</v>
      </c>
      <c r="CB180" s="253" t="s">
        <v>913</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912</v>
      </c>
      <c r="CS180" s="228">
        <v>406666</v>
      </c>
      <c r="CT180" s="228">
        <v>468882</v>
      </c>
      <c r="CU180" s="228">
        <v>565600</v>
      </c>
      <c r="CV180" s="228">
        <v>723968</v>
      </c>
      <c r="CW180" s="228">
        <v>806546</v>
      </c>
      <c r="CX180" s="13"/>
      <c r="CY180" s="133" t="s">
        <v>912</v>
      </c>
      <c r="CZ180" s="228">
        <v>406666</v>
      </c>
      <c r="DA180" s="228">
        <v>468882</v>
      </c>
      <c r="DB180" s="228">
        <v>565600</v>
      </c>
      <c r="DC180" s="228">
        <v>723968</v>
      </c>
      <c r="DD180" s="228">
        <v>806546</v>
      </c>
    </row>
    <row r="181" spans="1:108" ht="13" customHeight="1">
      <c r="C181" s="7"/>
      <c r="E181" s="3" t="s">
        <v>923</v>
      </c>
      <c r="BN181" s="133" t="s">
        <v>924</v>
      </c>
      <c r="BS181">
        <v>7</v>
      </c>
      <c r="BT181" t="s">
        <v>925</v>
      </c>
      <c r="CB181" s="253" t="s">
        <v>917</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916</v>
      </c>
      <c r="CS181" s="226">
        <v>402640</v>
      </c>
      <c r="CT181" s="226">
        <v>464240</v>
      </c>
      <c r="CU181" s="226">
        <v>560000</v>
      </c>
      <c r="CV181" s="226">
        <v>716800</v>
      </c>
      <c r="CW181" s="226">
        <v>798560</v>
      </c>
      <c r="CX181" s="13"/>
      <c r="CY181" s="133" t="s">
        <v>916</v>
      </c>
      <c r="CZ181" s="226">
        <v>402640</v>
      </c>
      <c r="DA181" s="226">
        <v>464240</v>
      </c>
      <c r="DB181" s="226">
        <v>560000</v>
      </c>
      <c r="DC181" s="226">
        <v>716800</v>
      </c>
      <c r="DD181" s="226">
        <v>798560</v>
      </c>
    </row>
    <row r="182" spans="1:108" ht="13" customHeight="1">
      <c r="C182" s="430"/>
      <c r="BN182" s="133" t="s">
        <v>926</v>
      </c>
      <c r="BS182">
        <v>7</v>
      </c>
      <c r="BT182" t="s">
        <v>927</v>
      </c>
      <c r="CB182" s="253" t="s">
        <v>919</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918</v>
      </c>
      <c r="CS182" s="228">
        <v>402640</v>
      </c>
      <c r="CT182" s="228">
        <v>464240</v>
      </c>
      <c r="CU182" s="228">
        <v>560000</v>
      </c>
      <c r="CV182" s="228">
        <v>716800</v>
      </c>
      <c r="CW182" s="228">
        <v>798560</v>
      </c>
      <c r="CX182" s="13"/>
      <c r="CY182" s="133" t="s">
        <v>918</v>
      </c>
      <c r="CZ182" s="228">
        <v>402640</v>
      </c>
      <c r="DA182" s="228">
        <v>464240</v>
      </c>
      <c r="DB182" s="228">
        <v>560000</v>
      </c>
      <c r="DC182" s="228">
        <v>716800</v>
      </c>
      <c r="DD182" s="228">
        <v>798560</v>
      </c>
    </row>
    <row r="183" spans="1:108" ht="13" customHeight="1">
      <c r="A183" s="2" t="s">
        <v>928</v>
      </c>
      <c r="C183" s="2" t="s">
        <v>93</v>
      </c>
      <c r="BN183" s="133" t="s">
        <v>929</v>
      </c>
      <c r="BS183">
        <v>4</v>
      </c>
      <c r="BT183" t="s">
        <v>930</v>
      </c>
      <c r="CB183" s="253" t="s">
        <v>922</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921</v>
      </c>
      <c r="CS183" s="226">
        <v>323262</v>
      </c>
      <c r="CT183" s="226">
        <v>372718</v>
      </c>
      <c r="CU183" s="226">
        <v>449600</v>
      </c>
      <c r="CV183" s="226">
        <v>575488</v>
      </c>
      <c r="CW183" s="226">
        <v>641130</v>
      </c>
      <c r="CX183" s="13"/>
      <c r="CY183" s="133" t="s">
        <v>921</v>
      </c>
      <c r="CZ183" s="226">
        <v>323262</v>
      </c>
      <c r="DA183" s="226">
        <v>372718</v>
      </c>
      <c r="DB183" s="226">
        <v>449600</v>
      </c>
      <c r="DC183" s="226">
        <v>575488</v>
      </c>
      <c r="DD183" s="226">
        <v>641130</v>
      </c>
    </row>
    <row r="184" spans="1:108" ht="13" customHeight="1">
      <c r="C184" s="18"/>
      <c r="D184" t="s">
        <v>931</v>
      </c>
      <c r="I184" s="1444" t="str">
        <f>H18</f>
        <v>8955 Monterey Apartments</v>
      </c>
      <c r="J184" s="1444"/>
      <c r="K184" s="1444"/>
      <c r="L184" s="1444"/>
      <c r="M184" s="1444"/>
      <c r="N184" s="1444"/>
      <c r="O184" s="1444"/>
      <c r="P184" s="1444"/>
      <c r="Q184" s="1444"/>
      <c r="R184" s="1444"/>
      <c r="S184" s="1444"/>
      <c r="T184" s="1444"/>
      <c r="U184" s="1444"/>
      <c r="V184" s="1444"/>
      <c r="W184" s="1444"/>
      <c r="X184" s="1444"/>
      <c r="Y184" s="1444"/>
      <c r="Z184" s="1444"/>
      <c r="AA184" s="1444"/>
      <c r="AB184" s="1444"/>
      <c r="AC184" s="1444"/>
      <c r="AD184" s="1444"/>
      <c r="AE184" s="1444"/>
      <c r="BC184" t="s">
        <v>932</v>
      </c>
      <c r="BN184" s="133" t="s">
        <v>933</v>
      </c>
      <c r="BS184">
        <v>4</v>
      </c>
      <c r="BT184" t="s">
        <v>934</v>
      </c>
      <c r="CB184" s="253" t="s">
        <v>925</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924</v>
      </c>
      <c r="CS184" s="228">
        <v>402640</v>
      </c>
      <c r="CT184" s="228">
        <v>464240</v>
      </c>
      <c r="CU184" s="228">
        <v>560000</v>
      </c>
      <c r="CV184" s="228">
        <v>716800</v>
      </c>
      <c r="CW184" s="228">
        <v>798560</v>
      </c>
      <c r="CX184" s="13"/>
      <c r="CY184" s="133" t="s">
        <v>924</v>
      </c>
      <c r="CZ184" s="228">
        <v>402640</v>
      </c>
      <c r="DA184" s="228">
        <v>464240</v>
      </c>
      <c r="DB184" s="228">
        <v>560000</v>
      </c>
      <c r="DC184" s="228">
        <v>716800</v>
      </c>
      <c r="DD184" s="228">
        <v>798560</v>
      </c>
    </row>
    <row r="185" spans="1:108" ht="13" customHeight="1">
      <c r="C185" s="18"/>
      <c r="D185" t="s">
        <v>935</v>
      </c>
      <c r="I185" s="1412" t="s">
        <v>936</v>
      </c>
      <c r="J185" s="1412"/>
      <c r="K185" s="1412"/>
      <c r="L185" s="1412"/>
      <c r="M185" s="1412"/>
      <c r="N185" s="1412"/>
      <c r="O185" s="1412"/>
      <c r="P185" s="1412"/>
      <c r="Q185" s="1412"/>
      <c r="R185" s="1412"/>
      <c r="S185" s="1412"/>
      <c r="T185" s="1412"/>
      <c r="U185" s="1412"/>
      <c r="V185" s="1412"/>
      <c r="W185" s="1412"/>
      <c r="X185" s="1412"/>
      <c r="Y185" s="1412"/>
      <c r="Z185" s="1412"/>
      <c r="AA185" s="1412"/>
      <c r="AB185" s="1412"/>
      <c r="AC185" s="1412"/>
      <c r="AD185" s="1412"/>
      <c r="AE185" s="1412"/>
      <c r="BC185" t="s">
        <v>937</v>
      </c>
      <c r="BN185" s="133" t="s">
        <v>938</v>
      </c>
      <c r="BS185">
        <v>7</v>
      </c>
      <c r="BT185" t="s">
        <v>939</v>
      </c>
      <c r="CB185" s="253" t="s">
        <v>927</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926</v>
      </c>
      <c r="CS185" s="226">
        <v>402640</v>
      </c>
      <c r="CT185" s="226">
        <v>464240</v>
      </c>
      <c r="CU185" s="226">
        <v>560000</v>
      </c>
      <c r="CV185" s="226">
        <v>716800</v>
      </c>
      <c r="CW185" s="226">
        <v>798560</v>
      </c>
      <c r="CX185" s="13"/>
      <c r="CY185" s="133" t="s">
        <v>926</v>
      </c>
      <c r="CZ185" s="226">
        <v>402640</v>
      </c>
      <c r="DA185" s="226">
        <v>464240</v>
      </c>
      <c r="DB185" s="226">
        <v>560000</v>
      </c>
      <c r="DC185" s="226">
        <v>716800</v>
      </c>
      <c r="DD185" s="226">
        <v>798560</v>
      </c>
    </row>
    <row r="186" spans="1:108" ht="13" customHeight="1">
      <c r="C186" s="18"/>
      <c r="E186" t="s">
        <v>940</v>
      </c>
      <c r="BN186" s="133" t="s">
        <v>941</v>
      </c>
      <c r="BS186">
        <v>4</v>
      </c>
      <c r="BT186" t="s">
        <v>942</v>
      </c>
      <c r="CB186" s="253" t="s">
        <v>930</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929</v>
      </c>
      <c r="CS186" s="228">
        <v>442904</v>
      </c>
      <c r="CT186" s="228">
        <v>510664</v>
      </c>
      <c r="CU186" s="228">
        <v>616000</v>
      </c>
      <c r="CV186" s="228">
        <v>788480</v>
      </c>
      <c r="CW186" s="228">
        <v>878416</v>
      </c>
      <c r="CX186" s="13"/>
      <c r="CY186" s="133" t="s">
        <v>929</v>
      </c>
      <c r="CZ186" s="228">
        <v>442904</v>
      </c>
      <c r="DA186" s="228">
        <v>510664</v>
      </c>
      <c r="DB186" s="228">
        <v>616000</v>
      </c>
      <c r="DC186" s="228">
        <v>788480</v>
      </c>
      <c r="DD186" s="228">
        <v>878416</v>
      </c>
    </row>
    <row r="187" spans="1:108" ht="13" customHeight="1">
      <c r="C187" s="18"/>
      <c r="E187" s="1479"/>
      <c r="F187" s="1479"/>
      <c r="G187" s="1479"/>
      <c r="H187" s="1479"/>
      <c r="I187" s="1479"/>
      <c r="J187" s="1479"/>
      <c r="K187" s="1479"/>
      <c r="L187" s="1479"/>
      <c r="M187" s="1479"/>
      <c r="N187" s="1479"/>
      <c r="O187" s="1479"/>
      <c r="P187" s="1479"/>
      <c r="Q187" s="1479"/>
      <c r="R187" s="1479"/>
      <c r="S187" s="1479"/>
      <c r="T187" s="1479"/>
      <c r="U187" s="1479"/>
      <c r="V187" s="1479"/>
      <c r="W187" s="1479"/>
      <c r="X187" s="1479"/>
      <c r="Y187" s="1479"/>
      <c r="Z187" s="1479"/>
      <c r="AA187" s="1479"/>
      <c r="AB187" s="1479"/>
      <c r="AC187" s="1479"/>
      <c r="AD187" s="1479"/>
      <c r="AE187" s="1479"/>
      <c r="BN187" s="133" t="s">
        <v>943</v>
      </c>
      <c r="BS187">
        <v>6</v>
      </c>
      <c r="BT187" t="s">
        <v>944</v>
      </c>
      <c r="CB187" s="253" t="s">
        <v>934</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933</v>
      </c>
      <c r="CS187" s="226">
        <v>406666</v>
      </c>
      <c r="CT187" s="226">
        <v>468882</v>
      </c>
      <c r="CU187" s="226">
        <v>565600</v>
      </c>
      <c r="CV187" s="226">
        <v>723968</v>
      </c>
      <c r="CW187" s="226">
        <v>806546</v>
      </c>
      <c r="CX187" s="13"/>
      <c r="CY187" s="133" t="s">
        <v>933</v>
      </c>
      <c r="CZ187" s="226">
        <v>406666</v>
      </c>
      <c r="DA187" s="226">
        <v>468882</v>
      </c>
      <c r="DB187" s="226">
        <v>565600</v>
      </c>
      <c r="DC187" s="226">
        <v>723968</v>
      </c>
      <c r="DD187" s="226">
        <v>806546</v>
      </c>
    </row>
    <row r="188" spans="1:108" ht="13" customHeight="1">
      <c r="C188" s="18"/>
      <c r="E188" s="1480"/>
      <c r="F188" s="1480"/>
      <c r="G188" s="1480"/>
      <c r="H188" s="1480"/>
      <c r="I188" s="1480"/>
      <c r="J188" s="1480"/>
      <c r="K188" s="1480"/>
      <c r="L188" s="1480"/>
      <c r="M188" s="1480"/>
      <c r="N188" s="1480"/>
      <c r="O188" s="1480"/>
      <c r="P188" s="1480"/>
      <c r="Q188" s="1480"/>
      <c r="R188" s="1480"/>
      <c r="S188" s="1480"/>
      <c r="T188" s="1480"/>
      <c r="U188" s="1480"/>
      <c r="V188" s="1480"/>
      <c r="W188" s="1480"/>
      <c r="X188" s="1480"/>
      <c r="Y188" s="1480"/>
      <c r="Z188" s="1480"/>
      <c r="AA188" s="1480"/>
      <c r="AB188" s="1480"/>
      <c r="AC188" s="1480"/>
      <c r="AD188" s="1480"/>
      <c r="AE188" s="1480"/>
      <c r="BN188" s="133" t="s">
        <v>945</v>
      </c>
      <c r="BS188">
        <v>7</v>
      </c>
      <c r="BT188" t="s">
        <v>946</v>
      </c>
      <c r="CB188" s="253" t="s">
        <v>939</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938</v>
      </c>
      <c r="CS188" s="228">
        <v>402640</v>
      </c>
      <c r="CT188" s="228">
        <v>464240</v>
      </c>
      <c r="CU188" s="228">
        <v>560000</v>
      </c>
      <c r="CV188" s="228">
        <v>716800</v>
      </c>
      <c r="CW188" s="228">
        <v>798560</v>
      </c>
      <c r="CX188" s="13"/>
      <c r="CY188" s="133" t="s">
        <v>938</v>
      </c>
      <c r="CZ188" s="228">
        <v>402640</v>
      </c>
      <c r="DA188" s="228">
        <v>464240</v>
      </c>
      <c r="DB188" s="228">
        <v>560000</v>
      </c>
      <c r="DC188" s="228">
        <v>716800</v>
      </c>
      <c r="DD188" s="228">
        <v>798560</v>
      </c>
    </row>
    <row r="189" spans="1:108" ht="13" customHeight="1">
      <c r="C189" s="18"/>
      <c r="D189" t="s">
        <v>947</v>
      </c>
      <c r="I189" s="1469" t="s">
        <v>832</v>
      </c>
      <c r="J189" s="1379"/>
      <c r="K189" s="1379"/>
      <c r="L189" s="1379"/>
      <c r="M189" s="1379"/>
      <c r="N189" s="1379"/>
      <c r="O189" s="1379"/>
      <c r="P189" s="1379"/>
      <c r="Q189" t="s">
        <v>948</v>
      </c>
      <c r="T189" s="1379" t="s">
        <v>949</v>
      </c>
      <c r="U189" s="1379"/>
      <c r="V189" s="1379"/>
      <c r="W189" s="1379"/>
      <c r="X189" s="1379"/>
      <c r="Y189" s="1379"/>
      <c r="Z189" s="1379"/>
      <c r="AA189" s="1379"/>
      <c r="AB189" s="1379"/>
      <c r="AC189" s="1379"/>
      <c r="AD189" s="1379"/>
      <c r="AE189" s="1379"/>
      <c r="BC189" t="s">
        <v>348</v>
      </c>
      <c r="BH189" s="3" t="s">
        <v>826</v>
      </c>
      <c r="BN189" s="133" t="s">
        <v>950</v>
      </c>
      <c r="BS189">
        <v>5</v>
      </c>
      <c r="BT189" t="s">
        <v>951</v>
      </c>
      <c r="CB189" s="253" t="s">
        <v>942</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941</v>
      </c>
      <c r="CS189" s="226">
        <v>402065</v>
      </c>
      <c r="CT189" s="226">
        <v>463577</v>
      </c>
      <c r="CU189" s="226">
        <v>559200</v>
      </c>
      <c r="CV189" s="226">
        <v>715776</v>
      </c>
      <c r="CW189" s="226">
        <v>797419</v>
      </c>
      <c r="CX189" s="13"/>
      <c r="CY189" s="133" t="s">
        <v>941</v>
      </c>
      <c r="CZ189" s="226">
        <v>402065</v>
      </c>
      <c r="DA189" s="226">
        <v>463577</v>
      </c>
      <c r="DB189" s="226">
        <v>559200</v>
      </c>
      <c r="DC189" s="226">
        <v>715776</v>
      </c>
      <c r="DD189" s="226">
        <v>797419</v>
      </c>
    </row>
    <row r="190" spans="1:108" ht="13" customHeight="1">
      <c r="C190" s="18"/>
      <c r="D190" t="s">
        <v>952</v>
      </c>
      <c r="I190" s="1412">
        <v>95020</v>
      </c>
      <c r="J190" s="1412"/>
      <c r="K190" s="1412"/>
      <c r="L190" s="1412"/>
      <c r="M190" s="1412"/>
      <c r="N190" s="1412"/>
      <c r="O190" t="s">
        <v>953</v>
      </c>
      <c r="T190" s="1501">
        <v>5125.13</v>
      </c>
      <c r="U190" s="1501"/>
      <c r="V190" s="1501"/>
      <c r="W190" s="1501"/>
      <c r="X190" s="1501"/>
      <c r="Y190" s="1501"/>
      <c r="Z190" s="1501"/>
      <c r="AA190" s="1501"/>
      <c r="AB190" s="1501"/>
      <c r="AC190" s="1501"/>
      <c r="AD190" s="1501"/>
      <c r="AE190" s="1501"/>
      <c r="BC190" t="s">
        <v>954</v>
      </c>
      <c r="BH190" t="s">
        <v>954</v>
      </c>
      <c r="BN190" s="133" t="s">
        <v>955</v>
      </c>
      <c r="BS190">
        <v>6</v>
      </c>
      <c r="BT190" t="s">
        <v>956</v>
      </c>
      <c r="CB190" s="253" t="s">
        <v>944</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943</v>
      </c>
      <c r="CS190" s="228">
        <v>360075</v>
      </c>
      <c r="CT190" s="228">
        <v>415163</v>
      </c>
      <c r="CU190" s="228">
        <v>500800</v>
      </c>
      <c r="CV190" s="228">
        <v>641024</v>
      </c>
      <c r="CW190" s="228">
        <v>714141</v>
      </c>
      <c r="CX190" s="13"/>
      <c r="CY190" s="133" t="s">
        <v>943</v>
      </c>
      <c r="CZ190" s="228">
        <v>360075</v>
      </c>
      <c r="DA190" s="228">
        <v>415163</v>
      </c>
      <c r="DB190" s="228">
        <v>500800</v>
      </c>
      <c r="DC190" s="228">
        <v>641024</v>
      </c>
      <c r="DD190" s="228">
        <v>714141</v>
      </c>
    </row>
    <row r="191" spans="1:108" ht="13" customHeight="1">
      <c r="C191" s="18"/>
      <c r="D191" t="s">
        <v>957</v>
      </c>
      <c r="N191" s="1478" t="s">
        <v>958</v>
      </c>
      <c r="O191" s="1479"/>
      <c r="P191" s="1479"/>
      <c r="Q191" s="1479"/>
      <c r="R191" s="1479"/>
      <c r="S191" s="1479"/>
      <c r="T191" s="1479"/>
      <c r="U191" s="1479"/>
      <c r="V191" s="1479"/>
      <c r="W191" s="1479"/>
      <c r="X191" s="1479"/>
      <c r="Y191" s="1479"/>
      <c r="Z191" s="1479"/>
      <c r="AA191" s="1479"/>
      <c r="AB191" s="1479"/>
      <c r="AC191" s="1479"/>
      <c r="AD191" s="1479"/>
      <c r="AE191" s="1479"/>
      <c r="BC191" t="s">
        <v>959</v>
      </c>
      <c r="BH191" t="s">
        <v>959</v>
      </c>
      <c r="BN191" s="133" t="s">
        <v>960</v>
      </c>
      <c r="BS191">
        <v>4</v>
      </c>
      <c r="BT191" t="s">
        <v>961</v>
      </c>
      <c r="CB191" s="253" t="s">
        <v>946</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945</v>
      </c>
      <c r="CS191" s="226">
        <v>402640</v>
      </c>
      <c r="CT191" s="226">
        <v>464240</v>
      </c>
      <c r="CU191" s="226">
        <v>560000</v>
      </c>
      <c r="CV191" s="226">
        <v>716800</v>
      </c>
      <c r="CW191" s="226">
        <v>798560</v>
      </c>
      <c r="CX191" s="13"/>
      <c r="CY191" s="133" t="s">
        <v>945</v>
      </c>
      <c r="CZ191" s="226">
        <v>402640</v>
      </c>
      <c r="DA191" s="226">
        <v>464240</v>
      </c>
      <c r="DB191" s="226">
        <v>560000</v>
      </c>
      <c r="DC191" s="226">
        <v>716800</v>
      </c>
      <c r="DD191" s="226">
        <v>798560</v>
      </c>
    </row>
    <row r="192" spans="1:108" ht="13" customHeight="1">
      <c r="C192" s="18"/>
      <c r="M192" s="32"/>
      <c r="N192" s="1480"/>
      <c r="O192" s="1480"/>
      <c r="P192" s="1480"/>
      <c r="Q192" s="1480"/>
      <c r="R192" s="1480"/>
      <c r="S192" s="1480"/>
      <c r="T192" s="1480"/>
      <c r="U192" s="1480"/>
      <c r="V192" s="1480"/>
      <c r="W192" s="1480"/>
      <c r="X192" s="1480"/>
      <c r="Y192" s="1480"/>
      <c r="Z192" s="1480"/>
      <c r="AA192" s="1480"/>
      <c r="AB192" s="1480"/>
      <c r="AC192" s="1480"/>
      <c r="AD192" s="1480"/>
      <c r="AE192" s="1480"/>
      <c r="BC192" t="s">
        <v>962</v>
      </c>
      <c r="BH192" s="3" t="s">
        <v>963</v>
      </c>
      <c r="BN192" s="133" t="s">
        <v>964</v>
      </c>
      <c r="BS192">
        <v>5</v>
      </c>
      <c r="BT192" t="s">
        <v>965</v>
      </c>
      <c r="CB192" s="253" t="s">
        <v>951</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950</v>
      </c>
      <c r="CS192" s="228">
        <v>381933</v>
      </c>
      <c r="CT192" s="228">
        <v>440365</v>
      </c>
      <c r="CU192" s="228">
        <v>531200</v>
      </c>
      <c r="CV192" s="228">
        <v>679936</v>
      </c>
      <c r="CW192" s="228">
        <v>757491</v>
      </c>
      <c r="CX192" s="13"/>
      <c r="CY192" s="133" t="s">
        <v>950</v>
      </c>
      <c r="CZ192" s="228">
        <v>381933</v>
      </c>
      <c r="DA192" s="228">
        <v>440365</v>
      </c>
      <c r="DB192" s="228">
        <v>531200</v>
      </c>
      <c r="DC192" s="228">
        <v>679936</v>
      </c>
      <c r="DD192" s="228">
        <v>757491</v>
      </c>
    </row>
    <row r="193" spans="1:108" ht="13" customHeight="1">
      <c r="C193" s="18"/>
      <c r="D193" t="s">
        <v>966</v>
      </c>
      <c r="M193" s="32"/>
      <c r="N193" s="786"/>
      <c r="O193" s="786"/>
      <c r="P193" s="786"/>
      <c r="Q193" s="786"/>
      <c r="R193" s="786"/>
      <c r="S193" s="786"/>
      <c r="T193" s="1505" t="s">
        <v>911</v>
      </c>
      <c r="U193" s="1505"/>
      <c r="V193" s="1505"/>
      <c r="W193" s="1505"/>
      <c r="X193" s="1505"/>
      <c r="Y193" s="1505"/>
      <c r="Z193" s="1505"/>
      <c r="AA193" s="1505"/>
      <c r="AB193" s="1505"/>
      <c r="AC193" s="1505"/>
      <c r="AD193" s="1505"/>
      <c r="AE193" s="1505"/>
      <c r="AF193" s="1505"/>
      <c r="AG193" s="1505"/>
      <c r="AH193" s="1505"/>
      <c r="AI193" s="1505"/>
      <c r="BC193" t="s">
        <v>967</v>
      </c>
      <c r="BH193" s="3" t="s">
        <v>968</v>
      </c>
      <c r="BN193" s="133" t="s">
        <v>969</v>
      </c>
      <c r="BS193">
        <v>4</v>
      </c>
      <c r="BT193" t="s">
        <v>801</v>
      </c>
      <c r="CB193" s="253" t="s">
        <v>956</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955</v>
      </c>
      <c r="CS193" s="226">
        <v>360075</v>
      </c>
      <c r="CT193" s="226">
        <v>415163</v>
      </c>
      <c r="CU193" s="226">
        <v>500800</v>
      </c>
      <c r="CV193" s="226">
        <v>641024</v>
      </c>
      <c r="CW193" s="226">
        <v>714141</v>
      </c>
      <c r="CX193" s="13"/>
      <c r="CY193" s="133" t="s">
        <v>955</v>
      </c>
      <c r="CZ193" s="226">
        <v>360075</v>
      </c>
      <c r="DA193" s="226">
        <v>415163</v>
      </c>
      <c r="DB193" s="226">
        <v>500800</v>
      </c>
      <c r="DC193" s="226">
        <v>641024</v>
      </c>
      <c r="DD193" s="226">
        <v>714141</v>
      </c>
    </row>
    <row r="194" spans="1:108" ht="13" customHeight="1">
      <c r="C194" s="18"/>
      <c r="D194" s="3" t="s">
        <v>970</v>
      </c>
      <c r="M194" s="32"/>
      <c r="N194" s="786"/>
      <c r="O194" s="786"/>
      <c r="P194" s="786"/>
      <c r="Q194" s="786"/>
      <c r="R194" s="786"/>
      <c r="S194" s="786"/>
      <c r="AH194" s="1387" t="s">
        <v>700</v>
      </c>
      <c r="AI194" s="1387"/>
      <c r="BC194" t="s">
        <v>963</v>
      </c>
      <c r="BN194" s="133" t="s">
        <v>971</v>
      </c>
      <c r="BS194">
        <v>2</v>
      </c>
      <c r="BT194" t="s">
        <v>972</v>
      </c>
      <c r="CB194" s="253" t="s">
        <v>961</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960</v>
      </c>
      <c r="CS194" s="228">
        <v>402640</v>
      </c>
      <c r="CT194" s="228">
        <v>464240</v>
      </c>
      <c r="CU194" s="228">
        <v>560000</v>
      </c>
      <c r="CV194" s="228">
        <v>716800</v>
      </c>
      <c r="CW194" s="228">
        <v>798560</v>
      </c>
      <c r="CX194" s="13"/>
      <c r="CY194" s="133" t="s">
        <v>960</v>
      </c>
      <c r="CZ194" s="228">
        <v>402640</v>
      </c>
      <c r="DA194" s="228">
        <v>464240</v>
      </c>
      <c r="DB194" s="228">
        <v>560000</v>
      </c>
      <c r="DC194" s="228">
        <v>716800</v>
      </c>
      <c r="DD194" s="228">
        <v>798560</v>
      </c>
    </row>
    <row r="195" spans="1:108" ht="13" customHeight="1">
      <c r="C195" s="18"/>
      <c r="D195" t="s">
        <v>973</v>
      </c>
      <c r="T195" s="1387" t="s">
        <v>700</v>
      </c>
      <c r="U195" s="1387"/>
      <c r="W195" t="s">
        <v>974</v>
      </c>
      <c r="AH195" s="1387">
        <v>18</v>
      </c>
      <c r="AI195" s="1387"/>
      <c r="BC195" t="s">
        <v>975</v>
      </c>
      <c r="BN195" s="133" t="s">
        <v>976</v>
      </c>
      <c r="BS195">
        <v>6</v>
      </c>
      <c r="BT195" t="s">
        <v>977</v>
      </c>
      <c r="CB195" s="253" t="s">
        <v>965</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964</v>
      </c>
      <c r="CS195" s="226">
        <v>381933</v>
      </c>
      <c r="CT195" s="226">
        <v>440365</v>
      </c>
      <c r="CU195" s="226">
        <v>531200</v>
      </c>
      <c r="CV195" s="226">
        <v>679936</v>
      </c>
      <c r="CW195" s="226">
        <v>757491</v>
      </c>
      <c r="CX195" s="13"/>
      <c r="CY195" s="133" t="s">
        <v>964</v>
      </c>
      <c r="CZ195" s="226">
        <v>381933</v>
      </c>
      <c r="DA195" s="226">
        <v>440365</v>
      </c>
      <c r="DB195" s="226">
        <v>531200</v>
      </c>
      <c r="DC195" s="226">
        <v>679936</v>
      </c>
      <c r="DD195" s="226">
        <v>757491</v>
      </c>
    </row>
    <row r="196" spans="1:108" ht="13" customHeight="1">
      <c r="C196" s="18"/>
      <c r="D196" t="s">
        <v>978</v>
      </c>
      <c r="T196" s="1363" t="s">
        <v>862</v>
      </c>
      <c r="U196" s="1363"/>
      <c r="W196" t="s">
        <v>979</v>
      </c>
      <c r="AH196" s="1387">
        <v>29</v>
      </c>
      <c r="AI196" s="1387"/>
      <c r="BN196" s="133" t="s">
        <v>980</v>
      </c>
      <c r="BS196">
        <v>4</v>
      </c>
      <c r="BT196" t="s">
        <v>981</v>
      </c>
      <c r="CB196" s="253" t="s">
        <v>801</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969</v>
      </c>
      <c r="CS196" s="228">
        <v>392286</v>
      </c>
      <c r="CT196" s="228">
        <v>452302</v>
      </c>
      <c r="CU196" s="228">
        <v>545600</v>
      </c>
      <c r="CV196" s="228">
        <v>698368</v>
      </c>
      <c r="CW196" s="228">
        <v>778026</v>
      </c>
      <c r="CX196" s="13"/>
      <c r="CY196" s="133" t="s">
        <v>969</v>
      </c>
      <c r="CZ196" s="228">
        <v>392286</v>
      </c>
      <c r="DA196" s="228">
        <v>452302</v>
      </c>
      <c r="DB196" s="228">
        <v>545600</v>
      </c>
      <c r="DC196" s="228">
        <v>698368</v>
      </c>
      <c r="DD196" s="228">
        <v>778026</v>
      </c>
    </row>
    <row r="197" spans="1:108" ht="13" customHeight="1">
      <c r="C197" s="18"/>
      <c r="D197" s="3" t="s">
        <v>982</v>
      </c>
      <c r="T197" s="1363" t="s">
        <v>700</v>
      </c>
      <c r="U197" s="1363"/>
      <c r="W197" t="s">
        <v>983</v>
      </c>
      <c r="AH197" s="1387">
        <v>15</v>
      </c>
      <c r="AI197" s="1387"/>
      <c r="BC197" t="s">
        <v>348</v>
      </c>
      <c r="BN197" s="133" t="s">
        <v>984</v>
      </c>
      <c r="BS197">
        <v>2</v>
      </c>
      <c r="BT197" t="s">
        <v>985</v>
      </c>
      <c r="CB197" s="253" t="s">
        <v>972</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971</v>
      </c>
      <c r="CS197" s="226">
        <v>694266</v>
      </c>
      <c r="CT197" s="226">
        <v>800482</v>
      </c>
      <c r="CU197" s="226">
        <v>965600</v>
      </c>
      <c r="CV197" s="226">
        <v>1235968</v>
      </c>
      <c r="CW197" s="226">
        <v>1376946</v>
      </c>
      <c r="CX197" s="13"/>
      <c r="CY197" s="133" t="s">
        <v>971</v>
      </c>
      <c r="CZ197" s="226">
        <v>694266</v>
      </c>
      <c r="DA197" s="226">
        <v>800482</v>
      </c>
      <c r="DB197" s="226">
        <v>965600</v>
      </c>
      <c r="DC197" s="226">
        <v>1235968</v>
      </c>
      <c r="DD197" s="226">
        <v>1376946</v>
      </c>
    </row>
    <row r="198" spans="1:108" s="13" customFormat="1" ht="13" customHeight="1">
      <c r="A198"/>
      <c r="B198"/>
      <c r="C198" s="18"/>
      <c r="D198" s="3" t="s">
        <v>986</v>
      </c>
      <c r="E198"/>
      <c r="F198"/>
      <c r="G198"/>
      <c r="H198"/>
      <c r="I198"/>
      <c r="J198"/>
      <c r="K198"/>
      <c r="L198"/>
      <c r="M198"/>
      <c r="N198"/>
      <c r="O198"/>
      <c r="P198"/>
      <c r="Q198"/>
      <c r="R198"/>
      <c r="S198"/>
      <c r="T198" s="1363">
        <v>0</v>
      </c>
      <c r="U198" s="1363"/>
      <c r="V198"/>
      <c r="X198" s="1488" t="s">
        <v>987</v>
      </c>
      <c r="Y198" s="1488"/>
      <c r="Z198" s="1488"/>
      <c r="AA198" s="1488"/>
      <c r="AB198" s="1488"/>
      <c r="AC198" s="1488"/>
      <c r="AD198" s="1488"/>
      <c r="AE198" s="1488"/>
      <c r="AF198" s="1488"/>
      <c r="AG198" s="1488"/>
      <c r="AH198" s="1488"/>
      <c r="AI198" s="1488"/>
      <c r="AJ198" s="1488"/>
      <c r="AK198" s="1488"/>
      <c r="AL198" s="1488"/>
      <c r="AM198" s="1488"/>
      <c r="AN198" s="1488"/>
      <c r="AO198" s="1488"/>
      <c r="AP198" s="1488"/>
      <c r="AQ198" s="1488"/>
      <c r="AR198" s="1488"/>
      <c r="AS198" s="1488"/>
      <c r="AT198" s="1488"/>
      <c r="AU198"/>
      <c r="AV198"/>
      <c r="AW198"/>
      <c r="AX198"/>
      <c r="AY198"/>
      <c r="AZ198" s="25"/>
      <c r="BA198" s="25"/>
      <c r="BC198" s="13" t="s">
        <v>826</v>
      </c>
      <c r="BD198"/>
      <c r="BN198" s="133" t="s">
        <v>988</v>
      </c>
      <c r="BO198"/>
      <c r="BP198"/>
      <c r="BQ198"/>
      <c r="BR198"/>
      <c r="BS198">
        <v>4</v>
      </c>
      <c r="BT198" t="s">
        <v>989</v>
      </c>
      <c r="BU198"/>
      <c r="BV198" s="26"/>
      <c r="CB198" s="253" t="s">
        <v>977</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976</v>
      </c>
      <c r="CS198" s="228">
        <v>323262</v>
      </c>
      <c r="CT198" s="228">
        <v>372718</v>
      </c>
      <c r="CU198" s="228">
        <v>449600</v>
      </c>
      <c r="CV198" s="228">
        <v>575488</v>
      </c>
      <c r="CW198" s="228">
        <v>641130</v>
      </c>
      <c r="CY198" s="133" t="s">
        <v>976</v>
      </c>
      <c r="CZ198" s="228">
        <v>323262</v>
      </c>
      <c r="DA198" s="228">
        <v>372718</v>
      </c>
      <c r="DB198" s="228">
        <v>449600</v>
      </c>
      <c r="DC198" s="228">
        <v>575488</v>
      </c>
      <c r="DD198" s="228">
        <v>641130</v>
      </c>
    </row>
    <row r="199" spans="1:108" s="13" customFormat="1" ht="13" customHeight="1">
      <c r="A199"/>
      <c r="B199"/>
      <c r="C199" s="18"/>
      <c r="D199" s="84" t="s">
        <v>990</v>
      </c>
      <c r="E199"/>
      <c r="F199"/>
      <c r="G199"/>
      <c r="H199"/>
      <c r="I199"/>
      <c r="J199"/>
      <c r="K199"/>
      <c r="L199"/>
      <c r="M199"/>
      <c r="N199"/>
      <c r="O199"/>
      <c r="P199"/>
      <c r="Q199"/>
      <c r="R199"/>
      <c r="S199"/>
      <c r="T199" s="1387" t="s">
        <v>700</v>
      </c>
      <c r="U199" s="1387"/>
      <c r="V199"/>
      <c r="W199"/>
      <c r="X199" s="1488"/>
      <c r="Y199" s="1488"/>
      <c r="Z199" s="1488"/>
      <c r="AA199" s="1488"/>
      <c r="AB199" s="1488"/>
      <c r="AC199" s="1488"/>
      <c r="AD199" s="1488"/>
      <c r="AE199" s="1488"/>
      <c r="AF199" s="1488"/>
      <c r="AG199" s="1488"/>
      <c r="AH199" s="1488"/>
      <c r="AI199" s="1488"/>
      <c r="AJ199" s="1488"/>
      <c r="AK199" s="1488"/>
      <c r="AL199" s="1488"/>
      <c r="AM199" s="1488"/>
      <c r="AN199" s="1488"/>
      <c r="AO199" s="1488"/>
      <c r="AP199" s="1488"/>
      <c r="AQ199" s="1488"/>
      <c r="AR199" s="1488"/>
      <c r="AS199" s="1488"/>
      <c r="AT199" s="1488"/>
      <c r="AU199"/>
      <c r="AV199"/>
      <c r="AW199"/>
      <c r="AX199"/>
      <c r="AY199"/>
      <c r="AZ199" s="25"/>
      <c r="BA199" s="25"/>
      <c r="BC199" t="s">
        <v>813</v>
      </c>
      <c r="BD199"/>
      <c r="BN199" s="133" t="s">
        <v>991</v>
      </c>
      <c r="BO199"/>
      <c r="BP199"/>
      <c r="BQ199"/>
      <c r="BR199"/>
      <c r="BS199">
        <v>2</v>
      </c>
      <c r="BT199" s="27" t="s">
        <v>949</v>
      </c>
      <c r="BU199"/>
      <c r="BV199" s="26"/>
      <c r="CB199" s="253" t="s">
        <v>981</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980</v>
      </c>
      <c r="CS199" s="226">
        <v>442904</v>
      </c>
      <c r="CT199" s="226">
        <v>510664</v>
      </c>
      <c r="CU199" s="226">
        <v>616000</v>
      </c>
      <c r="CV199" s="226">
        <v>788480</v>
      </c>
      <c r="CW199" s="226">
        <v>878416</v>
      </c>
      <c r="CY199" s="133" t="s">
        <v>980</v>
      </c>
      <c r="CZ199" s="226">
        <v>442904</v>
      </c>
      <c r="DA199" s="226">
        <v>510664</v>
      </c>
      <c r="DB199" s="226">
        <v>616000</v>
      </c>
      <c r="DC199" s="226">
        <v>788480</v>
      </c>
      <c r="DD199" s="226">
        <v>878416</v>
      </c>
    </row>
    <row r="200" spans="1:108" s="13" customFormat="1" ht="13" customHeight="1">
      <c r="A200"/>
      <c r="B200"/>
      <c r="C200" s="18"/>
      <c r="D200" s="13" t="s">
        <v>992</v>
      </c>
      <c r="T200" s="1387" t="s">
        <v>700</v>
      </c>
      <c r="U200" s="1387"/>
      <c r="V200"/>
      <c r="W200"/>
      <c r="X200"/>
      <c r="Y200"/>
      <c r="AA200"/>
      <c r="AB200" s="1073" t="s">
        <v>993</v>
      </c>
      <c r="AC200"/>
      <c r="AF200"/>
      <c r="AG200"/>
      <c r="AH200" s="1"/>
      <c r="AJ200"/>
      <c r="AK200"/>
      <c r="AL200"/>
      <c r="AM200"/>
      <c r="AN200"/>
      <c r="AO200"/>
      <c r="AP200"/>
      <c r="AQ200"/>
      <c r="AR200"/>
      <c r="AS200"/>
      <c r="AU200"/>
      <c r="AV200"/>
      <c r="AW200"/>
      <c r="AX200"/>
      <c r="AY200"/>
      <c r="AZ200" s="25"/>
      <c r="BA200" s="25"/>
      <c r="BC200" s="3" t="s">
        <v>994</v>
      </c>
      <c r="BD200" s="339"/>
      <c r="BN200" s="133" t="s">
        <v>995</v>
      </c>
      <c r="BO200"/>
      <c r="BP200"/>
      <c r="BQ200"/>
      <c r="BR200"/>
      <c r="BS200">
        <v>2</v>
      </c>
      <c r="BT200" s="27" t="s">
        <v>996</v>
      </c>
      <c r="BU200"/>
      <c r="CB200" s="253" t="s">
        <v>985</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984</v>
      </c>
      <c r="CS200" s="227">
        <v>532060</v>
      </c>
      <c r="CT200" s="227">
        <v>613460</v>
      </c>
      <c r="CU200" s="228">
        <v>740000</v>
      </c>
      <c r="CV200" s="227">
        <v>947200</v>
      </c>
      <c r="CW200" s="227">
        <v>1055240</v>
      </c>
      <c r="CY200" s="133" t="s">
        <v>984</v>
      </c>
      <c r="CZ200" s="227">
        <v>532060</v>
      </c>
      <c r="DA200" s="227">
        <v>613460</v>
      </c>
      <c r="DB200" s="227">
        <v>740000</v>
      </c>
      <c r="DC200" s="227">
        <v>947200</v>
      </c>
      <c r="DD200" s="227">
        <v>1055240</v>
      </c>
    </row>
    <row r="201" spans="1:108" s="13" customFormat="1" ht="13" customHeight="1">
      <c r="A201"/>
      <c r="B201"/>
      <c r="C201" s="18"/>
      <c r="E201" s="3" t="s">
        <v>997</v>
      </c>
      <c r="V201"/>
      <c r="X201"/>
      <c r="Y201"/>
      <c r="Z201"/>
      <c r="AB201" s="1073" t="s">
        <v>998</v>
      </c>
      <c r="AC201"/>
      <c r="AH201" s="1"/>
      <c r="AJ201"/>
      <c r="AK201"/>
      <c r="AL201"/>
      <c r="AM201"/>
      <c r="AN201"/>
      <c r="AO201"/>
      <c r="AP201"/>
      <c r="AQ201"/>
      <c r="AR201"/>
      <c r="AS201"/>
      <c r="AU201"/>
      <c r="AV201"/>
      <c r="AW201"/>
      <c r="AX201"/>
      <c r="AY201"/>
      <c r="AZ201" s="25"/>
      <c r="BA201" s="25"/>
      <c r="BC201" s="3" t="s">
        <v>999</v>
      </c>
      <c r="BD201" s="339"/>
      <c r="BN201" s="133" t="s">
        <v>1000</v>
      </c>
      <c r="BO201" s="26"/>
      <c r="BP201" s="27"/>
      <c r="BQ201" s="27"/>
      <c r="BR201" s="27"/>
      <c r="BS201">
        <v>6</v>
      </c>
      <c r="BT201" s="27" t="s">
        <v>1001</v>
      </c>
      <c r="BU201"/>
      <c r="CB201" s="253" t="s">
        <v>989</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988</v>
      </c>
      <c r="CS201" s="226">
        <v>442904</v>
      </c>
      <c r="CT201" s="226">
        <v>510664</v>
      </c>
      <c r="CU201" s="226">
        <v>616000</v>
      </c>
      <c r="CV201" s="226">
        <v>788480</v>
      </c>
      <c r="CW201" s="226">
        <v>878416</v>
      </c>
      <c r="CY201" s="133" t="s">
        <v>988</v>
      </c>
      <c r="CZ201" s="226">
        <v>442904</v>
      </c>
      <c r="DA201" s="226">
        <v>510664</v>
      </c>
      <c r="DB201" s="226">
        <v>616000</v>
      </c>
      <c r="DC201" s="226">
        <v>788480</v>
      </c>
      <c r="DD201" s="226">
        <v>878416</v>
      </c>
    </row>
    <row r="202" spans="1:108" ht="13" customHeight="1">
      <c r="C202" s="18"/>
      <c r="AE202" s="7"/>
      <c r="BC202" t="s">
        <v>1002</v>
      </c>
      <c r="BD202" s="339"/>
      <c r="BN202" s="133" t="s">
        <v>1003</v>
      </c>
      <c r="BO202" s="13"/>
      <c r="BP202" s="27"/>
      <c r="BQ202" s="27"/>
      <c r="BR202" s="27"/>
      <c r="BS202">
        <v>7</v>
      </c>
      <c r="BT202" s="27" t="s">
        <v>1004</v>
      </c>
      <c r="CB202" s="253" t="s">
        <v>949</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991</v>
      </c>
      <c r="CS202" s="227">
        <v>532060</v>
      </c>
      <c r="CT202" s="227">
        <v>613460</v>
      </c>
      <c r="CU202" s="227">
        <v>740000</v>
      </c>
      <c r="CV202" s="227">
        <v>947200</v>
      </c>
      <c r="CW202" s="227">
        <v>1055240</v>
      </c>
      <c r="CX202" s="13"/>
      <c r="CY202" s="133" t="s">
        <v>991</v>
      </c>
      <c r="CZ202" s="227">
        <v>532060</v>
      </c>
      <c r="DA202" s="227">
        <v>613460</v>
      </c>
      <c r="DB202" s="227">
        <v>740000</v>
      </c>
      <c r="DC202" s="227">
        <v>947200</v>
      </c>
      <c r="DD202" s="227">
        <v>1055240</v>
      </c>
    </row>
    <row r="203" spans="1:108" ht="13" customHeight="1">
      <c r="A203" s="2" t="s">
        <v>1005</v>
      </c>
      <c r="C203" s="2" t="s">
        <v>1006</v>
      </c>
      <c r="BC203" t="s">
        <v>1007</v>
      </c>
      <c r="BN203" s="133" t="s">
        <v>1008</v>
      </c>
      <c r="BO203" s="13"/>
      <c r="BP203" s="27"/>
      <c r="BQ203" s="27"/>
      <c r="BR203" s="27"/>
      <c r="BS203">
        <v>7</v>
      </c>
      <c r="BT203" s="27" t="s">
        <v>1009</v>
      </c>
      <c r="CB203" s="253" t="s">
        <v>996</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995</v>
      </c>
      <c r="CS203" s="226">
        <v>442904</v>
      </c>
      <c r="CT203" s="226">
        <v>510664</v>
      </c>
      <c r="CU203" s="226">
        <v>616000</v>
      </c>
      <c r="CV203" s="226">
        <v>788480</v>
      </c>
      <c r="CW203" s="226">
        <v>878416</v>
      </c>
      <c r="CX203" s="13"/>
      <c r="CY203" s="133" t="s">
        <v>995</v>
      </c>
      <c r="CZ203" s="226">
        <v>442904</v>
      </c>
      <c r="DA203" s="226">
        <v>510664</v>
      </c>
      <c r="DB203" s="226">
        <v>616000</v>
      </c>
      <c r="DC203" s="226">
        <v>788480</v>
      </c>
      <c r="DD203" s="226">
        <v>878416</v>
      </c>
    </row>
    <row r="204" spans="1:108" ht="13" customHeight="1">
      <c r="D204" s="1444" t="s">
        <v>1010</v>
      </c>
      <c r="E204" s="1444"/>
      <c r="F204" s="1444"/>
      <c r="G204" s="1444"/>
      <c r="H204" s="1444"/>
      <c r="I204" s="1444"/>
      <c r="J204" s="1444"/>
      <c r="K204" s="1444"/>
      <c r="L204" s="1444"/>
      <c r="M204" s="1444"/>
      <c r="P204" s="1496">
        <f>M26</f>
        <v>3737633</v>
      </c>
      <c r="Q204" s="1497"/>
      <c r="R204" s="1497"/>
      <c r="S204" s="1497"/>
      <c r="T204" s="1497"/>
      <c r="U204" s="1497"/>
      <c r="BC204" t="s">
        <v>1011</v>
      </c>
      <c r="BN204" s="133" t="s">
        <v>1012</v>
      </c>
      <c r="BS204">
        <v>6</v>
      </c>
      <c r="BT204" s="27" t="s">
        <v>1013</v>
      </c>
      <c r="BU204" s="13"/>
      <c r="CB204" s="253" t="s">
        <v>1001</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1000</v>
      </c>
      <c r="CS204" s="228">
        <v>369278</v>
      </c>
      <c r="CT204" s="228">
        <v>425774</v>
      </c>
      <c r="CU204" s="228">
        <v>513600</v>
      </c>
      <c r="CV204" s="228">
        <v>657408</v>
      </c>
      <c r="CW204" s="228">
        <v>732394</v>
      </c>
      <c r="CX204" s="13"/>
      <c r="CY204" s="133" t="s">
        <v>1000</v>
      </c>
      <c r="CZ204" s="228">
        <v>369278</v>
      </c>
      <c r="DA204" s="228">
        <v>425774</v>
      </c>
      <c r="DB204" s="228">
        <v>513600</v>
      </c>
      <c r="DC204" s="228">
        <v>657408</v>
      </c>
      <c r="DD204" s="228">
        <v>732394</v>
      </c>
    </row>
    <row r="205" spans="1:108" ht="13" customHeight="1">
      <c r="C205" s="18"/>
      <c r="D205" s="1489" t="s">
        <v>1014</v>
      </c>
      <c r="E205" s="1444"/>
      <c r="F205" s="1444"/>
      <c r="G205" s="1444"/>
      <c r="H205" s="1444"/>
      <c r="I205" s="1444"/>
      <c r="J205" s="1444"/>
      <c r="K205" s="1444"/>
      <c r="L205" s="1444"/>
      <c r="M205" s="1444"/>
      <c r="P205" s="1497">
        <f>M27</f>
        <v>5500000</v>
      </c>
      <c r="Q205" s="1497"/>
      <c r="R205" s="1497"/>
      <c r="S205" s="1497"/>
      <c r="T205" s="1497"/>
      <c r="U205" s="1497"/>
      <c r="V205" s="19"/>
      <c r="W205" s="3" t="s">
        <v>1015</v>
      </c>
      <c r="Z205" s="1486" t="s">
        <v>1016</v>
      </c>
      <c r="AA205" s="1486"/>
      <c r="AB205" s="1486"/>
      <c r="AC205" s="1486"/>
      <c r="AD205" s="1486"/>
      <c r="AE205" s="1486"/>
      <c r="AF205" s="1486"/>
      <c r="AG205" s="1486"/>
      <c r="AH205" s="1486"/>
      <c r="AI205" s="1486"/>
      <c r="AJ205" s="1486"/>
      <c r="AK205" s="1486"/>
      <c r="AL205" s="1486"/>
      <c r="AM205" s="1486"/>
      <c r="AN205" s="1486"/>
      <c r="AP205" s="1377"/>
      <c r="AQ205" s="1377"/>
      <c r="BC205" t="s">
        <v>1017</v>
      </c>
      <c r="BN205" s="133" t="s">
        <v>1018</v>
      </c>
      <c r="BS205">
        <v>4</v>
      </c>
      <c r="BT205" s="27" t="s">
        <v>1019</v>
      </c>
      <c r="BU205" s="13"/>
      <c r="CB205" s="253" t="s">
        <v>1004</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1003</v>
      </c>
      <c r="CS205" s="226">
        <v>402640</v>
      </c>
      <c r="CT205" s="226">
        <v>464240</v>
      </c>
      <c r="CU205" s="226">
        <v>560000</v>
      </c>
      <c r="CV205" s="226">
        <v>716800</v>
      </c>
      <c r="CW205" s="226">
        <v>798560</v>
      </c>
      <c r="CX205" s="13"/>
      <c r="CY205" s="133" t="s">
        <v>1003</v>
      </c>
      <c r="CZ205" s="226">
        <v>402640</v>
      </c>
      <c r="DA205" s="226">
        <v>464240</v>
      </c>
      <c r="DB205" s="226">
        <v>560000</v>
      </c>
      <c r="DC205" s="226">
        <v>716800</v>
      </c>
      <c r="DD205" s="226">
        <v>798560</v>
      </c>
    </row>
    <row r="206" spans="1:108" ht="13" customHeight="1">
      <c r="D206" s="24"/>
      <c r="E206" s="24"/>
      <c r="F206" s="24"/>
      <c r="G206" s="24"/>
      <c r="H206" s="24"/>
      <c r="I206" s="24"/>
      <c r="J206" s="24"/>
      <c r="K206" s="24"/>
      <c r="L206" s="24"/>
      <c r="M206" s="24"/>
      <c r="N206" s="24"/>
      <c r="O206" s="24"/>
      <c r="P206" s="24"/>
      <c r="BC206" t="s">
        <v>1020</v>
      </c>
      <c r="BN206" s="133" t="s">
        <v>1021</v>
      </c>
      <c r="BS206">
        <v>5</v>
      </c>
      <c r="BT206" s="27" t="s">
        <v>1022</v>
      </c>
      <c r="BU206" s="13"/>
      <c r="CB206" s="253" t="s">
        <v>1009</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1008</v>
      </c>
      <c r="CS206" s="228">
        <v>402640</v>
      </c>
      <c r="CT206" s="228">
        <v>464240</v>
      </c>
      <c r="CU206" s="228">
        <v>560000</v>
      </c>
      <c r="CV206" s="228">
        <v>716800</v>
      </c>
      <c r="CW206" s="228">
        <v>798560</v>
      </c>
      <c r="CX206" s="13"/>
      <c r="CY206" s="133" t="s">
        <v>1008</v>
      </c>
      <c r="CZ206" s="228">
        <v>402640</v>
      </c>
      <c r="DA206" s="228">
        <v>464240</v>
      </c>
      <c r="DB206" s="228">
        <v>560000</v>
      </c>
      <c r="DC206" s="228">
        <v>716800</v>
      </c>
      <c r="DD206" s="228">
        <v>798560</v>
      </c>
    </row>
    <row r="207" spans="1:108" ht="13" customHeight="1">
      <c r="A207" s="2" t="s">
        <v>1023</v>
      </c>
      <c r="C207" s="2" t="s">
        <v>1024</v>
      </c>
      <c r="BC207" s="340" t="s">
        <v>1025</v>
      </c>
      <c r="BN207" s="133" t="s">
        <v>1026</v>
      </c>
      <c r="BS207">
        <v>6</v>
      </c>
      <c r="BT207" s="27" t="s">
        <v>1027</v>
      </c>
      <c r="CB207" s="253" t="s">
        <v>1013</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1012</v>
      </c>
      <c r="CS207" s="226">
        <v>406666</v>
      </c>
      <c r="CT207" s="226">
        <v>468882</v>
      </c>
      <c r="CU207" s="226">
        <v>565600</v>
      </c>
      <c r="CV207" s="226">
        <v>723968</v>
      </c>
      <c r="CW207" s="226">
        <v>806546</v>
      </c>
      <c r="CX207" s="13"/>
      <c r="CY207" s="133" t="s">
        <v>1012</v>
      </c>
      <c r="CZ207" s="226">
        <v>406666</v>
      </c>
      <c r="DA207" s="226">
        <v>468882</v>
      </c>
      <c r="DB207" s="226">
        <v>565600</v>
      </c>
      <c r="DC207" s="226">
        <v>723968</v>
      </c>
      <c r="DD207" s="226">
        <v>806546</v>
      </c>
    </row>
    <row r="208" spans="1:108" ht="13" customHeight="1">
      <c r="C208" s="18"/>
      <c r="D208" s="1469" t="s">
        <v>1028</v>
      </c>
      <c r="E208" s="1469"/>
      <c r="F208" s="1469"/>
      <c r="G208" s="1469"/>
      <c r="H208" s="1469"/>
      <c r="I208" s="1469"/>
      <c r="J208" s="1469"/>
      <c r="K208" s="1469"/>
      <c r="L208" s="1469"/>
      <c r="M208" s="1469"/>
      <c r="BC208" s="3" t="s">
        <v>1029</v>
      </c>
      <c r="BN208" s="133" t="s">
        <v>1030</v>
      </c>
      <c r="BS208">
        <v>7</v>
      </c>
      <c r="BT208" s="27" t="s">
        <v>1031</v>
      </c>
      <c r="CB208" s="253" t="s">
        <v>1019</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1018</v>
      </c>
      <c r="CS208" s="228">
        <v>406666</v>
      </c>
      <c r="CT208" s="228">
        <v>468882</v>
      </c>
      <c r="CU208" s="228">
        <v>565600</v>
      </c>
      <c r="CV208" s="228">
        <v>723968</v>
      </c>
      <c r="CW208" s="228">
        <v>806546</v>
      </c>
      <c r="CX208" s="13"/>
      <c r="CY208" s="133" t="s">
        <v>1018</v>
      </c>
      <c r="CZ208" s="228">
        <v>406666</v>
      </c>
      <c r="DA208" s="228">
        <v>468882</v>
      </c>
      <c r="DB208" s="228">
        <v>565600</v>
      </c>
      <c r="DC208" s="228">
        <v>723968</v>
      </c>
      <c r="DD208" s="228">
        <v>806546</v>
      </c>
    </row>
    <row r="209" spans="1:108" ht="13" customHeight="1">
      <c r="BC209" t="s">
        <v>1032</v>
      </c>
      <c r="BN209" s="133" t="s">
        <v>1033</v>
      </c>
      <c r="BS209">
        <v>7</v>
      </c>
      <c r="BT209" s="27" t="s">
        <v>1034</v>
      </c>
      <c r="CB209" s="253" t="s">
        <v>1022</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1021</v>
      </c>
      <c r="CS209" s="226">
        <v>323262</v>
      </c>
      <c r="CT209" s="226">
        <v>372718</v>
      </c>
      <c r="CU209" s="226">
        <v>449600</v>
      </c>
      <c r="CV209" s="226">
        <v>575488</v>
      </c>
      <c r="CW209" s="226">
        <v>641130</v>
      </c>
      <c r="CX209" s="13"/>
      <c r="CY209" s="133" t="s">
        <v>1021</v>
      </c>
      <c r="CZ209" s="226">
        <v>323262</v>
      </c>
      <c r="DA209" s="226">
        <v>372718</v>
      </c>
      <c r="DB209" s="226">
        <v>449600</v>
      </c>
      <c r="DC209" s="226">
        <v>575488</v>
      </c>
      <c r="DD209" s="226">
        <v>641130</v>
      </c>
    </row>
    <row r="210" spans="1:108" ht="13" customHeight="1">
      <c r="A210" s="2" t="s">
        <v>1035</v>
      </c>
      <c r="C210" s="2" t="s">
        <v>1036</v>
      </c>
      <c r="BC210" t="s">
        <v>1037</v>
      </c>
      <c r="BN210" s="133" t="s">
        <v>1038</v>
      </c>
      <c r="BS210">
        <v>5</v>
      </c>
      <c r="BT210" s="27" t="s">
        <v>1039</v>
      </c>
      <c r="CB210" s="253" t="s">
        <v>1027</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1026</v>
      </c>
      <c r="CS210" s="228">
        <v>360075</v>
      </c>
      <c r="CT210" s="228">
        <v>415163</v>
      </c>
      <c r="CU210" s="228">
        <v>500800</v>
      </c>
      <c r="CV210" s="228">
        <v>641024</v>
      </c>
      <c r="CW210" s="228">
        <v>714141</v>
      </c>
      <c r="CX210" s="13"/>
      <c r="CY210" s="133" t="s">
        <v>1026</v>
      </c>
      <c r="CZ210" s="228">
        <v>360075</v>
      </c>
      <c r="DA210" s="228">
        <v>415163</v>
      </c>
      <c r="DB210" s="228">
        <v>500800</v>
      </c>
      <c r="DC210" s="228">
        <v>641024</v>
      </c>
      <c r="DD210" s="228">
        <v>714141</v>
      </c>
    </row>
    <row r="211" spans="1:108" ht="13" customHeight="1">
      <c r="C211" s="18"/>
      <c r="D211" s="1469" t="s">
        <v>954</v>
      </c>
      <c r="E211" s="1469"/>
      <c r="F211" s="1469"/>
      <c r="G211" s="1469"/>
      <c r="H211" s="1469"/>
      <c r="I211" s="1469"/>
      <c r="J211" s="1469"/>
      <c r="K211" s="1469"/>
      <c r="L211" s="1469"/>
      <c r="M211" s="1469"/>
      <c r="BN211" s="133" t="s">
        <v>1040</v>
      </c>
      <c r="BS211">
        <v>7</v>
      </c>
      <c r="BT211" s="27" t="s">
        <v>1041</v>
      </c>
      <c r="CB211" s="253" t="s">
        <v>1031</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1030</v>
      </c>
      <c r="CS211" s="226">
        <v>402640</v>
      </c>
      <c r="CT211" s="226">
        <v>464240</v>
      </c>
      <c r="CU211" s="226">
        <v>560000</v>
      </c>
      <c r="CV211" s="226">
        <v>716800</v>
      </c>
      <c r="CW211" s="226">
        <v>798560</v>
      </c>
      <c r="CX211" s="13"/>
      <c r="CY211" s="133" t="s">
        <v>1030</v>
      </c>
      <c r="CZ211" s="226">
        <v>402640</v>
      </c>
      <c r="DA211" s="226">
        <v>464240</v>
      </c>
      <c r="DB211" s="226">
        <v>560000</v>
      </c>
      <c r="DC211" s="226">
        <v>716800</v>
      </c>
      <c r="DD211" s="226">
        <v>798560</v>
      </c>
    </row>
    <row r="212" spans="1:108" ht="13" customHeight="1">
      <c r="C212" s="18"/>
      <c r="D212" s="3" t="s">
        <v>1042</v>
      </c>
      <c r="Q212" s="1387">
        <v>0</v>
      </c>
      <c r="R212" s="1387"/>
      <c r="T212" s="1475">
        <f>IFERROR(Q212/AG449,0)</f>
        <v>0</v>
      </c>
      <c r="U212" s="1476"/>
      <c r="BC212" t="s">
        <v>348</v>
      </c>
      <c r="BI212" t="s">
        <v>1043</v>
      </c>
      <c r="BN212" s="133" t="s">
        <v>1044</v>
      </c>
      <c r="BS212">
        <v>4</v>
      </c>
      <c r="BT212" s="27" t="s">
        <v>1045</v>
      </c>
      <c r="CB212" s="253" t="s">
        <v>1034</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1033</v>
      </c>
      <c r="CS212" s="228">
        <v>402640</v>
      </c>
      <c r="CT212" s="228">
        <v>464240</v>
      </c>
      <c r="CU212" s="228">
        <v>560000</v>
      </c>
      <c r="CV212" s="228">
        <v>716800</v>
      </c>
      <c r="CW212" s="228">
        <v>798560</v>
      </c>
      <c r="CX212" s="13"/>
      <c r="CY212" s="133" t="s">
        <v>1033</v>
      </c>
      <c r="CZ212" s="228">
        <v>402640</v>
      </c>
      <c r="DA212" s="228">
        <v>464240</v>
      </c>
      <c r="DB212" s="228">
        <v>560000</v>
      </c>
      <c r="DC212" s="228">
        <v>716800</v>
      </c>
      <c r="DD212" s="228">
        <v>798560</v>
      </c>
    </row>
    <row r="213" spans="1:108" ht="13" customHeight="1">
      <c r="D213" s="1028" t="s">
        <v>1046</v>
      </c>
      <c r="BC213" t="s">
        <v>1047</v>
      </c>
      <c r="BI213" s="3" t="s">
        <v>1048</v>
      </c>
      <c r="BN213" s="133" t="s">
        <v>1049</v>
      </c>
      <c r="BS213">
        <v>6</v>
      </c>
      <c r="BT213" s="27" t="s">
        <v>1050</v>
      </c>
      <c r="CB213" s="253" t="s">
        <v>1039</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1038</v>
      </c>
      <c r="CS213" s="226">
        <v>323262</v>
      </c>
      <c r="CT213" s="226">
        <v>372718</v>
      </c>
      <c r="CU213" s="226">
        <v>449600</v>
      </c>
      <c r="CV213" s="226">
        <v>575488</v>
      </c>
      <c r="CW213" s="226">
        <v>641130</v>
      </c>
      <c r="CX213" s="13"/>
      <c r="CY213" s="133" t="s">
        <v>1038</v>
      </c>
      <c r="CZ213" s="226">
        <v>323262</v>
      </c>
      <c r="DA213" s="226">
        <v>372718</v>
      </c>
      <c r="DB213" s="226">
        <v>449600</v>
      </c>
      <c r="DC213" s="226">
        <v>575488</v>
      </c>
      <c r="DD213" s="226">
        <v>641130</v>
      </c>
    </row>
    <row r="214" spans="1:108" ht="13" customHeight="1">
      <c r="D214" s="1492" t="s">
        <v>826</v>
      </c>
      <c r="E214" s="1492"/>
      <c r="F214" s="1492"/>
      <c r="G214" s="1492"/>
      <c r="H214" s="1492"/>
      <c r="I214" s="1492"/>
      <c r="J214" s="1492"/>
      <c r="K214" s="1492"/>
      <c r="L214" s="1492"/>
      <c r="M214" s="1492"/>
      <c r="N214" s="1492"/>
      <c r="O214" s="1492"/>
      <c r="P214" s="1492"/>
      <c r="Q214" s="1492"/>
      <c r="R214" s="1492"/>
      <c r="S214" s="1492"/>
      <c r="T214" s="1492"/>
      <c r="U214" s="1492"/>
      <c r="V214" s="1492"/>
      <c r="W214" s="1492"/>
      <c r="X214" s="1492"/>
      <c r="Y214" s="1492"/>
      <c r="Z214" s="1492"/>
      <c r="AU214" s="18"/>
      <c r="AV214" s="18"/>
      <c r="AW214" s="18"/>
      <c r="AX214" s="18"/>
      <c r="AY214" s="18"/>
      <c r="BC214" t="s">
        <v>1051</v>
      </c>
      <c r="BI214" s="3" t="s">
        <v>1052</v>
      </c>
      <c r="BN214" s="133" t="s">
        <v>1053</v>
      </c>
      <c r="BS214">
        <v>6</v>
      </c>
      <c r="BT214" s="27" t="s">
        <v>1054</v>
      </c>
      <c r="CB214" s="253" t="s">
        <v>1041</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1040</v>
      </c>
      <c r="CS214" s="228">
        <v>402640</v>
      </c>
      <c r="CT214" s="228">
        <v>464240</v>
      </c>
      <c r="CU214" s="228">
        <v>560000</v>
      </c>
      <c r="CV214" s="228">
        <v>716800</v>
      </c>
      <c r="CW214" s="228">
        <v>798560</v>
      </c>
      <c r="CX214" s="13"/>
      <c r="CY214" s="133" t="s">
        <v>1040</v>
      </c>
      <c r="CZ214" s="228">
        <v>402640</v>
      </c>
      <c r="DA214" s="228">
        <v>464240</v>
      </c>
      <c r="DB214" s="228">
        <v>560000</v>
      </c>
      <c r="DC214" s="228">
        <v>716800</v>
      </c>
      <c r="DD214" s="228">
        <v>798560</v>
      </c>
    </row>
    <row r="215" spans="1:108" ht="13" customHeight="1">
      <c r="D215" s="3" t="s">
        <v>1055</v>
      </c>
      <c r="Z215" s="32"/>
      <c r="AB215" s="1491"/>
      <c r="AC215" s="1491"/>
      <c r="AD215" s="1491"/>
      <c r="AE215" s="1491"/>
      <c r="AF215" s="1491"/>
      <c r="AG215" s="1491"/>
      <c r="AH215" s="1491"/>
      <c r="AI215" s="1491"/>
      <c r="AJ215" s="1491"/>
      <c r="AK215" s="1491"/>
      <c r="AL215" s="1491"/>
      <c r="AM215" s="18"/>
      <c r="AN215" s="18"/>
      <c r="AO215" s="18"/>
      <c r="AP215" s="18"/>
      <c r="AQ215" s="18"/>
      <c r="AR215" s="18"/>
      <c r="AS215" s="18"/>
      <c r="AT215" s="18"/>
      <c r="AU215" s="18"/>
      <c r="AV215" s="18"/>
      <c r="AW215" s="18"/>
      <c r="AX215" s="18"/>
      <c r="AY215" s="18"/>
      <c r="BC215" t="s">
        <v>1056</v>
      </c>
      <c r="BI215" s="3" t="s">
        <v>1057</v>
      </c>
      <c r="CB215" s="253" t="s">
        <v>1045</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1044</v>
      </c>
      <c r="CS215" s="226">
        <v>442904</v>
      </c>
      <c r="CT215" s="226">
        <v>510664</v>
      </c>
      <c r="CU215" s="226">
        <v>616000</v>
      </c>
      <c r="CV215" s="226">
        <v>788480</v>
      </c>
      <c r="CW215" s="226">
        <v>878416</v>
      </c>
      <c r="CX215" s="13"/>
      <c r="CY215" s="133" t="s">
        <v>1044</v>
      </c>
      <c r="CZ215" s="226">
        <v>442904</v>
      </c>
      <c r="DA215" s="226">
        <v>510664</v>
      </c>
      <c r="DB215" s="226">
        <v>616000</v>
      </c>
      <c r="DC215" s="226">
        <v>788480</v>
      </c>
      <c r="DD215" s="226">
        <v>878416</v>
      </c>
    </row>
    <row r="216" spans="1:108" ht="13" customHeight="1">
      <c r="D216" s="3" t="s">
        <v>1058</v>
      </c>
      <c r="Z216" s="32"/>
      <c r="AB216" s="1491"/>
      <c r="AC216" s="1491"/>
      <c r="AD216" s="1491"/>
      <c r="AE216" s="1491"/>
      <c r="AF216" s="1491"/>
      <c r="AG216" s="1491"/>
      <c r="AH216" s="1491"/>
      <c r="AI216" s="1491"/>
      <c r="AJ216" s="1491"/>
      <c r="AK216" s="1491"/>
      <c r="AL216" s="1491"/>
      <c r="AM216" s="18"/>
      <c r="AN216" s="18"/>
      <c r="AO216" s="18"/>
      <c r="AP216" s="18"/>
      <c r="AQ216" s="18"/>
      <c r="AR216" s="18"/>
      <c r="AS216" s="18"/>
      <c r="AT216" s="18"/>
      <c r="AU216" s="18"/>
      <c r="AV216" s="18"/>
      <c r="AW216" s="18"/>
      <c r="AX216" s="18"/>
      <c r="AY216" s="18"/>
      <c r="BC216" t="s">
        <v>1059</v>
      </c>
      <c r="BI216" t="s">
        <v>1016</v>
      </c>
      <c r="CB216" s="253" t="s">
        <v>1050</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1049</v>
      </c>
      <c r="CS216" s="228">
        <v>360075</v>
      </c>
      <c r="CT216" s="228">
        <v>415163</v>
      </c>
      <c r="CU216" s="228">
        <v>500800</v>
      </c>
      <c r="CV216" s="228">
        <v>641024</v>
      </c>
      <c r="CW216" s="228">
        <v>714141</v>
      </c>
      <c r="CX216" s="13"/>
      <c r="CY216" s="133" t="s">
        <v>1049</v>
      </c>
      <c r="CZ216" s="228">
        <v>360075</v>
      </c>
      <c r="DA216" s="228">
        <v>415163</v>
      </c>
      <c r="DB216" s="228">
        <v>500800</v>
      </c>
      <c r="DC216" s="228">
        <v>641024</v>
      </c>
      <c r="DD216" s="228">
        <v>714141</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1060</v>
      </c>
      <c r="BI217" t="s">
        <v>1061</v>
      </c>
      <c r="CB217" s="253" t="s">
        <v>1054</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1053</v>
      </c>
      <c r="CS217" s="226">
        <v>360075</v>
      </c>
      <c r="CT217" s="226">
        <v>415163</v>
      </c>
      <c r="CU217" s="226">
        <v>500800</v>
      </c>
      <c r="CV217" s="226">
        <v>641024</v>
      </c>
      <c r="CW217" s="226">
        <v>714141</v>
      </c>
      <c r="CX217" s="13"/>
      <c r="CY217" s="133" t="s">
        <v>1053</v>
      </c>
      <c r="CZ217" s="226">
        <v>360075</v>
      </c>
      <c r="DA217" s="226">
        <v>415163</v>
      </c>
      <c r="DB217" s="226">
        <v>500800</v>
      </c>
      <c r="DC217" s="226">
        <v>641024</v>
      </c>
      <c r="DD217" s="226">
        <v>714141</v>
      </c>
    </row>
    <row r="218" spans="1:108" ht="13" customHeight="1">
      <c r="A218" s="2" t="s">
        <v>1062</v>
      </c>
      <c r="C218" s="2" t="s">
        <v>1063</v>
      </c>
      <c r="D218" s="19"/>
      <c r="AC218" s="2" t="s">
        <v>1064</v>
      </c>
      <c r="BC218" t="s">
        <v>1065</v>
      </c>
    </row>
    <row r="219" spans="1:108" ht="13" customHeight="1">
      <c r="A219" s="2"/>
      <c r="C219" s="2"/>
      <c r="D219" s="3" t="s">
        <v>1066</v>
      </c>
      <c r="AZ219" s="3"/>
      <c r="BA219" s="3"/>
      <c r="BC219" t="s">
        <v>1067</v>
      </c>
    </row>
    <row r="220" spans="1:108" ht="13" customHeight="1">
      <c r="A220" s="2"/>
      <c r="C220" s="2"/>
      <c r="D220" s="1469" t="s">
        <v>1020</v>
      </c>
      <c r="E220" s="1469"/>
      <c r="F220" s="1469"/>
      <c r="G220" s="1469"/>
      <c r="H220" s="1469"/>
      <c r="I220" s="1469"/>
      <c r="J220" s="1469"/>
      <c r="K220" s="1469"/>
      <c r="L220" s="1469"/>
      <c r="M220" s="1469"/>
      <c r="N220" s="1469"/>
      <c r="O220" s="1469"/>
      <c r="P220" s="1469"/>
      <c r="Q220" s="1469"/>
      <c r="R220" s="1469"/>
      <c r="S220" s="1469"/>
      <c r="T220" s="1469"/>
      <c r="U220" s="1469"/>
      <c r="V220" s="1469"/>
      <c r="W220" s="1469"/>
      <c r="X220" s="1469"/>
      <c r="Y220" s="1469"/>
      <c r="Z220" s="1469"/>
      <c r="AC220" s="1425" t="s">
        <v>814</v>
      </c>
      <c r="AD220" s="1425"/>
      <c r="AE220" s="1425"/>
      <c r="AF220" s="1425"/>
      <c r="AG220" s="1425"/>
      <c r="AH220" s="1425"/>
      <c r="AI220" s="1425"/>
      <c r="AJ220" s="1425"/>
      <c r="AK220" s="1425"/>
      <c r="AL220" s="1425"/>
      <c r="AM220" s="1425"/>
      <c r="AN220" s="1425"/>
      <c r="AO220" s="1425"/>
      <c r="AP220" s="1425"/>
      <c r="AQ220" s="1425"/>
      <c r="BA220" s="3"/>
      <c r="BC220" t="s">
        <v>1068</v>
      </c>
    </row>
    <row r="221" spans="1:108" ht="13" customHeight="1">
      <c r="A221" s="2"/>
      <c r="B221" s="13"/>
      <c r="C221" s="2"/>
      <c r="BA221" s="3"/>
    </row>
    <row r="222" spans="1:108" ht="13" customHeight="1">
      <c r="A222" s="2" t="s">
        <v>1069</v>
      </c>
      <c r="B222" s="13"/>
      <c r="C222" s="2" t="s">
        <v>1070</v>
      </c>
      <c r="BA222" s="3"/>
    </row>
    <row r="223" spans="1:108" ht="13" customHeight="1">
      <c r="A223" s="2"/>
      <c r="B223" s="13"/>
      <c r="C223" s="2"/>
      <c r="D223" s="3" t="s">
        <v>1071</v>
      </c>
      <c r="BA223" s="3"/>
    </row>
    <row r="224" spans="1:108" ht="13" customHeight="1">
      <c r="A224" s="2"/>
      <c r="B224" s="13"/>
      <c r="C224" s="2"/>
      <c r="E224" s="3" t="s">
        <v>790</v>
      </c>
      <c r="V224" s="1387" t="s">
        <v>700</v>
      </c>
      <c r="W224" s="1387"/>
      <c r="Y224" s="1082"/>
      <c r="BA224" s="3"/>
    </row>
    <row r="225" spans="1:69" ht="13" customHeight="1">
      <c r="A225" s="2"/>
      <c r="B225" s="13"/>
      <c r="C225" s="2"/>
      <c r="E225" s="3" t="s">
        <v>791</v>
      </c>
      <c r="V225" s="1387" t="s">
        <v>700</v>
      </c>
      <c r="W225" s="1387"/>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3" customHeight="1">
      <c r="A226" s="2"/>
      <c r="B226" s="13"/>
      <c r="C226" s="2"/>
      <c r="E226" s="3" t="s">
        <v>792</v>
      </c>
      <c r="V226" s="1363" t="s">
        <v>700</v>
      </c>
      <c r="W226" s="1363"/>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3" customHeight="1">
      <c r="A227" s="2"/>
      <c r="B227" s="13"/>
      <c r="C227" s="2"/>
      <c r="E227" s="3" t="s">
        <v>794</v>
      </c>
      <c r="V227" s="1363" t="s">
        <v>700</v>
      </c>
      <c r="W227" s="1363"/>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3" customHeight="1">
      <c r="A228" s="2"/>
      <c r="B228" s="13"/>
      <c r="C228" s="2"/>
      <c r="E228" s="3" t="s">
        <v>795</v>
      </c>
      <c r="V228" s="1363" t="s">
        <v>700</v>
      </c>
      <c r="W228" s="1363"/>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3" customHeight="1">
      <c r="A229" s="2"/>
      <c r="B229" s="13"/>
      <c r="C229" s="2"/>
      <c r="E229" s="3" t="s">
        <v>796</v>
      </c>
      <c r="V229" s="1363" t="s">
        <v>700</v>
      </c>
      <c r="W229" s="1363"/>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3" customHeight="1">
      <c r="A230" s="2"/>
      <c r="B230" s="13"/>
      <c r="C230" s="2"/>
      <c r="BA230" s="3"/>
    </row>
    <row r="231" spans="1:69" ht="13" customHeight="1">
      <c r="A231" s="1487" t="s">
        <v>1072</v>
      </c>
      <c r="B231" s="1487"/>
      <c r="C231" s="1487"/>
      <c r="D231" s="1487"/>
      <c r="E231" s="1487"/>
      <c r="F231" s="1487"/>
      <c r="G231" s="1487"/>
      <c r="H231" s="1487"/>
      <c r="I231" s="1487"/>
      <c r="J231" s="1487"/>
      <c r="K231" s="1487"/>
      <c r="L231" s="1487"/>
      <c r="M231" s="1487"/>
      <c r="N231" s="1487"/>
      <c r="O231" s="1487"/>
      <c r="P231" s="1487"/>
      <c r="Q231" s="1487"/>
      <c r="R231" s="1487"/>
      <c r="S231" s="1487"/>
      <c r="T231" s="1487"/>
      <c r="U231" s="1487"/>
      <c r="V231" s="1487"/>
      <c r="W231" s="1487"/>
      <c r="X231" s="1487"/>
      <c r="Y231" s="1487"/>
      <c r="Z231" s="1487"/>
      <c r="AA231" s="1487"/>
      <c r="AB231" s="1487"/>
      <c r="AC231" s="1487"/>
      <c r="AD231" s="1487"/>
      <c r="AE231" s="1487"/>
      <c r="AF231" s="1487"/>
      <c r="AG231" s="1487"/>
      <c r="AH231" s="1487"/>
      <c r="AI231" s="1487"/>
      <c r="AJ231" s="1487"/>
      <c r="AK231" s="1487"/>
      <c r="AL231" s="1487"/>
      <c r="AM231" s="1487"/>
      <c r="AN231" s="1487"/>
      <c r="AO231" s="1487"/>
      <c r="AP231" s="1487"/>
      <c r="AQ231" s="1487"/>
      <c r="AR231" s="1487"/>
      <c r="AS231" s="1487"/>
      <c r="AT231" s="1487"/>
      <c r="AU231" s="70"/>
      <c r="AV231" s="70"/>
      <c r="AW231" s="70"/>
      <c r="AX231" s="70"/>
      <c r="AY231" s="70"/>
      <c r="AZ231" s="3"/>
      <c r="BA231" s="3"/>
      <c r="BP231" s="3"/>
    </row>
    <row r="232" spans="1:69" ht="13" customHeight="1">
      <c r="A232" s="1487"/>
      <c r="B232" s="1487"/>
      <c r="C232" s="1487"/>
      <c r="D232" s="1487"/>
      <c r="E232" s="1487"/>
      <c r="F232" s="1487"/>
      <c r="G232" s="1487"/>
      <c r="H232" s="1487"/>
      <c r="I232" s="1487"/>
      <c r="J232" s="1487"/>
      <c r="K232" s="1487"/>
      <c r="L232" s="1487"/>
      <c r="M232" s="1487"/>
      <c r="N232" s="1487"/>
      <c r="O232" s="1487"/>
      <c r="P232" s="1487"/>
      <c r="Q232" s="1487"/>
      <c r="R232" s="1487"/>
      <c r="S232" s="1487"/>
      <c r="T232" s="1487"/>
      <c r="U232" s="1487"/>
      <c r="V232" s="1487"/>
      <c r="W232" s="1487"/>
      <c r="X232" s="1487"/>
      <c r="Y232" s="1487"/>
      <c r="Z232" s="1487"/>
      <c r="AA232" s="1487"/>
      <c r="AB232" s="1487"/>
      <c r="AC232" s="1487"/>
      <c r="AD232" s="1487"/>
      <c r="AE232" s="1487"/>
      <c r="AF232" s="1487"/>
      <c r="AG232" s="1487"/>
      <c r="AH232" s="1487"/>
      <c r="AI232" s="1487"/>
      <c r="AJ232" s="1487"/>
      <c r="AK232" s="1487"/>
      <c r="AL232" s="1487"/>
      <c r="AM232" s="1487"/>
      <c r="AN232" s="1487"/>
      <c r="AO232" s="1487"/>
      <c r="AP232" s="1487"/>
      <c r="AQ232" s="1487"/>
      <c r="AR232" s="1487"/>
      <c r="AS232" s="1487"/>
      <c r="AT232" s="1487"/>
      <c r="BA232" s="3"/>
      <c r="BB232" s="3"/>
      <c r="BQ232" s="3"/>
    </row>
    <row r="233" spans="1:69" ht="13" customHeight="1">
      <c r="AZ233" s="3"/>
      <c r="BA233" s="3"/>
      <c r="BB233" s="3"/>
      <c r="BQ233" s="3"/>
    </row>
    <row r="234" spans="1:69" ht="13" customHeight="1">
      <c r="A234" s="2" t="s">
        <v>887</v>
      </c>
      <c r="B234" s="2"/>
      <c r="C234" s="2" t="s">
        <v>1073</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3" customHeight="1">
      <c r="B235" s="3"/>
      <c r="D235" s="3" t="s">
        <v>1074</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87" t="s">
        <v>826</v>
      </c>
      <c r="AJ235" s="1387"/>
      <c r="AL235" s="3"/>
      <c r="AM235" s="3"/>
      <c r="AN235" s="3"/>
      <c r="AO235" s="3"/>
      <c r="AP235" s="3"/>
      <c r="AQ235" s="3"/>
      <c r="AR235" s="3"/>
      <c r="AS235" s="3"/>
      <c r="AT235" s="3"/>
      <c r="AU235" s="3"/>
      <c r="AV235" s="3"/>
      <c r="AW235" s="3"/>
      <c r="AX235" s="3"/>
      <c r="AY235" s="3"/>
      <c r="AZ235" s="3"/>
      <c r="BB235" s="136" t="s">
        <v>1075</v>
      </c>
      <c r="BG235" s="166">
        <f>IF(AND(AND($M$258="for profit",$M$266="for profit",$M$274="nonprofit")),2,0)</f>
        <v>0</v>
      </c>
    </row>
    <row r="236" spans="1:69" ht="13" customHeight="1">
      <c r="B236" s="3"/>
      <c r="D236" s="3" t="s">
        <v>1076</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87" t="s">
        <v>862</v>
      </c>
      <c r="AJ236" s="1387"/>
      <c r="AL236" s="3"/>
      <c r="AM236" s="3"/>
      <c r="AN236" s="3"/>
      <c r="AO236" s="3"/>
      <c r="AP236" s="3"/>
      <c r="AQ236" s="3"/>
      <c r="AR236" s="3"/>
      <c r="AS236" s="3"/>
      <c r="AT236" s="3"/>
      <c r="AU236" s="3"/>
      <c r="AV236" s="3"/>
      <c r="AW236" s="3"/>
      <c r="AX236" s="3"/>
      <c r="AY236" s="3"/>
      <c r="BA236" s="3"/>
      <c r="BB236" s="136" t="s">
        <v>1075</v>
      </c>
      <c r="BG236" s="166">
        <f>IF(AND(AND($M$258="for profit",$M$266="nonprofit",$M$274="for profit")),2,0)</f>
        <v>0</v>
      </c>
    </row>
    <row r="237" spans="1:69" ht="13" customHeight="1">
      <c r="B237" s="3"/>
      <c r="D237" s="3" t="s">
        <v>1077</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87" t="s">
        <v>826</v>
      </c>
      <c r="AJ237" s="1387"/>
      <c r="AL237" s="3"/>
      <c r="AM237" s="3"/>
      <c r="AN237" s="3"/>
      <c r="AO237" s="3"/>
      <c r="AP237" s="3"/>
      <c r="AQ237" s="3"/>
      <c r="AR237" s="3"/>
      <c r="AS237" s="3"/>
      <c r="AT237" s="3"/>
      <c r="AU237" s="3"/>
      <c r="AV237" s="3"/>
      <c r="AW237" s="3"/>
      <c r="AX237" s="3"/>
      <c r="AY237" s="3"/>
      <c r="AZ237" s="3"/>
      <c r="BA237" s="3"/>
      <c r="BB237" s="136" t="s">
        <v>1075</v>
      </c>
      <c r="BG237" s="166">
        <f>IF(AND(AND($M$258="nonprofit",$M$266="for profit",$M$274="for profit")),2,0)</f>
        <v>0</v>
      </c>
    </row>
    <row r="238" spans="1:69" ht="13" customHeight="1">
      <c r="B238" s="3"/>
      <c r="D238" s="3" t="s">
        <v>1078</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87" t="s">
        <v>826</v>
      </c>
      <c r="AJ238" s="1387"/>
      <c r="AL238" s="3"/>
      <c r="AM238" s="3"/>
      <c r="AN238" s="3"/>
      <c r="AO238" s="3"/>
      <c r="AP238" s="3"/>
      <c r="AQ238" s="3"/>
      <c r="AR238" s="3"/>
      <c r="AS238" s="3"/>
      <c r="AT238" s="3"/>
      <c r="AU238" s="3"/>
      <c r="AV238" s="3"/>
      <c r="AW238" s="3"/>
      <c r="AX238" s="3"/>
      <c r="AY238" s="3"/>
      <c r="BA238" s="3"/>
      <c r="BB238" s="136" t="s">
        <v>1075</v>
      </c>
      <c r="BG238" s="166">
        <f>IF(AND(AND($M$258="for profit",$M$266="nonprofit",$M$274="(select one)")),2,0)</f>
        <v>0</v>
      </c>
    </row>
    <row r="239" spans="1:69" ht="13"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1075</v>
      </c>
      <c r="BG239" s="165">
        <f>IF(AND(AND($M$258="nonprofit",$M$266="for profit",$M$274="(select one)")),2,0)</f>
        <v>2</v>
      </c>
    </row>
    <row r="240" spans="1:69" ht="13" customHeight="1">
      <c r="A240" s="2" t="s">
        <v>928</v>
      </c>
      <c r="B240" s="3"/>
      <c r="C240" s="2" t="s">
        <v>1079</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3" customHeight="1">
      <c r="D241" s="3" t="s">
        <v>1080</v>
      </c>
      <c r="E241" s="3"/>
      <c r="F241" s="3"/>
      <c r="G241" s="3"/>
      <c r="H241" s="3"/>
      <c r="I241" s="3"/>
      <c r="J241" s="3"/>
      <c r="K241" s="3"/>
      <c r="M241" s="1502" t="str">
        <f>H16</f>
        <v>CRP Monterey LP</v>
      </c>
      <c r="N241" s="1502"/>
      <c r="O241" s="1502"/>
      <c r="P241" s="1502"/>
      <c r="Q241" s="1502"/>
      <c r="R241" s="1502"/>
      <c r="S241" s="1502"/>
      <c r="T241" s="1502"/>
      <c r="U241" s="1502"/>
      <c r="V241" s="1502"/>
      <c r="W241" s="1502"/>
      <c r="X241" s="1502"/>
      <c r="Y241" s="1502"/>
      <c r="Z241" s="1502"/>
      <c r="AA241" s="1502"/>
      <c r="AB241" s="1502"/>
      <c r="AC241" s="1502"/>
      <c r="AD241" s="1502"/>
      <c r="AE241" s="1502"/>
      <c r="AF241" s="1502"/>
      <c r="AG241" s="1502"/>
      <c r="AH241" s="1502"/>
      <c r="AI241" s="1502"/>
      <c r="AJ241" s="1502"/>
      <c r="AK241" s="1502"/>
      <c r="AZ241" s="3"/>
      <c r="BA241" s="3"/>
      <c r="BB241" s="137" t="s">
        <v>1075</v>
      </c>
      <c r="BG241" s="166">
        <f>IF(AND(AND($M$258="nonprofit",$M$266="nonprofit",$M$274="for profit")),2,0)</f>
        <v>0</v>
      </c>
    </row>
    <row r="242" spans="1:67" ht="13" customHeight="1">
      <c r="D242" s="3" t="s">
        <v>1081</v>
      </c>
      <c r="E242" s="3"/>
      <c r="F242" s="3"/>
      <c r="G242" s="3"/>
      <c r="H242" s="3"/>
      <c r="I242" s="3"/>
      <c r="J242" s="3"/>
      <c r="K242" s="3"/>
      <c r="M242" s="1469" t="s">
        <v>1082</v>
      </c>
      <c r="N242" s="1469"/>
      <c r="O242" s="1469"/>
      <c r="P242" s="1469"/>
      <c r="Q242" s="1469"/>
      <c r="R242" s="1469"/>
      <c r="S242" s="1469"/>
      <c r="T242" s="1469"/>
      <c r="U242" s="1469"/>
      <c r="V242" s="1469"/>
      <c r="W242" s="1469"/>
      <c r="X242" s="1469"/>
      <c r="Y242" s="1469"/>
      <c r="Z242" s="1469"/>
      <c r="AA242" s="1469"/>
      <c r="AB242" s="1469"/>
      <c r="AC242" s="1469"/>
      <c r="AD242" s="1469"/>
      <c r="AE242" s="1469"/>
      <c r="BB242" s="137" t="s">
        <v>1075</v>
      </c>
      <c r="BG242" s="166">
        <f>IF(AND(AND($M$258="nonprofit",$M$266="for profit",$M$274="nonprofit")),2,0)</f>
        <v>0</v>
      </c>
    </row>
    <row r="243" spans="1:67" ht="13" customHeight="1">
      <c r="D243" s="3" t="s">
        <v>947</v>
      </c>
      <c r="E243" s="3"/>
      <c r="M243" s="1469" t="s">
        <v>1083</v>
      </c>
      <c r="N243" s="1469"/>
      <c r="O243" s="1469"/>
      <c r="P243" s="1469"/>
      <c r="Q243" s="1469"/>
      <c r="R243" s="1469"/>
      <c r="S243" s="1469"/>
      <c r="T243" s="1469"/>
      <c r="V243" s="918" t="s">
        <v>1084</v>
      </c>
      <c r="W243" s="1445" t="s">
        <v>1085</v>
      </c>
      <c r="X243" s="1445"/>
      <c r="Y243" s="3" t="s">
        <v>952</v>
      </c>
      <c r="AC243" s="1469">
        <v>10168</v>
      </c>
      <c r="AD243" s="1469"/>
      <c r="AE243" s="1469"/>
      <c r="AU243" s="3"/>
      <c r="AV243" s="3"/>
      <c r="AW243" s="3"/>
      <c r="AX243" s="3"/>
      <c r="AY243" s="3"/>
      <c r="AZ243" s="3"/>
      <c r="BB243" s="137" t="s">
        <v>1075</v>
      </c>
      <c r="BG243" s="165">
        <f>IF(AND(AND($M$258="for profit",$M$266="nonprofit",$M$274="nonprofit")),2,0)</f>
        <v>0</v>
      </c>
    </row>
    <row r="244" spans="1:67" ht="13" customHeight="1">
      <c r="D244" s="3" t="s">
        <v>1086</v>
      </c>
      <c r="E244" s="3"/>
      <c r="F244" s="3"/>
      <c r="G244" s="3"/>
      <c r="H244" s="3"/>
      <c r="I244" s="3"/>
      <c r="J244" s="3"/>
      <c r="K244" s="1163"/>
      <c r="M244" s="1469" t="s">
        <v>805</v>
      </c>
      <c r="N244" s="1469"/>
      <c r="O244" s="1469"/>
      <c r="P244" s="1469"/>
      <c r="Q244" s="1469"/>
      <c r="R244" s="1469"/>
      <c r="S244" s="1469"/>
      <c r="T244" s="1469"/>
      <c r="U244" s="1469"/>
      <c r="V244" s="1469"/>
      <c r="W244" s="1469"/>
      <c r="X244" s="1469"/>
      <c r="Y244" s="1469"/>
      <c r="Z244" s="1469"/>
      <c r="AA244" s="1469"/>
      <c r="AB244" s="1469"/>
      <c r="AC244" s="1469"/>
      <c r="AD244" s="1469"/>
      <c r="AE244" s="1469"/>
      <c r="AI244" s="3"/>
      <c r="AJ244" s="3"/>
      <c r="AK244" s="3"/>
      <c r="AL244" s="3"/>
      <c r="AM244" s="3"/>
      <c r="AN244" s="3"/>
      <c r="AO244" s="3"/>
      <c r="AP244" s="3"/>
      <c r="AQ244" s="3"/>
      <c r="AR244" s="3"/>
      <c r="AS244" s="3"/>
      <c r="AT244" s="3"/>
      <c r="BB244" s="137"/>
      <c r="BG244" s="136"/>
    </row>
    <row r="245" spans="1:67" ht="13" customHeight="1">
      <c r="D245" s="3" t="s">
        <v>1087</v>
      </c>
      <c r="E245" s="3"/>
      <c r="F245" s="3"/>
      <c r="M245" s="1432" t="s">
        <v>1088</v>
      </c>
      <c r="N245" s="1432"/>
      <c r="O245" s="1432"/>
      <c r="P245" s="1432"/>
      <c r="Q245" s="1432"/>
      <c r="R245" s="1432"/>
      <c r="S245" s="3" t="s">
        <v>1089</v>
      </c>
      <c r="T245" s="3"/>
      <c r="U245" s="1445"/>
      <c r="V245" s="1445"/>
      <c r="W245" s="1445"/>
      <c r="X245" s="3" t="s">
        <v>1090</v>
      </c>
      <c r="Z245" s="1432"/>
      <c r="AA245" s="1432"/>
      <c r="AB245" s="1432"/>
      <c r="AC245" s="1432"/>
      <c r="AD245" s="1432"/>
      <c r="AE245" s="1432"/>
      <c r="AU245" s="3"/>
      <c r="AV245" s="3"/>
      <c r="AW245" s="3"/>
      <c r="AX245" s="3"/>
      <c r="AY245" s="3"/>
      <c r="AZ245" s="3"/>
      <c r="BB245" s="136" t="s">
        <v>1091</v>
      </c>
      <c r="BG245" s="166">
        <f>IF(AND(AND($M$258="nonprofit",$M$266="nonprofit",$M$274="(select one)")),1,0)</f>
        <v>0</v>
      </c>
    </row>
    <row r="246" spans="1:67" ht="13" customHeight="1">
      <c r="D246" s="3" t="s">
        <v>1092</v>
      </c>
      <c r="E246" s="3"/>
      <c r="F246" s="3"/>
      <c r="M246" s="1483" t="s">
        <v>1093</v>
      </c>
      <c r="N246" s="1483"/>
      <c r="O246" s="1483"/>
      <c r="P246" s="1483"/>
      <c r="Q246" s="1483"/>
      <c r="R246" s="1483"/>
      <c r="S246" s="1483"/>
      <c r="T246" s="1483"/>
      <c r="U246" s="1483"/>
      <c r="V246" s="1483"/>
      <c r="W246" s="1483"/>
      <c r="X246" s="1483"/>
      <c r="Y246" s="1483"/>
      <c r="Z246" s="1483"/>
      <c r="AA246" s="1483"/>
      <c r="AB246" s="1483"/>
      <c r="AC246" s="1483"/>
      <c r="AD246" s="1483"/>
      <c r="AE246" s="1483"/>
      <c r="AF246" s="3"/>
      <c r="AG246" s="3"/>
      <c r="AH246" s="3"/>
      <c r="AI246" s="3"/>
      <c r="AJ246" s="3"/>
      <c r="AK246" s="3"/>
      <c r="AL246" s="3"/>
      <c r="AM246" s="3"/>
      <c r="AN246" s="3"/>
      <c r="AO246" s="3"/>
      <c r="AP246" s="3"/>
      <c r="AQ246" s="3"/>
      <c r="AR246" s="3"/>
      <c r="AS246" s="3"/>
      <c r="AT246" s="3"/>
      <c r="AU246" s="3"/>
      <c r="AV246" s="3"/>
      <c r="AW246" s="3"/>
      <c r="AX246" s="3"/>
      <c r="AY246" s="3"/>
      <c r="BB246" s="136" t="s">
        <v>1091</v>
      </c>
      <c r="BG246" s="166">
        <f>IF(AND(AND($M$258="nonprofit",$M$266="nonprofit",$M$274="nonprofit")),1,0)</f>
        <v>0</v>
      </c>
    </row>
    <row r="247" spans="1:67" ht="13" customHeight="1">
      <c r="A247" s="2" t="s">
        <v>1005</v>
      </c>
      <c r="C247" s="2" t="s">
        <v>1094</v>
      </c>
      <c r="M247" s="1412" t="s">
        <v>1060</v>
      </c>
      <c r="N247" s="1412"/>
      <c r="O247" s="1412"/>
      <c r="P247" s="1412"/>
      <c r="Q247" s="1412"/>
      <c r="R247" s="1412"/>
      <c r="S247" s="1412"/>
      <c r="T247" s="1412"/>
      <c r="U247" s="136" t="s">
        <v>1095</v>
      </c>
      <c r="V247" s="136"/>
      <c r="W247" s="136"/>
      <c r="X247" s="136"/>
      <c r="Y247" s="136"/>
      <c r="Z247" s="136"/>
      <c r="AA247" s="1506" t="s">
        <v>1096</v>
      </c>
      <c r="AB247" s="1506"/>
      <c r="AC247" s="1506"/>
      <c r="AD247" s="1506"/>
      <c r="AE247" s="1506"/>
      <c r="AF247" s="1506"/>
      <c r="AG247" s="1506"/>
      <c r="AH247" s="1506"/>
      <c r="AI247" s="1506"/>
      <c r="AJ247" s="1506"/>
      <c r="AK247" s="1506"/>
      <c r="AL247" s="3"/>
      <c r="AM247" s="3"/>
      <c r="AN247" s="3"/>
      <c r="AO247" s="3"/>
      <c r="AP247" s="3"/>
      <c r="AQ247" s="3"/>
      <c r="AR247" s="3"/>
      <c r="AS247" s="3"/>
      <c r="AT247" s="3"/>
      <c r="AU247" s="3"/>
      <c r="AV247" s="3"/>
      <c r="AW247" s="3"/>
      <c r="AX247" s="3"/>
      <c r="AY247" s="3"/>
      <c r="BB247" s="136" t="s">
        <v>1091</v>
      </c>
      <c r="BG247" s="166">
        <f>IF(AND(AND($M$258="nonprofit",$M$266="(select one)",$M$274="(select one)")),1,0)</f>
        <v>0</v>
      </c>
    </row>
    <row r="248" spans="1:67" ht="13" customHeight="1">
      <c r="D248" t="s">
        <v>1097</v>
      </c>
      <c r="M248" s="1379"/>
      <c r="N248" s="1379"/>
      <c r="O248" s="1379"/>
      <c r="P248" s="1379"/>
      <c r="Q248" s="1379"/>
      <c r="R248" s="1379"/>
      <c r="S248" s="1379"/>
      <c r="T248" s="1379"/>
      <c r="U248" s="1379"/>
      <c r="V248" s="1379"/>
      <c r="W248" s="1379"/>
      <c r="X248" s="1379"/>
      <c r="Y248" s="1379"/>
      <c r="Z248" s="1379"/>
      <c r="AA248" s="1379"/>
      <c r="AB248" s="1379"/>
      <c r="AC248" s="1379"/>
      <c r="AD248" s="1379"/>
      <c r="AE248" s="1379"/>
      <c r="AF248" s="3"/>
      <c r="AG248" s="3"/>
      <c r="AH248" s="3"/>
      <c r="AI248" s="3"/>
      <c r="AJ248" s="3"/>
      <c r="AK248" s="3"/>
      <c r="AL248" s="3"/>
      <c r="AM248" s="3"/>
      <c r="AN248" s="3"/>
      <c r="AO248" s="3"/>
      <c r="AP248" s="3"/>
      <c r="AQ248" s="3"/>
      <c r="AR248" s="3"/>
      <c r="AS248" s="3"/>
      <c r="AT248" s="3"/>
      <c r="BB248" s="136" t="s">
        <v>1098</v>
      </c>
      <c r="BG248" s="166">
        <f>IF(AND(AND($M$258="for profit",$M$266="for profit",$M$274="(select one)")),3,0)</f>
        <v>0</v>
      </c>
    </row>
    <row r="249" spans="1:67" ht="13" customHeight="1">
      <c r="D249" s="3"/>
      <c r="BB249" s="136" t="s">
        <v>1098</v>
      </c>
      <c r="BG249" s="166">
        <f>IF(AND(AND($M$258="for profit",$M$266="for profit",$M$274="for profit")),3,0)</f>
        <v>0</v>
      </c>
    </row>
    <row r="250" spans="1:67" ht="13" customHeight="1">
      <c r="A250" s="2" t="s">
        <v>1023</v>
      </c>
      <c r="C250" s="2" t="s">
        <v>1099</v>
      </c>
      <c r="D250" s="3"/>
      <c r="L250" s="7"/>
      <c r="M250" s="7"/>
      <c r="N250" s="7"/>
      <c r="AU250" s="3"/>
      <c r="AV250" s="3"/>
      <c r="AW250" s="3"/>
      <c r="AX250" s="3"/>
      <c r="AY250" s="3"/>
      <c r="BB250" s="136" t="s">
        <v>1098</v>
      </c>
      <c r="BG250" s="166">
        <f>IF(AND(AND($M$258="for profit",$M$266="(select one)",$M$274="(select one)")),3,0)</f>
        <v>0</v>
      </c>
    </row>
    <row r="251" spans="1:67" ht="13"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3" customHeight="1">
      <c r="A252" s="1163"/>
      <c r="B252" s="3"/>
      <c r="C252" s="48" t="s">
        <v>1100</v>
      </c>
      <c r="D252" s="3" t="s">
        <v>1101</v>
      </c>
      <c r="E252" s="3"/>
      <c r="F252" s="3"/>
      <c r="G252" s="3"/>
      <c r="H252" s="3"/>
      <c r="I252" s="3"/>
      <c r="J252" s="3"/>
      <c r="K252" s="3"/>
      <c r="L252" s="3"/>
      <c r="M252" s="1508" t="s">
        <v>1102</v>
      </c>
      <c r="N252" s="1508"/>
      <c r="O252" s="1508"/>
      <c r="P252" s="1508"/>
      <c r="Q252" s="1508"/>
      <c r="R252" s="1508"/>
      <c r="S252" s="1508"/>
      <c r="T252" s="1508"/>
      <c r="U252" s="1508"/>
      <c r="V252" s="1508"/>
      <c r="W252" s="1508"/>
      <c r="X252" s="1508"/>
      <c r="Y252" s="1508"/>
      <c r="Z252" s="1508"/>
      <c r="AA252" s="1508"/>
      <c r="AB252" s="1508"/>
      <c r="AC252" s="1508"/>
      <c r="AD252" s="1508"/>
      <c r="AE252" s="1508"/>
      <c r="AF252" s="1508" t="s">
        <v>1103</v>
      </c>
      <c r="AG252" s="1508"/>
      <c r="AH252" s="1508"/>
      <c r="AI252" s="1508"/>
      <c r="AJ252" s="1508"/>
      <c r="AK252" s="1508"/>
      <c r="AU252" s="3"/>
      <c r="AV252" s="3"/>
      <c r="AW252" s="3"/>
      <c r="AX252" s="3"/>
      <c r="AY252" s="3"/>
      <c r="BG252">
        <f>SUM(BG235:BG250)</f>
        <v>2</v>
      </c>
    </row>
    <row r="253" spans="1:67" ht="13" customHeight="1">
      <c r="A253" s="1163"/>
      <c r="B253" s="3"/>
      <c r="C253" s="3"/>
      <c r="D253" s="3" t="s">
        <v>1081</v>
      </c>
      <c r="E253" s="3"/>
      <c r="F253" s="3"/>
      <c r="G253" s="3"/>
      <c r="H253" s="3"/>
      <c r="I253" s="3"/>
      <c r="J253" s="3"/>
      <c r="K253" s="3"/>
      <c r="L253" s="3"/>
      <c r="M253" s="1469" t="s">
        <v>1104</v>
      </c>
      <c r="N253" s="1469"/>
      <c r="O253" s="1469"/>
      <c r="P253" s="1469"/>
      <c r="Q253" s="1469"/>
      <c r="R253" s="1469"/>
      <c r="S253" s="1469"/>
      <c r="T253" s="1469"/>
      <c r="U253" s="1469"/>
      <c r="V253" s="1469"/>
      <c r="W253" s="1469"/>
      <c r="X253" s="1469"/>
      <c r="Y253" s="1469"/>
      <c r="Z253" s="1469"/>
      <c r="AA253" s="1469"/>
      <c r="AB253" s="1469"/>
      <c r="AC253" s="1469"/>
      <c r="AD253" s="1469"/>
      <c r="AE253" s="1469"/>
      <c r="AF253" s="3" t="s">
        <v>1105</v>
      </c>
      <c r="AL253" s="3"/>
      <c r="AM253" s="3"/>
      <c r="AN253" s="3"/>
      <c r="AO253" s="3"/>
      <c r="AP253" s="3"/>
      <c r="AQ253" s="3"/>
      <c r="AR253" s="3"/>
      <c r="AS253" s="3"/>
      <c r="AT253" s="3"/>
      <c r="BB253" t="s">
        <v>348</v>
      </c>
      <c r="BG253">
        <v>1</v>
      </c>
      <c r="BH253" t="s">
        <v>1106</v>
      </c>
    </row>
    <row r="254" spans="1:67" ht="13" customHeight="1">
      <c r="A254" s="1163"/>
      <c r="B254" s="3"/>
      <c r="C254" s="3"/>
      <c r="D254" s="3" t="s">
        <v>947</v>
      </c>
      <c r="E254" s="3"/>
      <c r="M254" s="1469" t="s">
        <v>1107</v>
      </c>
      <c r="N254" s="1469"/>
      <c r="O254" s="1469"/>
      <c r="P254" s="1469"/>
      <c r="Q254" s="1469"/>
      <c r="R254" s="1469"/>
      <c r="S254" s="1469"/>
      <c r="T254" s="1469"/>
      <c r="V254" s="918" t="s">
        <v>1084</v>
      </c>
      <c r="W254" s="1445" t="s">
        <v>1108</v>
      </c>
      <c r="X254" s="1445"/>
      <c r="Y254" s="3" t="s">
        <v>952</v>
      </c>
      <c r="AC254" s="1469">
        <v>96001</v>
      </c>
      <c r="AD254" s="1469"/>
      <c r="AE254" s="1469"/>
      <c r="AF254" s="3" t="s">
        <v>1109</v>
      </c>
      <c r="AU254" s="3"/>
      <c r="AV254" s="3"/>
      <c r="AW254" s="3"/>
      <c r="AX254" s="3"/>
      <c r="AY254" s="3"/>
      <c r="BB254" s="3" t="s">
        <v>1110</v>
      </c>
      <c r="BG254">
        <v>2</v>
      </c>
      <c r="BH254" t="s">
        <v>1059</v>
      </c>
      <c r="BO254" s="1164" t="str">
        <f>VLOOKUP(BG252,BG253:BH256,2,FALSE)</f>
        <v>Joint Venture</v>
      </c>
    </row>
    <row r="255" spans="1:67" ht="13" customHeight="1">
      <c r="A255" s="1163"/>
      <c r="B255" s="3"/>
      <c r="C255" s="3"/>
      <c r="D255" s="3" t="s">
        <v>1086</v>
      </c>
      <c r="E255" s="3"/>
      <c r="F255" s="3"/>
      <c r="G255" s="3"/>
      <c r="H255" s="3"/>
      <c r="I255" s="3"/>
      <c r="J255" s="3"/>
      <c r="K255" s="3"/>
      <c r="L255" s="1163"/>
      <c r="M255" s="1469" t="s">
        <v>1111</v>
      </c>
      <c r="N255" s="1469"/>
      <c r="O255" s="1469"/>
      <c r="P255" s="1469"/>
      <c r="Q255" s="1469"/>
      <c r="R255" s="1469"/>
      <c r="S255" s="1469"/>
      <c r="T255" s="1469"/>
      <c r="U255" s="1469"/>
      <c r="V255" s="1469"/>
      <c r="W255" s="1469"/>
      <c r="X255" s="1469"/>
      <c r="Y255" s="1469"/>
      <c r="Z255" s="1469"/>
      <c r="AA255" s="1469"/>
      <c r="AB255" s="1469"/>
      <c r="AC255" s="1469"/>
      <c r="AD255" s="1469"/>
      <c r="AE255" s="1469"/>
      <c r="AH255" s="1509">
        <v>4.8999999999999998E-4</v>
      </c>
      <c r="AI255" s="1509"/>
      <c r="AJ255" s="1509"/>
      <c r="AK255" s="1509"/>
      <c r="AL255" s="3"/>
      <c r="AM255" s="3"/>
      <c r="AN255" s="3"/>
      <c r="AO255" s="3"/>
      <c r="AP255" s="3"/>
      <c r="AQ255" s="3"/>
      <c r="AR255" s="3"/>
      <c r="AS255" s="3"/>
      <c r="AT255" s="3"/>
      <c r="BB255" s="3" t="s">
        <v>1112</v>
      </c>
      <c r="BG255">
        <v>3</v>
      </c>
      <c r="BH255" t="s">
        <v>1113</v>
      </c>
      <c r="BN255" s="3"/>
    </row>
    <row r="256" spans="1:67" ht="13" customHeight="1">
      <c r="A256" s="1163"/>
      <c r="B256" s="3"/>
      <c r="C256" s="3"/>
      <c r="D256" s="3" t="s">
        <v>1087</v>
      </c>
      <c r="E256" s="3"/>
      <c r="F256" s="3"/>
      <c r="M256" s="1432" t="s">
        <v>1114</v>
      </c>
      <c r="N256" s="1432"/>
      <c r="O256" s="1432"/>
      <c r="P256" s="1432"/>
      <c r="Q256" s="1432"/>
      <c r="R256" s="1432"/>
      <c r="S256" s="3" t="s">
        <v>1089</v>
      </c>
      <c r="T256" s="3"/>
      <c r="U256" s="1445"/>
      <c r="V256" s="1445"/>
      <c r="W256" s="1445"/>
      <c r="X256" s="3" t="s">
        <v>1090</v>
      </c>
      <c r="Z256" s="1432"/>
      <c r="AA256" s="1432"/>
      <c r="AB256" s="1432"/>
      <c r="AC256" s="1432"/>
      <c r="AD256" s="1432"/>
      <c r="AE256" s="1432"/>
      <c r="AU256" s="3"/>
      <c r="AV256" s="3"/>
      <c r="AW256" s="3"/>
      <c r="AX256" s="3"/>
      <c r="AY256" s="3"/>
      <c r="BG256">
        <v>0</v>
      </c>
      <c r="BH256" s="3" t="str">
        <f>""</f>
        <v/>
      </c>
      <c r="BN256" s="3"/>
    </row>
    <row r="257" spans="1:66" ht="13" customHeight="1">
      <c r="A257" s="1163"/>
      <c r="B257" s="3"/>
      <c r="C257" s="3"/>
      <c r="D257" s="3" t="s">
        <v>1092</v>
      </c>
      <c r="E257" s="3"/>
      <c r="F257" s="3"/>
      <c r="M257" s="1483" t="s">
        <v>1115</v>
      </c>
      <c r="N257" s="1483"/>
      <c r="O257" s="1483"/>
      <c r="P257" s="1483"/>
      <c r="Q257" s="1483"/>
      <c r="R257" s="1483"/>
      <c r="S257" s="1483"/>
      <c r="T257" s="1483"/>
      <c r="U257" s="1483"/>
      <c r="V257" s="1483"/>
      <c r="W257" s="1483"/>
      <c r="X257" s="1483"/>
      <c r="Y257" s="1483"/>
      <c r="Z257" s="1483"/>
      <c r="AA257" s="1483"/>
      <c r="AB257" s="1483"/>
      <c r="AC257" s="1483"/>
      <c r="AD257" s="1483"/>
      <c r="AE257" s="1483"/>
      <c r="AG257" s="3"/>
      <c r="AH257" s="3"/>
      <c r="AI257" s="3"/>
      <c r="AJ257" s="3"/>
      <c r="AK257" s="3"/>
      <c r="AL257" s="3"/>
      <c r="AM257" s="3"/>
      <c r="AN257" s="3"/>
      <c r="AO257" s="3"/>
      <c r="AP257" s="3"/>
      <c r="AQ257" s="3"/>
      <c r="AR257" s="3"/>
      <c r="AS257" s="3"/>
      <c r="AT257" s="3"/>
      <c r="BN257" s="3"/>
    </row>
    <row r="258" spans="1:66" ht="13" customHeight="1">
      <c r="A258" s="12"/>
      <c r="B258" s="3"/>
      <c r="C258" s="48"/>
      <c r="D258" s="3" t="s">
        <v>1116</v>
      </c>
      <c r="E258" s="3"/>
      <c r="F258" s="3"/>
      <c r="G258" s="3"/>
      <c r="H258" s="3"/>
      <c r="I258" s="3"/>
      <c r="J258" s="3"/>
      <c r="K258" s="3"/>
      <c r="L258" s="3"/>
      <c r="M258" s="1412" t="s">
        <v>1106</v>
      </c>
      <c r="N258" s="1412"/>
      <c r="O258" s="1412"/>
      <c r="P258" s="1412"/>
      <c r="Q258" s="1412"/>
      <c r="R258" s="1412"/>
      <c r="S258" s="1412"/>
      <c r="T258" s="1412"/>
      <c r="U258" s="136" t="s">
        <v>1095</v>
      </c>
      <c r="V258" s="136"/>
      <c r="W258" s="136"/>
      <c r="X258" s="136"/>
      <c r="Y258" s="136"/>
      <c r="Z258" s="136"/>
      <c r="AA258" s="1506"/>
      <c r="AB258" s="1506"/>
      <c r="AC258" s="1506"/>
      <c r="AD258" s="1506"/>
      <c r="AE258" s="1506"/>
      <c r="AF258" s="1506"/>
      <c r="AG258" s="1506"/>
      <c r="AH258" s="1506"/>
      <c r="AI258" s="1506"/>
      <c r="AJ258" s="1506"/>
      <c r="AK258" s="1506"/>
      <c r="BN258" s="3"/>
    </row>
    <row r="259" spans="1:66" ht="13" customHeight="1">
      <c r="A259" s="1163"/>
      <c r="B259" s="3"/>
      <c r="C259" s="3"/>
      <c r="D259" s="3"/>
      <c r="E259" s="3"/>
      <c r="F259" s="3"/>
      <c r="G259" s="3"/>
      <c r="H259" s="3"/>
      <c r="I259" s="3"/>
      <c r="J259" s="3"/>
      <c r="K259" s="3"/>
      <c r="L259" s="3"/>
      <c r="AG259" s="3"/>
      <c r="AH259" s="3"/>
      <c r="AI259" s="3"/>
      <c r="AJ259" s="3"/>
      <c r="BN259" s="3"/>
    </row>
    <row r="260" spans="1:66" ht="13" customHeight="1">
      <c r="A260" s="2"/>
      <c r="B260" s="3"/>
      <c r="C260" s="48" t="s">
        <v>1117</v>
      </c>
      <c r="D260" s="3" t="s">
        <v>1118</v>
      </c>
      <c r="E260" s="3"/>
      <c r="F260" s="3"/>
      <c r="G260" s="3"/>
      <c r="H260" s="3"/>
      <c r="I260" s="3"/>
      <c r="J260" s="3"/>
      <c r="K260" s="3"/>
      <c r="L260" s="3"/>
      <c r="M260" s="1508" t="s">
        <v>1119</v>
      </c>
      <c r="N260" s="1508"/>
      <c r="O260" s="1508"/>
      <c r="P260" s="1508"/>
      <c r="Q260" s="1508"/>
      <c r="R260" s="1508"/>
      <c r="S260" s="1508"/>
      <c r="T260" s="1508"/>
      <c r="U260" s="1508"/>
      <c r="V260" s="1508"/>
      <c r="W260" s="1508"/>
      <c r="X260" s="1508"/>
      <c r="Y260" s="1508"/>
      <c r="Z260" s="1508"/>
      <c r="AA260" s="1508"/>
      <c r="AB260" s="1508"/>
      <c r="AC260" s="1508"/>
      <c r="AD260" s="1508"/>
      <c r="AE260" s="1508"/>
      <c r="AF260" s="1508" t="s">
        <v>1120</v>
      </c>
      <c r="AG260" s="1508"/>
      <c r="AH260" s="1508"/>
      <c r="AI260" s="1508"/>
      <c r="AJ260" s="1508"/>
      <c r="AK260" s="1508"/>
      <c r="AU260" s="3"/>
      <c r="AV260" s="3"/>
      <c r="AW260" s="3"/>
      <c r="AX260" s="3"/>
      <c r="AY260" s="3"/>
      <c r="BN260" s="3"/>
    </row>
    <row r="261" spans="1:66" ht="13" customHeight="1">
      <c r="A261" s="1163"/>
      <c r="B261" s="3"/>
      <c r="C261" s="3"/>
      <c r="D261" s="3" t="s">
        <v>1081</v>
      </c>
      <c r="E261" s="3"/>
      <c r="F261" s="3"/>
      <c r="G261" s="3"/>
      <c r="H261" s="3"/>
      <c r="I261" s="3"/>
      <c r="J261" s="3"/>
      <c r="K261" s="3"/>
      <c r="L261" s="3"/>
      <c r="M261" s="1469" t="s">
        <v>1082</v>
      </c>
      <c r="N261" s="1469"/>
      <c r="O261" s="1469"/>
      <c r="P261" s="1469"/>
      <c r="Q261" s="1469"/>
      <c r="R261" s="1469"/>
      <c r="S261" s="1469"/>
      <c r="T261" s="1469"/>
      <c r="U261" s="1469"/>
      <c r="V261" s="1469"/>
      <c r="W261" s="1469"/>
      <c r="X261" s="1469"/>
      <c r="Y261" s="1469"/>
      <c r="Z261" s="1469"/>
      <c r="AA261" s="1469"/>
      <c r="AB261" s="1469"/>
      <c r="AC261" s="1469"/>
      <c r="AD261" s="1469"/>
      <c r="AE261" s="1469"/>
      <c r="AF261" s="3" t="s">
        <v>1105</v>
      </c>
      <c r="AL261" s="3"/>
      <c r="AM261" s="3"/>
      <c r="AN261" s="3"/>
      <c r="AO261" s="3"/>
      <c r="AP261" s="3"/>
      <c r="AQ261" s="3"/>
      <c r="AR261" s="3"/>
      <c r="AS261" s="3"/>
      <c r="AT261" s="3"/>
      <c r="BN261" s="3"/>
    </row>
    <row r="262" spans="1:66" ht="13" customHeight="1">
      <c r="A262" s="1163"/>
      <c r="B262" s="3"/>
      <c r="C262" s="3"/>
      <c r="D262" s="3" t="s">
        <v>947</v>
      </c>
      <c r="E262" s="3"/>
      <c r="M262" s="1469" t="s">
        <v>1083</v>
      </c>
      <c r="N262" s="1469"/>
      <c r="O262" s="1469"/>
      <c r="P262" s="1469"/>
      <c r="Q262" s="1469"/>
      <c r="R262" s="1469"/>
      <c r="S262" s="1469"/>
      <c r="T262" s="1469"/>
      <c r="V262" s="918" t="s">
        <v>1084</v>
      </c>
      <c r="W262" s="1445" t="s">
        <v>1085</v>
      </c>
      <c r="X262" s="1445"/>
      <c r="Y262" s="3" t="s">
        <v>952</v>
      </c>
      <c r="AC262" s="1469">
        <v>10168</v>
      </c>
      <c r="AD262" s="1469"/>
      <c r="AE262" s="1469"/>
      <c r="AF262" s="3" t="s">
        <v>1109</v>
      </c>
      <c r="AU262" s="3"/>
      <c r="AV262" s="3"/>
      <c r="AW262" s="3"/>
      <c r="AX262" s="3"/>
      <c r="AY262" s="3"/>
      <c r="BN262" s="3"/>
    </row>
    <row r="263" spans="1:66" ht="13" customHeight="1">
      <c r="A263" s="1163"/>
      <c r="B263" s="3"/>
      <c r="C263" s="3"/>
      <c r="D263" s="3" t="s">
        <v>1086</v>
      </c>
      <c r="E263" s="3"/>
      <c r="F263" s="3"/>
      <c r="G263" s="3"/>
      <c r="H263" s="3"/>
      <c r="I263" s="3"/>
      <c r="J263" s="3"/>
      <c r="K263" s="3"/>
      <c r="L263" s="1163"/>
      <c r="M263" s="1469" t="s">
        <v>805</v>
      </c>
      <c r="N263" s="1469"/>
      <c r="O263" s="1469"/>
      <c r="P263" s="1469"/>
      <c r="Q263" s="1469"/>
      <c r="R263" s="1469"/>
      <c r="S263" s="1469"/>
      <c r="T263" s="1469"/>
      <c r="U263" s="1469"/>
      <c r="V263" s="1469"/>
      <c r="W263" s="1469"/>
      <c r="X263" s="1469"/>
      <c r="Y263" s="1469"/>
      <c r="Z263" s="1469"/>
      <c r="AA263" s="1469"/>
      <c r="AB263" s="1469"/>
      <c r="AC263" s="1469"/>
      <c r="AD263" s="1469"/>
      <c r="AE263" s="1469"/>
      <c r="AH263" s="1509">
        <v>5.1000000000000004E-4</v>
      </c>
      <c r="AI263" s="1509"/>
      <c r="AJ263" s="1509"/>
      <c r="AK263" s="1509"/>
      <c r="AL263" s="3"/>
      <c r="AM263" s="3"/>
      <c r="AN263" s="3"/>
      <c r="AO263" s="3"/>
      <c r="AP263" s="3"/>
      <c r="AQ263" s="3"/>
      <c r="AR263" s="3"/>
      <c r="AS263" s="3"/>
      <c r="AT263" s="3"/>
    </row>
    <row r="264" spans="1:66" ht="13" customHeight="1">
      <c r="A264" s="1163"/>
      <c r="B264" s="3"/>
      <c r="C264" s="3"/>
      <c r="D264" s="3" t="s">
        <v>1087</v>
      </c>
      <c r="E264" s="3"/>
      <c r="F264" s="3"/>
      <c r="M264" s="1432" t="s">
        <v>1088</v>
      </c>
      <c r="N264" s="1432"/>
      <c r="O264" s="1432"/>
      <c r="P264" s="1432"/>
      <c r="Q264" s="1432"/>
      <c r="R264" s="1432"/>
      <c r="S264" s="3" t="s">
        <v>1089</v>
      </c>
      <c r="T264" s="3"/>
      <c r="U264" s="1445"/>
      <c r="V264" s="1445"/>
      <c r="W264" s="1445"/>
      <c r="X264" s="3" t="s">
        <v>1090</v>
      </c>
      <c r="Z264" s="1432"/>
      <c r="AA264" s="1432"/>
      <c r="AB264" s="1432"/>
      <c r="AC264" s="1432"/>
      <c r="AD264" s="1432"/>
      <c r="AE264" s="1432"/>
      <c r="AU264" s="3"/>
      <c r="AV264" s="3"/>
      <c r="AW264" s="3"/>
      <c r="AX264" s="3"/>
      <c r="AY264" s="3"/>
      <c r="BN264" s="3"/>
    </row>
    <row r="265" spans="1:66" ht="13" customHeight="1">
      <c r="A265" s="1163"/>
      <c r="B265" s="3"/>
      <c r="C265" s="3"/>
      <c r="D265" s="3" t="s">
        <v>1092</v>
      </c>
      <c r="E265" s="3"/>
      <c r="F265" s="3"/>
      <c r="M265" s="1483" t="s">
        <v>1093</v>
      </c>
      <c r="N265" s="1483"/>
      <c r="O265" s="1483"/>
      <c r="P265" s="1483"/>
      <c r="Q265" s="1483"/>
      <c r="R265" s="1483"/>
      <c r="S265" s="1483"/>
      <c r="T265" s="1483"/>
      <c r="U265" s="1483"/>
      <c r="V265" s="1483"/>
      <c r="W265" s="1483"/>
      <c r="X265" s="1483"/>
      <c r="Y265" s="1483"/>
      <c r="Z265" s="1483"/>
      <c r="AA265" s="1483"/>
      <c r="AB265" s="1483"/>
      <c r="AC265" s="1483"/>
      <c r="AD265" s="1483"/>
      <c r="AE265" s="1483"/>
      <c r="AG265" s="3"/>
      <c r="AH265" s="3"/>
      <c r="AI265" s="3"/>
      <c r="AJ265" s="3"/>
      <c r="AK265" s="3"/>
      <c r="AL265" s="3"/>
      <c r="AM265" s="3"/>
      <c r="AN265" s="3"/>
      <c r="AO265" s="3"/>
      <c r="AP265" s="3"/>
      <c r="AQ265" s="3"/>
      <c r="AR265" s="3"/>
      <c r="AS265" s="3"/>
      <c r="AT265" s="3"/>
      <c r="AU265" s="3"/>
      <c r="AV265" s="3"/>
      <c r="AW265" s="3"/>
      <c r="AX265" s="3"/>
      <c r="AY265" s="3"/>
      <c r="BN265" s="3"/>
    </row>
    <row r="266" spans="1:66" ht="13" customHeight="1">
      <c r="A266" s="12"/>
      <c r="B266" s="3"/>
      <c r="C266" s="48"/>
      <c r="D266" s="3" t="s">
        <v>1116</v>
      </c>
      <c r="E266" s="3"/>
      <c r="F266" s="3"/>
      <c r="G266" s="3"/>
      <c r="H266" s="3"/>
      <c r="I266" s="3"/>
      <c r="J266" s="3"/>
      <c r="K266" s="3"/>
      <c r="L266" s="3"/>
      <c r="M266" s="1412" t="s">
        <v>1113</v>
      </c>
      <c r="N266" s="1412"/>
      <c r="O266" s="1412"/>
      <c r="P266" s="1412"/>
      <c r="Q266" s="1412"/>
      <c r="R266" s="1412"/>
      <c r="S266" s="1412"/>
      <c r="T266" s="1412"/>
      <c r="U266" s="136" t="s">
        <v>1095</v>
      </c>
      <c r="V266" s="136"/>
      <c r="W266" s="136"/>
      <c r="X266" s="136"/>
      <c r="Y266" s="136"/>
      <c r="Z266" s="136"/>
      <c r="AA266" s="1506" t="s">
        <v>1121</v>
      </c>
      <c r="AB266" s="1506"/>
      <c r="AC266" s="1506"/>
      <c r="AD266" s="1506"/>
      <c r="AE266" s="1506"/>
      <c r="AF266" s="1506"/>
      <c r="AG266" s="1506"/>
      <c r="AH266" s="1506"/>
      <c r="AI266" s="1506"/>
      <c r="AJ266" s="1506"/>
      <c r="AK266" s="1506"/>
      <c r="AL266" s="3"/>
      <c r="AM266" s="3"/>
      <c r="AN266" s="3"/>
      <c r="AO266" s="3"/>
      <c r="AP266" s="3"/>
      <c r="AQ266" s="3"/>
      <c r="AR266" s="3"/>
      <c r="AS266" s="3"/>
      <c r="AT266" s="3"/>
      <c r="AU266" s="3"/>
      <c r="AV266" s="3"/>
      <c r="AW266" s="3"/>
      <c r="AX266" s="3"/>
      <c r="AY266" s="3"/>
    </row>
    <row r="267" spans="1:66" ht="13"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3" customHeight="1">
      <c r="A268" s="12"/>
      <c r="B268" s="3"/>
      <c r="C268" s="48" t="s">
        <v>1122</v>
      </c>
      <c r="D268" s="3" t="s">
        <v>1101</v>
      </c>
      <c r="E268" s="3"/>
      <c r="F268" s="3"/>
      <c r="G268" s="3"/>
      <c r="H268" s="3"/>
      <c r="I268" s="3"/>
      <c r="J268" s="3"/>
      <c r="K268" s="3"/>
      <c r="L268" s="3"/>
      <c r="M268" s="1508"/>
      <c r="N268" s="1508"/>
      <c r="O268" s="1508"/>
      <c r="P268" s="1508"/>
      <c r="Q268" s="1508"/>
      <c r="R268" s="1508"/>
      <c r="S268" s="1508"/>
      <c r="T268" s="1508"/>
      <c r="U268" s="1508"/>
      <c r="V268" s="1508"/>
      <c r="W268" s="1508"/>
      <c r="X268" s="1508"/>
      <c r="Y268" s="1508"/>
      <c r="Z268" s="1508"/>
      <c r="AA268" s="1508"/>
      <c r="AB268" s="1508"/>
      <c r="AC268" s="1508"/>
      <c r="AD268" s="1508"/>
      <c r="AE268" s="1508"/>
      <c r="AF268" s="1508" t="s">
        <v>348</v>
      </c>
      <c r="AG268" s="1508"/>
      <c r="AH268" s="1508"/>
      <c r="AI268" s="1508"/>
      <c r="AJ268" s="1508"/>
      <c r="AK268" s="1508"/>
      <c r="AL268" s="3"/>
      <c r="AM268" s="3"/>
      <c r="AN268" s="3"/>
      <c r="AO268" s="3"/>
      <c r="AP268" s="3"/>
      <c r="AQ268" s="3"/>
      <c r="AR268" s="3"/>
      <c r="AS268" s="3"/>
      <c r="AT268" s="3"/>
      <c r="AU268" s="3"/>
      <c r="AV268" s="3"/>
      <c r="AW268" s="3"/>
      <c r="AX268" s="3"/>
      <c r="AY268" s="3"/>
    </row>
    <row r="269" spans="1:66" ht="13" customHeight="1">
      <c r="A269" s="12"/>
      <c r="B269" s="3"/>
      <c r="C269" s="3"/>
      <c r="D269" s="3" t="s">
        <v>1081</v>
      </c>
      <c r="E269" s="3"/>
      <c r="F269" s="3"/>
      <c r="G269" s="3"/>
      <c r="H269" s="3"/>
      <c r="I269" s="3"/>
      <c r="J269" s="3"/>
      <c r="K269" s="3"/>
      <c r="L269" s="3"/>
      <c r="M269" s="1469"/>
      <c r="N269" s="1469"/>
      <c r="O269" s="1469"/>
      <c r="P269" s="1469"/>
      <c r="Q269" s="1469"/>
      <c r="R269" s="1469"/>
      <c r="S269" s="1469"/>
      <c r="T269" s="1469"/>
      <c r="U269" s="1469"/>
      <c r="V269" s="1469"/>
      <c r="W269" s="1469"/>
      <c r="X269" s="1469"/>
      <c r="Y269" s="1469"/>
      <c r="Z269" s="1469"/>
      <c r="AA269" s="1469"/>
      <c r="AB269" s="1469"/>
      <c r="AC269" s="1469"/>
      <c r="AD269" s="1469"/>
      <c r="AE269" s="1469"/>
      <c r="AF269" s="3" t="s">
        <v>1105</v>
      </c>
      <c r="AL269" s="3"/>
      <c r="AM269" s="3"/>
      <c r="AN269" s="3"/>
      <c r="AO269" s="3"/>
      <c r="AP269" s="3"/>
      <c r="AQ269" s="3"/>
      <c r="AR269" s="3"/>
      <c r="AS269" s="3"/>
      <c r="AT269" s="3"/>
      <c r="AU269" s="3"/>
      <c r="AV269" s="3"/>
      <c r="AW269" s="3"/>
      <c r="AX269" s="3"/>
      <c r="AY269" s="3"/>
    </row>
    <row r="270" spans="1:66" ht="13" customHeight="1">
      <c r="A270" s="12"/>
      <c r="B270" s="3"/>
      <c r="C270" s="3"/>
      <c r="D270" s="3" t="s">
        <v>947</v>
      </c>
      <c r="E270" s="3"/>
      <c r="M270" s="1469"/>
      <c r="N270" s="1469"/>
      <c r="O270" s="1469"/>
      <c r="P270" s="1469"/>
      <c r="Q270" s="1469"/>
      <c r="R270" s="1469"/>
      <c r="S270" s="1469"/>
      <c r="T270" s="1469"/>
      <c r="V270" s="918" t="s">
        <v>1084</v>
      </c>
      <c r="W270" s="1445"/>
      <c r="X270" s="1445"/>
      <c r="Y270" s="3" t="s">
        <v>952</v>
      </c>
      <c r="AC270" s="1469"/>
      <c r="AD270" s="1469"/>
      <c r="AE270" s="1469"/>
      <c r="AF270" s="3" t="s">
        <v>1109</v>
      </c>
      <c r="AL270" s="3"/>
      <c r="AM270" s="3"/>
      <c r="AN270" s="3"/>
      <c r="AO270" s="3"/>
      <c r="AP270" s="3"/>
      <c r="AQ270" s="3"/>
      <c r="AR270" s="3"/>
      <c r="AS270" s="3"/>
      <c r="AT270" s="3"/>
      <c r="AU270" s="3"/>
      <c r="AV270" s="3"/>
      <c r="AW270" s="3"/>
      <c r="AX270" s="3"/>
      <c r="AY270" s="3"/>
    </row>
    <row r="271" spans="1:66" ht="13" customHeight="1">
      <c r="A271" s="12"/>
      <c r="B271" s="3"/>
      <c r="C271" s="3"/>
      <c r="D271" s="3" t="s">
        <v>1086</v>
      </c>
      <c r="E271" s="3"/>
      <c r="F271" s="3"/>
      <c r="G271" s="3"/>
      <c r="H271" s="3"/>
      <c r="I271" s="3"/>
      <c r="J271" s="3"/>
      <c r="K271" s="3"/>
      <c r="L271" s="1163"/>
      <c r="M271" s="1469"/>
      <c r="N271" s="1469"/>
      <c r="O271" s="1469"/>
      <c r="P271" s="1469"/>
      <c r="Q271" s="1469"/>
      <c r="R271" s="1469"/>
      <c r="S271" s="1469"/>
      <c r="T271" s="1469"/>
      <c r="U271" s="1469"/>
      <c r="V271" s="1469"/>
      <c r="W271" s="1469"/>
      <c r="X271" s="1469"/>
      <c r="Y271" s="1469"/>
      <c r="Z271" s="1469"/>
      <c r="AA271" s="1469"/>
      <c r="AB271" s="1469"/>
      <c r="AC271" s="1469"/>
      <c r="AD271" s="1469"/>
      <c r="AE271" s="1469"/>
      <c r="AH271" s="1509"/>
      <c r="AI271" s="1509"/>
      <c r="AJ271" s="1509"/>
      <c r="AK271" s="1509"/>
      <c r="AL271" s="3"/>
      <c r="AM271" s="3"/>
      <c r="AN271" s="3"/>
      <c r="AO271" s="3"/>
      <c r="AP271" s="3"/>
      <c r="AQ271" s="3"/>
      <c r="AR271" s="3"/>
      <c r="AS271" s="3"/>
      <c r="AT271" s="3"/>
      <c r="AU271" s="3"/>
      <c r="AV271" s="3"/>
      <c r="AW271" s="3"/>
      <c r="AX271" s="3"/>
      <c r="AY271" s="3"/>
    </row>
    <row r="272" spans="1:66" ht="13" customHeight="1">
      <c r="A272" s="12"/>
      <c r="B272" s="3"/>
      <c r="C272" s="3"/>
      <c r="D272" s="3" t="s">
        <v>1087</v>
      </c>
      <c r="E272" s="3"/>
      <c r="F272" s="3"/>
      <c r="M272" s="1432"/>
      <c r="N272" s="1432"/>
      <c r="O272" s="1432"/>
      <c r="P272" s="1432"/>
      <c r="Q272" s="1432"/>
      <c r="R272" s="1432"/>
      <c r="S272" s="3" t="s">
        <v>1089</v>
      </c>
      <c r="T272" s="3"/>
      <c r="U272" s="1445"/>
      <c r="V272" s="1445"/>
      <c r="W272" s="1445"/>
      <c r="X272" s="3" t="s">
        <v>1090</v>
      </c>
      <c r="Z272" s="1432"/>
      <c r="AA272" s="1432"/>
      <c r="AB272" s="1432"/>
      <c r="AC272" s="1432"/>
      <c r="AD272" s="1432"/>
      <c r="AE272" s="1432"/>
      <c r="AL272" s="3"/>
      <c r="AM272" s="3"/>
      <c r="AN272" s="3"/>
      <c r="AO272" s="3"/>
      <c r="AP272" s="3"/>
      <c r="AQ272" s="3"/>
      <c r="AR272" s="3"/>
      <c r="AS272" s="3"/>
      <c r="AT272" s="3"/>
      <c r="AU272" s="3"/>
      <c r="AV272" s="3"/>
      <c r="AW272" s="3"/>
      <c r="AX272" s="3"/>
      <c r="AY272" s="3"/>
    </row>
    <row r="273" spans="1:51" ht="13" customHeight="1">
      <c r="A273" s="12"/>
      <c r="B273" s="3"/>
      <c r="C273" s="3"/>
      <c r="D273" s="3" t="s">
        <v>1092</v>
      </c>
      <c r="E273" s="3"/>
      <c r="F273" s="3"/>
      <c r="M273" s="1483"/>
      <c r="N273" s="1483"/>
      <c r="O273" s="1483"/>
      <c r="P273" s="1483"/>
      <c r="Q273" s="1483"/>
      <c r="R273" s="1483"/>
      <c r="S273" s="1483"/>
      <c r="T273" s="1483"/>
      <c r="U273" s="1483"/>
      <c r="V273" s="1483"/>
      <c r="W273" s="1483"/>
      <c r="X273" s="1483"/>
      <c r="Y273" s="1483"/>
      <c r="Z273" s="1483"/>
      <c r="AA273" s="1513"/>
      <c r="AB273" s="1513"/>
      <c r="AC273" s="1513"/>
      <c r="AD273" s="1513"/>
      <c r="AE273" s="1513"/>
      <c r="AG273" s="3"/>
      <c r="AH273" s="3"/>
      <c r="AI273" s="3"/>
      <c r="AJ273" s="3"/>
      <c r="AK273" s="3"/>
      <c r="AL273" s="3"/>
      <c r="AM273" s="3"/>
      <c r="AN273" s="3"/>
      <c r="AO273" s="3"/>
      <c r="AP273" s="3"/>
      <c r="AQ273" s="3"/>
      <c r="AR273" s="3"/>
      <c r="AS273" s="3"/>
      <c r="AT273" s="3"/>
      <c r="AU273" s="3"/>
      <c r="AV273" s="3"/>
      <c r="AW273" s="3"/>
      <c r="AX273" s="3"/>
      <c r="AY273" s="3"/>
    </row>
    <row r="274" spans="1:51" ht="13" customHeight="1">
      <c r="A274" s="12"/>
      <c r="B274" s="3"/>
      <c r="C274" s="48"/>
      <c r="D274" s="3" t="s">
        <v>1116</v>
      </c>
      <c r="E274" s="3"/>
      <c r="F274" s="3"/>
      <c r="G274" s="3"/>
      <c r="H274" s="3"/>
      <c r="I274" s="3"/>
      <c r="J274" s="3"/>
      <c r="K274" s="3"/>
      <c r="L274" s="3"/>
      <c r="M274" s="1412" t="s">
        <v>348</v>
      </c>
      <c r="N274" s="1412"/>
      <c r="O274" s="1412"/>
      <c r="P274" s="1412"/>
      <c r="Q274" s="1412"/>
      <c r="R274" s="1412"/>
      <c r="S274" s="1412"/>
      <c r="T274" s="1412"/>
      <c r="U274" s="136" t="s">
        <v>1095</v>
      </c>
      <c r="V274" s="136"/>
      <c r="W274" s="136"/>
      <c r="X274" s="136"/>
      <c r="Y274" s="136"/>
      <c r="Z274" s="136"/>
      <c r="AA274" s="1515"/>
      <c r="AB274" s="1515"/>
      <c r="AC274" s="1515"/>
      <c r="AD274" s="1515"/>
      <c r="AE274" s="1515"/>
      <c r="AF274" s="1515"/>
      <c r="AG274" s="1515"/>
      <c r="AH274" s="1515"/>
      <c r="AI274" s="1515"/>
      <c r="AJ274" s="1515"/>
      <c r="AK274" s="1515"/>
      <c r="AL274" s="3"/>
      <c r="AM274" s="3"/>
      <c r="AN274" s="3"/>
      <c r="AO274" s="3"/>
      <c r="AP274" s="3"/>
      <c r="AQ274" s="3"/>
      <c r="AR274" s="3"/>
      <c r="AS274" s="3"/>
      <c r="AT274" s="3"/>
    </row>
    <row r="275" spans="1:51" ht="13"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3" customHeight="1">
      <c r="A276" s="49" t="s">
        <v>1035</v>
      </c>
      <c r="B276" s="3"/>
      <c r="C276" s="2" t="s">
        <v>1123</v>
      </c>
      <c r="D276" s="3"/>
      <c r="E276" s="3"/>
      <c r="F276" s="3"/>
      <c r="G276" s="3"/>
      <c r="H276" s="3"/>
      <c r="I276" s="3"/>
      <c r="J276" s="3"/>
      <c r="K276" s="3"/>
      <c r="L276" s="3"/>
      <c r="M276" s="84"/>
      <c r="N276" s="84"/>
      <c r="O276" s="84"/>
      <c r="P276" s="84"/>
      <c r="Q276" s="84"/>
      <c r="T276" s="1489" t="str">
        <f>IFERROR(BO254,"")</f>
        <v>Joint Venture</v>
      </c>
      <c r="U276" s="1489"/>
      <c r="V276" s="1489"/>
      <c r="W276" s="1489"/>
      <c r="X276" s="1489"/>
      <c r="Z276" s="214" t="s">
        <v>1124</v>
      </c>
      <c r="AA276" s="215"/>
      <c r="AB276" s="215"/>
      <c r="AC276" s="215"/>
      <c r="AD276" s="216"/>
      <c r="AE276" s="216"/>
      <c r="AF276" s="216"/>
      <c r="AG276" s="216"/>
      <c r="AH276" s="216"/>
      <c r="AI276" s="216"/>
      <c r="AJ276" s="216"/>
      <c r="AK276" s="216"/>
      <c r="AL276" s="50"/>
    </row>
    <row r="277" spans="1:51" ht="13" customHeight="1">
      <c r="A277" s="2"/>
      <c r="B277" s="3"/>
      <c r="C277" s="2"/>
      <c r="I277" s="3"/>
      <c r="J277" s="3"/>
      <c r="K277" s="3"/>
      <c r="L277" s="3"/>
      <c r="M277" s="84"/>
      <c r="N277" s="84"/>
      <c r="O277" s="84"/>
      <c r="P277" s="84"/>
      <c r="Q277" s="84"/>
      <c r="T277" s="3"/>
      <c r="U277" s="3"/>
      <c r="V277" s="3"/>
      <c r="W277" s="84"/>
      <c r="Z277" s="217" t="s">
        <v>1125</v>
      </c>
      <c r="AF277" s="3"/>
      <c r="AG277" s="3"/>
      <c r="AH277" s="3"/>
      <c r="AI277" s="3"/>
      <c r="AJ277" s="3"/>
      <c r="AL277" s="56"/>
    </row>
    <row r="278" spans="1:51" ht="13" customHeight="1">
      <c r="A278" s="2" t="s">
        <v>1062</v>
      </c>
      <c r="B278" s="3"/>
      <c r="C278" s="2" t="s">
        <v>124</v>
      </c>
      <c r="D278" s="3"/>
      <c r="E278" s="3"/>
      <c r="F278" s="3"/>
      <c r="G278" s="3"/>
      <c r="H278" s="3"/>
      <c r="I278" s="3"/>
      <c r="J278" s="3"/>
      <c r="K278" s="3"/>
      <c r="L278" s="3"/>
      <c r="M278" s="3"/>
      <c r="N278" s="3"/>
      <c r="O278" s="3"/>
      <c r="P278" s="3"/>
      <c r="Q278" s="3"/>
      <c r="R278" s="3"/>
      <c r="S278" s="3"/>
      <c r="T278" s="3"/>
      <c r="U278" s="3"/>
      <c r="V278" s="3"/>
      <c r="W278" s="3"/>
      <c r="Z278" s="218" t="s">
        <v>1126</v>
      </c>
      <c r="AA278" s="40"/>
      <c r="AB278" s="40"/>
      <c r="AC278" s="40"/>
      <c r="AD278" s="40"/>
      <c r="AE278" s="40"/>
      <c r="AF278" s="788"/>
      <c r="AG278" s="788"/>
      <c r="AH278" s="788"/>
      <c r="AI278" s="788"/>
      <c r="AJ278" s="788"/>
      <c r="AK278" s="40"/>
      <c r="AL278" s="41"/>
    </row>
    <row r="279" spans="1:51" ht="13" customHeight="1">
      <c r="A279" s="3"/>
      <c r="B279" s="28">
        <v>0</v>
      </c>
      <c r="D279" s="1469" t="s">
        <v>1110</v>
      </c>
      <c r="E279" s="1469"/>
      <c r="F279" s="1469"/>
      <c r="G279" s="1469"/>
      <c r="H279" s="1469"/>
      <c r="J279" t="s">
        <v>1127</v>
      </c>
      <c r="X279" s="1512"/>
      <c r="Y279" s="1512"/>
      <c r="Z279" s="1512"/>
      <c r="AA279" s="1512"/>
      <c r="AB279" s="1512"/>
      <c r="AC279" s="1512"/>
      <c r="AU279" s="3"/>
      <c r="AV279" s="3"/>
      <c r="AW279" s="3"/>
      <c r="AX279" s="3"/>
      <c r="AY279" s="3"/>
    </row>
    <row r="280" spans="1:51" ht="13" customHeight="1">
      <c r="A280" s="3"/>
      <c r="B280" s="1163"/>
      <c r="D280" s="29" t="s">
        <v>1128</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3"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3" customHeight="1">
      <c r="A282" s="2" t="s">
        <v>1129</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3" customHeight="1">
      <c r="D283" s="3" t="s">
        <v>1130</v>
      </c>
      <c r="E283" s="3"/>
      <c r="F283" s="3"/>
      <c r="G283" s="3"/>
      <c r="H283" s="3"/>
      <c r="I283" s="3"/>
      <c r="J283" s="3"/>
      <c r="K283" s="3"/>
      <c r="L283" s="1508" t="s">
        <v>1121</v>
      </c>
      <c r="M283" s="1508"/>
      <c r="N283" s="1508"/>
      <c r="O283" s="1508"/>
      <c r="P283" s="1508"/>
      <c r="Q283" s="1508"/>
      <c r="R283" s="1508"/>
      <c r="S283" s="1508"/>
      <c r="T283" s="1508"/>
      <c r="U283" s="1508"/>
      <c r="V283" s="1508"/>
      <c r="W283" s="1508"/>
      <c r="X283" s="1508"/>
      <c r="Y283" s="1508"/>
      <c r="Z283" s="1508"/>
      <c r="AA283" s="1508"/>
      <c r="AB283" s="1508"/>
      <c r="AC283" s="1508"/>
      <c r="AD283" s="1508"/>
      <c r="AE283" s="1508"/>
      <c r="AF283" s="1508"/>
      <c r="AG283" s="1508"/>
      <c r="AH283" s="1508"/>
      <c r="AI283" s="1508"/>
      <c r="AJ283" s="1508"/>
      <c r="AK283" s="3"/>
      <c r="AL283" s="3"/>
      <c r="AM283" s="3"/>
      <c r="AN283" s="3"/>
      <c r="AO283" s="3"/>
      <c r="AP283" s="3"/>
      <c r="AQ283" s="3"/>
      <c r="AR283" s="3"/>
      <c r="AS283" s="3"/>
      <c r="AT283" s="3"/>
      <c r="AU283" s="3"/>
      <c r="AV283" s="3"/>
      <c r="AW283" s="3"/>
      <c r="AX283" s="3"/>
      <c r="AY283" s="3"/>
    </row>
    <row r="284" spans="1:51" ht="13" customHeight="1">
      <c r="D284" s="3" t="s">
        <v>1081</v>
      </c>
      <c r="E284" s="3"/>
      <c r="F284" s="3"/>
      <c r="G284" s="3"/>
      <c r="H284" s="3"/>
      <c r="I284" s="3"/>
      <c r="J284" s="3"/>
      <c r="K284" s="3"/>
      <c r="L284" s="1469" t="s">
        <v>1082</v>
      </c>
      <c r="M284" s="1469"/>
      <c r="N284" s="1469"/>
      <c r="O284" s="1469"/>
      <c r="P284" s="1469"/>
      <c r="Q284" s="1469"/>
      <c r="R284" s="1469"/>
      <c r="S284" s="1469"/>
      <c r="T284" s="1469"/>
      <c r="U284" s="1469"/>
      <c r="V284" s="1469"/>
      <c r="W284" s="1469"/>
      <c r="X284" s="1469"/>
      <c r="Y284" s="1469"/>
      <c r="Z284" s="1469"/>
      <c r="AA284" s="1469"/>
      <c r="AB284" s="1469"/>
      <c r="AC284" s="1469"/>
      <c r="AD284" s="1469"/>
      <c r="AK284" s="3"/>
      <c r="AL284" s="3"/>
      <c r="AM284" s="3"/>
      <c r="AN284" s="3"/>
      <c r="AO284" s="3"/>
      <c r="AP284" s="3"/>
      <c r="AQ284" s="3"/>
      <c r="AR284" s="3"/>
      <c r="AS284" s="3"/>
      <c r="AT284" s="3"/>
      <c r="AU284" s="3"/>
      <c r="AV284" s="3"/>
      <c r="AW284" s="3"/>
      <c r="AX284" s="3"/>
      <c r="AY284" s="3"/>
    </row>
    <row r="285" spans="1:51" ht="13" customHeight="1">
      <c r="D285" s="3" t="s">
        <v>947</v>
      </c>
      <c r="E285" s="3"/>
      <c r="L285" s="1469" t="s">
        <v>1083</v>
      </c>
      <c r="M285" s="1469"/>
      <c r="N285" s="1469"/>
      <c r="O285" s="1469"/>
      <c r="P285" s="1469"/>
      <c r="Q285" s="1469"/>
      <c r="R285" s="1469"/>
      <c r="S285" s="1469"/>
      <c r="U285" s="918" t="s">
        <v>1084</v>
      </c>
      <c r="V285" s="1445" t="s">
        <v>1085</v>
      </c>
      <c r="W285" s="1445"/>
      <c r="X285" s="3" t="s">
        <v>952</v>
      </c>
      <c r="AB285" s="1469">
        <v>10168</v>
      </c>
      <c r="AC285" s="1469"/>
      <c r="AD285" s="1469"/>
      <c r="AK285" s="3"/>
      <c r="AL285" s="3"/>
      <c r="AM285" s="3"/>
      <c r="AN285" s="3"/>
      <c r="AO285" s="3"/>
      <c r="AP285" s="3"/>
      <c r="AQ285" s="3"/>
      <c r="AR285" s="3"/>
      <c r="AS285" s="3"/>
      <c r="AT285" s="3"/>
      <c r="AU285" s="3"/>
      <c r="AV285" s="3"/>
      <c r="AW285" s="3"/>
      <c r="AX285" s="3"/>
      <c r="AY285" s="3"/>
    </row>
    <row r="286" spans="1:51" ht="13" customHeight="1">
      <c r="D286" s="3" t="s">
        <v>1086</v>
      </c>
      <c r="E286" s="3"/>
      <c r="F286" s="3"/>
      <c r="G286" s="3"/>
      <c r="H286" s="3"/>
      <c r="I286" s="3"/>
      <c r="J286" s="3"/>
      <c r="K286" s="1163"/>
      <c r="L286" s="1469" t="s">
        <v>1131</v>
      </c>
      <c r="M286" s="1469"/>
      <c r="N286" s="1469"/>
      <c r="O286" s="1469"/>
      <c r="P286" s="1469"/>
      <c r="Q286" s="1469"/>
      <c r="R286" s="1469"/>
      <c r="S286" s="1469"/>
      <c r="T286" s="1469"/>
      <c r="U286" s="1469"/>
      <c r="V286" s="1469"/>
      <c r="W286" s="1469"/>
      <c r="X286" s="1469"/>
      <c r="Y286" s="1469"/>
      <c r="Z286" s="1469"/>
      <c r="AA286" s="1469"/>
      <c r="AB286" s="1469"/>
      <c r="AC286" s="1469"/>
      <c r="AD286" s="1469"/>
      <c r="AI286" s="3"/>
      <c r="AJ286" s="3"/>
      <c r="AK286" s="3"/>
      <c r="AL286" s="3"/>
      <c r="AM286" s="3"/>
      <c r="AN286" s="3"/>
      <c r="AO286" s="3"/>
      <c r="AP286" s="3"/>
      <c r="AQ286" s="3"/>
      <c r="AR286" s="3"/>
      <c r="AS286" s="3"/>
      <c r="AT286" s="3"/>
    </row>
    <row r="287" spans="1:51" ht="13" customHeight="1">
      <c r="D287" s="3" t="s">
        <v>1087</v>
      </c>
      <c r="E287" s="3"/>
      <c r="F287" s="3"/>
      <c r="L287" s="1432" t="s">
        <v>1132</v>
      </c>
      <c r="M287" s="1432"/>
      <c r="N287" s="1432"/>
      <c r="O287" s="1432"/>
      <c r="P287" s="1432"/>
      <c r="Q287" s="1432"/>
      <c r="R287" s="3" t="s">
        <v>1089</v>
      </c>
      <c r="S287" s="3"/>
      <c r="T287" s="1445"/>
      <c r="U287" s="1445"/>
      <c r="V287" s="1445"/>
      <c r="W287" s="3" t="s">
        <v>1090</v>
      </c>
      <c r="Y287" s="1432"/>
      <c r="Z287" s="1432"/>
      <c r="AA287" s="1432"/>
      <c r="AB287" s="1432"/>
      <c r="AC287" s="1432"/>
      <c r="AD287" s="1432"/>
    </row>
    <row r="288" spans="1:51" ht="13" customHeight="1">
      <c r="D288" s="3" t="s">
        <v>1092</v>
      </c>
      <c r="E288" s="3"/>
      <c r="F288" s="3"/>
      <c r="L288" s="1483" t="s">
        <v>1133</v>
      </c>
      <c r="M288" s="1483"/>
      <c r="N288" s="1483"/>
      <c r="O288" s="1483"/>
      <c r="P288" s="1483"/>
      <c r="Q288" s="1483"/>
      <c r="R288" s="1483"/>
      <c r="S288" s="1483"/>
      <c r="T288" s="1483"/>
      <c r="U288" s="1483"/>
      <c r="V288" s="1483"/>
      <c r="W288" s="1483"/>
      <c r="X288" s="1483"/>
      <c r="Y288" s="1483"/>
      <c r="Z288" s="1483"/>
      <c r="AA288" s="1483"/>
      <c r="AB288" s="1483"/>
      <c r="AC288" s="1483"/>
      <c r="AD288" s="1483"/>
      <c r="AF288" s="3"/>
      <c r="AG288" s="3"/>
      <c r="AH288" s="3"/>
      <c r="AI288" s="3"/>
      <c r="AJ288" s="3"/>
      <c r="AU288" s="3"/>
      <c r="AV288" s="3"/>
      <c r="AW288" s="3"/>
      <c r="AX288" s="3"/>
      <c r="AY288" s="3"/>
    </row>
    <row r="289" spans="1:51" ht="13" customHeight="1">
      <c r="D289" s="3" t="s">
        <v>1134</v>
      </c>
      <c r="E289" s="3"/>
      <c r="F289" s="3"/>
      <c r="G289" s="3"/>
      <c r="H289" s="3"/>
      <c r="I289" s="3"/>
      <c r="L289" s="1445" t="s">
        <v>1135</v>
      </c>
      <c r="M289" s="1445"/>
      <c r="N289" s="1445"/>
      <c r="O289" s="1445"/>
      <c r="P289" s="1445"/>
      <c r="Q289" s="1445"/>
      <c r="R289" s="1445"/>
      <c r="S289" s="1445"/>
      <c r="T289" s="1445"/>
      <c r="U289" s="1445"/>
      <c r="V289" s="1445"/>
      <c r="W289" s="1445"/>
      <c r="X289" s="1445"/>
      <c r="Y289" s="1445"/>
      <c r="Z289" s="1445"/>
      <c r="AA289" s="1445"/>
      <c r="AB289" s="1445"/>
      <c r="AC289" s="1445"/>
      <c r="AD289" s="1445"/>
      <c r="AK289" s="3"/>
      <c r="AL289" s="3"/>
      <c r="AM289" s="3"/>
      <c r="AN289" s="3"/>
      <c r="AO289" s="3"/>
      <c r="AP289" s="3"/>
      <c r="AQ289" s="3"/>
      <c r="AR289" s="3"/>
      <c r="AS289" s="3"/>
      <c r="AT289" s="3"/>
    </row>
    <row r="290" spans="1:51" ht="13" customHeight="1">
      <c r="L290" s="19" t="s">
        <v>1136</v>
      </c>
      <c r="AU290" s="70"/>
      <c r="AV290" s="70"/>
      <c r="AW290" s="70"/>
      <c r="AX290" s="70"/>
      <c r="AY290" s="70"/>
    </row>
    <row r="291" spans="1:51" ht="13" customHeight="1">
      <c r="A291" s="1487" t="s">
        <v>1137</v>
      </c>
      <c r="B291" s="1487"/>
      <c r="C291" s="1487"/>
      <c r="D291" s="1487"/>
      <c r="E291" s="1487"/>
      <c r="F291" s="1487"/>
      <c r="G291" s="1487"/>
      <c r="H291" s="1487"/>
      <c r="I291" s="1487"/>
      <c r="J291" s="1487"/>
      <c r="K291" s="1487"/>
      <c r="L291" s="1487"/>
      <c r="M291" s="1487"/>
      <c r="N291" s="1487"/>
      <c r="O291" s="1487"/>
      <c r="P291" s="1487"/>
      <c r="Q291" s="1487"/>
      <c r="R291" s="1487"/>
      <c r="S291" s="1487"/>
      <c r="T291" s="1487"/>
      <c r="U291" s="1487"/>
      <c r="V291" s="1487"/>
      <c r="W291" s="1487"/>
      <c r="X291" s="1487"/>
      <c r="Y291" s="1487"/>
      <c r="Z291" s="1487"/>
      <c r="AA291" s="1487"/>
      <c r="AB291" s="1487"/>
      <c r="AC291" s="1487"/>
      <c r="AD291" s="1487"/>
      <c r="AE291" s="1487"/>
      <c r="AF291" s="1487"/>
      <c r="AG291" s="1487"/>
      <c r="AH291" s="1487"/>
      <c r="AI291" s="1487"/>
      <c r="AJ291" s="1487"/>
      <c r="AK291" s="1487"/>
      <c r="AL291" s="1487"/>
      <c r="AM291" s="1487"/>
      <c r="AN291" s="1487"/>
      <c r="AO291" s="1487"/>
      <c r="AP291" s="1487"/>
      <c r="AQ291" s="1487"/>
      <c r="AR291" s="1487"/>
      <c r="AS291" s="1487"/>
      <c r="AT291" s="1487"/>
      <c r="AU291" s="70"/>
      <c r="AV291" s="70"/>
      <c r="AW291" s="70"/>
      <c r="AX291" s="70"/>
      <c r="AY291" s="70"/>
    </row>
    <row r="292" spans="1:51" ht="13" customHeight="1">
      <c r="A292" s="1487"/>
      <c r="B292" s="1487"/>
      <c r="C292" s="1487"/>
      <c r="D292" s="1487"/>
      <c r="E292" s="1487"/>
      <c r="F292" s="1487"/>
      <c r="G292" s="1487"/>
      <c r="H292" s="1487"/>
      <c r="I292" s="1487"/>
      <c r="J292" s="1487"/>
      <c r="K292" s="1487"/>
      <c r="L292" s="1487"/>
      <c r="M292" s="1487"/>
      <c r="N292" s="1487"/>
      <c r="O292" s="1487"/>
      <c r="P292" s="1487"/>
      <c r="Q292" s="1487"/>
      <c r="R292" s="1487"/>
      <c r="S292" s="1487"/>
      <c r="T292" s="1487"/>
      <c r="U292" s="1487"/>
      <c r="V292" s="1487"/>
      <c r="W292" s="1487"/>
      <c r="X292" s="1487"/>
      <c r="Y292" s="1487"/>
      <c r="Z292" s="1487"/>
      <c r="AA292" s="1487"/>
      <c r="AB292" s="1487"/>
      <c r="AC292" s="1487"/>
      <c r="AD292" s="1487"/>
      <c r="AE292" s="1487"/>
      <c r="AF292" s="1487"/>
      <c r="AG292" s="1487"/>
      <c r="AH292" s="1487"/>
      <c r="AI292" s="1487"/>
      <c r="AJ292" s="1487"/>
      <c r="AK292" s="1487"/>
      <c r="AL292" s="1487"/>
      <c r="AM292" s="1487"/>
      <c r="AN292" s="1487"/>
      <c r="AO292" s="1487"/>
      <c r="AP292" s="1487"/>
      <c r="AQ292" s="1487"/>
      <c r="AR292" s="1487"/>
      <c r="AS292" s="1487"/>
      <c r="AT292" s="1487"/>
      <c r="AU292" s="21"/>
      <c r="AV292" s="21"/>
      <c r="AW292" s="21"/>
      <c r="AX292" s="21"/>
      <c r="AY292" s="21"/>
    </row>
    <row r="293" spans="1:51" ht="13"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3" customHeight="1">
      <c r="A294" s="2" t="s">
        <v>887</v>
      </c>
      <c r="C294" s="2" t="s">
        <v>1138</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1139</v>
      </c>
      <c r="C296" s="3"/>
      <c r="D296" s="3"/>
      <c r="E296" s="3"/>
      <c r="F296" s="3"/>
      <c r="H296" s="1379" t="s">
        <v>1121</v>
      </c>
      <c r="I296" s="1379"/>
      <c r="J296" s="1379"/>
      <c r="K296" s="1379"/>
      <c r="L296" s="1379"/>
      <c r="M296" s="1379"/>
      <c r="N296" s="1379"/>
      <c r="O296" s="1379"/>
      <c r="P296" s="1379"/>
      <c r="Q296" s="1379"/>
      <c r="R296" s="1379"/>
      <c r="T296" s="3" t="s">
        <v>1140</v>
      </c>
      <c r="V296" s="3"/>
      <c r="W296" s="3"/>
      <c r="X296" s="3"/>
      <c r="Y296" s="3"/>
      <c r="AA296" s="1469" t="s">
        <v>1141</v>
      </c>
      <c r="AB296" s="1379"/>
      <c r="AC296" s="1379"/>
      <c r="AD296" s="1379"/>
      <c r="AE296" s="1379"/>
      <c r="AF296" s="1379"/>
      <c r="AG296" s="1379"/>
      <c r="AH296" s="1379"/>
      <c r="AI296" s="1379"/>
      <c r="AJ296" s="1379"/>
      <c r="AK296" s="1379"/>
    </row>
    <row r="297" spans="1:51" ht="13" customHeight="1">
      <c r="B297" s="3" t="s">
        <v>1142</v>
      </c>
      <c r="C297" s="3"/>
      <c r="D297" s="3"/>
      <c r="E297" s="3"/>
      <c r="F297" s="3"/>
      <c r="H297" s="1412" t="s">
        <v>1082</v>
      </c>
      <c r="I297" s="1412"/>
      <c r="J297" s="1412"/>
      <c r="K297" s="1412"/>
      <c r="L297" s="1412"/>
      <c r="M297" s="1412"/>
      <c r="N297" s="1412"/>
      <c r="O297" s="1412"/>
      <c r="P297" s="1412"/>
      <c r="Q297" s="1412"/>
      <c r="R297" s="1412"/>
      <c r="T297" s="3" t="s">
        <v>1142</v>
      </c>
      <c r="V297" s="3"/>
      <c r="W297" s="3"/>
      <c r="X297" s="3"/>
      <c r="Y297" s="3"/>
      <c r="AA297" s="1445" t="s">
        <v>1143</v>
      </c>
      <c r="AB297" s="1412"/>
      <c r="AC297" s="1412"/>
      <c r="AD297" s="1412"/>
      <c r="AE297" s="1412"/>
      <c r="AF297" s="1412"/>
      <c r="AG297" s="1412"/>
      <c r="AH297" s="1412"/>
      <c r="AI297" s="1412"/>
      <c r="AJ297" s="1412"/>
      <c r="AK297" s="1412"/>
    </row>
    <row r="298" spans="1:51" ht="13" customHeight="1">
      <c r="B298" s="3" t="s">
        <v>1144</v>
      </c>
      <c r="C298" s="3"/>
      <c r="D298" s="3"/>
      <c r="E298" s="3"/>
      <c r="F298" s="3"/>
      <c r="H298" s="1412" t="s">
        <v>1145</v>
      </c>
      <c r="I298" s="1412"/>
      <c r="J298" s="1412"/>
      <c r="K298" s="1412"/>
      <c r="L298" s="1412"/>
      <c r="M298" s="1412"/>
      <c r="N298" s="1412"/>
      <c r="O298" s="1412"/>
      <c r="P298" s="1412"/>
      <c r="Q298" s="1412"/>
      <c r="R298" s="1412"/>
      <c r="T298" s="3" t="s">
        <v>1146</v>
      </c>
      <c r="V298" s="3"/>
      <c r="W298" s="3"/>
      <c r="X298" s="3"/>
      <c r="Y298" s="3"/>
      <c r="AA298" s="1445" t="s">
        <v>1147</v>
      </c>
      <c r="AB298" s="1412"/>
      <c r="AC298" s="1412"/>
      <c r="AD298" s="1412"/>
      <c r="AE298" s="1412"/>
      <c r="AF298" s="1412"/>
      <c r="AG298" s="1412"/>
      <c r="AH298" s="1412"/>
      <c r="AI298" s="1412"/>
      <c r="AJ298" s="1412"/>
      <c r="AK298" s="1412"/>
    </row>
    <row r="299" spans="1:51" ht="13" customHeight="1">
      <c r="B299" s="3" t="s">
        <v>1086</v>
      </c>
      <c r="C299" s="3"/>
      <c r="D299" s="3"/>
      <c r="E299" s="3"/>
      <c r="F299" s="3"/>
      <c r="H299" s="1412" t="s">
        <v>805</v>
      </c>
      <c r="I299" s="1412"/>
      <c r="J299" s="1412"/>
      <c r="K299" s="1412"/>
      <c r="L299" s="1412"/>
      <c r="M299" s="1412"/>
      <c r="N299" s="1412"/>
      <c r="O299" s="1412"/>
      <c r="P299" s="1412"/>
      <c r="Q299" s="1412"/>
      <c r="R299" s="1412"/>
      <c r="T299" s="3" t="s">
        <v>1086</v>
      </c>
      <c r="V299" s="3"/>
      <c r="W299" s="3"/>
      <c r="X299" s="3"/>
      <c r="Y299" s="3"/>
      <c r="AA299" s="1445" t="s">
        <v>1148</v>
      </c>
      <c r="AB299" s="1412"/>
      <c r="AC299" s="1412"/>
      <c r="AD299" s="1412"/>
      <c r="AE299" s="1412"/>
      <c r="AF299" s="1412"/>
      <c r="AG299" s="1412"/>
      <c r="AH299" s="1412"/>
      <c r="AI299" s="1412"/>
      <c r="AJ299" s="1412"/>
      <c r="AK299" s="1412"/>
    </row>
    <row r="300" spans="1:51" ht="13" customHeight="1">
      <c r="B300" s="3" t="s">
        <v>1087</v>
      </c>
      <c r="C300" s="3"/>
      <c r="D300" s="3"/>
      <c r="E300" s="3"/>
      <c r="F300" s="3"/>
      <c r="G300" s="3"/>
      <c r="H300" s="1514" t="s">
        <v>1088</v>
      </c>
      <c r="I300" s="1514"/>
      <c r="J300" s="1514"/>
      <c r="K300" s="1514"/>
      <c r="L300" s="1514"/>
      <c r="M300" s="1514"/>
      <c r="N300" s="3" t="s">
        <v>1089</v>
      </c>
      <c r="O300" s="3"/>
      <c r="P300" s="1469"/>
      <c r="Q300" s="1469"/>
      <c r="R300" s="1469"/>
      <c r="S300" s="3"/>
      <c r="T300" s="3" t="s">
        <v>1087</v>
      </c>
      <c r="V300" s="3"/>
      <c r="W300" s="3"/>
      <c r="X300" s="3"/>
      <c r="Y300" s="3"/>
      <c r="AA300" s="1514" t="s">
        <v>1149</v>
      </c>
      <c r="AB300" s="1514"/>
      <c r="AC300" s="1514"/>
      <c r="AD300" s="1514"/>
      <c r="AE300" s="1514"/>
      <c r="AF300" s="1514"/>
      <c r="AG300" s="3" t="s">
        <v>1089</v>
      </c>
      <c r="AH300" s="3"/>
      <c r="AI300" s="1469"/>
      <c r="AJ300" s="1469"/>
      <c r="AK300" s="1469"/>
    </row>
    <row r="301" spans="1:51" ht="13" customHeight="1">
      <c r="B301" s="3" t="s">
        <v>1090</v>
      </c>
      <c r="C301" s="3"/>
      <c r="D301" s="3"/>
      <c r="E301" s="3"/>
      <c r="F301" s="3"/>
      <c r="G301" s="3"/>
      <c r="H301" s="1432"/>
      <c r="I301" s="1432"/>
      <c r="J301" s="1432"/>
      <c r="K301" s="1432"/>
      <c r="L301" s="1432"/>
      <c r="M301" s="1432"/>
      <c r="N301" s="3"/>
      <c r="O301" s="3"/>
      <c r="P301" s="84"/>
      <c r="Q301" s="84"/>
      <c r="R301" s="84"/>
      <c r="S301" s="3"/>
      <c r="T301" s="3" t="s">
        <v>1090</v>
      </c>
      <c r="V301" s="3"/>
      <c r="W301" s="3"/>
      <c r="X301" s="3"/>
      <c r="Y301" s="3"/>
      <c r="AA301" s="1432"/>
      <c r="AB301" s="1432"/>
      <c r="AC301" s="1432"/>
      <c r="AD301" s="1432"/>
      <c r="AE301" s="1432"/>
      <c r="AF301" s="1432"/>
      <c r="AG301" s="3"/>
      <c r="AH301" s="3"/>
      <c r="AI301" s="84"/>
      <c r="AJ301" s="84"/>
      <c r="AK301" s="84"/>
    </row>
    <row r="302" spans="1:51" ht="13" customHeight="1">
      <c r="B302" s="3" t="s">
        <v>1150</v>
      </c>
      <c r="C302" s="3"/>
      <c r="D302" s="3"/>
      <c r="E302" s="3"/>
      <c r="F302" s="3"/>
      <c r="G302" s="3"/>
      <c r="H302" s="1412" t="s">
        <v>1093</v>
      </c>
      <c r="I302" s="1412"/>
      <c r="J302" s="1412"/>
      <c r="K302" s="1412"/>
      <c r="L302" s="1412"/>
      <c r="M302" s="1412"/>
      <c r="N302" s="1379"/>
      <c r="O302" s="1379"/>
      <c r="P302" s="1379"/>
      <c r="Q302" s="1379"/>
      <c r="R302" s="1379"/>
      <c r="S302" s="3"/>
      <c r="T302" s="3" t="s">
        <v>1150</v>
      </c>
      <c r="V302" s="3"/>
      <c r="W302" s="3"/>
      <c r="X302" s="3"/>
      <c r="Y302" s="3"/>
      <c r="AA302" s="1445" t="s">
        <v>1151</v>
      </c>
      <c r="AB302" s="1412"/>
      <c r="AC302" s="1412"/>
      <c r="AD302" s="1412"/>
      <c r="AE302" s="1412"/>
      <c r="AF302" s="1412"/>
      <c r="AG302" s="1379"/>
      <c r="AH302" s="1379"/>
      <c r="AI302" s="1379"/>
      <c r="AJ302" s="1379"/>
      <c r="AK302" s="1379"/>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1152</v>
      </c>
      <c r="C304" s="3"/>
      <c r="D304" s="3"/>
      <c r="E304" s="3"/>
      <c r="F304" s="3"/>
      <c r="H304" s="1379" t="s">
        <v>1153</v>
      </c>
      <c r="I304" s="1379"/>
      <c r="J304" s="1379"/>
      <c r="K304" s="1379"/>
      <c r="L304" s="1379"/>
      <c r="M304" s="1379"/>
      <c r="N304" s="1379"/>
      <c r="O304" s="1379"/>
      <c r="P304" s="1379"/>
      <c r="Q304" s="1379"/>
      <c r="R304" s="1379"/>
      <c r="T304" s="3" t="s">
        <v>1154</v>
      </c>
      <c r="V304" s="3"/>
      <c r="W304" s="3"/>
      <c r="X304" s="3"/>
      <c r="Y304" s="3"/>
      <c r="AA304" s="1379" t="s">
        <v>1155</v>
      </c>
      <c r="AB304" s="1379"/>
      <c r="AC304" s="1379"/>
      <c r="AD304" s="1379"/>
      <c r="AE304" s="1379"/>
      <c r="AF304" s="1379"/>
      <c r="AG304" s="1379"/>
      <c r="AH304" s="1379"/>
      <c r="AI304" s="1379"/>
      <c r="AJ304" s="1379"/>
      <c r="AK304" s="1379"/>
    </row>
    <row r="305" spans="2:72" ht="13" customHeight="1">
      <c r="B305" s="3" t="s">
        <v>1142</v>
      </c>
      <c r="C305" s="3"/>
      <c r="D305" s="3"/>
      <c r="E305" s="3"/>
      <c r="F305" s="3"/>
      <c r="H305" s="1412" t="s">
        <v>1156</v>
      </c>
      <c r="I305" s="1412"/>
      <c r="J305" s="1412"/>
      <c r="K305" s="1412"/>
      <c r="L305" s="1412"/>
      <c r="M305" s="1412"/>
      <c r="N305" s="1412"/>
      <c r="O305" s="1412"/>
      <c r="P305" s="1412"/>
      <c r="Q305" s="1412"/>
      <c r="R305" s="1412"/>
      <c r="T305" s="3" t="s">
        <v>1142</v>
      </c>
      <c r="V305" s="3"/>
      <c r="W305" s="3"/>
      <c r="X305" s="3"/>
      <c r="Y305" s="3"/>
      <c r="AA305" s="1412" t="s">
        <v>1157</v>
      </c>
      <c r="AB305" s="1412"/>
      <c r="AC305" s="1412"/>
      <c r="AD305" s="1412"/>
      <c r="AE305" s="1412"/>
      <c r="AF305" s="1412"/>
      <c r="AG305" s="1412"/>
      <c r="AH305" s="1412"/>
      <c r="AI305" s="1412"/>
      <c r="AJ305" s="1412"/>
      <c r="AK305" s="1412"/>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3" customHeight="1">
      <c r="B306" s="3" t="s">
        <v>1144</v>
      </c>
      <c r="C306" s="3"/>
      <c r="D306" s="3"/>
      <c r="E306" s="3"/>
      <c r="F306" s="3"/>
      <c r="H306" s="1412" t="s">
        <v>1158</v>
      </c>
      <c r="I306" s="1412"/>
      <c r="J306" s="1412"/>
      <c r="K306" s="1412"/>
      <c r="L306" s="1412"/>
      <c r="M306" s="1412"/>
      <c r="N306" s="1412"/>
      <c r="O306" s="1412"/>
      <c r="P306" s="1412"/>
      <c r="Q306" s="1412"/>
      <c r="R306" s="1412"/>
      <c r="T306" s="3" t="s">
        <v>1146</v>
      </c>
      <c r="V306" s="3"/>
      <c r="W306" s="3"/>
      <c r="X306" s="3"/>
      <c r="Y306" s="3"/>
      <c r="AA306" s="1412" t="s">
        <v>1159</v>
      </c>
      <c r="AB306" s="1412"/>
      <c r="AC306" s="1412"/>
      <c r="AD306" s="1412"/>
      <c r="AE306" s="1412"/>
      <c r="AF306" s="1412"/>
      <c r="AG306" s="1412"/>
      <c r="AH306" s="1412"/>
      <c r="AI306" s="1412"/>
      <c r="AJ306" s="1412"/>
      <c r="AK306" s="1412"/>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3" customHeight="1">
      <c r="B307" s="3" t="s">
        <v>1086</v>
      </c>
      <c r="C307" s="3"/>
      <c r="D307" s="3"/>
      <c r="E307" s="3"/>
      <c r="F307" s="3"/>
      <c r="H307" s="1412" t="s">
        <v>1160</v>
      </c>
      <c r="I307" s="1412"/>
      <c r="J307" s="1412"/>
      <c r="K307" s="1412"/>
      <c r="L307" s="1412"/>
      <c r="M307" s="1412"/>
      <c r="N307" s="1412"/>
      <c r="O307" s="1412"/>
      <c r="P307" s="1412"/>
      <c r="Q307" s="1412"/>
      <c r="R307" s="1412"/>
      <c r="T307" s="3" t="s">
        <v>1086</v>
      </c>
      <c r="V307" s="3"/>
      <c r="W307" s="3"/>
      <c r="X307" s="3"/>
      <c r="Y307" s="3"/>
      <c r="AA307" s="1412" t="s">
        <v>1161</v>
      </c>
      <c r="AB307" s="1412"/>
      <c r="AC307" s="1412"/>
      <c r="AD307" s="1412"/>
      <c r="AE307" s="1412"/>
      <c r="AF307" s="1412"/>
      <c r="AG307" s="1412"/>
      <c r="AH307" s="1412"/>
      <c r="AI307" s="1412"/>
      <c r="AJ307" s="1412"/>
      <c r="AK307" s="1412"/>
    </row>
    <row r="308" spans="2:72" ht="13" customHeight="1">
      <c r="B308" s="3" t="s">
        <v>1087</v>
      </c>
      <c r="C308" s="3"/>
      <c r="D308" s="3"/>
      <c r="E308" s="3"/>
      <c r="F308" s="3"/>
      <c r="G308" s="3"/>
      <c r="H308" s="1514" t="s">
        <v>1162</v>
      </c>
      <c r="I308" s="1514"/>
      <c r="J308" s="1514"/>
      <c r="K308" s="1514"/>
      <c r="L308" s="1514"/>
      <c r="M308" s="1514"/>
      <c r="N308" s="3" t="s">
        <v>1089</v>
      </c>
      <c r="O308" s="3"/>
      <c r="P308" s="1469"/>
      <c r="Q308" s="1469"/>
      <c r="R308" s="1469"/>
      <c r="S308" s="3"/>
      <c r="T308" s="3" t="s">
        <v>1087</v>
      </c>
      <c r="V308" s="3"/>
      <c r="W308" s="3"/>
      <c r="X308" s="3"/>
      <c r="Y308" s="3"/>
      <c r="AA308" s="1514" t="s">
        <v>1163</v>
      </c>
      <c r="AB308" s="1514"/>
      <c r="AC308" s="1514"/>
      <c r="AD308" s="1514"/>
      <c r="AE308" s="1514"/>
      <c r="AF308" s="1514"/>
      <c r="AG308" s="3" t="s">
        <v>1089</v>
      </c>
      <c r="AH308" s="3"/>
      <c r="AI308" s="1469"/>
      <c r="AJ308" s="1469"/>
      <c r="AK308" s="1469"/>
    </row>
    <row r="309" spans="2:72" ht="13" customHeight="1">
      <c r="B309" s="3" t="s">
        <v>1090</v>
      </c>
      <c r="C309" s="3"/>
      <c r="D309" s="3"/>
      <c r="E309" s="3"/>
      <c r="F309" s="3"/>
      <c r="G309" s="3"/>
      <c r="H309" s="1432"/>
      <c r="I309" s="1432"/>
      <c r="J309" s="1432"/>
      <c r="K309" s="1432"/>
      <c r="L309" s="1432"/>
      <c r="M309" s="1432"/>
      <c r="N309" s="3"/>
      <c r="O309" s="3"/>
      <c r="P309" s="84"/>
      <c r="Q309" s="84"/>
      <c r="R309" s="84"/>
      <c r="S309" s="3"/>
      <c r="T309" s="3" t="s">
        <v>1090</v>
      </c>
      <c r="V309" s="3"/>
      <c r="W309" s="3"/>
      <c r="X309" s="3"/>
      <c r="Y309" s="3"/>
      <c r="AA309" s="1432"/>
      <c r="AB309" s="1432"/>
      <c r="AC309" s="1432"/>
      <c r="AD309" s="1432"/>
      <c r="AE309" s="1432"/>
      <c r="AF309" s="1432"/>
      <c r="AG309" s="3"/>
      <c r="AH309" s="3"/>
      <c r="AI309" s="84"/>
      <c r="AJ309" s="84"/>
      <c r="AK309" s="84"/>
    </row>
    <row r="310" spans="2:72" ht="13" customHeight="1">
      <c r="B310" s="3" t="s">
        <v>1150</v>
      </c>
      <c r="C310" s="3"/>
      <c r="D310" s="3"/>
      <c r="E310" s="3"/>
      <c r="F310" s="3"/>
      <c r="G310" s="3"/>
      <c r="H310" s="1412" t="s">
        <v>1164</v>
      </c>
      <c r="I310" s="1412"/>
      <c r="J310" s="1412"/>
      <c r="K310" s="1412"/>
      <c r="L310" s="1412"/>
      <c r="M310" s="1412"/>
      <c r="N310" s="1379"/>
      <c r="O310" s="1379"/>
      <c r="P310" s="1379"/>
      <c r="Q310" s="1379"/>
      <c r="R310" s="1379"/>
      <c r="S310" s="3"/>
      <c r="T310" s="3" t="s">
        <v>1150</v>
      </c>
      <c r="V310" s="3"/>
      <c r="W310" s="3"/>
      <c r="X310" s="3"/>
      <c r="Y310" s="3"/>
      <c r="AA310" s="1412" t="s">
        <v>1165</v>
      </c>
      <c r="AB310" s="1412"/>
      <c r="AC310" s="1412"/>
      <c r="AD310" s="1412"/>
      <c r="AE310" s="1412"/>
      <c r="AF310" s="1412"/>
      <c r="AG310" s="1379"/>
      <c r="AH310" s="1379"/>
      <c r="AI310" s="1379"/>
      <c r="AJ310" s="1379"/>
      <c r="AK310" s="1379"/>
    </row>
    <row r="311" spans="2:72" ht="13" customHeight="1"/>
    <row r="312" spans="2:72" ht="13" customHeight="1">
      <c r="B312" s="3" t="s">
        <v>1166</v>
      </c>
      <c r="C312" s="3"/>
      <c r="D312" s="3"/>
      <c r="E312" s="3"/>
      <c r="F312" s="3"/>
      <c r="H312" s="1379" t="s">
        <v>1167</v>
      </c>
      <c r="I312" s="1379"/>
      <c r="J312" s="1379"/>
      <c r="K312" s="1379"/>
      <c r="L312" s="1379"/>
      <c r="M312" s="1379"/>
      <c r="N312" s="1379"/>
      <c r="O312" s="1379"/>
      <c r="P312" s="1379"/>
      <c r="Q312" s="1379"/>
      <c r="R312" s="1379"/>
      <c r="T312" s="3" t="s">
        <v>1168</v>
      </c>
      <c r="V312" s="3"/>
      <c r="W312" s="3"/>
      <c r="X312" s="3"/>
      <c r="Y312" s="3"/>
      <c r="AA312" s="1379" t="s">
        <v>1169</v>
      </c>
      <c r="AB312" s="1379"/>
      <c r="AC312" s="1379"/>
      <c r="AD312" s="1379"/>
      <c r="AE312" s="1379"/>
      <c r="AF312" s="1379"/>
      <c r="AG312" s="1379"/>
      <c r="AH312" s="1379"/>
      <c r="AI312" s="1379"/>
      <c r="AJ312" s="1379"/>
      <c r="AK312" s="1379"/>
    </row>
    <row r="313" spans="2:72" ht="13" customHeight="1">
      <c r="B313" s="3" t="s">
        <v>1142</v>
      </c>
      <c r="C313" s="3"/>
      <c r="D313" s="3"/>
      <c r="E313" s="3"/>
      <c r="F313" s="3"/>
      <c r="H313" s="1412" t="s">
        <v>1170</v>
      </c>
      <c r="I313" s="1412"/>
      <c r="J313" s="1412"/>
      <c r="K313" s="1412"/>
      <c r="L313" s="1412"/>
      <c r="M313" s="1412"/>
      <c r="N313" s="1412"/>
      <c r="O313" s="1412"/>
      <c r="P313" s="1412"/>
      <c r="Q313" s="1412"/>
      <c r="R313" s="1412"/>
      <c r="T313" s="3" t="s">
        <v>1142</v>
      </c>
      <c r="V313" s="3"/>
      <c r="W313" s="3"/>
      <c r="X313" s="3"/>
      <c r="Y313" s="3"/>
      <c r="AA313" s="1412" t="s">
        <v>1171</v>
      </c>
      <c r="AB313" s="1412"/>
      <c r="AC313" s="1412"/>
      <c r="AD313" s="1412"/>
      <c r="AE313" s="1412"/>
      <c r="AF313" s="1412"/>
      <c r="AG313" s="1412"/>
      <c r="AH313" s="1412"/>
      <c r="AI313" s="1412"/>
      <c r="AJ313" s="1412"/>
      <c r="AK313" s="1412"/>
    </row>
    <row r="314" spans="2:72" ht="13" customHeight="1">
      <c r="B314" s="3" t="s">
        <v>1144</v>
      </c>
      <c r="C314" s="3"/>
      <c r="D314" s="3"/>
      <c r="E314" s="3"/>
      <c r="F314" s="3"/>
      <c r="H314" s="1412" t="s">
        <v>1172</v>
      </c>
      <c r="I314" s="1412"/>
      <c r="J314" s="1412"/>
      <c r="K314" s="1412"/>
      <c r="L314" s="1412"/>
      <c r="M314" s="1412"/>
      <c r="N314" s="1412"/>
      <c r="O314" s="1412"/>
      <c r="P314" s="1412"/>
      <c r="Q314" s="1412"/>
      <c r="R314" s="1412"/>
      <c r="T314" s="3" t="s">
        <v>1146</v>
      </c>
      <c r="V314" s="3"/>
      <c r="W314" s="3"/>
      <c r="X314" s="3"/>
      <c r="Y314" s="3"/>
      <c r="AA314" s="1412" t="s">
        <v>1173</v>
      </c>
      <c r="AB314" s="1412"/>
      <c r="AC314" s="1412"/>
      <c r="AD314" s="1412"/>
      <c r="AE314" s="1412"/>
      <c r="AF314" s="1412"/>
      <c r="AG314" s="1412"/>
      <c r="AH314" s="1412"/>
      <c r="AI314" s="1412"/>
      <c r="AJ314" s="1412"/>
      <c r="AK314" s="1412"/>
    </row>
    <row r="315" spans="2:72" ht="13" customHeight="1">
      <c r="B315" s="3" t="s">
        <v>1086</v>
      </c>
      <c r="C315" s="3"/>
      <c r="D315" s="3"/>
      <c r="E315" s="3"/>
      <c r="F315" s="3"/>
      <c r="H315" s="1412" t="s">
        <v>1174</v>
      </c>
      <c r="I315" s="1412"/>
      <c r="J315" s="1412"/>
      <c r="K315" s="1412"/>
      <c r="L315" s="1412"/>
      <c r="M315" s="1412"/>
      <c r="N315" s="1412"/>
      <c r="O315" s="1412"/>
      <c r="P315" s="1412"/>
      <c r="Q315" s="1412"/>
      <c r="R315" s="1412"/>
      <c r="T315" s="3" t="s">
        <v>1086</v>
      </c>
      <c r="V315" s="3"/>
      <c r="W315" s="3"/>
      <c r="X315" s="3"/>
      <c r="Y315" s="3"/>
      <c r="AA315" s="1412" t="s">
        <v>1175</v>
      </c>
      <c r="AB315" s="1412"/>
      <c r="AC315" s="1412"/>
      <c r="AD315" s="1412"/>
      <c r="AE315" s="1412"/>
      <c r="AF315" s="1412"/>
      <c r="AG315" s="1412"/>
      <c r="AH315" s="1412"/>
      <c r="AI315" s="1412"/>
      <c r="AJ315" s="1412"/>
      <c r="AK315" s="1412"/>
    </row>
    <row r="316" spans="2:72" ht="13" customHeight="1">
      <c r="B316" s="3" t="s">
        <v>1087</v>
      </c>
      <c r="C316" s="3"/>
      <c r="D316" s="3"/>
      <c r="E316" s="3"/>
      <c r="F316" s="3"/>
      <c r="G316" s="3"/>
      <c r="H316" s="1514" t="s">
        <v>1176</v>
      </c>
      <c r="I316" s="1514"/>
      <c r="J316" s="1514"/>
      <c r="K316" s="1514"/>
      <c r="L316" s="1514"/>
      <c r="M316" s="1514"/>
      <c r="N316" s="3" t="s">
        <v>1089</v>
      </c>
      <c r="O316" s="3"/>
      <c r="P316" s="1469"/>
      <c r="Q316" s="1469"/>
      <c r="R316" s="1469"/>
      <c r="S316" s="3"/>
      <c r="T316" s="3" t="s">
        <v>1087</v>
      </c>
      <c r="V316" s="3"/>
      <c r="W316" s="3"/>
      <c r="X316" s="3"/>
      <c r="Y316" s="3"/>
      <c r="AA316" s="1514" t="s">
        <v>1177</v>
      </c>
      <c r="AB316" s="1514"/>
      <c r="AC316" s="1514"/>
      <c r="AD316" s="1514"/>
      <c r="AE316" s="1514"/>
      <c r="AF316" s="1514"/>
      <c r="AG316" s="3" t="s">
        <v>1089</v>
      </c>
      <c r="AH316" s="3"/>
      <c r="AI316" s="1469"/>
      <c r="AJ316" s="1469"/>
      <c r="AK316" s="1469"/>
    </row>
    <row r="317" spans="2:72" ht="13" customHeight="1">
      <c r="B317" s="3" t="s">
        <v>1090</v>
      </c>
      <c r="C317" s="3"/>
      <c r="D317" s="3"/>
      <c r="E317" s="3"/>
      <c r="F317" s="3"/>
      <c r="G317" s="3"/>
      <c r="H317" s="1432"/>
      <c r="I317" s="1432"/>
      <c r="J317" s="1432"/>
      <c r="K317" s="1432"/>
      <c r="L317" s="1432"/>
      <c r="M317" s="1432"/>
      <c r="N317" s="3"/>
      <c r="O317" s="3"/>
      <c r="P317" s="84"/>
      <c r="Q317" s="84"/>
      <c r="R317" s="84"/>
      <c r="S317" s="3"/>
      <c r="T317" s="3" t="s">
        <v>1090</v>
      </c>
      <c r="V317" s="3"/>
      <c r="W317" s="3"/>
      <c r="X317" s="3"/>
      <c r="Y317" s="3"/>
      <c r="AA317" s="1432"/>
      <c r="AB317" s="1432"/>
      <c r="AC317" s="1432"/>
      <c r="AD317" s="1432"/>
      <c r="AE317" s="1432"/>
      <c r="AF317" s="1432"/>
      <c r="AG317" s="3"/>
      <c r="AH317" s="3"/>
      <c r="AI317" s="84"/>
      <c r="AJ317" s="84"/>
      <c r="AK317" s="84"/>
    </row>
    <row r="318" spans="2:72" ht="13" customHeight="1">
      <c r="B318" s="3" t="s">
        <v>1150</v>
      </c>
      <c r="C318" s="3"/>
      <c r="D318" s="3"/>
      <c r="E318" s="3"/>
      <c r="F318" s="3"/>
      <c r="G318" s="3"/>
      <c r="H318" s="1412" t="s">
        <v>1178</v>
      </c>
      <c r="I318" s="1412"/>
      <c r="J318" s="1412"/>
      <c r="K318" s="1412"/>
      <c r="L318" s="1412"/>
      <c r="M318" s="1412"/>
      <c r="N318" s="1379"/>
      <c r="O318" s="1379"/>
      <c r="P318" s="1379"/>
      <c r="Q318" s="1379"/>
      <c r="R318" s="1379"/>
      <c r="S318" s="3"/>
      <c r="T318" s="3" t="s">
        <v>1150</v>
      </c>
      <c r="V318" s="3"/>
      <c r="W318" s="3"/>
      <c r="X318" s="3"/>
      <c r="Y318" s="3"/>
      <c r="AA318" s="1412" t="s">
        <v>1179</v>
      </c>
      <c r="AB318" s="1412"/>
      <c r="AC318" s="1412"/>
      <c r="AD318" s="1412"/>
      <c r="AE318" s="1412"/>
      <c r="AF318" s="1412"/>
      <c r="AG318" s="1379"/>
      <c r="AH318" s="1379"/>
      <c r="AI318" s="1379"/>
      <c r="AJ318" s="1379"/>
      <c r="AK318" s="1379"/>
    </row>
    <row r="319" spans="2:72" ht="13"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3" customHeight="1">
      <c r="B320" s="3" t="s">
        <v>1180</v>
      </c>
      <c r="C320" s="3"/>
      <c r="D320" s="3"/>
      <c r="E320" s="3"/>
      <c r="F320" s="3"/>
      <c r="H320" s="1379" t="s">
        <v>1181</v>
      </c>
      <c r="I320" s="1379"/>
      <c r="J320" s="1379"/>
      <c r="K320" s="1379"/>
      <c r="L320" s="1379"/>
      <c r="M320" s="1379"/>
      <c r="N320" s="1379"/>
      <c r="O320" s="1379"/>
      <c r="P320" s="1379"/>
      <c r="Q320" s="1379"/>
      <c r="R320" s="1379"/>
      <c r="S320" s="3"/>
      <c r="T320" s="3" t="s">
        <v>1182</v>
      </c>
      <c r="V320" s="3"/>
      <c r="W320" s="3"/>
      <c r="X320" s="3"/>
      <c r="Y320" s="3"/>
      <c r="AA320" s="1379" t="s">
        <v>1183</v>
      </c>
      <c r="AB320" s="1379"/>
      <c r="AC320" s="1379"/>
      <c r="AD320" s="1379"/>
      <c r="AE320" s="1379"/>
      <c r="AF320" s="1379"/>
      <c r="AG320" s="1379"/>
      <c r="AH320" s="1379"/>
      <c r="AI320" s="1379"/>
      <c r="AJ320" s="1379"/>
      <c r="AK320" s="1379"/>
    </row>
    <row r="321" spans="2:37" ht="13" customHeight="1">
      <c r="B321" s="3" t="s">
        <v>1142</v>
      </c>
      <c r="C321" s="3"/>
      <c r="D321" s="3"/>
      <c r="E321" s="3"/>
      <c r="F321" s="3"/>
      <c r="H321" s="1412" t="s">
        <v>1184</v>
      </c>
      <c r="I321" s="1412"/>
      <c r="J321" s="1412"/>
      <c r="K321" s="1412"/>
      <c r="L321" s="1412"/>
      <c r="M321" s="1412"/>
      <c r="N321" s="1412"/>
      <c r="O321" s="1412"/>
      <c r="P321" s="1412"/>
      <c r="Q321" s="1412"/>
      <c r="R321" s="1412"/>
      <c r="S321" s="3"/>
      <c r="T321" s="3" t="s">
        <v>1142</v>
      </c>
      <c r="V321" s="3"/>
      <c r="W321" s="3"/>
      <c r="X321" s="3"/>
      <c r="Y321" s="3"/>
      <c r="AA321" s="1412" t="s">
        <v>1185</v>
      </c>
      <c r="AB321" s="1412"/>
      <c r="AC321" s="1412"/>
      <c r="AD321" s="1412"/>
      <c r="AE321" s="1412"/>
      <c r="AF321" s="1412"/>
      <c r="AG321" s="1412"/>
      <c r="AH321" s="1412"/>
      <c r="AI321" s="1412"/>
      <c r="AJ321" s="1412"/>
      <c r="AK321" s="1412"/>
    </row>
    <row r="322" spans="2:37" ht="13" customHeight="1">
      <c r="B322" s="3" t="s">
        <v>1144</v>
      </c>
      <c r="C322" s="3"/>
      <c r="D322" s="3"/>
      <c r="E322" s="3"/>
      <c r="F322" s="3"/>
      <c r="H322" s="1412" t="s">
        <v>1186</v>
      </c>
      <c r="I322" s="1412"/>
      <c r="J322" s="1412"/>
      <c r="K322" s="1412"/>
      <c r="L322" s="1412"/>
      <c r="M322" s="1412"/>
      <c r="N322" s="1412"/>
      <c r="O322" s="1412"/>
      <c r="P322" s="1412"/>
      <c r="Q322" s="1412"/>
      <c r="R322" s="1412"/>
      <c r="S322" s="3"/>
      <c r="T322" s="3" t="s">
        <v>1146</v>
      </c>
      <c r="V322" s="3"/>
      <c r="W322" s="3"/>
      <c r="X322" s="3"/>
      <c r="Y322" s="3"/>
      <c r="AA322" s="1412" t="s">
        <v>1187</v>
      </c>
      <c r="AB322" s="1412"/>
      <c r="AC322" s="1412"/>
      <c r="AD322" s="1412"/>
      <c r="AE322" s="1412"/>
      <c r="AF322" s="1412"/>
      <c r="AG322" s="1412"/>
      <c r="AH322" s="1412"/>
      <c r="AI322" s="1412"/>
      <c r="AJ322" s="1412"/>
      <c r="AK322" s="1412"/>
    </row>
    <row r="323" spans="2:37" ht="13" customHeight="1">
      <c r="B323" s="3" t="s">
        <v>1086</v>
      </c>
      <c r="C323" s="3"/>
      <c r="D323" s="3"/>
      <c r="E323" s="3"/>
      <c r="F323" s="3"/>
      <c r="H323" s="1412" t="s">
        <v>1174</v>
      </c>
      <c r="I323" s="1412"/>
      <c r="J323" s="1412"/>
      <c r="K323" s="1412"/>
      <c r="L323" s="1412"/>
      <c r="M323" s="1412"/>
      <c r="N323" s="1412"/>
      <c r="O323" s="1412"/>
      <c r="P323" s="1412"/>
      <c r="Q323" s="1412"/>
      <c r="R323" s="1412"/>
      <c r="S323" s="3"/>
      <c r="T323" s="3" t="s">
        <v>1086</v>
      </c>
      <c r="V323" s="3"/>
      <c r="W323" s="3"/>
      <c r="X323" s="3"/>
      <c r="Y323" s="3"/>
      <c r="AA323" s="1412" t="s">
        <v>1188</v>
      </c>
      <c r="AB323" s="1412"/>
      <c r="AC323" s="1412"/>
      <c r="AD323" s="1412"/>
      <c r="AE323" s="1412"/>
      <c r="AF323" s="1412"/>
      <c r="AG323" s="1412"/>
      <c r="AH323" s="1412"/>
      <c r="AI323" s="1412"/>
      <c r="AJ323" s="1412"/>
      <c r="AK323" s="1412"/>
    </row>
    <row r="324" spans="2:37" ht="13" customHeight="1">
      <c r="B324" s="3" t="s">
        <v>1087</v>
      </c>
      <c r="C324" s="3"/>
      <c r="D324" s="3"/>
      <c r="E324" s="3"/>
      <c r="F324" s="3"/>
      <c r="G324" s="3"/>
      <c r="H324" s="1514" t="s">
        <v>1189</v>
      </c>
      <c r="I324" s="1514"/>
      <c r="J324" s="1514"/>
      <c r="K324" s="1514"/>
      <c r="L324" s="1514"/>
      <c r="M324" s="1514"/>
      <c r="N324" s="3" t="s">
        <v>1089</v>
      </c>
      <c r="O324" s="3"/>
      <c r="P324" s="1469"/>
      <c r="Q324" s="1469"/>
      <c r="R324" s="1469"/>
      <c r="S324" s="3"/>
      <c r="T324" s="3" t="s">
        <v>1087</v>
      </c>
      <c r="V324" s="3"/>
      <c r="W324" s="3"/>
      <c r="X324" s="3"/>
      <c r="Y324" s="3"/>
      <c r="AA324" s="1514" t="s">
        <v>1190</v>
      </c>
      <c r="AB324" s="1514"/>
      <c r="AC324" s="1514"/>
      <c r="AD324" s="1514"/>
      <c r="AE324" s="1514"/>
      <c r="AF324" s="1514"/>
      <c r="AG324" s="3" t="s">
        <v>1089</v>
      </c>
      <c r="AH324" s="3"/>
      <c r="AI324" s="1469"/>
      <c r="AJ324" s="1469"/>
      <c r="AK324" s="1469"/>
    </row>
    <row r="325" spans="2:37" ht="13" customHeight="1">
      <c r="B325" s="3" t="s">
        <v>1090</v>
      </c>
      <c r="C325" s="3"/>
      <c r="D325" s="3"/>
      <c r="E325" s="3"/>
      <c r="F325" s="3"/>
      <c r="G325" s="3"/>
      <c r="H325" s="1432"/>
      <c r="I325" s="1432"/>
      <c r="J325" s="1432"/>
      <c r="K325" s="1432"/>
      <c r="L325" s="1432"/>
      <c r="M325" s="1432"/>
      <c r="N325" s="3"/>
      <c r="O325" s="3"/>
      <c r="P325" s="84"/>
      <c r="Q325" s="84"/>
      <c r="R325" s="84"/>
      <c r="S325" s="3"/>
      <c r="T325" s="3" t="s">
        <v>1090</v>
      </c>
      <c r="V325" s="3"/>
      <c r="W325" s="3"/>
      <c r="X325" s="3"/>
      <c r="Y325" s="3"/>
      <c r="AA325" s="1432"/>
      <c r="AB325" s="1432"/>
      <c r="AC325" s="1432"/>
      <c r="AD325" s="1432"/>
      <c r="AE325" s="1432"/>
      <c r="AF325" s="1432"/>
      <c r="AG325" s="3"/>
      <c r="AH325" s="3"/>
      <c r="AI325" s="84"/>
      <c r="AJ325" s="84"/>
      <c r="AK325" s="84"/>
    </row>
    <row r="326" spans="2:37" ht="13" customHeight="1">
      <c r="B326" s="3" t="s">
        <v>1150</v>
      </c>
      <c r="C326" s="3"/>
      <c r="D326" s="3"/>
      <c r="E326" s="3"/>
      <c r="F326" s="3"/>
      <c r="G326" s="3"/>
      <c r="H326" s="1412" t="s">
        <v>1178</v>
      </c>
      <c r="I326" s="1412"/>
      <c r="J326" s="1412"/>
      <c r="K326" s="1412"/>
      <c r="L326" s="1412"/>
      <c r="M326" s="1412"/>
      <c r="N326" s="1379"/>
      <c r="O326" s="1379"/>
      <c r="P326" s="1379"/>
      <c r="Q326" s="1379"/>
      <c r="R326" s="1379"/>
      <c r="S326" s="3"/>
      <c r="T326" s="3" t="s">
        <v>1150</v>
      </c>
      <c r="V326" s="3"/>
      <c r="W326" s="3"/>
      <c r="X326" s="3"/>
      <c r="Y326" s="3"/>
      <c r="AA326" s="1412" t="s">
        <v>1191</v>
      </c>
      <c r="AB326" s="1412"/>
      <c r="AC326" s="1412"/>
      <c r="AD326" s="1412"/>
      <c r="AE326" s="1412"/>
      <c r="AF326" s="1412"/>
      <c r="AG326" s="1379"/>
      <c r="AH326" s="1379"/>
      <c r="AI326" s="1379"/>
      <c r="AJ326" s="1379"/>
      <c r="AK326" s="1379"/>
    </row>
    <row r="327" spans="2:37" ht="13" customHeight="1"/>
    <row r="328" spans="2:37" ht="13" customHeight="1">
      <c r="B328" s="3" t="s">
        <v>1192</v>
      </c>
      <c r="C328" s="3"/>
      <c r="D328" s="3"/>
      <c r="E328" s="3"/>
      <c r="F328" s="3"/>
      <c r="H328" s="1379"/>
      <c r="I328" s="1379"/>
      <c r="J328" s="1379"/>
      <c r="K328" s="1379"/>
      <c r="L328" s="1379"/>
      <c r="M328" s="1379"/>
      <c r="N328" s="1379"/>
      <c r="O328" s="1379"/>
      <c r="P328" s="1379"/>
      <c r="Q328" s="1379"/>
      <c r="R328" s="1379"/>
      <c r="T328" s="3" t="s">
        <v>1193</v>
      </c>
      <c r="V328" s="3"/>
      <c r="W328" s="3"/>
      <c r="X328" s="3"/>
      <c r="Y328" s="3"/>
      <c r="AA328" s="1379" t="s">
        <v>1194</v>
      </c>
      <c r="AB328" s="1379"/>
      <c r="AC328" s="1379"/>
      <c r="AD328" s="1379"/>
      <c r="AE328" s="1379"/>
      <c r="AF328" s="1379"/>
      <c r="AG328" s="1379"/>
      <c r="AH328" s="1379"/>
      <c r="AI328" s="1379"/>
      <c r="AJ328" s="1379"/>
      <c r="AK328" s="1379"/>
    </row>
    <row r="329" spans="2:37" ht="13" customHeight="1">
      <c r="B329" s="3" t="s">
        <v>1142</v>
      </c>
      <c r="C329" s="3"/>
      <c r="D329" s="3"/>
      <c r="E329" s="3"/>
      <c r="F329" s="3"/>
      <c r="H329" s="1412"/>
      <c r="I329" s="1412"/>
      <c r="J329" s="1412"/>
      <c r="K329" s="1412"/>
      <c r="L329" s="1412"/>
      <c r="M329" s="1412"/>
      <c r="N329" s="1412"/>
      <c r="O329" s="1412"/>
      <c r="P329" s="1412"/>
      <c r="Q329" s="1412"/>
      <c r="R329" s="1412"/>
      <c r="T329" s="3" t="s">
        <v>1142</v>
      </c>
      <c r="V329" s="3"/>
      <c r="W329" s="3"/>
      <c r="X329" s="3"/>
      <c r="Y329" s="3"/>
      <c r="AA329" s="1412" t="s">
        <v>1195</v>
      </c>
      <c r="AB329" s="1412"/>
      <c r="AC329" s="1412"/>
      <c r="AD329" s="1412"/>
      <c r="AE329" s="1412"/>
      <c r="AF329" s="1412"/>
      <c r="AG329" s="1412"/>
      <c r="AH329" s="1412"/>
      <c r="AI329" s="1412"/>
      <c r="AJ329" s="1412"/>
      <c r="AK329" s="1412"/>
    </row>
    <row r="330" spans="2:37" ht="13" customHeight="1">
      <c r="B330" s="3" t="s">
        <v>1144</v>
      </c>
      <c r="C330" s="3"/>
      <c r="D330" s="3"/>
      <c r="E330" s="3"/>
      <c r="F330" s="3"/>
      <c r="H330" s="1412"/>
      <c r="I330" s="1412"/>
      <c r="J330" s="1412"/>
      <c r="K330" s="1412"/>
      <c r="L330" s="1412"/>
      <c r="M330" s="1412"/>
      <c r="N330" s="1412"/>
      <c r="O330" s="1412"/>
      <c r="P330" s="1412"/>
      <c r="Q330" s="1412"/>
      <c r="R330" s="1412"/>
      <c r="T330" s="3" t="s">
        <v>1146</v>
      </c>
      <c r="V330" s="3"/>
      <c r="W330" s="3"/>
      <c r="X330" s="3"/>
      <c r="Y330" s="3"/>
      <c r="AA330" s="1412" t="s">
        <v>1196</v>
      </c>
      <c r="AB330" s="1412"/>
      <c r="AC330" s="1412"/>
      <c r="AD330" s="1412"/>
      <c r="AE330" s="1412"/>
      <c r="AF330" s="1412"/>
      <c r="AG330" s="1412"/>
      <c r="AH330" s="1412"/>
      <c r="AI330" s="1412"/>
      <c r="AJ330" s="1412"/>
      <c r="AK330" s="1412"/>
    </row>
    <row r="331" spans="2:37" ht="13" customHeight="1">
      <c r="B331" s="3" t="s">
        <v>1086</v>
      </c>
      <c r="C331" s="3"/>
      <c r="D331" s="3"/>
      <c r="E331" s="3"/>
      <c r="F331" s="3"/>
      <c r="H331" s="1412"/>
      <c r="I331" s="1412"/>
      <c r="J331" s="1412"/>
      <c r="K331" s="1412"/>
      <c r="L331" s="1412"/>
      <c r="M331" s="1412"/>
      <c r="N331" s="1412"/>
      <c r="O331" s="1412"/>
      <c r="P331" s="1412"/>
      <c r="Q331" s="1412"/>
      <c r="R331" s="1412"/>
      <c r="T331" s="3" t="s">
        <v>1086</v>
      </c>
      <c r="V331" s="3"/>
      <c r="W331" s="3"/>
      <c r="X331" s="3"/>
      <c r="Y331" s="3"/>
      <c r="AA331" s="1412" t="s">
        <v>1197</v>
      </c>
      <c r="AB331" s="1412"/>
      <c r="AC331" s="1412"/>
      <c r="AD331" s="1412"/>
      <c r="AE331" s="1412"/>
      <c r="AF331" s="1412"/>
      <c r="AG331" s="1412"/>
      <c r="AH331" s="1412"/>
      <c r="AI331" s="1412"/>
      <c r="AJ331" s="1412"/>
      <c r="AK331" s="1412"/>
    </row>
    <row r="332" spans="2:37" ht="13" customHeight="1">
      <c r="B332" s="3" t="s">
        <v>1087</v>
      </c>
      <c r="C332" s="3"/>
      <c r="D332" s="3"/>
      <c r="E332" s="3"/>
      <c r="F332" s="3"/>
      <c r="G332" s="3"/>
      <c r="H332" s="1514"/>
      <c r="I332" s="1514"/>
      <c r="J332" s="1514"/>
      <c r="K332" s="1514"/>
      <c r="L332" s="1514"/>
      <c r="M332" s="1514"/>
      <c r="N332" s="3" t="s">
        <v>1089</v>
      </c>
      <c r="O332" s="3"/>
      <c r="P332" s="1469"/>
      <c r="Q332" s="1469"/>
      <c r="R332" s="1469"/>
      <c r="S332" s="3"/>
      <c r="T332" s="3" t="s">
        <v>1087</v>
      </c>
      <c r="V332" s="3"/>
      <c r="W332" s="3"/>
      <c r="X332" s="3"/>
      <c r="Y332" s="3"/>
      <c r="AA332" s="1514" t="s">
        <v>1198</v>
      </c>
      <c r="AB332" s="1514"/>
      <c r="AC332" s="1514"/>
      <c r="AD332" s="1514"/>
      <c r="AE332" s="1514"/>
      <c r="AF332" s="1514"/>
      <c r="AG332" s="3" t="s">
        <v>1089</v>
      </c>
      <c r="AH332" s="3"/>
      <c r="AI332" s="1469"/>
      <c r="AJ332" s="1469"/>
      <c r="AK332" s="1469"/>
    </row>
    <row r="333" spans="2:37" ht="13" customHeight="1">
      <c r="B333" s="3" t="s">
        <v>1090</v>
      </c>
      <c r="C333" s="3"/>
      <c r="D333" s="3"/>
      <c r="E333" s="3"/>
      <c r="F333" s="3"/>
      <c r="G333" s="3"/>
      <c r="H333" s="1432"/>
      <c r="I333" s="1432"/>
      <c r="J333" s="1432"/>
      <c r="K333" s="1432"/>
      <c r="L333" s="1432"/>
      <c r="M333" s="1432"/>
      <c r="N333" s="3"/>
      <c r="O333" s="3"/>
      <c r="P333" s="84"/>
      <c r="Q333" s="84"/>
      <c r="R333" s="84"/>
      <c r="S333" s="3"/>
      <c r="T333" s="3" t="s">
        <v>1090</v>
      </c>
      <c r="V333" s="3"/>
      <c r="W333" s="3"/>
      <c r="X333" s="3"/>
      <c r="Y333" s="3"/>
      <c r="AA333" s="1432"/>
      <c r="AB333" s="1432"/>
      <c r="AC333" s="1432"/>
      <c r="AD333" s="1432"/>
      <c r="AE333" s="1432"/>
      <c r="AF333" s="1432"/>
      <c r="AG333" s="3"/>
      <c r="AH333" s="3"/>
      <c r="AI333" s="84"/>
      <c r="AJ333" s="84"/>
      <c r="AK333" s="84"/>
    </row>
    <row r="334" spans="2:37" ht="13" customHeight="1">
      <c r="B334" s="3" t="s">
        <v>1150</v>
      </c>
      <c r="C334" s="3"/>
      <c r="D334" s="3"/>
      <c r="E334" s="3"/>
      <c r="F334" s="3"/>
      <c r="G334" s="3"/>
      <c r="H334" s="1412"/>
      <c r="I334" s="1412"/>
      <c r="J334" s="1412"/>
      <c r="K334" s="1412"/>
      <c r="L334" s="1412"/>
      <c r="M334" s="1412"/>
      <c r="N334" s="1379"/>
      <c r="O334" s="1379"/>
      <c r="P334" s="1379"/>
      <c r="Q334" s="1379"/>
      <c r="R334" s="1379"/>
      <c r="S334" s="3"/>
      <c r="T334" s="3" t="s">
        <v>1150</v>
      </c>
      <c r="V334" s="3"/>
      <c r="W334" s="3"/>
      <c r="X334" s="3"/>
      <c r="Y334" s="3"/>
      <c r="AA334" s="1412" t="s">
        <v>1199</v>
      </c>
      <c r="AB334" s="1412"/>
      <c r="AC334" s="1412"/>
      <c r="AD334" s="1412"/>
      <c r="AE334" s="1412"/>
      <c r="AF334" s="1412"/>
      <c r="AG334" s="1379"/>
      <c r="AH334" s="1379"/>
      <c r="AI334" s="1379"/>
      <c r="AJ334" s="1379"/>
      <c r="AK334" s="1379"/>
    </row>
    <row r="335" spans="2:37" ht="13" customHeight="1">
      <c r="B335" s="3"/>
      <c r="C335" s="3"/>
      <c r="D335" s="3"/>
      <c r="E335" s="3"/>
      <c r="F335" s="3"/>
      <c r="G335" s="3"/>
      <c r="P335" s="1165"/>
      <c r="Q335" s="1165"/>
      <c r="R335" s="1165"/>
      <c r="S335" s="1165"/>
      <c r="T335" s="1165"/>
      <c r="U335" s="1165"/>
      <c r="V335" s="3"/>
      <c r="W335" s="3"/>
      <c r="X335" s="84"/>
      <c r="Y335" s="84"/>
      <c r="Z335" s="84"/>
    </row>
    <row r="336" spans="2:37" ht="13" customHeight="1">
      <c r="B336" s="3" t="s">
        <v>1200</v>
      </c>
      <c r="C336" s="3"/>
      <c r="D336" s="3"/>
      <c r="E336" s="3"/>
      <c r="F336" s="3"/>
      <c r="H336" s="1379" t="s">
        <v>1194</v>
      </c>
      <c r="I336" s="1379"/>
      <c r="J336" s="1379"/>
      <c r="K336" s="1379"/>
      <c r="L336" s="1379"/>
      <c r="M336" s="1379"/>
      <c r="N336" s="1379"/>
      <c r="O336" s="1379"/>
      <c r="P336" s="1379"/>
      <c r="Q336" s="1379"/>
      <c r="R336" s="1379"/>
      <c r="T336" s="3" t="s">
        <v>1201</v>
      </c>
      <c r="V336" s="3"/>
      <c r="W336" s="3"/>
      <c r="X336" s="3"/>
      <c r="Y336" s="3"/>
      <c r="AA336" s="1379"/>
      <c r="AB336" s="1379"/>
      <c r="AC336" s="1379"/>
      <c r="AD336" s="1379"/>
      <c r="AE336" s="1379"/>
      <c r="AF336" s="1379"/>
      <c r="AG336" s="1379"/>
      <c r="AH336" s="1379"/>
      <c r="AI336" s="1379"/>
      <c r="AJ336" s="1379"/>
      <c r="AK336" s="1379"/>
    </row>
    <row r="337" spans="2:66" ht="13" customHeight="1">
      <c r="B337" s="3" t="s">
        <v>1142</v>
      </c>
      <c r="C337" s="3"/>
      <c r="D337" s="3"/>
      <c r="E337" s="3"/>
      <c r="F337" s="3"/>
      <c r="H337" s="1412" t="s">
        <v>1195</v>
      </c>
      <c r="I337" s="1412"/>
      <c r="J337" s="1412"/>
      <c r="K337" s="1412"/>
      <c r="L337" s="1412"/>
      <c r="M337" s="1412"/>
      <c r="N337" s="1412"/>
      <c r="O337" s="1412"/>
      <c r="P337" s="1412"/>
      <c r="Q337" s="1412"/>
      <c r="R337" s="1412"/>
      <c r="T337" s="3" t="s">
        <v>1142</v>
      </c>
      <c r="V337" s="3"/>
      <c r="W337" s="3"/>
      <c r="X337" s="3"/>
      <c r="Y337" s="3"/>
      <c r="AA337" s="1412"/>
      <c r="AB337" s="1412"/>
      <c r="AC337" s="1412"/>
      <c r="AD337" s="1412"/>
      <c r="AE337" s="1412"/>
      <c r="AF337" s="1412"/>
      <c r="AG337" s="1412"/>
      <c r="AH337" s="1412"/>
      <c r="AI337" s="1412"/>
      <c r="AJ337" s="1412"/>
      <c r="AK337" s="1412"/>
    </row>
    <row r="338" spans="2:66" ht="13" customHeight="1">
      <c r="B338" s="3" t="s">
        <v>1144</v>
      </c>
      <c r="C338" s="3"/>
      <c r="D338" s="3"/>
      <c r="E338" s="3"/>
      <c r="F338" s="3"/>
      <c r="H338" s="1412" t="s">
        <v>1196</v>
      </c>
      <c r="I338" s="1412"/>
      <c r="J338" s="1412"/>
      <c r="K338" s="1412"/>
      <c r="L338" s="1412"/>
      <c r="M338" s="1412"/>
      <c r="N338" s="1412"/>
      <c r="O338" s="1412"/>
      <c r="P338" s="1412"/>
      <c r="Q338" s="1412"/>
      <c r="R338" s="1412"/>
      <c r="T338" s="3" t="s">
        <v>1146</v>
      </c>
      <c r="V338" s="3"/>
      <c r="W338" s="3"/>
      <c r="X338" s="3"/>
      <c r="Y338" s="3"/>
      <c r="AA338" s="1412"/>
      <c r="AB338" s="1412"/>
      <c r="AC338" s="1412"/>
      <c r="AD338" s="1412"/>
      <c r="AE338" s="1412"/>
      <c r="AF338" s="1412"/>
      <c r="AG338" s="1412"/>
      <c r="AH338" s="1412"/>
      <c r="AI338" s="1412"/>
      <c r="AJ338" s="1412"/>
      <c r="AK338" s="1412"/>
    </row>
    <row r="339" spans="2:66" ht="13" customHeight="1">
      <c r="B339" s="3" t="s">
        <v>1086</v>
      </c>
      <c r="C339" s="3"/>
      <c r="D339" s="3"/>
      <c r="E339" s="3"/>
      <c r="F339" s="3"/>
      <c r="H339" s="1412" t="s">
        <v>1197</v>
      </c>
      <c r="I339" s="1412"/>
      <c r="J339" s="1412"/>
      <c r="K339" s="1412"/>
      <c r="L339" s="1412"/>
      <c r="M339" s="1412"/>
      <c r="N339" s="1412"/>
      <c r="O339" s="1412"/>
      <c r="P339" s="1412"/>
      <c r="Q339" s="1412"/>
      <c r="R339" s="1412"/>
      <c r="T339" s="3" t="s">
        <v>1086</v>
      </c>
      <c r="V339" s="3"/>
      <c r="W339" s="3"/>
      <c r="X339" s="3"/>
      <c r="Y339" s="3"/>
      <c r="AA339" s="1412"/>
      <c r="AB339" s="1412"/>
      <c r="AC339" s="1412"/>
      <c r="AD339" s="1412"/>
      <c r="AE339" s="1412"/>
      <c r="AF339" s="1412"/>
      <c r="AG339" s="1412"/>
      <c r="AH339" s="1412"/>
      <c r="AI339" s="1412"/>
      <c r="AJ339" s="1412"/>
      <c r="AK339" s="1412"/>
    </row>
    <row r="340" spans="2:66" ht="13" customHeight="1">
      <c r="B340" s="3" t="s">
        <v>1087</v>
      </c>
      <c r="C340" s="3"/>
      <c r="D340" s="3"/>
      <c r="E340" s="3"/>
      <c r="F340" s="3"/>
      <c r="G340" s="3"/>
      <c r="H340" s="1514" t="s">
        <v>1198</v>
      </c>
      <c r="I340" s="1514"/>
      <c r="J340" s="1514"/>
      <c r="K340" s="1514"/>
      <c r="L340" s="1514"/>
      <c r="M340" s="1514"/>
      <c r="N340" s="3" t="s">
        <v>1089</v>
      </c>
      <c r="O340" s="3"/>
      <c r="P340" s="1469"/>
      <c r="Q340" s="1469"/>
      <c r="R340" s="1469"/>
      <c r="S340" s="3"/>
      <c r="T340" s="3" t="s">
        <v>1087</v>
      </c>
      <c r="V340" s="3"/>
      <c r="W340" s="3"/>
      <c r="X340" s="3"/>
      <c r="Y340" s="3"/>
      <c r="AA340" s="1514"/>
      <c r="AB340" s="1514"/>
      <c r="AC340" s="1514"/>
      <c r="AD340" s="1514"/>
      <c r="AE340" s="1514"/>
      <c r="AF340" s="1514"/>
      <c r="AG340" s="3" t="s">
        <v>1089</v>
      </c>
      <c r="AH340" s="3"/>
      <c r="AI340" s="1469"/>
      <c r="AJ340" s="1469"/>
      <c r="AK340" s="1469"/>
    </row>
    <row r="341" spans="2:66" ht="13" customHeight="1">
      <c r="B341" s="3" t="s">
        <v>1090</v>
      </c>
      <c r="C341" s="3"/>
      <c r="D341" s="3"/>
      <c r="E341" s="3"/>
      <c r="F341" s="3"/>
      <c r="G341" s="3"/>
      <c r="H341" s="1432"/>
      <c r="I341" s="1432"/>
      <c r="J341" s="1432"/>
      <c r="K341" s="1432"/>
      <c r="L341" s="1432"/>
      <c r="M341" s="1432"/>
      <c r="N341" s="3"/>
      <c r="O341" s="3"/>
      <c r="P341" s="84"/>
      <c r="Q341" s="84"/>
      <c r="R341" s="84"/>
      <c r="S341" s="3"/>
      <c r="T341" s="3" t="s">
        <v>1090</v>
      </c>
      <c r="V341" s="3"/>
      <c r="W341" s="3"/>
      <c r="X341" s="3"/>
      <c r="Y341" s="3"/>
      <c r="AA341" s="1432"/>
      <c r="AB341" s="1432"/>
      <c r="AC341" s="1432"/>
      <c r="AD341" s="1432"/>
      <c r="AE341" s="1432"/>
      <c r="AF341" s="1432"/>
      <c r="AG341" s="3"/>
      <c r="AH341" s="3"/>
      <c r="AI341" s="84"/>
      <c r="AJ341" s="84"/>
      <c r="AK341" s="84"/>
    </row>
    <row r="342" spans="2:66" ht="13" customHeight="1">
      <c r="B342" s="3" t="s">
        <v>1150</v>
      </c>
      <c r="C342" s="3"/>
      <c r="D342" s="3"/>
      <c r="E342" s="3"/>
      <c r="F342" s="3"/>
      <c r="G342" s="3"/>
      <c r="H342" s="1412" t="s">
        <v>1199</v>
      </c>
      <c r="I342" s="1412"/>
      <c r="J342" s="1412"/>
      <c r="K342" s="1412"/>
      <c r="L342" s="1412"/>
      <c r="M342" s="1412"/>
      <c r="N342" s="1379"/>
      <c r="O342" s="1379"/>
      <c r="P342" s="1379"/>
      <c r="Q342" s="1379"/>
      <c r="R342" s="1379"/>
      <c r="S342" s="3"/>
      <c r="T342" s="3" t="s">
        <v>1150</v>
      </c>
      <c r="V342" s="3"/>
      <c r="W342" s="3"/>
      <c r="X342" s="3"/>
      <c r="Y342" s="3"/>
      <c r="AA342" s="1412"/>
      <c r="AB342" s="1412"/>
      <c r="AC342" s="1412"/>
      <c r="AD342" s="1412"/>
      <c r="AE342" s="1412"/>
      <c r="AF342" s="1412"/>
      <c r="AG342" s="1379"/>
      <c r="AH342" s="1379"/>
      <c r="AI342" s="1379"/>
      <c r="AJ342" s="1379"/>
      <c r="AK342" s="1379"/>
    </row>
    <row r="343" spans="2:66" ht="13" customHeight="1">
      <c r="B343" s="3"/>
      <c r="C343" s="3"/>
      <c r="D343" s="3"/>
      <c r="E343" s="3"/>
      <c r="F343" s="3"/>
      <c r="G343" s="3"/>
      <c r="P343" s="1165"/>
      <c r="Q343" s="1165"/>
      <c r="R343" s="1165"/>
      <c r="S343" s="1165"/>
      <c r="T343" s="1165"/>
      <c r="U343" s="1165"/>
      <c r="V343" s="3"/>
      <c r="W343" s="3"/>
      <c r="X343" s="84"/>
      <c r="Y343" s="84"/>
      <c r="Z343" s="84"/>
    </row>
    <row r="344" spans="2:66" ht="13" customHeight="1">
      <c r="B344" s="3" t="s">
        <v>1202</v>
      </c>
      <c r="C344" s="3"/>
      <c r="D344" s="3"/>
      <c r="E344" s="3"/>
      <c r="F344" s="3"/>
      <c r="H344" s="1379" t="s">
        <v>1203</v>
      </c>
      <c r="I344" s="1379"/>
      <c r="J344" s="1379"/>
      <c r="K344" s="1379"/>
      <c r="L344" s="1379"/>
      <c r="M344" s="1379"/>
      <c r="N344" s="1379"/>
      <c r="O344" s="1379"/>
      <c r="P344" s="1379"/>
      <c r="Q344" s="1379"/>
      <c r="R344" s="1379"/>
      <c r="T344" s="136" t="s">
        <v>1204</v>
      </c>
      <c r="V344" s="3"/>
      <c r="W344" s="3"/>
      <c r="X344" s="3"/>
      <c r="Y344" s="3"/>
      <c r="AA344" s="1469" t="s">
        <v>1205</v>
      </c>
      <c r="AB344" s="1379"/>
      <c r="AC344" s="1379"/>
      <c r="AD344" s="1379"/>
      <c r="AE344" s="1379"/>
      <c r="AF344" s="1379"/>
      <c r="AG344" s="1379"/>
      <c r="AH344" s="1379"/>
      <c r="AI344" s="1379"/>
      <c r="AJ344" s="1379"/>
      <c r="AK344" s="1379"/>
    </row>
    <row r="345" spans="2:66" ht="13" customHeight="1">
      <c r="B345" s="3" t="s">
        <v>1142</v>
      </c>
      <c r="C345" s="3"/>
      <c r="D345" s="3"/>
      <c r="E345" s="3"/>
      <c r="F345" s="3"/>
      <c r="H345" s="1412" t="s">
        <v>1206</v>
      </c>
      <c r="I345" s="1412"/>
      <c r="J345" s="1412"/>
      <c r="K345" s="1412"/>
      <c r="L345" s="1412"/>
      <c r="M345" s="1412"/>
      <c r="N345" s="1412"/>
      <c r="O345" s="1412"/>
      <c r="P345" s="1412"/>
      <c r="Q345" s="1412"/>
      <c r="R345" s="1412"/>
      <c r="T345" s="3" t="s">
        <v>1142</v>
      </c>
      <c r="V345" s="3"/>
      <c r="W345" s="3"/>
      <c r="X345" s="3"/>
      <c r="Y345" s="3"/>
      <c r="AA345" s="1807" t="s">
        <v>1207</v>
      </c>
      <c r="AB345" s="1412"/>
      <c r="AC345" s="1412"/>
      <c r="AD345" s="1412"/>
      <c r="AE345" s="1412"/>
      <c r="AF345" s="1412"/>
      <c r="AG345" s="1412"/>
      <c r="AH345" s="1412"/>
      <c r="AI345" s="1412"/>
      <c r="AJ345" s="1412"/>
      <c r="AK345" s="1412"/>
    </row>
    <row r="346" spans="2:66" ht="13" customHeight="1">
      <c r="B346" s="3" t="s">
        <v>1146</v>
      </c>
      <c r="C346" s="3"/>
      <c r="D346" s="3"/>
      <c r="E346" s="3"/>
      <c r="F346" s="3"/>
      <c r="H346" s="1412" t="s">
        <v>1208</v>
      </c>
      <c r="I346" s="1412"/>
      <c r="J346" s="1412"/>
      <c r="K346" s="1412"/>
      <c r="L346" s="1412"/>
      <c r="M346" s="1412"/>
      <c r="N346" s="1412"/>
      <c r="O346" s="1412"/>
      <c r="P346" s="1412"/>
      <c r="Q346" s="1412"/>
      <c r="R346" s="1412"/>
      <c r="T346" s="3" t="s">
        <v>1146</v>
      </c>
      <c r="V346" s="3"/>
      <c r="W346" s="3"/>
      <c r="X346" s="3"/>
      <c r="Y346" s="3"/>
      <c r="AA346" s="1412" t="s">
        <v>1209</v>
      </c>
      <c r="AB346" s="1412"/>
      <c r="AC346" s="1412"/>
      <c r="AD346" s="1412"/>
      <c r="AE346" s="1412"/>
      <c r="AF346" s="1412"/>
      <c r="AG346" s="1412"/>
      <c r="AH346" s="1412"/>
      <c r="AI346" s="1412"/>
      <c r="AJ346" s="1412"/>
      <c r="AK346" s="1412"/>
    </row>
    <row r="347" spans="2:66" ht="13" customHeight="1">
      <c r="B347" s="3" t="s">
        <v>1086</v>
      </c>
      <c r="C347" s="3"/>
      <c r="D347" s="3"/>
      <c r="E347" s="3"/>
      <c r="F347" s="3"/>
      <c r="G347" s="3"/>
      <c r="H347" s="1412" t="s">
        <v>1210</v>
      </c>
      <c r="I347" s="1412"/>
      <c r="J347" s="1412"/>
      <c r="K347" s="1412"/>
      <c r="L347" s="1412"/>
      <c r="M347" s="1412"/>
      <c r="N347" s="1412"/>
      <c r="O347" s="1412"/>
      <c r="P347" s="1412"/>
      <c r="Q347" s="1412"/>
      <c r="R347" s="1412"/>
      <c r="T347" s="3" t="s">
        <v>1086</v>
      </c>
      <c r="V347" s="3"/>
      <c r="W347" s="3"/>
      <c r="X347" s="3"/>
      <c r="Y347" s="3"/>
      <c r="AA347" s="1412" t="s">
        <v>1211</v>
      </c>
      <c r="AB347" s="1412"/>
      <c r="AC347" s="1412"/>
      <c r="AD347" s="1412"/>
      <c r="AE347" s="1412"/>
      <c r="AF347" s="1412"/>
      <c r="AG347" s="1412"/>
      <c r="AH347" s="1412"/>
      <c r="AI347" s="1412"/>
      <c r="AJ347" s="1412"/>
      <c r="AK347" s="1412"/>
    </row>
    <row r="348" spans="2:66" ht="13" customHeight="1">
      <c r="B348" s="3" t="s">
        <v>1087</v>
      </c>
      <c r="C348" s="3"/>
      <c r="D348" s="3"/>
      <c r="E348" s="3"/>
      <c r="F348" s="3"/>
      <c r="G348" s="3"/>
      <c r="H348" s="1514" t="s">
        <v>1212</v>
      </c>
      <c r="I348" s="1514"/>
      <c r="J348" s="1514"/>
      <c r="K348" s="1514"/>
      <c r="L348" s="1514"/>
      <c r="M348" s="1514"/>
      <c r="N348" s="3" t="s">
        <v>1089</v>
      </c>
      <c r="O348" s="3"/>
      <c r="P348" s="1469"/>
      <c r="Q348" s="1469"/>
      <c r="R348" s="1469"/>
      <c r="S348" s="3"/>
      <c r="T348" s="3" t="s">
        <v>1087</v>
      </c>
      <c r="V348" s="3"/>
      <c r="W348" s="3"/>
      <c r="X348" s="3"/>
      <c r="Y348" s="3"/>
      <c r="AA348" s="1514" t="s">
        <v>1213</v>
      </c>
      <c r="AB348" s="1514"/>
      <c r="AC348" s="1514"/>
      <c r="AD348" s="1514"/>
      <c r="AE348" s="1514"/>
      <c r="AF348" s="1514"/>
      <c r="AG348" s="3" t="s">
        <v>1089</v>
      </c>
      <c r="AH348" s="3"/>
      <c r="AI348" s="1469"/>
      <c r="AJ348" s="1469"/>
      <c r="AK348" s="1469"/>
    </row>
    <row r="349" spans="2:66" ht="13" customHeight="1">
      <c r="B349" s="3" t="s">
        <v>1090</v>
      </c>
      <c r="C349" s="3"/>
      <c r="D349" s="3"/>
      <c r="E349" s="3"/>
      <c r="F349" s="3"/>
      <c r="G349" s="3"/>
      <c r="H349" s="1432"/>
      <c r="I349" s="1432"/>
      <c r="J349" s="1432"/>
      <c r="K349" s="1432"/>
      <c r="L349" s="1432"/>
      <c r="M349" s="1432"/>
      <c r="N349" s="3"/>
      <c r="O349" s="3"/>
      <c r="P349" s="84"/>
      <c r="Q349" s="84"/>
      <c r="R349" s="84"/>
      <c r="S349" s="3"/>
      <c r="T349" s="3" t="s">
        <v>1090</v>
      </c>
      <c r="V349" s="3"/>
      <c r="W349" s="3"/>
      <c r="X349" s="3"/>
      <c r="Y349" s="3"/>
      <c r="AA349" s="1432"/>
      <c r="AB349" s="1432"/>
      <c r="AC349" s="1432"/>
      <c r="AD349" s="1432"/>
      <c r="AE349" s="1432"/>
      <c r="AF349" s="1432"/>
      <c r="AG349" s="3"/>
      <c r="AH349" s="3"/>
      <c r="AI349" s="84"/>
      <c r="AJ349" s="84"/>
      <c r="AK349" s="84"/>
    </row>
    <row r="350" spans="2:66" ht="13" customHeight="1">
      <c r="B350" s="3" t="s">
        <v>1150</v>
      </c>
      <c r="C350" s="3"/>
      <c r="D350" s="3"/>
      <c r="E350" s="3"/>
      <c r="F350" s="3"/>
      <c r="G350" s="3"/>
      <c r="H350" s="1412" t="s">
        <v>1214</v>
      </c>
      <c r="I350" s="1412"/>
      <c r="J350" s="1412"/>
      <c r="K350" s="1412"/>
      <c r="L350" s="1412"/>
      <c r="M350" s="1412"/>
      <c r="N350" s="1379"/>
      <c r="O350" s="1379"/>
      <c r="P350" s="1379"/>
      <c r="Q350" s="1379"/>
      <c r="R350" s="1379"/>
      <c r="S350" s="3"/>
      <c r="T350" s="3" t="s">
        <v>1150</v>
      </c>
      <c r="V350" s="3"/>
      <c r="W350" s="3"/>
      <c r="X350" s="3"/>
      <c r="Y350" s="3"/>
      <c r="AA350" s="1412" t="s">
        <v>1215</v>
      </c>
      <c r="AB350" s="1412"/>
      <c r="AC350" s="1412"/>
      <c r="AD350" s="1412"/>
      <c r="AE350" s="1412"/>
      <c r="AF350" s="1412"/>
      <c r="AG350" s="1379"/>
      <c r="AH350" s="1379"/>
      <c r="AI350" s="1379"/>
      <c r="AJ350" s="1379"/>
      <c r="AK350" s="1379"/>
    </row>
    <row r="351" spans="2:66" ht="13"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826</v>
      </c>
    </row>
    <row r="352" spans="2:66" ht="13" customHeight="1">
      <c r="B352" s="3"/>
      <c r="C352" s="3"/>
      <c r="D352" s="3"/>
      <c r="E352" s="3"/>
      <c r="F352" s="3"/>
      <c r="I352" s="136" t="s">
        <v>1216</v>
      </c>
      <c r="P352" s="1379"/>
      <c r="Q352" s="1379"/>
      <c r="R352" s="1379"/>
      <c r="S352" s="1379"/>
      <c r="T352" s="1379"/>
      <c r="U352" s="1379"/>
      <c r="V352" s="1379"/>
      <c r="W352" s="1379"/>
      <c r="X352" s="1379"/>
      <c r="Y352" s="1379"/>
      <c r="Z352" s="1379"/>
      <c r="AA352" s="1379"/>
      <c r="AB352" s="1379"/>
      <c r="AC352" s="1379"/>
      <c r="AD352" s="1379"/>
      <c r="AE352" s="1379"/>
      <c r="BN352" t="s">
        <v>700</v>
      </c>
    </row>
    <row r="353" spans="1:66" ht="13" customHeight="1">
      <c r="B353" s="3"/>
      <c r="C353" s="3"/>
      <c r="D353" s="3"/>
      <c r="E353" s="3"/>
      <c r="F353" s="3"/>
      <c r="I353" s="3" t="s">
        <v>1142</v>
      </c>
      <c r="P353" s="1412"/>
      <c r="Q353" s="1412"/>
      <c r="R353" s="1412"/>
      <c r="S353" s="1412"/>
      <c r="T353" s="1412"/>
      <c r="U353" s="1412"/>
      <c r="V353" s="1412"/>
      <c r="W353" s="1412"/>
      <c r="X353" s="1412"/>
      <c r="Y353" s="1412"/>
      <c r="Z353" s="1412"/>
      <c r="AA353" s="1412"/>
      <c r="AB353" s="1412"/>
      <c r="AC353" s="1412"/>
      <c r="AD353" s="1412"/>
      <c r="AE353" s="1412"/>
      <c r="BN353" t="s">
        <v>862</v>
      </c>
    </row>
    <row r="354" spans="1:66" ht="13" customHeight="1">
      <c r="B354" s="3"/>
      <c r="C354" s="3"/>
      <c r="D354" s="3"/>
      <c r="E354" s="3"/>
      <c r="F354" s="3"/>
      <c r="I354" s="3" t="s">
        <v>1146</v>
      </c>
      <c r="P354" s="1412"/>
      <c r="Q354" s="1412"/>
      <c r="R354" s="1412"/>
      <c r="S354" s="1412"/>
      <c r="T354" s="1412"/>
      <c r="U354" s="1412"/>
      <c r="V354" s="1412"/>
      <c r="W354" s="1412"/>
      <c r="X354" s="1412"/>
      <c r="Y354" s="1412"/>
      <c r="Z354" s="1412"/>
      <c r="AA354" s="1412"/>
      <c r="AB354" s="1412"/>
      <c r="AC354" s="1412"/>
      <c r="AD354" s="1412"/>
      <c r="AE354" s="1412"/>
    </row>
    <row r="355" spans="1:66" ht="13" customHeight="1">
      <c r="B355" s="3"/>
      <c r="C355" s="3"/>
      <c r="D355" s="3"/>
      <c r="E355" s="3"/>
      <c r="F355" s="3"/>
      <c r="G355" s="3"/>
      <c r="I355" s="3" t="s">
        <v>1086</v>
      </c>
      <c r="P355" s="1412"/>
      <c r="Q355" s="1412"/>
      <c r="R355" s="1412"/>
      <c r="S355" s="1412"/>
      <c r="T355" s="1412"/>
      <c r="U355" s="1412"/>
      <c r="V355" s="1412"/>
      <c r="W355" s="1412"/>
      <c r="X355" s="1412"/>
      <c r="Y355" s="1412"/>
      <c r="Z355" s="1412"/>
      <c r="AA355" s="1412"/>
      <c r="AB355" s="1412"/>
      <c r="AC355" s="1412"/>
      <c r="AD355" s="1412"/>
      <c r="AE355" s="1412"/>
    </row>
    <row r="356" spans="1:66" ht="13" customHeight="1">
      <c r="B356" s="3"/>
      <c r="C356" s="3"/>
      <c r="D356" s="3"/>
      <c r="E356" s="3"/>
      <c r="F356" s="3"/>
      <c r="G356" s="3"/>
      <c r="H356" s="1166"/>
      <c r="I356" s="3" t="s">
        <v>1087</v>
      </c>
      <c r="P356" s="1432"/>
      <c r="Q356" s="1432"/>
      <c r="R356" s="1432"/>
      <c r="S356" s="1432"/>
      <c r="T356" s="1432"/>
      <c r="U356" s="1432"/>
      <c r="V356" s="1432"/>
      <c r="W356" s="1432"/>
      <c r="X356" s="1432"/>
      <c r="Y356" s="1432"/>
      <c r="Z356" s="1432"/>
      <c r="AA356" s="3" t="s">
        <v>1089</v>
      </c>
      <c r="AB356" s="3"/>
      <c r="AC356" s="1445"/>
      <c r="AD356" s="1445"/>
      <c r="AE356" s="1445"/>
      <c r="AF356" s="1166"/>
      <c r="AG356" s="3"/>
      <c r="AH356" s="3"/>
      <c r="AI356" s="3"/>
      <c r="AJ356" s="3"/>
      <c r="AK356" s="3"/>
    </row>
    <row r="357" spans="1:66" ht="13" customHeight="1">
      <c r="B357" s="3"/>
      <c r="C357" s="3"/>
      <c r="D357" s="3"/>
      <c r="E357" s="3"/>
      <c r="F357" s="3"/>
      <c r="G357" s="3"/>
      <c r="H357" s="1166"/>
      <c r="I357" s="3" t="s">
        <v>1090</v>
      </c>
      <c r="P357" s="1432"/>
      <c r="Q357" s="1432"/>
      <c r="R357" s="1432"/>
      <c r="S357" s="1432"/>
      <c r="T357" s="1432"/>
      <c r="U357" s="1432"/>
      <c r="V357" s="1432"/>
      <c r="W357" s="1432"/>
      <c r="X357" s="1432"/>
      <c r="Y357" s="1432"/>
      <c r="Z357" s="1432"/>
      <c r="AF357" s="1166"/>
      <c r="AG357" s="3"/>
      <c r="AH357" s="3"/>
      <c r="AI357" s="84"/>
      <c r="AJ357" s="84"/>
      <c r="AK357" s="84"/>
    </row>
    <row r="358" spans="1:66" ht="13" customHeight="1">
      <c r="B358" s="3"/>
      <c r="C358" s="3"/>
      <c r="D358" s="3"/>
      <c r="E358" s="3"/>
      <c r="F358" s="3"/>
      <c r="G358" s="3"/>
      <c r="I358" s="3" t="s">
        <v>1150</v>
      </c>
      <c r="P358" s="1379"/>
      <c r="Q358" s="1379"/>
      <c r="R358" s="1379"/>
      <c r="S358" s="1379"/>
      <c r="T358" s="1379"/>
      <c r="U358" s="1379"/>
      <c r="V358" s="1379"/>
      <c r="W358" s="1379"/>
      <c r="X358" s="1379"/>
      <c r="Y358" s="1379"/>
      <c r="Z358" s="1379"/>
      <c r="AA358" s="1379"/>
      <c r="AB358" s="1379"/>
      <c r="AC358" s="1379"/>
      <c r="AD358" s="1379"/>
      <c r="AE358" s="1379"/>
    </row>
    <row r="359" spans="1:66" ht="13" customHeight="1">
      <c r="T359" s="7"/>
      <c r="U359" s="7"/>
      <c r="V359" s="7"/>
      <c r="W359" s="7"/>
      <c r="X359" s="7"/>
      <c r="Y359" s="7"/>
      <c r="Z359" s="7"/>
      <c r="AU359" s="70"/>
      <c r="AV359" s="70"/>
      <c r="AW359" s="70"/>
      <c r="AX359" s="70"/>
      <c r="AY359" s="70"/>
    </row>
    <row r="360" spans="1:66" ht="13" customHeight="1">
      <c r="A360" s="1487" t="s">
        <v>1217</v>
      </c>
      <c r="B360" s="1487"/>
      <c r="C360" s="1487"/>
      <c r="D360" s="1487"/>
      <c r="E360" s="1487"/>
      <c r="F360" s="1487"/>
      <c r="G360" s="1487"/>
      <c r="H360" s="1487"/>
      <c r="I360" s="1487"/>
      <c r="J360" s="1487"/>
      <c r="K360" s="1487"/>
      <c r="L360" s="1487"/>
      <c r="M360" s="1487"/>
      <c r="N360" s="1487"/>
      <c r="O360" s="1487"/>
      <c r="P360" s="1487"/>
      <c r="Q360" s="1487"/>
      <c r="R360" s="1487"/>
      <c r="S360" s="1487"/>
      <c r="T360" s="1487"/>
      <c r="U360" s="1487"/>
      <c r="V360" s="1487"/>
      <c r="W360" s="1487"/>
      <c r="X360" s="1487"/>
      <c r="Y360" s="1487"/>
      <c r="Z360" s="1487"/>
      <c r="AA360" s="1487"/>
      <c r="AB360" s="1487"/>
      <c r="AC360" s="1487"/>
      <c r="AD360" s="1487"/>
      <c r="AE360" s="1487"/>
      <c r="AF360" s="1487"/>
      <c r="AG360" s="1487"/>
      <c r="AH360" s="1487"/>
      <c r="AI360" s="1487"/>
      <c r="AJ360" s="1487"/>
      <c r="AK360" s="1487"/>
      <c r="AL360" s="1487"/>
      <c r="AM360" s="1487"/>
      <c r="AN360" s="1487"/>
      <c r="AO360" s="1487"/>
      <c r="AP360" s="1487"/>
      <c r="AQ360" s="1487"/>
      <c r="AR360" s="1487"/>
      <c r="AS360" s="1487"/>
      <c r="AT360" s="1487"/>
      <c r="AU360" s="70"/>
      <c r="AV360" s="70"/>
      <c r="AW360" s="70"/>
      <c r="AX360" s="70"/>
      <c r="AY360" s="70"/>
    </row>
    <row r="361" spans="1:66" ht="13" customHeight="1">
      <c r="A361" s="1487"/>
      <c r="B361" s="1487"/>
      <c r="C361" s="1487"/>
      <c r="D361" s="1487"/>
      <c r="E361" s="1487"/>
      <c r="F361" s="1487"/>
      <c r="G361" s="1487"/>
      <c r="H361" s="1487"/>
      <c r="I361" s="1487"/>
      <c r="J361" s="1487"/>
      <c r="K361" s="1487"/>
      <c r="L361" s="1487"/>
      <c r="M361" s="1487"/>
      <c r="N361" s="1487"/>
      <c r="O361" s="1487"/>
      <c r="P361" s="1487"/>
      <c r="Q361" s="1487"/>
      <c r="R361" s="1487"/>
      <c r="S361" s="1487"/>
      <c r="T361" s="1487"/>
      <c r="U361" s="1487"/>
      <c r="V361" s="1487"/>
      <c r="W361" s="1487"/>
      <c r="X361" s="1487"/>
      <c r="Y361" s="1487"/>
      <c r="Z361" s="1487"/>
      <c r="AA361" s="1487"/>
      <c r="AB361" s="1487"/>
      <c r="AC361" s="1487"/>
      <c r="AD361" s="1487"/>
      <c r="AE361" s="1487"/>
      <c r="AF361" s="1487"/>
      <c r="AG361" s="1487"/>
      <c r="AH361" s="1487"/>
      <c r="AI361" s="1487"/>
      <c r="AJ361" s="1487"/>
      <c r="AK361" s="1487"/>
      <c r="AL361" s="1487"/>
      <c r="AM361" s="1487"/>
      <c r="AN361" s="1487"/>
      <c r="AO361" s="1487"/>
      <c r="AP361" s="1487"/>
      <c r="AQ361" s="1487"/>
      <c r="AR361" s="1487"/>
      <c r="AS361" s="1487"/>
      <c r="AT361" s="1487"/>
      <c r="AU361" s="21"/>
      <c r="AV361" s="21"/>
      <c r="AW361" s="21"/>
      <c r="AX361" s="21"/>
      <c r="AY361" s="21"/>
    </row>
    <row r="362" spans="1:66" ht="13"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3" customHeight="1">
      <c r="A363" s="2" t="s">
        <v>887</v>
      </c>
      <c r="B363" s="2"/>
      <c r="C363" s="2" t="s">
        <v>1218</v>
      </c>
    </row>
    <row r="364" spans="1:66" ht="13" customHeight="1">
      <c r="D364" s="3" t="s">
        <v>692</v>
      </c>
      <c r="M364" s="1387" t="s">
        <v>862</v>
      </c>
      <c r="N364" s="1387"/>
      <c r="P364" t="s">
        <v>1219</v>
      </c>
      <c r="AJ364" s="1387" t="s">
        <v>862</v>
      </c>
      <c r="AK364" s="1387"/>
    </row>
    <row r="365" spans="1:66" ht="13" customHeight="1">
      <c r="D365" s="3" t="s">
        <v>690</v>
      </c>
      <c r="M365" s="1387" t="s">
        <v>826</v>
      </c>
      <c r="N365" s="1387"/>
      <c r="P365" s="3" t="s">
        <v>1220</v>
      </c>
      <c r="AJ365" s="1398">
        <v>0</v>
      </c>
      <c r="AK365" s="1398"/>
    </row>
    <row r="366" spans="1:66" ht="13" customHeight="1">
      <c r="D366" s="3" t="s">
        <v>1221</v>
      </c>
      <c r="M366" s="1387" t="s">
        <v>826</v>
      </c>
      <c r="N366" s="1387"/>
      <c r="P366" t="s">
        <v>1222</v>
      </c>
      <c r="AJ366" s="1387" t="s">
        <v>826</v>
      </c>
      <c r="AK366" s="1387"/>
    </row>
    <row r="367" spans="1:66" ht="13" customHeight="1">
      <c r="D367" s="3" t="s">
        <v>1223</v>
      </c>
      <c r="M367" s="1387" t="s">
        <v>826</v>
      </c>
      <c r="N367" s="1387"/>
      <c r="Q367" s="3"/>
    </row>
    <row r="368" spans="1:66" ht="13" customHeight="1">
      <c r="Q368" s="3"/>
    </row>
    <row r="369" spans="1:34" ht="13" customHeight="1">
      <c r="Q369" s="3"/>
    </row>
    <row r="370" spans="1:34" ht="13" customHeight="1">
      <c r="A370" s="2" t="s">
        <v>928</v>
      </c>
      <c r="B370" s="2"/>
      <c r="C370" s="2" t="s">
        <v>1224</v>
      </c>
      <c r="D370" s="2"/>
    </row>
    <row r="371" spans="1:34" ht="13" customHeight="1">
      <c r="D371" s="31" t="s">
        <v>1225</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3" customHeight="1">
      <c r="D372" s="31" t="s">
        <v>1226</v>
      </c>
      <c r="E372" s="32"/>
      <c r="F372" s="32"/>
      <c r="G372" s="32"/>
      <c r="H372" s="32"/>
      <c r="I372" s="32"/>
      <c r="J372" s="32"/>
      <c r="K372" s="32"/>
      <c r="L372" s="32"/>
      <c r="M372" s="32"/>
      <c r="N372" s="1387" t="s">
        <v>826</v>
      </c>
      <c r="O372" s="1387"/>
      <c r="P372" s="32"/>
      <c r="Q372" s="32"/>
      <c r="R372" s="32"/>
      <c r="S372" s="32"/>
      <c r="T372" s="32"/>
      <c r="U372" s="32"/>
      <c r="V372" s="32"/>
      <c r="W372" s="32"/>
      <c r="X372" s="32"/>
      <c r="Y372" s="32"/>
      <c r="Z372" s="32"/>
      <c r="AC372" s="32"/>
      <c r="AD372" s="32"/>
      <c r="AE372" s="32"/>
    </row>
    <row r="373" spans="1:34" ht="13" customHeight="1">
      <c r="E373" t="s">
        <v>1227</v>
      </c>
      <c r="Y373" s="1387" t="s">
        <v>826</v>
      </c>
      <c r="Z373" s="1387"/>
    </row>
    <row r="374" spans="1:34" ht="13" customHeight="1">
      <c r="D374" s="3" t="s">
        <v>1228</v>
      </c>
      <c r="Q374" s="1379"/>
      <c r="R374" s="1379"/>
      <c r="S374" s="1379"/>
      <c r="T374" s="1379"/>
      <c r="U374" s="1379"/>
      <c r="V374" s="1379"/>
      <c r="W374" s="1379"/>
      <c r="X374" s="1379"/>
      <c r="Y374" s="1379"/>
      <c r="Z374" s="1379"/>
      <c r="AA374" s="1379"/>
      <c r="AB374" s="1379"/>
      <c r="AC374" s="1379"/>
      <c r="AD374" s="1379"/>
      <c r="AE374" s="1379"/>
      <c r="AF374" s="1379"/>
      <c r="AG374" s="1379"/>
    </row>
    <row r="375" spans="1:34" ht="13" customHeight="1">
      <c r="D375" t="s">
        <v>1229</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3" customHeight="1">
      <c r="D376" t="s">
        <v>1230</v>
      </c>
      <c r="E376" s="32"/>
      <c r="F376" s="32"/>
      <c r="G376" s="32"/>
      <c r="H376" s="32"/>
      <c r="I376" s="32"/>
      <c r="J376" s="1387" t="s">
        <v>826</v>
      </c>
      <c r="K376" s="1387"/>
      <c r="L376" s="32"/>
      <c r="M376" s="32"/>
      <c r="N376" s="32"/>
      <c r="O376" s="32"/>
      <c r="P376" s="32"/>
      <c r="Q376" s="32"/>
      <c r="R376" s="32"/>
      <c r="S376" s="32"/>
      <c r="T376" s="32"/>
      <c r="U376" s="32"/>
      <c r="V376" s="32"/>
      <c r="W376" s="32"/>
      <c r="X376" s="32"/>
      <c r="Y376" s="32"/>
      <c r="Z376" s="32"/>
      <c r="AC376" s="32"/>
      <c r="AD376" s="32"/>
      <c r="AE376" s="32"/>
    </row>
    <row r="377" spans="1:34" ht="13" customHeight="1">
      <c r="E377" s="1241" t="s">
        <v>1231</v>
      </c>
      <c r="F377" s="1241"/>
      <c r="G377" s="1241"/>
      <c r="H377" s="1241"/>
      <c r="I377" s="1241"/>
      <c r="J377" s="1241"/>
      <c r="K377" s="1241"/>
      <c r="L377" s="1241"/>
      <c r="M377" s="1241"/>
      <c r="N377" s="1241"/>
      <c r="O377" s="1241"/>
      <c r="P377" s="1241"/>
      <c r="Q377" s="1241"/>
      <c r="R377" s="1241"/>
      <c r="S377" s="1241"/>
      <c r="T377" s="1241"/>
      <c r="U377" s="1241"/>
      <c r="V377" s="1241"/>
      <c r="W377" s="1241"/>
      <c r="X377" s="1241"/>
      <c r="Y377" s="1241"/>
      <c r="Z377" s="1241"/>
      <c r="AA377" s="1241"/>
      <c r="AB377" s="1241"/>
      <c r="AC377" s="1241"/>
      <c r="AD377" s="1241"/>
      <c r="AE377" s="1241"/>
      <c r="AF377" s="1241"/>
      <c r="AG377" s="1241"/>
      <c r="AH377" s="1241"/>
    </row>
    <row r="378" spans="1:34" ht="13" customHeight="1">
      <c r="E378" s="1241"/>
      <c r="F378" s="1241"/>
      <c r="G378" s="1241"/>
      <c r="H378" s="1241"/>
      <c r="I378" s="1241"/>
      <c r="J378" s="1241"/>
      <c r="K378" s="1241"/>
      <c r="L378" s="1241"/>
      <c r="M378" s="1241"/>
      <c r="N378" s="1241"/>
      <c r="O378" s="1241"/>
      <c r="P378" s="1241"/>
      <c r="Q378" s="1241"/>
      <c r="R378" s="1241"/>
      <c r="S378" s="1241"/>
      <c r="T378" s="1241"/>
      <c r="U378" s="1241"/>
      <c r="V378" s="1241"/>
      <c r="W378" s="1241"/>
      <c r="X378" s="1241"/>
      <c r="Y378" s="1241"/>
      <c r="Z378" s="1241"/>
      <c r="AA378" s="1241"/>
      <c r="AB378" s="1241"/>
      <c r="AC378" s="1241"/>
      <c r="AD378" s="1241"/>
      <c r="AE378" s="1241"/>
      <c r="AF378" s="1241"/>
      <c r="AG378" s="1241"/>
      <c r="AH378" s="1241"/>
    </row>
    <row r="379" spans="1:34" ht="13" customHeight="1">
      <c r="E379" s="3" t="s">
        <v>1232</v>
      </c>
      <c r="F379" s="3"/>
      <c r="G379" s="3"/>
      <c r="H379" s="3"/>
      <c r="I379" s="3"/>
      <c r="J379" s="3"/>
      <c r="K379" s="3"/>
      <c r="L379" s="3"/>
      <c r="N379" s="1345"/>
      <c r="O379" s="1345"/>
      <c r="P379" s="1345"/>
      <c r="Q379" s="1345"/>
      <c r="R379" s="3"/>
      <c r="U379" s="3" t="s">
        <v>1233</v>
      </c>
      <c r="V379" s="3"/>
      <c r="W379" s="3"/>
      <c r="X379" s="3"/>
      <c r="Y379" s="3"/>
      <c r="Z379" s="3"/>
      <c r="AA379" s="3"/>
      <c r="AB379" s="3"/>
      <c r="AC379" s="1345"/>
      <c r="AD379" s="1345"/>
      <c r="AE379" s="1345"/>
      <c r="AF379" s="1345"/>
    </row>
    <row r="380" spans="1:34" ht="13" customHeight="1">
      <c r="E380" s="3" t="s">
        <v>1234</v>
      </c>
      <c r="F380" s="3"/>
      <c r="G380" s="3"/>
      <c r="H380" s="3"/>
      <c r="I380" s="3"/>
      <c r="J380" s="3"/>
      <c r="K380" s="3"/>
      <c r="L380" s="3"/>
      <c r="N380" s="1345"/>
      <c r="O380" s="1345"/>
      <c r="P380" s="1345"/>
      <c r="Q380" s="1345"/>
      <c r="R380" s="3"/>
      <c r="U380" s="3" t="s">
        <v>1235</v>
      </c>
      <c r="V380" s="3"/>
      <c r="W380" s="3"/>
      <c r="X380" s="3"/>
      <c r="Y380" s="3"/>
      <c r="Z380" s="3"/>
      <c r="AA380" s="3"/>
      <c r="AB380" s="3"/>
      <c r="AC380" s="1345"/>
      <c r="AD380" s="1345"/>
      <c r="AE380" s="1345"/>
      <c r="AF380" s="1345"/>
    </row>
    <row r="381" spans="1:34" ht="13" customHeight="1">
      <c r="E381" s="3" t="s">
        <v>1236</v>
      </c>
      <c r="F381" s="3"/>
      <c r="G381" s="3"/>
      <c r="H381" s="3"/>
      <c r="I381" s="3"/>
      <c r="J381" s="3"/>
      <c r="K381" s="3"/>
      <c r="L381" s="3"/>
      <c r="N381" s="1345"/>
      <c r="O381" s="1345"/>
      <c r="P381" s="1345"/>
      <c r="Q381" s="1345"/>
      <c r="R381" s="3"/>
      <c r="V381" s="3"/>
      <c r="W381" s="3"/>
      <c r="X381" s="3"/>
      <c r="Y381" s="3"/>
      <c r="Z381" s="3"/>
      <c r="AA381" s="3"/>
      <c r="AB381" s="3"/>
    </row>
    <row r="382" spans="1:34" ht="13" customHeight="1">
      <c r="E382" s="3" t="s">
        <v>1237</v>
      </c>
      <c r="F382" s="3"/>
      <c r="G382" s="3"/>
      <c r="H382" s="3"/>
      <c r="I382" s="3"/>
      <c r="J382" s="3"/>
      <c r="K382" s="3"/>
      <c r="L382" s="3"/>
      <c r="N382" s="1478"/>
      <c r="O382" s="1478"/>
      <c r="P382" s="1478"/>
      <c r="Q382" s="1478"/>
      <c r="R382" s="1478"/>
      <c r="S382" s="1478"/>
      <c r="T382" s="1478"/>
      <c r="U382" s="1478"/>
      <c r="V382" s="1478"/>
      <c r="W382" s="1478"/>
      <c r="X382" s="1478"/>
      <c r="Y382" s="1478"/>
      <c r="Z382" s="1478"/>
      <c r="AA382" s="1478"/>
      <c r="AB382" s="1478"/>
      <c r="AC382" s="1478"/>
      <c r="AD382" s="1478"/>
      <c r="AE382" s="1478"/>
      <c r="AF382" s="1478"/>
    </row>
    <row r="383" spans="1:34" ht="13" customHeight="1">
      <c r="E383" s="3"/>
      <c r="F383" s="3"/>
      <c r="G383" s="3"/>
      <c r="H383" s="3"/>
      <c r="I383" s="3"/>
      <c r="J383" s="3"/>
      <c r="K383" s="3"/>
      <c r="L383" s="3"/>
      <c r="N383" s="1233"/>
      <c r="O383" s="1233"/>
      <c r="P383" s="1233"/>
      <c r="Q383" s="1233"/>
      <c r="R383" s="1233"/>
      <c r="S383" s="1233"/>
      <c r="T383" s="1233"/>
      <c r="U383" s="1233"/>
      <c r="V383" s="1233"/>
      <c r="W383" s="1233"/>
      <c r="X383" s="1233"/>
      <c r="Y383" s="1233"/>
      <c r="Z383" s="1233"/>
      <c r="AA383" s="1233"/>
      <c r="AB383" s="1233"/>
      <c r="AC383" s="1233"/>
      <c r="AD383" s="1233"/>
      <c r="AE383" s="1233"/>
      <c r="AF383" s="1233"/>
    </row>
    <row r="384" spans="1:34" ht="13" customHeight="1">
      <c r="C384" s="412"/>
      <c r="E384" s="3"/>
      <c r="F384" s="3"/>
      <c r="G384" s="3"/>
      <c r="H384" s="3"/>
      <c r="I384" s="3"/>
      <c r="J384" s="3"/>
      <c r="K384" s="3"/>
      <c r="L384" s="3"/>
    </row>
    <row r="385" spans="1:36" ht="13" customHeight="1">
      <c r="D385" s="2" t="s">
        <v>1238</v>
      </c>
      <c r="E385" s="2"/>
      <c r="F385" s="3"/>
      <c r="G385" s="3"/>
      <c r="H385" s="3"/>
      <c r="I385" s="3"/>
      <c r="J385" s="3"/>
      <c r="K385" s="3"/>
      <c r="L385" s="3"/>
    </row>
    <row r="386" spans="1:36" ht="13" customHeight="1">
      <c r="E386" s="3" t="s">
        <v>1239</v>
      </c>
      <c r="F386" s="3"/>
      <c r="G386" s="3"/>
      <c r="H386" s="3"/>
      <c r="I386" s="3"/>
      <c r="J386" s="3"/>
      <c r="K386" s="3"/>
      <c r="L386" s="3"/>
      <c r="N386" t="s">
        <v>904</v>
      </c>
      <c r="R386" s="23" t="s">
        <v>905</v>
      </c>
      <c r="S386" s="1472"/>
      <c r="T386" s="1472"/>
      <c r="U386" s="1" t="s">
        <v>906</v>
      </c>
      <c r="V386" s="1472"/>
      <c r="W386" s="1472"/>
      <c r="Y386" t="s">
        <v>904</v>
      </c>
      <c r="AC386" s="23" t="s">
        <v>905</v>
      </c>
      <c r="AD386" s="1472"/>
      <c r="AE386" s="1472"/>
      <c r="AF386" s="1" t="s">
        <v>906</v>
      </c>
      <c r="AG386" s="1472"/>
      <c r="AH386" s="1472"/>
    </row>
    <row r="387" spans="1:36" ht="13" customHeight="1">
      <c r="E387" s="3" t="s">
        <v>1240</v>
      </c>
      <c r="F387" s="3"/>
      <c r="G387" s="3"/>
      <c r="H387" s="3"/>
      <c r="I387" s="3"/>
      <c r="J387" s="3"/>
      <c r="K387" s="3"/>
      <c r="L387" s="3"/>
      <c r="N387" s="1472"/>
      <c r="O387" s="1472"/>
      <c r="P387" s="1472"/>
    </row>
    <row r="388" spans="1:36" ht="13" customHeight="1">
      <c r="E388" s="136" t="s">
        <v>1241</v>
      </c>
      <c r="F388" s="3"/>
      <c r="G388" s="3"/>
      <c r="H388" s="3"/>
      <c r="I388" s="3"/>
      <c r="J388" s="3"/>
      <c r="K388" s="3"/>
      <c r="L388" s="3"/>
      <c r="AG388" s="1477" t="s">
        <v>826</v>
      </c>
      <c r="AH388" s="1477"/>
    </row>
    <row r="389" spans="1:36" ht="13" customHeight="1">
      <c r="E389" s="3"/>
      <c r="F389" s="3"/>
      <c r="G389" s="3" t="s">
        <v>1242</v>
      </c>
      <c r="H389" s="3"/>
      <c r="I389" s="3"/>
      <c r="J389" s="3"/>
      <c r="K389" s="3"/>
      <c r="L389" s="3"/>
      <c r="AG389" s="1477" t="s">
        <v>826</v>
      </c>
      <c r="AH389" s="1477"/>
    </row>
    <row r="390" spans="1:36" ht="13" customHeight="1">
      <c r="E390" s="3"/>
      <c r="F390" s="3"/>
      <c r="G390" s="225" t="s">
        <v>1243</v>
      </c>
      <c r="H390" s="3"/>
      <c r="I390" s="3"/>
      <c r="J390" s="3"/>
      <c r="K390" s="3"/>
      <c r="L390" s="3"/>
      <c r="V390" s="1387" t="s">
        <v>826</v>
      </c>
      <c r="W390" s="1387"/>
      <c r="Y390" s="19" t="s">
        <v>1244</v>
      </c>
    </row>
    <row r="391" spans="1:36" ht="13" customHeight="1">
      <c r="E391" s="3" t="s">
        <v>1245</v>
      </c>
      <c r="F391" s="3"/>
      <c r="G391" s="3"/>
      <c r="H391" s="3"/>
      <c r="I391" s="3"/>
      <c r="J391" s="3"/>
      <c r="K391" s="3"/>
      <c r="L391" s="3"/>
      <c r="V391" s="1387" t="s">
        <v>826</v>
      </c>
      <c r="W391" s="1387"/>
      <c r="Y391" s="3" t="s">
        <v>1246</v>
      </c>
    </row>
    <row r="392" spans="1:36" ht="13" customHeight="1"/>
    <row r="393" spans="1:36" ht="13" customHeight="1">
      <c r="A393" s="2" t="s">
        <v>1247</v>
      </c>
      <c r="B393" s="2"/>
    </row>
    <row r="394" spans="1:36" ht="13" customHeight="1">
      <c r="D394" t="s">
        <v>1248</v>
      </c>
      <c r="J394" s="1469" t="s">
        <v>1977</v>
      </c>
      <c r="K394" s="1379"/>
      <c r="L394" s="1379"/>
      <c r="M394" s="1379"/>
      <c r="N394" s="1379"/>
      <c r="O394" s="1379"/>
      <c r="P394" s="1379"/>
      <c r="Q394" s="1379"/>
      <c r="R394" s="1379"/>
      <c r="S394" s="1379"/>
      <c r="T394" s="1379"/>
      <c r="U394" s="1379"/>
      <c r="V394" s="7" t="s">
        <v>1249</v>
      </c>
      <c r="W394" s="7"/>
      <c r="X394" s="7"/>
      <c r="Y394" s="7"/>
      <c r="Z394" s="7"/>
      <c r="AA394" s="7"/>
      <c r="AB394" s="7"/>
      <c r="AC394" s="1469" t="s">
        <v>1250</v>
      </c>
      <c r="AD394" s="1379"/>
      <c r="AE394" s="1379"/>
      <c r="AF394" s="1379"/>
      <c r="AG394" s="1379"/>
      <c r="AH394" s="1379"/>
      <c r="AI394" s="1379"/>
      <c r="AJ394" s="1379"/>
    </row>
    <row r="395" spans="1:36" ht="13" customHeight="1">
      <c r="D395" s="3" t="s">
        <v>1251</v>
      </c>
      <c r="J395" s="1445" t="s">
        <v>1252</v>
      </c>
      <c r="K395" s="1412"/>
      <c r="L395" s="1412"/>
      <c r="M395" s="1412"/>
      <c r="N395" s="1412"/>
      <c r="O395" s="1412"/>
      <c r="P395" s="1412"/>
      <c r="Q395" s="1412"/>
      <c r="R395" s="1412"/>
      <c r="S395" s="1412"/>
      <c r="T395" s="1412"/>
      <c r="U395" s="1412"/>
      <c r="V395" s="3" t="s">
        <v>1251</v>
      </c>
      <c r="W395" s="7"/>
      <c r="X395" s="7"/>
      <c r="Y395" s="7"/>
      <c r="Z395" s="7"/>
      <c r="AA395" s="7"/>
      <c r="AB395" s="7"/>
      <c r="AC395" s="1469" t="s">
        <v>1252</v>
      </c>
      <c r="AD395" s="1379"/>
      <c r="AE395" s="1379"/>
      <c r="AF395" s="1379"/>
      <c r="AG395" s="1379"/>
      <c r="AH395" s="1379"/>
      <c r="AI395" s="1379"/>
      <c r="AJ395" s="1379"/>
    </row>
    <row r="396" spans="1:36" ht="13" customHeight="1">
      <c r="D396" s="3" t="s">
        <v>824</v>
      </c>
      <c r="J396" s="1445" t="s">
        <v>1253</v>
      </c>
      <c r="K396" s="1412"/>
      <c r="L396" s="1412"/>
      <c r="M396" s="1412"/>
      <c r="N396" s="1412"/>
      <c r="O396" s="1412"/>
      <c r="P396" s="1412"/>
      <c r="Q396" s="1412"/>
      <c r="R396" s="1412"/>
      <c r="S396" s="1412"/>
      <c r="T396" s="1412"/>
      <c r="U396" s="1412"/>
      <c r="V396" s="3" t="s">
        <v>824</v>
      </c>
      <c r="W396" s="7"/>
      <c r="X396" s="7"/>
      <c r="Y396" s="7"/>
      <c r="Z396" s="7"/>
      <c r="AA396" s="7"/>
      <c r="AB396" s="7"/>
      <c r="AC396" s="1379" t="s">
        <v>1253</v>
      </c>
      <c r="AD396" s="1379"/>
      <c r="AE396" s="1379"/>
      <c r="AF396" s="1379"/>
      <c r="AG396" s="1379"/>
      <c r="AH396" s="1379"/>
      <c r="AI396" s="1379"/>
      <c r="AJ396" s="1379"/>
    </row>
    <row r="397" spans="1:36" ht="13" customHeight="1">
      <c r="D397" t="s">
        <v>1254</v>
      </c>
      <c r="J397" s="1334" t="s">
        <v>1255</v>
      </c>
      <c r="K397" s="1363"/>
      <c r="L397" s="1363"/>
      <c r="M397" s="1363"/>
      <c r="N397" s="1363"/>
      <c r="O397" s="1363"/>
      <c r="P397" s="1363"/>
      <c r="Q397" s="1363"/>
      <c r="R397" s="1363"/>
      <c r="S397" s="1363"/>
      <c r="T397" s="1363"/>
      <c r="U397" s="1363"/>
      <c r="V397" s="1469" t="s">
        <v>1256</v>
      </c>
      <c r="W397" s="1379"/>
      <c r="X397" s="1379"/>
      <c r="Y397" s="1379"/>
      <c r="Z397" s="1379"/>
      <c r="AA397" s="1379"/>
      <c r="AB397" s="1379"/>
      <c r="AC397" s="1379"/>
      <c r="AD397" s="1379"/>
      <c r="AE397" s="1379"/>
      <c r="AF397" s="1379"/>
      <c r="AG397" s="1379"/>
      <c r="AH397" s="1379"/>
      <c r="AI397" s="1379"/>
      <c r="AJ397" s="1379"/>
    </row>
    <row r="398" spans="1:36" ht="13" customHeight="1">
      <c r="D398" t="s">
        <v>1257</v>
      </c>
      <c r="Q398" s="1782">
        <v>46035</v>
      </c>
      <c r="R398" s="1782"/>
      <c r="S398" s="1782"/>
      <c r="T398" s="1782"/>
      <c r="U398" s="1782"/>
      <c r="V398" t="s">
        <v>1258</v>
      </c>
      <c r="AI398" s="1387" t="s">
        <v>700</v>
      </c>
      <c r="AJ398" s="1387"/>
    </row>
    <row r="399" spans="1:36" ht="13" customHeight="1">
      <c r="D399" t="s">
        <v>1259</v>
      </c>
      <c r="Q399" s="1467">
        <v>46171</v>
      </c>
      <c r="R399" s="1468"/>
      <c r="S399" s="1468"/>
      <c r="T399" s="1468"/>
      <c r="U399" s="1468"/>
      <c r="W399" s="18" t="s">
        <v>1260</v>
      </c>
      <c r="AG399" s="1463"/>
      <c r="AH399" s="1463"/>
      <c r="AI399" s="1463"/>
      <c r="AJ399" s="1463"/>
    </row>
    <row r="400" spans="1:36" ht="13" customHeight="1">
      <c r="D400" t="s">
        <v>1261</v>
      </c>
      <c r="Q400" s="1521">
        <v>2900000</v>
      </c>
      <c r="R400" s="1521"/>
      <c r="S400" s="1521"/>
      <c r="T400" s="1521"/>
      <c r="U400" s="1521"/>
      <c r="V400" s="3" t="s">
        <v>1262</v>
      </c>
      <c r="AG400" s="1522"/>
      <c r="AH400" s="1522"/>
      <c r="AI400" s="1522"/>
      <c r="AJ400" s="1522"/>
    </row>
    <row r="401" spans="4:36" ht="13" customHeight="1">
      <c r="D401" t="s">
        <v>1087</v>
      </c>
      <c r="I401" s="1514" t="s">
        <v>1263</v>
      </c>
      <c r="J401" s="1514"/>
      <c r="K401" s="1514"/>
      <c r="L401" s="1514"/>
      <c r="M401" s="1514"/>
      <c r="N401" s="1514"/>
      <c r="Q401" s="3" t="s">
        <v>1089</v>
      </c>
      <c r="S401" s="1517"/>
      <c r="T401" s="1517"/>
      <c r="U401" s="1517"/>
      <c r="V401" t="s">
        <v>1264</v>
      </c>
      <c r="AI401" s="1387" t="s">
        <v>700</v>
      </c>
      <c r="AJ401" s="1387"/>
    </row>
    <row r="402" spans="4:36" ht="13" customHeight="1">
      <c r="D402" t="s">
        <v>1265</v>
      </c>
      <c r="Q402" s="1523"/>
      <c r="R402" s="1523"/>
      <c r="S402" s="1523"/>
      <c r="T402" s="1523"/>
      <c r="U402" s="1523"/>
      <c r="V402" t="s">
        <v>1266</v>
      </c>
      <c r="AG402" s="1463"/>
      <c r="AH402" s="1463"/>
      <c r="AI402" s="1463"/>
      <c r="AJ402" s="1463"/>
    </row>
    <row r="403" spans="4:36" ht="13" customHeight="1">
      <c r="D403" t="s">
        <v>1267</v>
      </c>
      <c r="Q403" s="1518"/>
      <c r="R403" s="1518"/>
      <c r="S403" s="1518"/>
      <c r="T403" s="1518"/>
      <c r="U403" s="1518"/>
      <c r="V403" t="s">
        <v>1268</v>
      </c>
      <c r="AG403" s="1463"/>
      <c r="AH403" s="1463"/>
      <c r="AI403" s="1463"/>
      <c r="AJ403" s="1463"/>
    </row>
    <row r="404" spans="4:36" ht="13" customHeight="1">
      <c r="D404" t="s">
        <v>1269</v>
      </c>
      <c r="AG404" s="1463"/>
      <c r="AH404" s="1463"/>
      <c r="AI404" s="1463"/>
      <c r="AJ404" s="1463"/>
    </row>
    <row r="405" spans="4:36" ht="13" customHeight="1">
      <c r="AG405" s="1167"/>
      <c r="AH405" s="1167"/>
      <c r="AI405" s="1167"/>
      <c r="AJ405" s="1167"/>
    </row>
    <row r="406" spans="4:36" ht="13" customHeight="1">
      <c r="D406" s="3" t="s">
        <v>1270</v>
      </c>
      <c r="AG406" s="1167"/>
      <c r="AH406" s="1167"/>
      <c r="AI406" s="1387" t="s">
        <v>700</v>
      </c>
      <c r="AJ406" s="1387"/>
    </row>
    <row r="407" spans="4:36" ht="13" customHeight="1">
      <c r="D407" s="3" t="s">
        <v>1271</v>
      </c>
      <c r="T407" s="1426"/>
      <c r="U407" s="1426"/>
      <c r="V407" s="1426"/>
      <c r="W407" s="1426"/>
      <c r="X407" s="1426"/>
      <c r="Y407" s="1426"/>
      <c r="Z407" s="1426"/>
      <c r="AA407" s="1426"/>
      <c r="AB407" s="1426"/>
      <c r="AC407" s="1426"/>
      <c r="AD407" s="1426"/>
      <c r="AE407" s="1426"/>
      <c r="AF407" s="1426"/>
      <c r="AG407" s="1426"/>
      <c r="AH407" s="1426"/>
      <c r="AI407" s="1426"/>
      <c r="AJ407" s="1426"/>
    </row>
    <row r="408" spans="4:36" ht="13" customHeight="1">
      <c r="D408" s="3" t="s">
        <v>1272</v>
      </c>
      <c r="T408" s="1426"/>
      <c r="U408" s="1426"/>
      <c r="V408" s="1426"/>
      <c r="W408" s="1426"/>
      <c r="X408" s="1426"/>
      <c r="Y408" s="1426"/>
      <c r="Z408" s="1426"/>
      <c r="AA408" s="1426"/>
      <c r="AB408" s="1426"/>
      <c r="AC408" s="1426"/>
      <c r="AD408" s="1426"/>
      <c r="AE408" s="1426"/>
      <c r="AF408" s="1426"/>
      <c r="AG408" s="1426"/>
      <c r="AH408" s="1426"/>
      <c r="AI408" s="1426"/>
      <c r="AJ408" s="1426"/>
    </row>
    <row r="409" spans="4:36" ht="13" customHeight="1">
      <c r="AG409" s="1167"/>
      <c r="AH409" s="1167"/>
      <c r="AI409" s="1167"/>
      <c r="AJ409" s="1167"/>
    </row>
    <row r="410" spans="4:36" ht="13" customHeight="1">
      <c r="D410" s="3" t="s">
        <v>1273</v>
      </c>
      <c r="S410" s="1426" t="s">
        <v>700</v>
      </c>
      <c r="T410" s="1426"/>
      <c r="U410" s="1426"/>
      <c r="V410" t="s">
        <v>1274</v>
      </c>
      <c r="AG410" s="1532"/>
      <c r="AH410" s="1532"/>
      <c r="AI410" s="1532"/>
      <c r="AJ410" s="1532"/>
    </row>
    <row r="411" spans="4:36" ht="13" customHeight="1">
      <c r="D411" s="3" t="s">
        <v>1275</v>
      </c>
      <c r="S411" s="1426" t="s">
        <v>826</v>
      </c>
      <c r="T411" s="1426"/>
      <c r="U411" s="1426"/>
      <c r="V411" t="s">
        <v>1276</v>
      </c>
      <c r="AE411" s="1482"/>
      <c r="AF411" s="1482"/>
      <c r="AG411" s="1482"/>
      <c r="AH411" s="1482"/>
      <c r="AI411" s="1482"/>
      <c r="AJ411" s="1482"/>
    </row>
    <row r="412" spans="4:36" ht="13" customHeight="1">
      <c r="D412" s="3" t="s">
        <v>1277</v>
      </c>
      <c r="K412" s="1491"/>
      <c r="L412" s="1491"/>
      <c r="M412" s="1491"/>
      <c r="N412" s="1491"/>
      <c r="O412" s="1491"/>
      <c r="P412" s="1491"/>
      <c r="Q412" s="1491"/>
      <c r="R412" s="1491"/>
      <c r="S412" s="1491"/>
      <c r="T412" s="1491"/>
      <c r="U412" s="1491"/>
      <c r="V412" s="1491"/>
      <c r="W412" s="1491"/>
      <c r="X412" s="1491"/>
      <c r="Y412" s="1491"/>
      <c r="Z412" s="1491"/>
      <c r="AA412" s="1491"/>
      <c r="AB412" s="1491"/>
      <c r="AC412" s="1491"/>
      <c r="AD412" s="1491"/>
      <c r="AE412" s="1491"/>
      <c r="AF412" s="1491"/>
      <c r="AG412" s="1491"/>
      <c r="AH412" s="1491"/>
      <c r="AI412" s="1491"/>
      <c r="AJ412" s="1491"/>
    </row>
    <row r="413" spans="4:36" ht="13" customHeight="1">
      <c r="D413" s="3" t="s">
        <v>1278</v>
      </c>
      <c r="K413" s="1491"/>
      <c r="L413" s="1491"/>
      <c r="M413" s="1491"/>
      <c r="N413" s="1491"/>
      <c r="O413" s="1491"/>
      <c r="P413" s="1491"/>
      <c r="Q413" s="1491"/>
      <c r="R413" s="1491"/>
      <c r="S413" s="1491"/>
      <c r="T413" s="1491"/>
      <c r="U413" s="1491"/>
      <c r="V413" s="1491"/>
      <c r="W413" s="1491"/>
      <c r="X413" s="1491"/>
      <c r="Y413" s="1491"/>
      <c r="Z413" s="1491"/>
      <c r="AA413" s="1491"/>
      <c r="AB413" s="1491"/>
      <c r="AC413" s="1491"/>
      <c r="AD413" s="1491"/>
      <c r="AE413" s="1491"/>
      <c r="AF413" s="1491"/>
      <c r="AG413" s="1491"/>
      <c r="AH413" s="1491"/>
      <c r="AI413" s="1491"/>
      <c r="AJ413" s="1491"/>
    </row>
    <row r="414" spans="4:36" ht="13" customHeight="1">
      <c r="D414" s="3" t="s">
        <v>1279</v>
      </c>
      <c r="E414" s="378"/>
      <c r="F414" s="378"/>
      <c r="G414" s="378"/>
      <c r="H414" s="378"/>
      <c r="I414" s="378"/>
      <c r="J414" s="378"/>
      <c r="K414" s="378"/>
      <c r="L414" s="378"/>
      <c r="M414" s="378"/>
      <c r="N414" s="378"/>
      <c r="O414" s="378"/>
      <c r="P414" s="378"/>
      <c r="Q414" s="378"/>
      <c r="R414" s="378"/>
      <c r="S414" s="1481" t="s">
        <v>1043</v>
      </c>
      <c r="T414" s="1481"/>
      <c r="U414" s="1481"/>
      <c r="V414" s="1481"/>
      <c r="W414" s="1481"/>
      <c r="X414" s="1481"/>
      <c r="Y414" s="1481"/>
      <c r="Z414" s="1481"/>
      <c r="AA414" s="1481"/>
      <c r="AB414" s="1481"/>
      <c r="AC414" s="1481"/>
      <c r="AD414" s="1481"/>
      <c r="AE414" s="1481"/>
      <c r="AF414" s="1481"/>
      <c r="AG414" s="1481"/>
      <c r="AH414" s="1481"/>
      <c r="AI414" s="1481"/>
      <c r="AJ414" s="1481"/>
    </row>
    <row r="415" spans="4:36" ht="13" customHeight="1">
      <c r="D415" s="1247" t="s">
        <v>1280</v>
      </c>
      <c r="E415" s="1247"/>
      <c r="F415" s="1247"/>
      <c r="G415" s="1247"/>
      <c r="H415" s="1247"/>
      <c r="I415" s="1247"/>
      <c r="J415" s="1247"/>
      <c r="K415" s="1247"/>
      <c r="L415" s="1247"/>
      <c r="M415" s="1247"/>
      <c r="N415" s="1247"/>
      <c r="O415" s="1247"/>
      <c r="P415" s="1247"/>
      <c r="Q415" s="1247"/>
      <c r="R415" s="1247"/>
      <c r="S415" s="1247"/>
      <c r="T415" s="1247"/>
      <c r="U415" s="1247"/>
      <c r="V415" s="1247"/>
      <c r="W415" s="1247"/>
      <c r="X415" s="1247"/>
      <c r="Y415" s="1247"/>
      <c r="Z415" s="1247"/>
      <c r="AA415" s="1247"/>
      <c r="AB415" s="1247"/>
      <c r="AC415" s="1247"/>
      <c r="AD415" s="1247"/>
      <c r="AE415" s="1247"/>
      <c r="AF415" s="1247"/>
      <c r="AG415" s="1247"/>
      <c r="AH415" s="1247"/>
      <c r="AI415" s="1247"/>
      <c r="AJ415" s="1247"/>
    </row>
    <row r="416" spans="4:36" ht="13" customHeight="1">
      <c r="D416" s="1247"/>
      <c r="E416" s="1247"/>
      <c r="F416" s="1247"/>
      <c r="G416" s="1247"/>
      <c r="H416" s="1247"/>
      <c r="I416" s="1247"/>
      <c r="J416" s="1247"/>
      <c r="K416" s="1247"/>
      <c r="L416" s="1247"/>
      <c r="M416" s="1247"/>
      <c r="N416" s="1247"/>
      <c r="O416" s="1247"/>
      <c r="P416" s="1247"/>
      <c r="Q416" s="1247"/>
      <c r="R416" s="1247"/>
      <c r="S416" s="1247"/>
      <c r="T416" s="1247"/>
      <c r="U416" s="1247"/>
      <c r="V416" s="1247"/>
      <c r="W416" s="1247"/>
      <c r="X416" s="1247"/>
      <c r="Y416" s="1247"/>
      <c r="Z416" s="1247"/>
      <c r="AA416" s="1247"/>
      <c r="AB416" s="1247"/>
      <c r="AC416" s="1247"/>
      <c r="AD416" s="1247"/>
      <c r="AE416" s="1247"/>
      <c r="AF416" s="1247"/>
      <c r="AG416" s="1247"/>
      <c r="AH416" s="1247"/>
      <c r="AI416" s="1247"/>
      <c r="AJ416" s="1247"/>
    </row>
    <row r="417" spans="1:39" ht="13" customHeight="1">
      <c r="AG417" s="1167"/>
      <c r="AH417" s="1167"/>
      <c r="AI417" s="1167"/>
      <c r="AJ417" s="1167"/>
    </row>
    <row r="418" spans="1:39" ht="13" customHeight="1">
      <c r="A418" s="2" t="s">
        <v>1023</v>
      </c>
      <c r="B418" s="2"/>
      <c r="C418" s="2" t="s">
        <v>145</v>
      </c>
    </row>
    <row r="419" spans="1:39" ht="13" customHeight="1">
      <c r="B419" s="2"/>
      <c r="C419" s="2"/>
      <c r="D419" s="2" t="s">
        <v>1281</v>
      </c>
      <c r="I419" s="1469" t="s">
        <v>1282</v>
      </c>
      <c r="J419" s="1469"/>
      <c r="K419" s="1469"/>
      <c r="L419" s="1469"/>
      <c r="M419" s="1469"/>
      <c r="N419" s="1469"/>
      <c r="O419" s="1469"/>
      <c r="P419" s="1469"/>
      <c r="Q419" s="1469"/>
      <c r="R419" s="1469"/>
      <c r="S419" s="1469"/>
      <c r="T419" s="1469"/>
      <c r="U419" s="1469"/>
      <c r="V419" s="1469"/>
      <c r="W419" s="1469"/>
      <c r="X419" s="1469"/>
      <c r="Y419" s="1469"/>
      <c r="Z419" s="1469"/>
      <c r="AA419" s="1469"/>
      <c r="AB419" s="1469"/>
      <c r="AC419" s="1469"/>
      <c r="AD419" s="1469"/>
      <c r="AE419" s="1469"/>
    </row>
    <row r="420" spans="1:39" ht="13" customHeight="1">
      <c r="E420" t="s">
        <v>1283</v>
      </c>
      <c r="R420" s="1387" t="s">
        <v>862</v>
      </c>
      <c r="S420" s="1387"/>
      <c r="AC420" s="23" t="s">
        <v>1284</v>
      </c>
      <c r="AD420" s="1345">
        <v>6</v>
      </c>
      <c r="AE420" s="1345"/>
    </row>
    <row r="421" spans="1:39" ht="13" customHeight="1">
      <c r="E421" t="s">
        <v>1285</v>
      </c>
      <c r="R421" s="1387" t="s">
        <v>826</v>
      </c>
      <c r="S421" s="1387"/>
      <c r="AC421" s="23" t="s">
        <v>1284</v>
      </c>
      <c r="AD421" s="1345"/>
      <c r="AE421" s="1345"/>
    </row>
    <row r="422" spans="1:39" ht="13" customHeight="1">
      <c r="E422" t="s">
        <v>1286</v>
      </c>
      <c r="S422" s="1387" t="s">
        <v>826</v>
      </c>
      <c r="T422" s="1387"/>
    </row>
    <row r="423" spans="1:39" ht="13" customHeight="1">
      <c r="E423" t="s">
        <v>233</v>
      </c>
      <c r="H423" s="1519" t="s">
        <v>1287</v>
      </c>
      <c r="I423" s="1519"/>
      <c r="J423" s="1519"/>
      <c r="K423" s="1519"/>
      <c r="L423" s="1519"/>
      <c r="M423" s="1519"/>
      <c r="N423" s="1519"/>
      <c r="O423" s="1519"/>
      <c r="P423" s="1519"/>
      <c r="Q423" s="1519"/>
      <c r="R423" s="1519"/>
      <c r="S423" s="1519"/>
      <c r="T423" s="1519"/>
      <c r="U423" s="1519"/>
      <c r="V423" s="1519"/>
      <c r="W423" s="1519"/>
      <c r="X423" s="1519"/>
      <c r="Y423" s="1519"/>
      <c r="Z423" s="1519"/>
      <c r="AA423" s="1519"/>
      <c r="AB423" s="1519"/>
      <c r="AC423" s="1519"/>
      <c r="AD423" s="1519"/>
      <c r="AE423" s="1519"/>
    </row>
    <row r="424" spans="1:39" ht="13" customHeight="1">
      <c r="H424" s="1520"/>
      <c r="I424" s="1520"/>
      <c r="J424" s="1520"/>
      <c r="K424" s="1520"/>
      <c r="L424" s="1520"/>
      <c r="M424" s="1520"/>
      <c r="N424" s="1520"/>
      <c r="O424" s="1520"/>
      <c r="P424" s="1520"/>
      <c r="Q424" s="1520"/>
      <c r="R424" s="1520"/>
      <c r="S424" s="1520"/>
      <c r="T424" s="1520"/>
      <c r="U424" s="1520"/>
      <c r="V424" s="1520"/>
      <c r="W424" s="1520"/>
      <c r="X424" s="1520"/>
      <c r="Y424" s="1520"/>
      <c r="Z424" s="1520"/>
      <c r="AA424" s="1520"/>
      <c r="AB424" s="1520"/>
      <c r="AC424" s="1520"/>
      <c r="AD424" s="1520"/>
      <c r="AE424" s="1520"/>
    </row>
    <row r="425" spans="1:39" ht="13" customHeight="1"/>
    <row r="426" spans="1:39" ht="13" customHeight="1">
      <c r="A426" s="2" t="s">
        <v>1035</v>
      </c>
      <c r="B426" s="2"/>
      <c r="C426" s="2"/>
      <c r="D426" s="2" t="s">
        <v>150</v>
      </c>
      <c r="AF426" s="2" t="s">
        <v>1288</v>
      </c>
    </row>
    <row r="427" spans="1:39" ht="13" customHeight="1">
      <c r="E427" s="1472"/>
      <c r="F427" s="1472"/>
      <c r="G427" s="1472"/>
      <c r="H427" s="12" t="s">
        <v>1289</v>
      </c>
      <c r="I427" s="1472"/>
      <c r="J427" s="1472"/>
      <c r="K427" s="1472"/>
      <c r="L427" t="s">
        <v>1290</v>
      </c>
      <c r="N427" s="23" t="s">
        <v>36</v>
      </c>
      <c r="P427" s="1464">
        <v>2.0499999999999998</v>
      </c>
      <c r="Q427" s="1464"/>
      <c r="R427" s="1464"/>
      <c r="S427" t="s">
        <v>1291</v>
      </c>
      <c r="W427" s="1473">
        <f>IF(E427&gt;0,(E427*I427),(P427*43560))</f>
        <v>89297.999999999985</v>
      </c>
      <c r="X427" s="1473"/>
      <c r="Y427" s="1473"/>
      <c r="Z427" t="s">
        <v>1292</v>
      </c>
      <c r="AF427" s="1516">
        <f>IFERROR(IF(P427&gt;0,(AG446/P427),(AG446/(W427/43560))),0)</f>
        <v>55.121951219512198</v>
      </c>
      <c r="AG427" s="1516"/>
      <c r="AH427" s="1516"/>
      <c r="AM427" s="3"/>
    </row>
    <row r="428" spans="1:39" ht="13" customHeight="1">
      <c r="E428" t="s">
        <v>1293</v>
      </c>
    </row>
    <row r="429" spans="1:39" ht="13" customHeight="1">
      <c r="E429" s="1471"/>
      <c r="F429" s="1471"/>
      <c r="G429" s="1471"/>
      <c r="H429" s="1471"/>
      <c r="I429" s="1471"/>
      <c r="J429" s="1471"/>
      <c r="K429" s="1471"/>
      <c r="L429" s="1471"/>
      <c r="M429" s="1471"/>
      <c r="N429" s="1471"/>
      <c r="O429" s="1471"/>
      <c r="P429" s="1471"/>
      <c r="Q429" s="1471"/>
      <c r="R429" s="1471"/>
      <c r="S429" s="1471"/>
      <c r="T429" s="1471"/>
      <c r="U429" s="1471"/>
      <c r="V429" s="1471"/>
      <c r="W429" s="1471"/>
      <c r="X429" s="1471"/>
      <c r="Y429" s="1471"/>
      <c r="Z429" s="1471"/>
      <c r="AA429" s="1471"/>
      <c r="AB429" s="1471"/>
      <c r="AC429" s="1471"/>
      <c r="AD429" s="1471"/>
      <c r="AE429" s="1471"/>
      <c r="AF429" s="1471"/>
      <c r="AG429" s="1471"/>
      <c r="AH429" s="1471"/>
      <c r="AI429" s="1471"/>
      <c r="AJ429" s="1471"/>
    </row>
    <row r="430" spans="1:39" ht="13" customHeight="1">
      <c r="E430" s="84" t="s">
        <v>1294</v>
      </c>
      <c r="F430" s="18"/>
      <c r="G430" s="18"/>
      <c r="H430" s="18"/>
      <c r="I430" s="1524">
        <v>2.0499999999999998</v>
      </c>
      <c r="J430" s="1524"/>
      <c r="K430" s="1524"/>
      <c r="L430" s="18"/>
      <c r="M430" s="84"/>
      <c r="N430" s="18"/>
      <c r="O430" s="18"/>
      <c r="P430" s="1781">
        <f>(DU763+DU786+DU808)/I430</f>
        <v>129.26829268292684</v>
      </c>
      <c r="Q430" s="1781"/>
      <c r="R430" s="1781"/>
      <c r="S430" s="84" t="s">
        <v>1295</v>
      </c>
      <c r="T430" s="18"/>
      <c r="U430" s="18"/>
      <c r="V430" s="18"/>
      <c r="W430" s="18"/>
      <c r="X430" s="18"/>
      <c r="Y430" s="18"/>
      <c r="Z430" s="18"/>
      <c r="AA430" s="18"/>
      <c r="AB430" s="18"/>
      <c r="AC430" s="18"/>
      <c r="AD430" s="18"/>
      <c r="AE430" s="18"/>
      <c r="AF430" s="18"/>
      <c r="AG430" s="18"/>
      <c r="AH430" s="18"/>
      <c r="AI430" s="18"/>
      <c r="AJ430" s="18"/>
    </row>
    <row r="431" spans="1:39" ht="13" customHeight="1"/>
    <row r="432" spans="1:39" ht="13" customHeight="1">
      <c r="A432" s="2" t="s">
        <v>1062</v>
      </c>
      <c r="B432" s="2"/>
      <c r="C432" s="2"/>
      <c r="D432" s="2" t="s">
        <v>152</v>
      </c>
    </row>
    <row r="433" spans="1:36" ht="13" customHeight="1">
      <c r="E433" t="s">
        <v>1296</v>
      </c>
      <c r="P433" s="1387">
        <v>1</v>
      </c>
      <c r="Q433" s="1387"/>
      <c r="S433" t="s">
        <v>1297</v>
      </c>
      <c r="AE433" s="1387">
        <v>1</v>
      </c>
      <c r="AF433" s="1387"/>
    </row>
    <row r="434" spans="1:36" ht="13" customHeight="1">
      <c r="E434" t="s">
        <v>1298</v>
      </c>
      <c r="P434" s="1387">
        <v>0</v>
      </c>
      <c r="Q434" s="1387"/>
      <c r="S434" t="s">
        <v>1299</v>
      </c>
      <c r="AE434" s="1387" t="s">
        <v>826</v>
      </c>
      <c r="AF434" s="1387"/>
    </row>
    <row r="435" spans="1:36" ht="13" customHeight="1">
      <c r="F435" s="19" t="s">
        <v>1300</v>
      </c>
    </row>
    <row r="436" spans="1:36" ht="13" customHeight="1">
      <c r="F436" s="1479"/>
      <c r="G436" s="1479"/>
      <c r="H436" s="1479"/>
      <c r="I436" s="1479"/>
      <c r="J436" s="1479"/>
      <c r="K436" s="1479"/>
      <c r="L436" s="1479"/>
      <c r="M436" s="1479"/>
      <c r="N436" s="1479"/>
      <c r="O436" s="1479"/>
      <c r="P436" s="1479"/>
      <c r="Q436" s="1479"/>
      <c r="R436" s="1479"/>
      <c r="S436" s="1479"/>
      <c r="T436" s="1479"/>
      <c r="U436" s="1479"/>
      <c r="V436" s="1479"/>
      <c r="W436" s="1479"/>
      <c r="X436" s="1479"/>
      <c r="Y436" s="1479"/>
      <c r="Z436" s="1479"/>
      <c r="AA436" s="1479"/>
      <c r="AB436" s="1479"/>
      <c r="AC436" s="1479"/>
      <c r="AD436" s="1479"/>
      <c r="AE436" s="1479"/>
      <c r="AF436" s="1479"/>
      <c r="AG436" s="1479"/>
      <c r="AH436" s="1479"/>
    </row>
    <row r="437" spans="1:36" ht="13" customHeight="1">
      <c r="F437" s="1480"/>
      <c r="G437" s="1480"/>
      <c r="H437" s="1480"/>
      <c r="I437" s="1480"/>
      <c r="J437" s="1480"/>
      <c r="K437" s="1480"/>
      <c r="L437" s="1480"/>
      <c r="M437" s="1480"/>
      <c r="N437" s="1480"/>
      <c r="O437" s="1480"/>
      <c r="P437" s="1480"/>
      <c r="Q437" s="1480"/>
      <c r="R437" s="1480"/>
      <c r="S437" s="1480"/>
      <c r="T437" s="1480"/>
      <c r="U437" s="1480"/>
      <c r="V437" s="1480"/>
      <c r="W437" s="1480"/>
      <c r="X437" s="1480"/>
      <c r="Y437" s="1480"/>
      <c r="Z437" s="1480"/>
      <c r="AA437" s="1480"/>
      <c r="AB437" s="1480"/>
      <c r="AC437" s="1480"/>
      <c r="AD437" s="1480"/>
      <c r="AE437" s="1480"/>
      <c r="AF437" s="1480"/>
      <c r="AG437" s="1480"/>
      <c r="AH437" s="1480"/>
    </row>
    <row r="438" spans="1:36" ht="13" customHeight="1">
      <c r="E438" t="s">
        <v>1301</v>
      </c>
      <c r="P438" s="1"/>
      <c r="Q438" s="1387" t="s">
        <v>862</v>
      </c>
      <c r="R438" s="1387"/>
    </row>
    <row r="439" spans="1:36" ht="13" customHeight="1">
      <c r="F439" t="s">
        <v>1302</v>
      </c>
      <c r="P439" s="1"/>
      <c r="Q439" s="1"/>
      <c r="AF439" s="1387" t="s">
        <v>826</v>
      </c>
      <c r="AG439" s="1474"/>
    </row>
    <row r="440" spans="1:36" ht="13" customHeight="1"/>
    <row r="441" spans="1:36" ht="13" customHeight="1">
      <c r="A441" s="2"/>
      <c r="B441" s="2"/>
      <c r="C441" s="2"/>
      <c r="E441" s="3" t="s">
        <v>1303</v>
      </c>
      <c r="Z441" s="1387" t="s">
        <v>700</v>
      </c>
      <c r="AA441" s="1387"/>
    </row>
    <row r="442" spans="1:36" ht="13" customHeight="1">
      <c r="F442" s="31" t="s">
        <v>1304</v>
      </c>
      <c r="G442" s="32"/>
      <c r="H442" s="32"/>
      <c r="I442" s="32"/>
      <c r="J442" s="32"/>
      <c r="K442" s="32"/>
      <c r="L442" s="32"/>
      <c r="M442" s="32"/>
      <c r="N442" s="32"/>
      <c r="O442" s="32"/>
      <c r="P442" s="32"/>
      <c r="Q442" s="32"/>
      <c r="R442" s="32"/>
      <c r="S442" s="32"/>
      <c r="T442" s="32"/>
      <c r="U442" s="32"/>
      <c r="V442" s="32"/>
      <c r="W442" s="32"/>
      <c r="AB442" s="32"/>
    </row>
    <row r="443" spans="1:36" ht="13" customHeight="1">
      <c r="F443" t="s">
        <v>1305</v>
      </c>
      <c r="G443" s="32"/>
      <c r="I443" s="32"/>
      <c r="J443" s="32"/>
      <c r="K443" s="32"/>
      <c r="L443" s="32"/>
      <c r="M443" s="32"/>
      <c r="N443" s="32"/>
      <c r="O443" s="19"/>
      <c r="P443" s="32"/>
      <c r="Q443" s="32"/>
      <c r="R443" s="32"/>
      <c r="S443" s="32"/>
      <c r="T443" s="32"/>
      <c r="U443" s="32"/>
      <c r="V443" s="32"/>
      <c r="W443" s="32"/>
      <c r="Z443" s="1387" t="s">
        <v>826</v>
      </c>
      <c r="AA443" s="1387"/>
    </row>
    <row r="444" spans="1:36" ht="13" customHeight="1"/>
    <row r="445" spans="1:36" ht="13" customHeight="1">
      <c r="A445" s="2" t="s">
        <v>1129</v>
      </c>
      <c r="B445" s="2"/>
      <c r="C445" s="2"/>
      <c r="D445" s="2" t="s">
        <v>159</v>
      </c>
      <c r="AF445" s="40"/>
    </row>
    <row r="446" spans="1:36" ht="13" customHeight="1">
      <c r="D446" s="1461" t="s">
        <v>1306</v>
      </c>
      <c r="E446" s="1452"/>
      <c r="F446" s="1452"/>
      <c r="G446" s="1452"/>
      <c r="H446" s="1452"/>
      <c r="I446" s="1452"/>
      <c r="J446" s="1452"/>
      <c r="K446" s="1452"/>
      <c r="L446" s="1452"/>
      <c r="M446" s="1452"/>
      <c r="N446" s="1452"/>
      <c r="O446" s="1452"/>
      <c r="P446" s="1452"/>
      <c r="Q446" s="1452"/>
      <c r="R446" s="1452"/>
      <c r="S446" s="1452"/>
      <c r="T446" s="1452"/>
      <c r="U446" s="1452"/>
      <c r="V446" s="1452"/>
      <c r="W446" s="1452"/>
      <c r="X446" s="1452"/>
      <c r="Y446" s="1452"/>
      <c r="Z446" s="1452"/>
      <c r="AA446" s="1452"/>
      <c r="AB446" s="1452"/>
      <c r="AC446" s="1452"/>
      <c r="AD446" s="1452"/>
      <c r="AE446" s="1452"/>
      <c r="AF446" s="1453"/>
      <c r="AG446" s="1400">
        <v>113</v>
      </c>
      <c r="AH446" s="1400"/>
      <c r="AI446" s="1400"/>
      <c r="AJ446" s="1400"/>
    </row>
    <row r="447" spans="1:36" ht="13" customHeight="1">
      <c r="D447" s="1414" t="s">
        <v>1307</v>
      </c>
      <c r="E447" s="1415"/>
      <c r="F447" s="1415"/>
      <c r="G447" s="1415"/>
      <c r="H447" s="1415"/>
      <c r="I447" s="1415"/>
      <c r="J447" s="1415"/>
      <c r="K447" s="1415"/>
      <c r="L447" s="1415"/>
      <c r="M447" s="1415"/>
      <c r="N447" s="1415"/>
      <c r="O447" s="1415"/>
      <c r="P447" s="1415"/>
      <c r="Q447" s="1415"/>
      <c r="R447" s="1415"/>
      <c r="S447" s="1415"/>
      <c r="T447" s="1415"/>
      <c r="U447" s="1415"/>
      <c r="V447" s="1415"/>
      <c r="W447" s="1415"/>
      <c r="X447" s="1415"/>
      <c r="Y447" s="1415"/>
      <c r="Z447" s="1415"/>
      <c r="AA447" s="1415"/>
      <c r="AB447" s="1415"/>
      <c r="AC447" s="1415"/>
      <c r="AD447" s="1415"/>
      <c r="AE447" s="1415"/>
      <c r="AF447" s="1416"/>
      <c r="AG447" s="1465">
        <v>0</v>
      </c>
      <c r="AH447" s="1466"/>
      <c r="AI447" s="1466"/>
      <c r="AJ447" s="1466"/>
    </row>
    <row r="448" spans="1:36" ht="13" customHeight="1">
      <c r="D448" s="1414" t="s">
        <v>1308</v>
      </c>
      <c r="E448" s="1415"/>
      <c r="F448" s="1415"/>
      <c r="G448" s="1415"/>
      <c r="H448" s="1415"/>
      <c r="I448" s="1415"/>
      <c r="J448" s="1415"/>
      <c r="K448" s="1415"/>
      <c r="L448" s="1415"/>
      <c r="M448" s="1415"/>
      <c r="N448" s="1415"/>
      <c r="O448" s="1415"/>
      <c r="P448" s="1415"/>
      <c r="Q448" s="1415"/>
      <c r="R448" s="1415"/>
      <c r="S448" s="1415"/>
      <c r="T448" s="1415"/>
      <c r="U448" s="1415"/>
      <c r="V448" s="1415"/>
      <c r="W448" s="1415"/>
      <c r="X448" s="1415"/>
      <c r="Y448" s="1415"/>
      <c r="Z448" s="1415"/>
      <c r="AA448" s="1415"/>
      <c r="AB448" s="1415"/>
      <c r="AC448" s="1415"/>
      <c r="AD448" s="1415"/>
      <c r="AE448" s="1415"/>
      <c r="AF448" s="1416"/>
      <c r="AG448" s="1400">
        <v>112</v>
      </c>
      <c r="AH448" s="1400"/>
      <c r="AI448" s="1400"/>
      <c r="AJ448" s="1400"/>
    </row>
    <row r="449" spans="4:55" ht="13" customHeight="1">
      <c r="D449" s="1414" t="s">
        <v>1309</v>
      </c>
      <c r="E449" s="1415"/>
      <c r="F449" s="1415"/>
      <c r="G449" s="1415"/>
      <c r="H449" s="1415"/>
      <c r="I449" s="1415"/>
      <c r="J449" s="1415"/>
      <c r="K449" s="1415"/>
      <c r="L449" s="1415"/>
      <c r="M449" s="1415"/>
      <c r="N449" s="1415"/>
      <c r="O449" s="1415"/>
      <c r="P449" s="1415"/>
      <c r="Q449" s="1415"/>
      <c r="R449" s="1415"/>
      <c r="S449" s="1415"/>
      <c r="T449" s="1415"/>
      <c r="U449" s="1415"/>
      <c r="V449" s="1415"/>
      <c r="W449" s="1415"/>
      <c r="X449" s="1415"/>
      <c r="Y449" s="1415"/>
      <c r="Z449" s="1415"/>
      <c r="AA449" s="1415"/>
      <c r="AB449" s="1415"/>
      <c r="AC449" s="1415"/>
      <c r="AD449" s="1415"/>
      <c r="AE449" s="1415"/>
      <c r="AF449" s="1416"/>
      <c r="AG449" s="1400">
        <v>112</v>
      </c>
      <c r="AH449" s="1400"/>
      <c r="AI449" s="1400"/>
      <c r="AJ449" s="1400"/>
    </row>
    <row r="450" spans="4:55" ht="13" customHeight="1">
      <c r="D450" s="1414" t="s">
        <v>1310</v>
      </c>
      <c r="E450" s="1415"/>
      <c r="F450" s="1415"/>
      <c r="G450" s="1415"/>
      <c r="H450" s="1415"/>
      <c r="I450" s="1415"/>
      <c r="J450" s="1415"/>
      <c r="K450" s="1415"/>
      <c r="L450" s="1415"/>
      <c r="M450" s="1415"/>
      <c r="N450" s="1415"/>
      <c r="O450" s="1415"/>
      <c r="P450" s="1415"/>
      <c r="Q450" s="1415"/>
      <c r="R450" s="1415"/>
      <c r="S450" s="1415"/>
      <c r="T450" s="1415"/>
      <c r="U450" s="1415"/>
      <c r="V450" s="1415"/>
      <c r="W450" s="1415"/>
      <c r="X450" s="1415"/>
      <c r="Y450" s="1415"/>
      <c r="Z450" s="1415"/>
      <c r="AA450" s="1415"/>
      <c r="AB450" s="1415"/>
      <c r="AC450" s="1415"/>
      <c r="AD450" s="1415"/>
      <c r="AE450" s="1415"/>
      <c r="AF450" s="1416"/>
      <c r="AG450" s="1360">
        <f>IF(ISERROR(AG449/AG448),0,AG449/AG448)</f>
        <v>1</v>
      </c>
      <c r="AH450" s="1360"/>
      <c r="AI450" s="1360"/>
      <c r="AJ450" s="1360"/>
    </row>
    <row r="451" spans="4:55" ht="13" customHeight="1">
      <c r="D451" s="1414" t="s">
        <v>1311</v>
      </c>
      <c r="E451" s="1415"/>
      <c r="F451" s="1415"/>
      <c r="G451" s="1415"/>
      <c r="H451" s="1415"/>
      <c r="I451" s="1415"/>
      <c r="J451" s="1415"/>
      <c r="K451" s="1415"/>
      <c r="L451" s="1415"/>
      <c r="M451" s="1415"/>
      <c r="N451" s="1415"/>
      <c r="O451" s="1415"/>
      <c r="P451" s="1415"/>
      <c r="Q451" s="1415"/>
      <c r="R451" s="1415"/>
      <c r="S451" s="1415"/>
      <c r="T451" s="1415"/>
      <c r="U451" s="1415"/>
      <c r="V451" s="1415"/>
      <c r="W451" s="1415"/>
      <c r="X451" s="1415"/>
      <c r="Y451" s="1415"/>
      <c r="Z451" s="1415"/>
      <c r="AA451" s="1415"/>
      <c r="AB451" s="1415"/>
      <c r="AC451" s="1415"/>
      <c r="AD451" s="1415"/>
      <c r="AE451" s="1415"/>
      <c r="AF451" s="1416"/>
      <c r="AG451" s="1470">
        <v>98531</v>
      </c>
      <c r="AH451" s="1470"/>
      <c r="AI451" s="1470"/>
      <c r="AJ451" s="1470"/>
    </row>
    <row r="452" spans="4:55" ht="13" customHeight="1">
      <c r="D452" s="1414" t="s">
        <v>1312</v>
      </c>
      <c r="E452" s="1415"/>
      <c r="F452" s="1415"/>
      <c r="G452" s="1415"/>
      <c r="H452" s="1415"/>
      <c r="I452" s="1415"/>
      <c r="J452" s="1415"/>
      <c r="K452" s="1415"/>
      <c r="L452" s="1415"/>
      <c r="M452" s="1415"/>
      <c r="N452" s="1415"/>
      <c r="O452" s="1415"/>
      <c r="P452" s="1415"/>
      <c r="Q452" s="1415"/>
      <c r="R452" s="1415"/>
      <c r="S452" s="1415"/>
      <c r="T452" s="1415"/>
      <c r="U452" s="1415"/>
      <c r="V452" s="1415"/>
      <c r="W452" s="1415"/>
      <c r="X452" s="1415"/>
      <c r="Y452" s="1415"/>
      <c r="Z452" s="1415"/>
      <c r="AA452" s="1415"/>
      <c r="AB452" s="1415"/>
      <c r="AC452" s="1415"/>
      <c r="AD452" s="1415"/>
      <c r="AE452" s="1415"/>
      <c r="AF452" s="1416"/>
      <c r="AG452" s="1470">
        <v>98531</v>
      </c>
      <c r="AH452" s="1470"/>
      <c r="AI452" s="1470"/>
      <c r="AJ452" s="1470"/>
    </row>
    <row r="453" spans="4:55" ht="13" customHeight="1">
      <c r="D453" s="1414" t="s">
        <v>1313</v>
      </c>
      <c r="E453" s="1415"/>
      <c r="F453" s="1415"/>
      <c r="G453" s="1415"/>
      <c r="H453" s="1415"/>
      <c r="I453" s="1415"/>
      <c r="J453" s="1415"/>
      <c r="K453" s="1415"/>
      <c r="L453" s="1415"/>
      <c r="M453" s="1415"/>
      <c r="N453" s="1415"/>
      <c r="O453" s="1415"/>
      <c r="P453" s="1415"/>
      <c r="Q453" s="1415"/>
      <c r="R453" s="1415"/>
      <c r="S453" s="1415"/>
      <c r="T453" s="1415"/>
      <c r="U453" s="1415"/>
      <c r="V453" s="1415"/>
      <c r="W453" s="1415"/>
      <c r="X453" s="1415"/>
      <c r="Y453" s="1415"/>
      <c r="Z453" s="1415"/>
      <c r="AA453" s="1415"/>
      <c r="AB453" s="1415"/>
      <c r="AC453" s="1415"/>
      <c r="AD453" s="1415"/>
      <c r="AE453" s="1415"/>
      <c r="AF453" s="1416"/>
      <c r="AG453" s="1360">
        <f>IF(ISERROR(AG452/AG451),0,AG452/AG451)</f>
        <v>1</v>
      </c>
      <c r="AH453" s="1360"/>
      <c r="AI453" s="1360"/>
      <c r="AJ453" s="1360"/>
    </row>
    <row r="454" spans="4:55" ht="13" customHeight="1">
      <c r="D454" s="1414" t="s">
        <v>1314</v>
      </c>
      <c r="E454" s="1415"/>
      <c r="F454" s="1415"/>
      <c r="G454" s="1415"/>
      <c r="H454" s="1415"/>
      <c r="I454" s="1415"/>
      <c r="J454" s="1415"/>
      <c r="K454" s="1415"/>
      <c r="L454" s="1415"/>
      <c r="M454" s="1415"/>
      <c r="N454" s="1415"/>
      <c r="O454" s="1415"/>
      <c r="P454" s="1415"/>
      <c r="Q454" s="1415"/>
      <c r="R454" s="1415"/>
      <c r="S454" s="1415"/>
      <c r="T454" s="1415"/>
      <c r="U454" s="1415"/>
      <c r="V454" s="1415"/>
      <c r="W454" s="1415"/>
      <c r="X454" s="1415"/>
      <c r="Y454" s="1415"/>
      <c r="Z454" s="1415"/>
      <c r="AA454" s="1415"/>
      <c r="AB454" s="1415"/>
      <c r="AC454" s="1415"/>
      <c r="AD454" s="1415"/>
      <c r="AE454" s="1415"/>
      <c r="AF454" s="1416"/>
      <c r="AG454" s="1360">
        <f>MIN(IF(AG450&gt;AG453,AG453,AG450),1)</f>
        <v>1</v>
      </c>
      <c r="AH454" s="1360"/>
      <c r="AI454" s="1360"/>
      <c r="AJ454" s="1360"/>
    </row>
    <row r="455" spans="4:55" ht="13" customHeight="1">
      <c r="D455" s="1414" t="s">
        <v>1315</v>
      </c>
      <c r="E455" s="1452"/>
      <c r="F455" s="1452"/>
      <c r="G455" s="1452"/>
      <c r="H455" s="1452"/>
      <c r="I455" s="1452"/>
      <c r="J455" s="1452"/>
      <c r="K455" s="1452"/>
      <c r="L455" s="1452"/>
      <c r="M455" s="1452"/>
      <c r="N455" s="1452"/>
      <c r="O455" s="1452"/>
      <c r="P455" s="1452"/>
      <c r="Q455" s="1452"/>
      <c r="R455" s="1452"/>
      <c r="S455" s="1452"/>
      <c r="T455" s="1452"/>
      <c r="U455" s="1452"/>
      <c r="V455" s="1452"/>
      <c r="W455" s="1452"/>
      <c r="X455" s="1452"/>
      <c r="Y455" s="1452"/>
      <c r="Z455" s="1452"/>
      <c r="AA455" s="1452"/>
      <c r="AB455" s="1452"/>
      <c r="AC455" s="1452"/>
      <c r="AD455" s="1452"/>
      <c r="AE455" s="1452"/>
      <c r="AF455" s="1453"/>
      <c r="AG455" s="1470">
        <v>4031</v>
      </c>
      <c r="AH455" s="1470"/>
      <c r="AI455" s="1470"/>
      <c r="AJ455" s="1470"/>
      <c r="AZ455" s="3"/>
      <c r="BA455" s="3"/>
      <c r="BB455" s="3"/>
      <c r="BC455" s="3"/>
    </row>
    <row r="456" spans="4:55" ht="13" customHeight="1">
      <c r="D456" s="1461" t="s">
        <v>1316</v>
      </c>
      <c r="E456" s="1452"/>
      <c r="F456" s="1452"/>
      <c r="G456" s="1452"/>
      <c r="H456" s="1452"/>
      <c r="I456" s="1452"/>
      <c r="J456" s="1452"/>
      <c r="K456" s="1452"/>
      <c r="L456" s="1452"/>
      <c r="M456" s="1452"/>
      <c r="N456" s="1452"/>
      <c r="O456" s="1452"/>
      <c r="P456" s="1452"/>
      <c r="Q456" s="1452"/>
      <c r="R456" s="1452"/>
      <c r="S456" s="1452"/>
      <c r="T456" s="1452"/>
      <c r="U456" s="1452"/>
      <c r="V456" s="1452"/>
      <c r="W456" s="1452"/>
      <c r="X456" s="1452"/>
      <c r="Y456" s="1452"/>
      <c r="Z456" s="1452"/>
      <c r="AA456" s="1452"/>
      <c r="AB456" s="1452"/>
      <c r="AC456" s="1452"/>
      <c r="AD456" s="1452"/>
      <c r="AE456" s="1452"/>
      <c r="AF456" s="1453"/>
      <c r="AG456" s="1470">
        <v>0</v>
      </c>
      <c r="AH456" s="1470"/>
      <c r="AI456" s="1470"/>
      <c r="AJ456" s="1470"/>
      <c r="AZ456" s="3"/>
      <c r="BA456" s="3"/>
      <c r="BB456" s="3"/>
      <c r="BC456" s="3"/>
    </row>
    <row r="457" spans="4:55" ht="13" customHeight="1">
      <c r="D457" s="1414" t="s">
        <v>1317</v>
      </c>
      <c r="E457" s="1452"/>
      <c r="F457" s="1452"/>
      <c r="G457" s="1452"/>
      <c r="H457" s="1452"/>
      <c r="I457" s="1452"/>
      <c r="J457" s="1452"/>
      <c r="K457" s="1452"/>
      <c r="L457" s="1452"/>
      <c r="M457" s="1452"/>
      <c r="N457" s="1452"/>
      <c r="O457" s="1452"/>
      <c r="P457" s="1452"/>
      <c r="Q457" s="1452"/>
      <c r="R457" s="1452"/>
      <c r="S457" s="1452"/>
      <c r="T457" s="1452"/>
      <c r="U457" s="1452"/>
      <c r="V457" s="1452"/>
      <c r="W457" s="1452"/>
      <c r="X457" s="1452"/>
      <c r="Y457" s="1452"/>
      <c r="Z457" s="1452"/>
      <c r="AA457" s="1452"/>
      <c r="AB457" s="1452"/>
      <c r="AC457" s="1452"/>
      <c r="AD457" s="1452"/>
      <c r="AE457" s="1452"/>
      <c r="AF457" s="1453"/>
      <c r="AG457" s="1470">
        <v>15469</v>
      </c>
      <c r="AH457" s="1470"/>
      <c r="AI457" s="1470"/>
      <c r="AJ457" s="1470"/>
      <c r="AZ457" s="3"/>
      <c r="BA457" s="3"/>
      <c r="BB457" s="3"/>
      <c r="BC457" s="3"/>
    </row>
    <row r="458" spans="4:55" ht="13" customHeight="1">
      <c r="D458" s="1414" t="s">
        <v>1318</v>
      </c>
      <c r="E458" s="1452"/>
      <c r="F458" s="1452"/>
      <c r="G458" s="1452"/>
      <c r="H458" s="1452"/>
      <c r="I458" s="1452"/>
      <c r="J458" s="1452"/>
      <c r="K458" s="1452"/>
      <c r="L458" s="1452"/>
      <c r="M458" s="1452"/>
      <c r="N458" s="1452"/>
      <c r="O458" s="1452"/>
      <c r="P458" s="1452"/>
      <c r="Q458" s="1452"/>
      <c r="R458" s="1452"/>
      <c r="S458" s="1452"/>
      <c r="T458" s="1452"/>
      <c r="U458" s="1452"/>
      <c r="V458" s="1452"/>
      <c r="W458" s="1452"/>
      <c r="X458" s="1452"/>
      <c r="Y458" s="1452"/>
      <c r="Z458" s="1452"/>
      <c r="AA458" s="1452"/>
      <c r="AB458" s="1452"/>
      <c r="AC458" s="1452"/>
      <c r="AD458" s="1452"/>
      <c r="AE458" s="1452"/>
      <c r="AF458" s="1453"/>
      <c r="AG458" s="1470">
        <v>34164</v>
      </c>
      <c r="AH458" s="1470"/>
      <c r="AI458" s="1470"/>
      <c r="AJ458" s="1470"/>
      <c r="BB458" s="3"/>
      <c r="BC458" s="3"/>
    </row>
    <row r="459" spans="4:55" ht="13" customHeight="1">
      <c r="D459" s="1458" t="s">
        <v>1319</v>
      </c>
      <c r="E459" s="1459"/>
      <c r="F459" s="1459"/>
      <c r="G459" s="1459"/>
      <c r="H459" s="1459"/>
      <c r="I459" s="1459"/>
      <c r="J459" s="1459"/>
      <c r="K459" s="1459"/>
      <c r="L459" s="1459"/>
      <c r="M459" s="1459"/>
      <c r="N459" s="1459"/>
      <c r="O459" s="1459"/>
      <c r="P459" s="1459"/>
      <c r="Q459" s="1459"/>
      <c r="R459" s="1459"/>
      <c r="S459" s="1459"/>
      <c r="T459" s="1459"/>
      <c r="U459" s="1459"/>
      <c r="V459" s="1459"/>
      <c r="W459" s="1459"/>
      <c r="X459" s="1459"/>
      <c r="Y459" s="1459"/>
      <c r="Z459" s="1459"/>
      <c r="AA459" s="1459"/>
      <c r="AB459" s="1459"/>
      <c r="AC459" s="1459"/>
      <c r="AD459" s="1459"/>
      <c r="AE459" s="1459"/>
      <c r="AF459" s="1460"/>
      <c r="AG459" s="1356">
        <f>AG451+AG455+AG457+AG458</f>
        <v>152195</v>
      </c>
      <c r="AH459" s="1356"/>
      <c r="AI459" s="1356"/>
      <c r="AJ459" s="1356"/>
      <c r="AZ459" s="3"/>
      <c r="BA459" s="3"/>
      <c r="BB459" s="3"/>
      <c r="BC459" s="3"/>
    </row>
    <row r="460" spans="4:55" ht="13" customHeight="1">
      <c r="D460" s="1525" t="s">
        <v>1320</v>
      </c>
      <c r="E460" s="1525"/>
      <c r="F460" s="1525"/>
      <c r="G460" s="1525"/>
      <c r="H460" s="1525"/>
      <c r="I460" s="1525"/>
      <c r="J460" s="1525"/>
      <c r="K460" s="1525"/>
      <c r="L460" s="1525"/>
      <c r="M460" s="1525"/>
      <c r="N460" s="1525"/>
      <c r="O460" s="1525"/>
      <c r="P460" s="1525"/>
      <c r="Q460" s="1525"/>
      <c r="R460" s="1525"/>
      <c r="S460" s="1525"/>
      <c r="T460" s="1525"/>
      <c r="U460" s="1525"/>
      <c r="V460" s="1525"/>
      <c r="W460" s="1525"/>
      <c r="X460" s="1525"/>
      <c r="Y460" s="1525"/>
      <c r="Z460" s="1525"/>
      <c r="AA460" s="1525"/>
      <c r="AB460" s="1525"/>
      <c r="AC460" s="1525"/>
      <c r="AD460" s="1525"/>
      <c r="AE460" s="1525"/>
      <c r="AF460" s="1525"/>
      <c r="AG460" s="1525"/>
      <c r="AH460" s="1525"/>
      <c r="AI460" s="1525"/>
      <c r="AJ460" s="1525"/>
      <c r="AZ460" s="3"/>
      <c r="BA460" s="3"/>
      <c r="BB460" s="3"/>
      <c r="BC460" s="3"/>
    </row>
    <row r="461" spans="4:55" ht="13" customHeight="1">
      <c r="D461" s="1526"/>
      <c r="E461" s="1526"/>
      <c r="F461" s="1526"/>
      <c r="G461" s="1526"/>
      <c r="H461" s="1526"/>
      <c r="I461" s="1526"/>
      <c r="J461" s="1526"/>
      <c r="K461" s="1526"/>
      <c r="L461" s="1526"/>
      <c r="M461" s="1526"/>
      <c r="N461" s="1526"/>
      <c r="O461" s="1526"/>
      <c r="P461" s="1526"/>
      <c r="Q461" s="1526"/>
      <c r="R461" s="1526"/>
      <c r="S461" s="1526"/>
      <c r="T461" s="1526"/>
      <c r="U461" s="1526"/>
      <c r="V461" s="1526"/>
      <c r="W461" s="1526"/>
      <c r="X461" s="1526"/>
      <c r="Y461" s="1526"/>
      <c r="Z461" s="1526"/>
      <c r="AA461" s="1526"/>
      <c r="AB461" s="1526"/>
      <c r="AC461" s="1526"/>
      <c r="AD461" s="1526"/>
      <c r="AE461" s="1526"/>
      <c r="AF461" s="1526"/>
      <c r="AG461" s="1526"/>
      <c r="AH461" s="1526"/>
      <c r="AI461" s="1526"/>
      <c r="AJ461" s="1526"/>
      <c r="AZ461" s="3"/>
      <c r="BA461" s="3"/>
      <c r="BB461" s="3"/>
      <c r="BC461" s="3"/>
    </row>
    <row r="462" spans="4:55" ht="13"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3" customHeight="1">
      <c r="D463" s="137" t="s">
        <v>1321</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93">
        <f>IF(AG446=0,"",'Sources and Uses Budget'!B105/Application!AG446)</f>
        <v>692986.25663716812</v>
      </c>
      <c r="AD463" s="1393"/>
      <c r="AE463" s="1393"/>
      <c r="AF463" s="1393"/>
      <c r="AG463" s="415"/>
      <c r="AH463" s="415"/>
      <c r="AI463" s="415"/>
      <c r="AJ463" s="860"/>
      <c r="AZ463" s="3"/>
      <c r="BA463" s="3" t="str">
        <f>AG583</f>
        <v>Yes</v>
      </c>
      <c r="BB463" s="3"/>
      <c r="BC463" s="3"/>
    </row>
    <row r="464" spans="4:55" ht="13" customHeight="1">
      <c r="D464" s="137" t="s">
        <v>1322</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93">
        <f>IF(AG446=0,"",'Sources and Uses Budget'!C105/Application!AG446)</f>
        <v>692986.25663716812</v>
      </c>
      <c r="AD464" s="1393"/>
      <c r="AE464" s="1393"/>
      <c r="AF464" s="1393"/>
      <c r="AG464" s="415"/>
      <c r="AH464" s="415"/>
      <c r="AI464" s="415"/>
      <c r="AJ464" s="860"/>
      <c r="AZ464" s="3"/>
      <c r="BA464" s="3"/>
      <c r="BB464" s="3"/>
      <c r="BC464" s="3"/>
    </row>
    <row r="465" spans="1:55" ht="13" customHeight="1">
      <c r="D465" s="137" t="s">
        <v>1323</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93">
        <f>IF(AG446=0,"",('Sources and Uses Budget'!$S$107+'Sources and Uses Budget'!$T$107)/Application!AG446)</f>
        <v>636084.65486725664</v>
      </c>
      <c r="AD465" s="1393"/>
      <c r="AE465" s="1393"/>
      <c r="AF465" s="1393"/>
      <c r="AG465" s="415"/>
      <c r="AH465" s="415"/>
      <c r="AI465" s="415"/>
      <c r="AJ465" s="860"/>
      <c r="AZ465" s="3"/>
      <c r="BA465" s="3"/>
      <c r="BB465" s="3"/>
      <c r="BC465" s="3"/>
    </row>
    <row r="466" spans="1:55" ht="13"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3" customHeight="1">
      <c r="A467" s="2" t="s">
        <v>1324</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3" customHeight="1">
      <c r="D468" s="127" t="s">
        <v>1325</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3" customHeight="1">
      <c r="D469" s="127" t="s">
        <v>1326</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3" customHeight="1">
      <c r="D470" s="127" t="s">
        <v>1327</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3"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3" customHeight="1">
      <c r="A472" s="3"/>
      <c r="B472" s="3"/>
      <c r="C472" s="3"/>
      <c r="D472" s="127" t="s">
        <v>1328</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3" customHeight="1">
      <c r="A473" s="3"/>
      <c r="B473" s="3"/>
      <c r="C473" s="3"/>
      <c r="D473" s="1357" t="s">
        <v>1329</v>
      </c>
      <c r="E473" s="1358"/>
      <c r="F473" s="1358"/>
      <c r="G473" s="1358"/>
      <c r="H473" s="1358"/>
      <c r="I473" s="1358"/>
      <c r="J473" s="1358"/>
      <c r="K473" s="1358"/>
      <c r="L473" s="1358"/>
      <c r="M473" s="1358"/>
      <c r="N473" s="1358"/>
      <c r="O473" s="1358"/>
      <c r="P473" s="1358"/>
      <c r="Q473" s="1358"/>
      <c r="R473" s="1358"/>
      <c r="S473" s="1358"/>
      <c r="T473" s="1358"/>
      <c r="U473" s="1358"/>
      <c r="V473" s="1359"/>
      <c r="W473" s="1365">
        <v>0</v>
      </c>
      <c r="X473" s="1366"/>
      <c r="Y473" s="1367"/>
      <c r="Z473" s="127"/>
      <c r="AA473" s="127"/>
      <c r="AB473" s="127"/>
      <c r="AC473" s="127"/>
      <c r="AD473" s="415"/>
      <c r="AE473" s="415"/>
      <c r="AF473" s="415"/>
      <c r="AG473" s="415"/>
      <c r="AH473" s="415"/>
      <c r="AI473" s="415"/>
      <c r="AJ473" s="860"/>
      <c r="AZ473" s="3"/>
      <c r="BA473" s="3"/>
      <c r="BB473" s="3"/>
      <c r="BC473" s="3"/>
    </row>
    <row r="474" spans="1:55" ht="13" customHeight="1">
      <c r="A474" s="3"/>
      <c r="B474" s="3"/>
      <c r="C474" s="3"/>
      <c r="D474" s="1357" t="s">
        <v>1330</v>
      </c>
      <c r="E474" s="1358"/>
      <c r="F474" s="1358"/>
      <c r="G474" s="1358"/>
      <c r="H474" s="1358"/>
      <c r="I474" s="1358"/>
      <c r="J474" s="1358"/>
      <c r="K474" s="1358"/>
      <c r="L474" s="1358"/>
      <c r="M474" s="1358"/>
      <c r="N474" s="1358"/>
      <c r="O474" s="1358"/>
      <c r="P474" s="1358"/>
      <c r="Q474" s="1358"/>
      <c r="R474" s="1358"/>
      <c r="S474" s="1358"/>
      <c r="T474" s="1358"/>
      <c r="U474" s="1358"/>
      <c r="V474" s="1359"/>
      <c r="W474" s="1365">
        <v>0</v>
      </c>
      <c r="X474" s="1366"/>
      <c r="Y474" s="1367"/>
      <c r="Z474" s="127"/>
      <c r="AA474" s="127"/>
      <c r="AB474" s="127"/>
      <c r="AC474" s="127"/>
      <c r="AD474" s="415"/>
      <c r="AE474" s="415"/>
      <c r="AF474" s="415"/>
      <c r="AG474" s="415"/>
      <c r="AH474" s="415"/>
      <c r="AI474" s="415"/>
      <c r="AJ474" s="860"/>
      <c r="AZ474" s="3"/>
      <c r="BA474" s="3"/>
      <c r="BB474" s="3"/>
      <c r="BC474" s="3"/>
    </row>
    <row r="475" spans="1:55" ht="13" customHeight="1">
      <c r="A475" s="3"/>
      <c r="B475" s="3"/>
      <c r="C475" s="3"/>
      <c r="D475" s="1357" t="s">
        <v>1331</v>
      </c>
      <c r="E475" s="1358"/>
      <c r="F475" s="1358"/>
      <c r="G475" s="1358"/>
      <c r="H475" s="1358"/>
      <c r="I475" s="1358"/>
      <c r="J475" s="1358"/>
      <c r="K475" s="1358"/>
      <c r="L475" s="1358"/>
      <c r="M475" s="1358"/>
      <c r="N475" s="1358"/>
      <c r="O475" s="1358"/>
      <c r="P475" s="1358"/>
      <c r="Q475" s="1358"/>
      <c r="R475" s="1358"/>
      <c r="S475" s="1358"/>
      <c r="T475" s="1358"/>
      <c r="U475" s="1358"/>
      <c r="V475" s="1359"/>
      <c r="W475" s="1365">
        <v>0</v>
      </c>
      <c r="X475" s="1366"/>
      <c r="Y475" s="1367"/>
      <c r="Z475" s="127"/>
      <c r="AA475" s="127"/>
      <c r="AB475" s="127"/>
      <c r="AC475" s="127"/>
      <c r="AD475" s="415"/>
      <c r="AE475" s="415"/>
      <c r="AF475" s="415"/>
      <c r="AG475" s="415"/>
      <c r="AH475" s="415"/>
      <c r="AI475" s="415"/>
      <c r="AJ475" s="860"/>
      <c r="AZ475" s="3"/>
      <c r="BA475" s="3"/>
      <c r="BB475" s="3"/>
      <c r="BC475" s="3"/>
    </row>
    <row r="476" spans="1:55" ht="13" customHeight="1">
      <c r="A476" s="3"/>
      <c r="B476" s="3"/>
      <c r="C476" s="3"/>
      <c r="D476" s="1357" t="s">
        <v>1332</v>
      </c>
      <c r="E476" s="1358"/>
      <c r="F476" s="1358"/>
      <c r="G476" s="1358"/>
      <c r="H476" s="1358"/>
      <c r="I476" s="1358"/>
      <c r="J476" s="1358"/>
      <c r="K476" s="1358"/>
      <c r="L476" s="1358"/>
      <c r="M476" s="1358"/>
      <c r="N476" s="1358"/>
      <c r="O476" s="1358"/>
      <c r="P476" s="1358"/>
      <c r="Q476" s="1358"/>
      <c r="R476" s="1358"/>
      <c r="S476" s="1358"/>
      <c r="T476" s="1358"/>
      <c r="U476" s="1358"/>
      <c r="V476" s="1359"/>
      <c r="W476" s="1365">
        <v>0</v>
      </c>
      <c r="X476" s="1366"/>
      <c r="Y476" s="1367"/>
      <c r="Z476" s="127"/>
      <c r="AA476" s="127"/>
      <c r="AB476" s="127"/>
      <c r="AC476" s="127"/>
      <c r="AD476" s="415"/>
      <c r="AE476" s="415"/>
      <c r="AF476" s="415"/>
      <c r="AG476" s="415"/>
      <c r="AH476" s="415"/>
      <c r="AI476" s="415"/>
      <c r="AJ476" s="860"/>
      <c r="AZ476" s="3"/>
      <c r="BA476" s="3"/>
      <c r="BB476" s="3"/>
      <c r="BC476" s="3"/>
    </row>
    <row r="477" spans="1:55" ht="13" customHeight="1">
      <c r="A477" s="3"/>
      <c r="B477" s="3"/>
      <c r="C477" s="3"/>
      <c r="D477" s="1357" t="s">
        <v>1333</v>
      </c>
      <c r="E477" s="1358"/>
      <c r="F477" s="1358"/>
      <c r="G477" s="1358"/>
      <c r="H477" s="1358"/>
      <c r="I477" s="1358"/>
      <c r="J477" s="1358"/>
      <c r="K477" s="1358"/>
      <c r="L477" s="1358"/>
      <c r="M477" s="1358"/>
      <c r="N477" s="1358"/>
      <c r="O477" s="1358"/>
      <c r="P477" s="1358"/>
      <c r="Q477" s="1358"/>
      <c r="R477" s="1358"/>
      <c r="S477" s="1358"/>
      <c r="T477" s="1358"/>
      <c r="U477" s="1358"/>
      <c r="V477" s="1359"/>
      <c r="W477" s="1365">
        <v>0</v>
      </c>
      <c r="X477" s="1366"/>
      <c r="Y477" s="1367"/>
      <c r="Z477" s="127"/>
      <c r="AA477" s="127"/>
      <c r="AB477" s="127"/>
      <c r="AC477" s="127"/>
      <c r="AD477" s="415"/>
      <c r="AE477" s="415"/>
      <c r="AF477" s="415"/>
      <c r="AG477" s="415"/>
      <c r="AH477" s="415"/>
      <c r="AI477" s="415"/>
      <c r="AJ477" s="860"/>
      <c r="AZ477" s="3"/>
      <c r="BA477" s="3" t="str">
        <f>N599</f>
        <v>Yes</v>
      </c>
      <c r="BB477" s="3"/>
      <c r="BC477" s="3"/>
    </row>
    <row r="478" spans="1:55" ht="13" customHeight="1">
      <c r="A478" s="3"/>
      <c r="B478" s="3"/>
      <c r="C478" s="3"/>
      <c r="D478" s="1357" t="s">
        <v>1334</v>
      </c>
      <c r="E478" s="1358"/>
      <c r="F478" s="1358"/>
      <c r="G478" s="1358"/>
      <c r="H478" s="1358"/>
      <c r="I478" s="1358"/>
      <c r="J478" s="1358"/>
      <c r="K478" s="1358"/>
      <c r="L478" s="1358"/>
      <c r="M478" s="1358"/>
      <c r="N478" s="1358"/>
      <c r="O478" s="1358"/>
      <c r="P478" s="1358"/>
      <c r="Q478" s="1358"/>
      <c r="R478" s="1358"/>
      <c r="S478" s="1358"/>
      <c r="T478" s="1358"/>
      <c r="U478" s="1358"/>
      <c r="V478" s="1359"/>
      <c r="W478" s="1365">
        <v>0</v>
      </c>
      <c r="X478" s="1366"/>
      <c r="Y478" s="1367"/>
      <c r="Z478" s="127"/>
      <c r="AA478" s="127"/>
      <c r="AB478" s="127"/>
      <c r="AC478" s="127"/>
      <c r="AD478" s="415"/>
      <c r="AE478" s="415"/>
      <c r="AF478" s="415"/>
      <c r="AG478" s="415"/>
      <c r="AH478" s="415"/>
      <c r="AI478" s="415"/>
      <c r="AJ478" s="860"/>
      <c r="AZ478" s="3"/>
      <c r="BA478" s="3" t="str">
        <f>AG599</f>
        <v>Yes</v>
      </c>
      <c r="BB478" s="3"/>
      <c r="BC478" s="3"/>
    </row>
    <row r="479" spans="1:55" ht="13" customHeight="1">
      <c r="A479" s="3"/>
      <c r="B479" s="3"/>
      <c r="C479" s="3"/>
      <c r="D479" s="1357" t="s">
        <v>1335</v>
      </c>
      <c r="E479" s="1358"/>
      <c r="F479" s="1358"/>
      <c r="G479" s="1358"/>
      <c r="H479" s="1358"/>
      <c r="I479" s="1358"/>
      <c r="J479" s="1358"/>
      <c r="K479" s="1358"/>
      <c r="L479" s="1358"/>
      <c r="M479" s="1358"/>
      <c r="N479" s="1358"/>
      <c r="O479" s="1358"/>
      <c r="P479" s="1358"/>
      <c r="Q479" s="1358"/>
      <c r="R479" s="1358"/>
      <c r="S479" s="1358"/>
      <c r="T479" s="1358"/>
      <c r="U479" s="1358"/>
      <c r="V479" s="1359"/>
      <c r="W479" s="1365">
        <v>0</v>
      </c>
      <c r="X479" s="1366"/>
      <c r="Y479" s="1367"/>
      <c r="Z479" s="127"/>
      <c r="AA479" s="127"/>
      <c r="AB479" s="127"/>
      <c r="AC479" s="127"/>
      <c r="AD479" s="415"/>
      <c r="AE479" s="415"/>
      <c r="AF479" s="415"/>
      <c r="AG479" s="415"/>
      <c r="AH479" s="415"/>
      <c r="AI479" s="415"/>
      <c r="AJ479" s="860"/>
      <c r="AZ479" s="3"/>
      <c r="BA479" s="3"/>
      <c r="BB479" s="3"/>
      <c r="BC479" s="3"/>
    </row>
    <row r="480" spans="1:55" ht="13" customHeight="1">
      <c r="A480" s="3"/>
      <c r="B480" s="3"/>
      <c r="C480" s="3"/>
      <c r="D480" s="1357" t="s">
        <v>1336</v>
      </c>
      <c r="E480" s="1358"/>
      <c r="F480" s="1358"/>
      <c r="G480" s="1358"/>
      <c r="H480" s="1358"/>
      <c r="I480" s="1358"/>
      <c r="J480" s="1358"/>
      <c r="K480" s="1358"/>
      <c r="L480" s="1358"/>
      <c r="M480" s="1358"/>
      <c r="N480" s="1358"/>
      <c r="O480" s="1358"/>
      <c r="P480" s="1358"/>
      <c r="Q480" s="1358"/>
      <c r="R480" s="1358"/>
      <c r="S480" s="1358"/>
      <c r="T480" s="1358"/>
      <c r="U480" s="1358"/>
      <c r="V480" s="1359"/>
      <c r="W480" s="1365">
        <v>0</v>
      </c>
      <c r="X480" s="1366"/>
      <c r="Y480" s="1367"/>
      <c r="Z480" s="127"/>
      <c r="AA480" s="127"/>
      <c r="AB480" s="127"/>
      <c r="AC480" s="127"/>
      <c r="AD480" s="415"/>
      <c r="AE480" s="415"/>
      <c r="AF480" s="415"/>
      <c r="AG480" s="415"/>
      <c r="AH480" s="415"/>
      <c r="AI480" s="415"/>
      <c r="AJ480" s="860"/>
      <c r="AZ480" s="3"/>
      <c r="BA480" s="3"/>
      <c r="BB480" s="3"/>
      <c r="BC480" s="3"/>
    </row>
    <row r="481" spans="1:55" ht="13" customHeight="1">
      <c r="A481" s="3"/>
      <c r="B481" s="3"/>
      <c r="C481" s="3"/>
      <c r="D481" s="1357" t="s">
        <v>1337</v>
      </c>
      <c r="E481" s="1358"/>
      <c r="F481" s="1358"/>
      <c r="G481" s="1358"/>
      <c r="H481" s="1358"/>
      <c r="I481" s="1358"/>
      <c r="J481" s="1358"/>
      <c r="K481" s="1358"/>
      <c r="L481" s="1358"/>
      <c r="M481" s="1358"/>
      <c r="N481" s="1358"/>
      <c r="O481" s="1358"/>
      <c r="P481" s="1358"/>
      <c r="Q481" s="1358"/>
      <c r="R481" s="1358"/>
      <c r="S481" s="1358"/>
      <c r="T481" s="1358"/>
      <c r="U481" s="1358"/>
      <c r="V481" s="1359"/>
      <c r="W481" s="1365">
        <v>17</v>
      </c>
      <c r="X481" s="1366"/>
      <c r="Y481" s="1367"/>
      <c r="Z481" s="127"/>
      <c r="AA481" s="127"/>
      <c r="AB481" s="127"/>
      <c r="AC481" s="127"/>
      <c r="AD481" s="415"/>
      <c r="AE481" s="415"/>
      <c r="AF481" s="415"/>
      <c r="AG481" s="415"/>
      <c r="AH481" s="415"/>
      <c r="AI481" s="415"/>
      <c r="AJ481" s="860"/>
      <c r="AZ481" s="3"/>
      <c r="BA481" s="3"/>
      <c r="BB481" s="3"/>
      <c r="BC481" s="3"/>
    </row>
    <row r="482" spans="1:55" ht="13" customHeight="1">
      <c r="A482" s="3"/>
      <c r="B482" s="3"/>
      <c r="C482" s="3"/>
      <c r="D482" s="1168" t="s">
        <v>233</v>
      </c>
      <c r="E482" s="1169"/>
      <c r="F482" s="1170"/>
      <c r="G482" s="1626"/>
      <c r="H482" s="1627"/>
      <c r="I482" s="1627"/>
      <c r="J482" s="1627"/>
      <c r="K482" s="1627"/>
      <c r="L482" s="1627"/>
      <c r="M482" s="1627"/>
      <c r="N482" s="1627"/>
      <c r="O482" s="1627"/>
      <c r="P482" s="1627"/>
      <c r="Q482" s="1627"/>
      <c r="R482" s="1627"/>
      <c r="S482" s="1627"/>
      <c r="T482" s="1627"/>
      <c r="U482" s="1627"/>
      <c r="V482" s="1628"/>
      <c r="W482" s="1365">
        <v>0</v>
      </c>
      <c r="X482" s="1366"/>
      <c r="Y482" s="1367"/>
      <c r="Z482" s="127"/>
      <c r="AA482" s="127"/>
      <c r="AB482" s="127"/>
      <c r="AC482" s="127"/>
      <c r="AD482" s="415"/>
      <c r="AE482" s="415"/>
      <c r="AF482" s="415"/>
      <c r="AG482" s="415"/>
      <c r="AH482" s="415"/>
      <c r="AI482" s="415"/>
      <c r="AJ482" s="860"/>
      <c r="AZ482" s="3"/>
      <c r="BA482" s="3"/>
      <c r="BB482" s="3"/>
      <c r="BC482" s="3"/>
    </row>
    <row r="483" spans="1:55" ht="13" customHeight="1">
      <c r="A483" s="3"/>
      <c r="B483" s="3"/>
      <c r="C483" s="3"/>
      <c r="D483" s="1171" t="s">
        <v>1338</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3"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3"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3"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3" customHeight="1">
      <c r="AU487" s="70"/>
      <c r="AV487" s="70"/>
      <c r="AW487" s="70"/>
      <c r="AX487" s="70"/>
      <c r="AY487" s="70"/>
      <c r="AZ487" s="3"/>
      <c r="BA487" s="3" t="str">
        <f>AG607</f>
        <v>No</v>
      </c>
      <c r="BB487" s="3"/>
      <c r="BC487" s="3"/>
    </row>
    <row r="488" spans="1:55" ht="13" customHeight="1">
      <c r="A488" s="1487" t="s">
        <v>1339</v>
      </c>
      <c r="B488" s="1487"/>
      <c r="C488" s="1487"/>
      <c r="D488" s="1487"/>
      <c r="E488" s="1487"/>
      <c r="F488" s="1487"/>
      <c r="G488" s="1487"/>
      <c r="H488" s="1487"/>
      <c r="I488" s="1487"/>
      <c r="J488" s="1487"/>
      <c r="K488" s="1487"/>
      <c r="L488" s="1487"/>
      <c r="M488" s="1487"/>
      <c r="N488" s="1487"/>
      <c r="O488" s="1487"/>
      <c r="P488" s="1487"/>
      <c r="Q488" s="1487"/>
      <c r="R488" s="1487"/>
      <c r="S488" s="1487"/>
      <c r="T488" s="1487"/>
      <c r="U488" s="1487"/>
      <c r="V488" s="1487"/>
      <c r="W488" s="1487"/>
      <c r="X488" s="1487"/>
      <c r="Y488" s="1487"/>
      <c r="Z488" s="1487"/>
      <c r="AA488" s="1487"/>
      <c r="AB488" s="1487"/>
      <c r="AC488" s="1487"/>
      <c r="AD488" s="1487"/>
      <c r="AE488" s="1487"/>
      <c r="AF488" s="1487"/>
      <c r="AG488" s="1487"/>
      <c r="AH488" s="1487"/>
      <c r="AI488" s="1487"/>
      <c r="AJ488" s="1487"/>
      <c r="AK488" s="1487"/>
      <c r="AL488" s="1487"/>
      <c r="AM488" s="1487"/>
      <c r="AN488" s="1487"/>
      <c r="AO488" s="1487"/>
      <c r="AP488" s="1487"/>
      <c r="AQ488" s="1487"/>
      <c r="AR488" s="1487"/>
      <c r="AS488" s="1487"/>
      <c r="AT488" s="1487"/>
      <c r="AU488" s="70"/>
      <c r="AV488" s="70"/>
      <c r="AW488" s="70"/>
      <c r="AX488" s="70"/>
      <c r="AY488" s="70"/>
      <c r="AZ488" s="3"/>
      <c r="BB488" s="3"/>
      <c r="BC488" s="3"/>
    </row>
    <row r="489" spans="1:55" ht="13" customHeight="1">
      <c r="A489" s="1487"/>
      <c r="B489" s="1487"/>
      <c r="C489" s="1487"/>
      <c r="D489" s="1487"/>
      <c r="E489" s="1487"/>
      <c r="F489" s="1487"/>
      <c r="G489" s="1487"/>
      <c r="H489" s="1487"/>
      <c r="I489" s="1487"/>
      <c r="J489" s="1487"/>
      <c r="K489" s="1487"/>
      <c r="L489" s="1487"/>
      <c r="M489" s="1487"/>
      <c r="N489" s="1487"/>
      <c r="O489" s="1487"/>
      <c r="P489" s="1487"/>
      <c r="Q489" s="1487"/>
      <c r="R489" s="1487"/>
      <c r="S489" s="1487"/>
      <c r="T489" s="1487"/>
      <c r="U489" s="1487"/>
      <c r="V489" s="1487"/>
      <c r="W489" s="1487"/>
      <c r="X489" s="1487"/>
      <c r="Y489" s="1487"/>
      <c r="Z489" s="1487"/>
      <c r="AA489" s="1487"/>
      <c r="AB489" s="1487"/>
      <c r="AC489" s="1487"/>
      <c r="AD489" s="1487"/>
      <c r="AE489" s="1487"/>
      <c r="AF489" s="1487"/>
      <c r="AG489" s="1487"/>
      <c r="AH489" s="1487"/>
      <c r="AI489" s="1487"/>
      <c r="AJ489" s="1487"/>
      <c r="AK489" s="1487"/>
      <c r="AL489" s="1487"/>
      <c r="AM489" s="1487"/>
      <c r="AN489" s="1487"/>
      <c r="AO489" s="1487"/>
      <c r="AP489" s="1487"/>
      <c r="AQ489" s="1487"/>
      <c r="AR489" s="1487"/>
      <c r="AS489" s="1487"/>
      <c r="AT489" s="1487"/>
      <c r="AZ489" s="3"/>
      <c r="BB489" s="3"/>
      <c r="BC489" s="3"/>
    </row>
    <row r="490" spans="1:55" ht="13" customHeight="1">
      <c r="AZ490" s="3"/>
      <c r="BB490" s="3"/>
      <c r="BC490" s="3"/>
    </row>
    <row r="491" spans="1:55" ht="13" customHeight="1">
      <c r="A491" s="2" t="s">
        <v>887</v>
      </c>
      <c r="C491" s="2" t="s">
        <v>165</v>
      </c>
      <c r="AZ491" s="3"/>
      <c r="BB491" s="3"/>
      <c r="BC491" s="3"/>
    </row>
    <row r="492" spans="1:55" ht="13" customHeight="1">
      <c r="AZ492" s="3"/>
      <c r="BB492" s="3"/>
      <c r="BC492" s="3"/>
    </row>
    <row r="493" spans="1:55" ht="13" customHeight="1">
      <c r="B493" s="37"/>
      <c r="C493" s="5"/>
      <c r="D493" s="5"/>
      <c r="E493" s="5"/>
      <c r="F493" s="5"/>
      <c r="G493" s="5"/>
      <c r="H493" s="5"/>
      <c r="I493" s="5"/>
      <c r="J493" s="5"/>
      <c r="K493" s="5"/>
      <c r="L493" s="5"/>
      <c r="M493" s="5"/>
      <c r="N493" s="5"/>
      <c r="O493" s="5"/>
      <c r="P493" s="38"/>
      <c r="Q493" s="1423" t="s">
        <v>1340</v>
      </c>
      <c r="R493" s="1424"/>
      <c r="S493" s="1424"/>
      <c r="T493" s="1424"/>
      <c r="U493" s="1424"/>
      <c r="V493" s="1424"/>
      <c r="W493" s="1424"/>
      <c r="X493" s="1424"/>
      <c r="Y493" s="1424"/>
      <c r="Z493" s="1424"/>
      <c r="AA493" s="1424"/>
      <c r="AB493" s="1424"/>
      <c r="AC493" s="1424"/>
      <c r="AD493" s="1424"/>
      <c r="AE493" s="1424"/>
      <c r="AF493" s="1424"/>
      <c r="AG493" s="1424"/>
      <c r="AH493" s="1424"/>
      <c r="AI493" s="1424"/>
      <c r="AJ493" s="1424"/>
      <c r="AK493" s="1457"/>
      <c r="AZ493" s="3"/>
      <c r="BB493" s="3"/>
      <c r="BC493" s="3"/>
    </row>
    <row r="494" spans="1:55" ht="13" customHeight="1">
      <c r="B494" s="37" t="s">
        <v>1341</v>
      </c>
      <c r="C494" s="5"/>
      <c r="D494" s="5"/>
      <c r="E494" s="5"/>
      <c r="F494" s="5"/>
      <c r="G494" s="5"/>
      <c r="H494" s="5"/>
      <c r="I494" s="5"/>
      <c r="J494" s="5"/>
      <c r="K494" s="5"/>
      <c r="L494" s="5"/>
      <c r="M494" s="5"/>
      <c r="N494" s="5"/>
      <c r="O494" s="5"/>
      <c r="P494" s="5"/>
      <c r="Q494" s="1411" t="s">
        <v>1342</v>
      </c>
      <c r="R494" s="1412"/>
      <c r="S494" s="1412"/>
      <c r="T494" s="1412"/>
      <c r="U494" s="1412"/>
      <c r="V494" s="1412"/>
      <c r="W494" s="1412"/>
      <c r="X494" s="1412"/>
      <c r="Y494" s="1412"/>
      <c r="Z494" s="1412"/>
      <c r="AA494" s="1412"/>
      <c r="AB494" s="1412"/>
      <c r="AC494" s="1412"/>
      <c r="AD494" s="1412"/>
      <c r="AE494" s="1412"/>
      <c r="AF494" s="1412"/>
      <c r="AG494" s="1412"/>
      <c r="AH494" s="1412"/>
      <c r="AI494" s="1412"/>
      <c r="AJ494" s="1412"/>
      <c r="AK494" s="1413"/>
      <c r="AZ494" s="3"/>
      <c r="BB494" s="3"/>
      <c r="BC494" s="3"/>
    </row>
    <row r="495" spans="1:55" ht="13" customHeight="1">
      <c r="B495" s="37" t="s">
        <v>1343</v>
      </c>
      <c r="C495" s="5"/>
      <c r="D495" s="5"/>
      <c r="E495" s="5"/>
      <c r="F495" s="5"/>
      <c r="G495" s="5"/>
      <c r="H495" s="5"/>
      <c r="I495" s="5"/>
      <c r="J495" s="5"/>
      <c r="K495" s="5"/>
      <c r="L495" s="5"/>
      <c r="M495" s="5"/>
      <c r="N495" s="5"/>
      <c r="O495" s="5"/>
      <c r="P495" s="5"/>
      <c r="Q495" s="1411" t="s">
        <v>1344</v>
      </c>
      <c r="R495" s="1412"/>
      <c r="S495" s="1412"/>
      <c r="T495" s="1412"/>
      <c r="U495" s="1412"/>
      <c r="V495" s="1412"/>
      <c r="W495" s="1412"/>
      <c r="X495" s="1412"/>
      <c r="Y495" s="1412"/>
      <c r="Z495" s="1412"/>
      <c r="AA495" s="1412"/>
      <c r="AB495" s="1412"/>
      <c r="AC495" s="1412"/>
      <c r="AD495" s="1412"/>
      <c r="AE495" s="1412"/>
      <c r="AF495" s="1412"/>
      <c r="AG495" s="1412"/>
      <c r="AH495" s="1412"/>
      <c r="AI495" s="1412"/>
      <c r="AJ495" s="1412"/>
      <c r="AK495" s="1413"/>
      <c r="AZ495" s="3"/>
      <c r="BB495" s="3"/>
      <c r="BC495" s="3"/>
    </row>
    <row r="496" spans="1:55" ht="13" customHeight="1">
      <c r="B496" s="37" t="s">
        <v>1345</v>
      </c>
      <c r="C496" s="5"/>
      <c r="D496" s="5"/>
      <c r="E496" s="5"/>
      <c r="F496" s="5"/>
      <c r="G496" s="5"/>
      <c r="H496" s="5"/>
      <c r="I496" s="5"/>
      <c r="J496" s="5"/>
      <c r="K496" s="5"/>
      <c r="L496" s="5"/>
      <c r="M496" s="5"/>
      <c r="N496" s="5"/>
      <c r="O496" s="5"/>
      <c r="P496" s="5"/>
      <c r="Q496" s="1411" t="s">
        <v>1346</v>
      </c>
      <c r="R496" s="1412"/>
      <c r="S496" s="1412"/>
      <c r="T496" s="1412"/>
      <c r="U496" s="1412"/>
      <c r="V496" s="1412"/>
      <c r="W496" s="1412"/>
      <c r="X496" s="1412"/>
      <c r="Y496" s="1412"/>
      <c r="Z496" s="1412"/>
      <c r="AA496" s="1412"/>
      <c r="AB496" s="1412"/>
      <c r="AC496" s="1412"/>
      <c r="AD496" s="1412"/>
      <c r="AE496" s="1412"/>
      <c r="AF496" s="1412"/>
      <c r="AG496" s="1412"/>
      <c r="AH496" s="1412"/>
      <c r="AI496" s="1412"/>
      <c r="AJ496" s="1412"/>
      <c r="AK496" s="1413"/>
      <c r="AZ496" s="3"/>
      <c r="BA496" s="3"/>
      <c r="BB496" s="3"/>
      <c r="BC496" s="3"/>
    </row>
    <row r="497" spans="1:66" ht="13" customHeight="1">
      <c r="B497" s="1401" t="s">
        <v>1347</v>
      </c>
      <c r="C497" s="1402"/>
      <c r="D497" s="1402"/>
      <c r="E497" s="1402"/>
      <c r="F497" s="1402"/>
      <c r="G497" s="1402"/>
      <c r="H497" s="1402"/>
      <c r="I497" s="1402"/>
      <c r="J497" s="1402"/>
      <c r="K497" s="1402"/>
      <c r="L497" s="1402"/>
      <c r="M497" s="1402"/>
      <c r="N497" s="1402"/>
      <c r="O497" s="1402"/>
      <c r="P497" s="1403"/>
      <c r="Q497" s="1407" t="s">
        <v>700</v>
      </c>
      <c r="R497" s="1408"/>
      <c r="S497" s="1527" t="s">
        <v>1348</v>
      </c>
      <c r="T497" s="1528"/>
      <c r="U497" s="1528"/>
      <c r="V497" s="1528"/>
      <c r="W497" s="1528"/>
      <c r="X497" s="1528"/>
      <c r="Y497" s="1528"/>
      <c r="Z497" s="1528"/>
      <c r="AA497" s="1528"/>
      <c r="AB497" s="1528"/>
      <c r="AC497" s="1528"/>
      <c r="AD497" s="1528"/>
      <c r="AE497" s="1528"/>
      <c r="AF497" s="1528"/>
      <c r="AG497" s="1528"/>
      <c r="AH497" s="1528"/>
      <c r="AI497" s="1528"/>
      <c r="AJ497" s="1528"/>
      <c r="AK497" s="1529"/>
      <c r="AZ497" s="3"/>
      <c r="BA497" s="3"/>
      <c r="BB497" s="3"/>
      <c r="BC497" s="3"/>
    </row>
    <row r="498" spans="1:66" ht="13" customHeight="1">
      <c r="B498" s="1404"/>
      <c r="C498" s="1405"/>
      <c r="D498" s="1405"/>
      <c r="E498" s="1405"/>
      <c r="F498" s="1405"/>
      <c r="G498" s="1405"/>
      <c r="H498" s="1405"/>
      <c r="I498" s="1405"/>
      <c r="J498" s="1405"/>
      <c r="K498" s="1405"/>
      <c r="L498" s="1405"/>
      <c r="M498" s="1405"/>
      <c r="N498" s="1405"/>
      <c r="O498" s="1405"/>
      <c r="P498" s="1406"/>
      <c r="Q498" s="1409"/>
      <c r="R498" s="1410"/>
      <c r="S498" s="1530"/>
      <c r="T498" s="1480"/>
      <c r="U498" s="1480"/>
      <c r="V498" s="1480"/>
      <c r="W498" s="1480"/>
      <c r="X498" s="1480"/>
      <c r="Y498" s="1480"/>
      <c r="Z498" s="1480"/>
      <c r="AA498" s="1480"/>
      <c r="AB498" s="1480"/>
      <c r="AC498" s="1480"/>
      <c r="AD498" s="1480"/>
      <c r="AE498" s="1480"/>
      <c r="AF498" s="1480"/>
      <c r="AG498" s="1480"/>
      <c r="AH498" s="1480"/>
      <c r="AI498" s="1480"/>
      <c r="AJ498" s="1480"/>
      <c r="AK498" s="1531"/>
      <c r="AZ498" s="3"/>
      <c r="BA498" s="3"/>
      <c r="BB498" s="3"/>
      <c r="BC498" s="3"/>
    </row>
    <row r="499" spans="1:66" ht="13" customHeight="1">
      <c r="B499" s="787" t="s">
        <v>1349</v>
      </c>
      <c r="C499" s="768"/>
      <c r="D499" s="768"/>
      <c r="E499" s="768"/>
      <c r="F499" s="768"/>
      <c r="G499" s="768"/>
      <c r="H499" s="768"/>
      <c r="I499" s="768"/>
      <c r="J499" s="768"/>
      <c r="K499" s="768"/>
      <c r="L499" s="768"/>
      <c r="M499" s="768"/>
      <c r="N499" s="768"/>
      <c r="O499" s="768"/>
      <c r="P499" s="768"/>
      <c r="Q499" s="1394" t="s">
        <v>700</v>
      </c>
      <c r="R499" s="1395"/>
      <c r="S499" s="1395"/>
      <c r="T499" s="1395"/>
      <c r="U499" s="1395"/>
      <c r="V499" s="1395"/>
      <c r="W499" s="1395"/>
      <c r="X499" s="1395"/>
      <c r="Y499" s="1395"/>
      <c r="Z499" s="1395"/>
      <c r="AA499" s="1395"/>
      <c r="AB499" s="1395"/>
      <c r="AC499" s="1395"/>
      <c r="AD499" s="1395"/>
      <c r="AE499" s="1395"/>
      <c r="AF499" s="1395"/>
      <c r="AG499" s="1395"/>
      <c r="AH499" s="1395"/>
      <c r="AI499" s="1395"/>
      <c r="AJ499" s="1395"/>
      <c r="AK499" s="1396"/>
      <c r="AZ499" s="3"/>
      <c r="BA499" s="3"/>
      <c r="BB499" s="3"/>
      <c r="BC499" s="3"/>
    </row>
    <row r="500" spans="1:66" ht="13" customHeight="1">
      <c r="B500" s="37" t="s">
        <v>1350</v>
      </c>
      <c r="C500" s="5"/>
      <c r="D500" s="5"/>
      <c r="E500" s="5"/>
      <c r="F500" s="5"/>
      <c r="G500" s="5"/>
      <c r="H500" s="5"/>
      <c r="I500" s="5"/>
      <c r="J500" s="5"/>
      <c r="K500" s="5"/>
      <c r="L500" s="5"/>
      <c r="M500" s="5"/>
      <c r="N500" s="5"/>
      <c r="O500" s="5"/>
      <c r="P500" s="5"/>
      <c r="Q500" s="1411" t="s">
        <v>1351</v>
      </c>
      <c r="R500" s="1412"/>
      <c r="S500" s="1412"/>
      <c r="T500" s="1412"/>
      <c r="U500" s="1412"/>
      <c r="V500" s="1412"/>
      <c r="W500" s="1412"/>
      <c r="X500" s="1412"/>
      <c r="Y500" s="1412"/>
      <c r="Z500" s="1412"/>
      <c r="AA500" s="1412"/>
      <c r="AB500" s="1412"/>
      <c r="AC500" s="1412"/>
      <c r="AD500" s="1412"/>
      <c r="AE500" s="1412"/>
      <c r="AF500" s="1412"/>
      <c r="AG500" s="1412"/>
      <c r="AH500" s="1412"/>
      <c r="AI500" s="1412"/>
      <c r="AJ500" s="1412"/>
      <c r="AK500" s="1413"/>
      <c r="AZ500" s="3"/>
      <c r="BA500" s="3"/>
      <c r="BB500" s="3"/>
      <c r="BC500" s="3"/>
    </row>
    <row r="501" spans="1:66" ht="13" customHeight="1">
      <c r="B501" s="37" t="s">
        <v>1352</v>
      </c>
      <c r="C501" s="5"/>
      <c r="D501" s="5"/>
      <c r="E501" s="5"/>
      <c r="F501" s="5"/>
      <c r="G501" s="5"/>
      <c r="H501" s="5"/>
      <c r="I501" s="5"/>
      <c r="J501" s="5"/>
      <c r="K501" s="5"/>
      <c r="L501" s="5"/>
      <c r="M501" s="5"/>
      <c r="N501" s="5"/>
      <c r="O501" s="5"/>
      <c r="P501" s="5"/>
      <c r="Q501" s="1428" t="s">
        <v>1353</v>
      </c>
      <c r="R501" s="1412"/>
      <c r="S501" s="1412"/>
      <c r="T501" s="1412"/>
      <c r="U501" s="1412"/>
      <c r="V501" s="1412"/>
      <c r="W501" s="1412"/>
      <c r="X501" s="1412"/>
      <c r="Y501" s="1412"/>
      <c r="Z501" s="1412"/>
      <c r="AA501" s="1412"/>
      <c r="AB501" s="1412"/>
      <c r="AC501" s="1412"/>
      <c r="AD501" s="1412"/>
      <c r="AE501" s="1412"/>
      <c r="AF501" s="1412"/>
      <c r="AG501" s="1412"/>
      <c r="AH501" s="1412"/>
      <c r="AI501" s="1412"/>
      <c r="AJ501" s="1412"/>
      <c r="AK501" s="1413"/>
      <c r="AZ501" s="3"/>
      <c r="BA501" s="3"/>
      <c r="BB501" s="3"/>
      <c r="BC501" s="3"/>
    </row>
    <row r="502" spans="1:66" ht="13" customHeight="1">
      <c r="B502" s="87" t="s">
        <v>1354</v>
      </c>
      <c r="C502" s="5"/>
      <c r="D502" s="5"/>
      <c r="E502" s="5"/>
      <c r="F502" s="5"/>
      <c r="G502" s="5"/>
      <c r="H502" s="5"/>
      <c r="I502" s="5"/>
      <c r="J502" s="5"/>
      <c r="K502" s="5"/>
      <c r="L502" s="5"/>
      <c r="M502" s="5"/>
      <c r="N502" s="5"/>
      <c r="O502" s="5"/>
      <c r="P502" s="5"/>
      <c r="Q502" s="1428">
        <v>160</v>
      </c>
      <c r="R502" s="1412"/>
      <c r="S502" s="1412"/>
      <c r="T502" s="1412"/>
      <c r="U502" s="1412"/>
      <c r="V502" s="1412"/>
      <c r="W502" s="1412"/>
      <c r="X502" s="1412"/>
      <c r="Y502" s="1412"/>
      <c r="Z502" s="1412"/>
      <c r="AA502" s="1412"/>
      <c r="AB502" s="1412"/>
      <c r="AC502" s="1412"/>
      <c r="AD502" s="1412"/>
      <c r="AE502" s="1412"/>
      <c r="AF502" s="1412"/>
      <c r="AG502" s="1412"/>
      <c r="AH502" s="1412"/>
      <c r="AI502" s="1412"/>
      <c r="AJ502" s="1412"/>
      <c r="AK502" s="1413"/>
      <c r="AZ502" s="3"/>
      <c r="BA502" s="3"/>
      <c r="BB502" s="3"/>
      <c r="BC502" s="3"/>
    </row>
    <row r="503" spans="1:66" ht="13" customHeight="1">
      <c r="B503" s="87" t="s">
        <v>1355</v>
      </c>
      <c r="C503" s="5"/>
      <c r="D503" s="5"/>
      <c r="E503" s="5"/>
      <c r="F503" s="5"/>
      <c r="G503" s="5"/>
      <c r="H503" s="5"/>
      <c r="I503" s="5"/>
      <c r="J503" s="5"/>
      <c r="K503" s="5"/>
      <c r="L503" s="5"/>
      <c r="M503" s="1397">
        <v>55</v>
      </c>
      <c r="N503" s="1398"/>
      <c r="O503" s="1398"/>
      <c r="P503" s="1399"/>
      <c r="Q503" s="87" t="s">
        <v>1356</v>
      </c>
      <c r="R503" s="5"/>
      <c r="S503" s="5"/>
      <c r="T503" s="5"/>
      <c r="U503" s="5"/>
      <c r="V503" s="5"/>
      <c r="W503" s="5"/>
      <c r="X503" s="5"/>
      <c r="Y503" s="5"/>
      <c r="Z503" s="5"/>
      <c r="AA503" s="5"/>
      <c r="AB503" s="5"/>
      <c r="AC503" s="5"/>
      <c r="AD503" s="5"/>
      <c r="AE503" s="5"/>
      <c r="AF503" s="5"/>
      <c r="AG503" s="5"/>
      <c r="AH503" s="1397">
        <v>105</v>
      </c>
      <c r="AI503" s="1398"/>
      <c r="AJ503" s="1398"/>
      <c r="AK503" s="1399"/>
      <c r="AZ503" s="3"/>
      <c r="BA503" s="3"/>
      <c r="BB503" s="3"/>
      <c r="BC503" s="3"/>
    </row>
    <row r="504" spans="1:66" ht="13"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3" customHeight="1">
      <c r="A505" s="2" t="s">
        <v>928</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3"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3"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423" t="s">
        <v>1357</v>
      </c>
      <c r="AD507" s="1424"/>
      <c r="AE507" s="1424"/>
      <c r="AF507" s="1424"/>
      <c r="AG507" s="1424"/>
      <c r="AH507" s="1424"/>
      <c r="AI507" s="1424"/>
      <c r="AJ507" s="1424"/>
      <c r="AK507" s="1457"/>
      <c r="AZ507" s="3"/>
      <c r="BA507" s="3"/>
      <c r="BB507" s="3"/>
      <c r="BC507" s="3"/>
      <c r="BD507" s="3"/>
      <c r="BE507" s="3"/>
      <c r="BF507" s="3"/>
      <c r="BG507" s="3"/>
      <c r="BH507" s="3"/>
      <c r="BI507" s="3"/>
      <c r="BJ507" s="3"/>
      <c r="BK507" s="3"/>
      <c r="BL507" s="3"/>
      <c r="BM507" s="3"/>
      <c r="BN507" s="3"/>
    </row>
    <row r="508" spans="1:66" ht="13"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423" t="s">
        <v>1358</v>
      </c>
      <c r="AD508" s="1424"/>
      <c r="AE508" s="1424"/>
      <c r="AF508" s="1424"/>
      <c r="AG508" s="42" t="s">
        <v>1359</v>
      </c>
      <c r="AH508" s="1424" t="s">
        <v>1360</v>
      </c>
      <c r="AI508" s="1424"/>
      <c r="AJ508" s="1424"/>
      <c r="AK508" s="1457"/>
      <c r="AZ508" s="3"/>
      <c r="BA508" s="3"/>
      <c r="BB508" s="3"/>
      <c r="BC508" s="3"/>
      <c r="BD508" s="3"/>
      <c r="BE508" s="3"/>
      <c r="BF508" s="3"/>
      <c r="BG508" s="3"/>
      <c r="BH508" s="3"/>
      <c r="BI508" s="3"/>
      <c r="BJ508" s="3"/>
      <c r="BK508" s="3"/>
      <c r="BL508" s="3"/>
      <c r="BM508" s="3"/>
      <c r="BN508" s="3"/>
    </row>
    <row r="509" spans="1:66" ht="13" customHeight="1">
      <c r="B509" s="1368" t="s">
        <v>1361</v>
      </c>
      <c r="C509" s="1369"/>
      <c r="D509" s="1369"/>
      <c r="E509" s="1369"/>
      <c r="F509" s="1369"/>
      <c r="G509" s="1369"/>
      <c r="H509" s="1370"/>
      <c r="I509" s="34" t="s">
        <v>1362</v>
      </c>
      <c r="J509" s="34"/>
      <c r="K509" s="34"/>
      <c r="L509" s="34"/>
      <c r="M509" s="34"/>
      <c r="N509" s="34"/>
      <c r="O509" s="34"/>
      <c r="P509" s="34"/>
      <c r="Q509" s="34"/>
      <c r="R509" s="34"/>
      <c r="S509" s="34"/>
      <c r="T509" s="34"/>
      <c r="U509" s="34"/>
      <c r="V509" s="34"/>
      <c r="W509" s="34"/>
      <c r="AC509" s="1361" t="s">
        <v>826</v>
      </c>
      <c r="AD509" s="1345"/>
      <c r="AE509" s="1345"/>
      <c r="AF509" s="1345"/>
      <c r="AG509" s="12" t="s">
        <v>1359</v>
      </c>
      <c r="AH509" s="1363"/>
      <c r="AI509" s="1363"/>
      <c r="AJ509" s="1363"/>
      <c r="AK509" s="1364"/>
      <c r="AZ509" s="3"/>
      <c r="BA509" s="3"/>
      <c r="BB509" s="3"/>
      <c r="BC509" s="3"/>
      <c r="BD509" s="3"/>
      <c r="BE509" s="3"/>
      <c r="BF509" s="3"/>
      <c r="BG509" s="3"/>
      <c r="BH509" s="3"/>
      <c r="BI509" s="3"/>
      <c r="BJ509" s="3"/>
      <c r="BK509" s="3"/>
      <c r="BL509" s="3"/>
      <c r="BM509" s="3"/>
      <c r="BN509" s="3"/>
    </row>
    <row r="510" spans="1:66" ht="13" customHeight="1">
      <c r="B510" s="1371"/>
      <c r="C510" s="1372"/>
      <c r="D510" s="1372"/>
      <c r="E510" s="1372"/>
      <c r="F510" s="1372"/>
      <c r="G510" s="1372"/>
      <c r="H510" s="1373"/>
      <c r="I510" s="40" t="s">
        <v>1363</v>
      </c>
      <c r="J510" s="40"/>
      <c r="K510" s="40"/>
      <c r="L510" s="40"/>
      <c r="M510" s="40"/>
      <c r="N510" s="40"/>
      <c r="O510" s="40"/>
      <c r="P510" s="40"/>
      <c r="Q510" s="40"/>
      <c r="R510" s="40"/>
      <c r="S510" s="40"/>
      <c r="T510" s="40"/>
      <c r="U510" s="40"/>
      <c r="V510" s="40"/>
      <c r="W510" s="40"/>
      <c r="X510" s="40"/>
      <c r="Y510" s="40"/>
      <c r="Z510" s="40"/>
      <c r="AA510" s="40"/>
      <c r="AB510" s="40"/>
      <c r="AC510" s="1361">
        <v>5</v>
      </c>
      <c r="AD510" s="1345"/>
      <c r="AE510" s="1345"/>
      <c r="AF510" s="1345"/>
      <c r="AG510" s="30" t="s">
        <v>1359</v>
      </c>
      <c r="AH510" s="1363">
        <v>2026</v>
      </c>
      <c r="AI510" s="1363"/>
      <c r="AJ510" s="1363"/>
      <c r="AK510" s="1364"/>
      <c r="AZ510" s="3"/>
      <c r="BA510" s="3"/>
      <c r="BB510" s="3"/>
      <c r="BC510" s="3"/>
      <c r="BD510" s="3"/>
      <c r="BE510" s="3"/>
      <c r="BF510" s="3"/>
      <c r="BG510" s="3"/>
      <c r="BH510" s="3"/>
      <c r="BI510" s="3"/>
      <c r="BJ510" s="3"/>
      <c r="BK510" s="3"/>
      <c r="BL510" s="3"/>
      <c r="BM510" s="3"/>
      <c r="BN510" s="3"/>
    </row>
    <row r="511" spans="1:66" ht="13" customHeight="1">
      <c r="B511" s="1368" t="s">
        <v>1364</v>
      </c>
      <c r="C511" s="1369"/>
      <c r="D511" s="1369"/>
      <c r="E511" s="1369"/>
      <c r="F511" s="1369"/>
      <c r="G511" s="1369"/>
      <c r="H511" s="1370"/>
      <c r="I511" s="34" t="s">
        <v>1365</v>
      </c>
      <c r="J511" s="34"/>
      <c r="K511" s="34"/>
      <c r="L511" s="34"/>
      <c r="M511" s="34"/>
      <c r="N511" s="34"/>
      <c r="O511" s="34"/>
      <c r="P511" s="34"/>
      <c r="Q511" s="34"/>
      <c r="R511" s="34"/>
      <c r="S511" s="34"/>
      <c r="T511" s="34"/>
      <c r="U511" s="34"/>
      <c r="V511" s="34"/>
      <c r="W511" s="34"/>
      <c r="AC511" s="1361" t="s">
        <v>826</v>
      </c>
      <c r="AD511" s="1345"/>
      <c r="AE511" s="1345"/>
      <c r="AF511" s="1345"/>
      <c r="AG511" s="12" t="s">
        <v>1359</v>
      </c>
      <c r="AH511" s="1363"/>
      <c r="AI511" s="1363"/>
      <c r="AJ511" s="1363"/>
      <c r="AK511" s="1364"/>
      <c r="AZ511" s="3"/>
      <c r="BA511" s="3"/>
      <c r="BB511" s="3"/>
      <c r="BC511" s="3"/>
      <c r="BD511" s="3"/>
      <c r="BE511" s="3"/>
      <c r="BF511" s="3"/>
      <c r="BG511" s="3"/>
      <c r="BH511" s="3"/>
      <c r="BI511" s="3"/>
      <c r="BJ511" s="3"/>
      <c r="BK511" s="3"/>
      <c r="BL511" s="3"/>
      <c r="BM511" s="3"/>
      <c r="BN511" s="3"/>
    </row>
    <row r="512" spans="1:66" ht="13" customHeight="1">
      <c r="B512" s="1371"/>
      <c r="C512" s="1372"/>
      <c r="D512" s="1372"/>
      <c r="E512" s="1372"/>
      <c r="F512" s="1372"/>
      <c r="G512" s="1372"/>
      <c r="H512" s="1373"/>
      <c r="I512" t="s">
        <v>1366</v>
      </c>
      <c r="AC512" s="1361" t="s">
        <v>826</v>
      </c>
      <c r="AD512" s="1345"/>
      <c r="AE512" s="1345"/>
      <c r="AF512" s="1345"/>
      <c r="AG512" s="12" t="s">
        <v>1359</v>
      </c>
      <c r="AH512" s="1363"/>
      <c r="AI512" s="1363"/>
      <c r="AJ512" s="1363"/>
      <c r="AK512" s="1364"/>
      <c r="AZ512" s="3"/>
      <c r="BA512" s="3"/>
      <c r="BB512" s="3"/>
      <c r="BC512" s="3"/>
      <c r="BD512" s="3"/>
      <c r="BE512" s="3"/>
      <c r="BF512" s="3"/>
      <c r="BG512" s="3"/>
      <c r="BH512" s="3"/>
      <c r="BI512" s="3"/>
      <c r="BJ512" s="3"/>
      <c r="BK512" s="3"/>
      <c r="BL512" s="3"/>
      <c r="BM512" s="3"/>
      <c r="BN512" s="3"/>
    </row>
    <row r="513" spans="2:66" ht="13" customHeight="1">
      <c r="B513" s="1371"/>
      <c r="C513" s="1372"/>
      <c r="D513" s="1372"/>
      <c r="E513" s="1372"/>
      <c r="F513" s="1372"/>
      <c r="G513" s="1372"/>
      <c r="H513" s="1373"/>
      <c r="I513" t="s">
        <v>1367</v>
      </c>
      <c r="AC513" s="1361" t="s">
        <v>826</v>
      </c>
      <c r="AD513" s="1345"/>
      <c r="AE513" s="1345"/>
      <c r="AF513" s="1345"/>
      <c r="AG513" s="12" t="s">
        <v>1359</v>
      </c>
      <c r="AH513" s="1363"/>
      <c r="AI513" s="1363"/>
      <c r="AJ513" s="1363"/>
      <c r="AK513" s="1364"/>
      <c r="AZ513" s="3"/>
      <c r="BA513" s="3"/>
      <c r="BB513" s="3"/>
      <c r="BC513" s="3"/>
      <c r="BD513" s="3"/>
      <c r="BE513" s="3"/>
      <c r="BF513" s="3"/>
      <c r="BG513" s="3"/>
      <c r="BH513" s="3"/>
      <c r="BI513" s="3"/>
      <c r="BJ513" s="3"/>
      <c r="BK513" s="3"/>
      <c r="BL513" s="3"/>
      <c r="BM513" s="3"/>
      <c r="BN513" s="3"/>
    </row>
    <row r="514" spans="2:66" ht="13" customHeight="1">
      <c r="B514" s="1371"/>
      <c r="C514" s="1372"/>
      <c r="D514" s="1372"/>
      <c r="E514" s="1372"/>
      <c r="F514" s="1372"/>
      <c r="G514" s="1372"/>
      <c r="H514" s="1373"/>
      <c r="I514" t="s">
        <v>1368</v>
      </c>
      <c r="AC514" s="1361">
        <v>1</v>
      </c>
      <c r="AD514" s="1345"/>
      <c r="AE514" s="1345"/>
      <c r="AF514" s="1345"/>
      <c r="AG514" s="12" t="s">
        <v>1359</v>
      </c>
      <c r="AH514" s="1363">
        <v>2027</v>
      </c>
      <c r="AI514" s="1363"/>
      <c r="AJ514" s="1363"/>
      <c r="AK514" s="1364"/>
      <c r="AZ514" s="3"/>
      <c r="BA514" s="3"/>
      <c r="BB514" s="3"/>
      <c r="BC514" s="3"/>
      <c r="BD514" s="3"/>
      <c r="BE514" s="3"/>
      <c r="BF514" s="3"/>
      <c r="BG514" s="3"/>
      <c r="BH514" s="3"/>
      <c r="BI514" s="3"/>
      <c r="BJ514" s="3"/>
      <c r="BK514" s="3"/>
      <c r="BL514" s="3"/>
      <c r="BM514" s="3"/>
      <c r="BN514" s="3"/>
    </row>
    <row r="515" spans="2:66" ht="13" customHeight="1">
      <c r="B515" s="1371"/>
      <c r="C515" s="1372"/>
      <c r="D515" s="1372"/>
      <c r="E515" s="1372"/>
      <c r="F515" s="1372"/>
      <c r="G515" s="1372"/>
      <c r="H515" s="1373"/>
      <c r="I515" s="3" t="s">
        <v>1369</v>
      </c>
      <c r="AC515" s="1333">
        <v>1</v>
      </c>
      <c r="AD515" s="1334"/>
      <c r="AE515" s="1334"/>
      <c r="AF515" s="1334"/>
      <c r="AG515" s="12" t="s">
        <v>1359</v>
      </c>
      <c r="AH515" s="1363">
        <v>2027</v>
      </c>
      <c r="AI515" s="1363"/>
      <c r="AJ515" s="1363"/>
      <c r="AK515" s="1364"/>
      <c r="AZ515" s="3"/>
      <c r="BA515" s="3"/>
      <c r="BB515" s="3"/>
      <c r="BC515" s="3"/>
      <c r="BD515" s="3"/>
      <c r="BE515" s="3"/>
      <c r="BF515" s="3"/>
      <c r="BG515" s="3"/>
      <c r="BH515" s="3"/>
      <c r="BI515" s="3"/>
      <c r="BJ515" s="3"/>
      <c r="BK515" s="3"/>
      <c r="BL515" s="3"/>
      <c r="BM515" s="3"/>
      <c r="BN515" s="3"/>
    </row>
    <row r="516" spans="2:66" ht="13" customHeight="1">
      <c r="B516" s="1371"/>
      <c r="C516" s="1372"/>
      <c r="D516" s="1372"/>
      <c r="E516" s="1372"/>
      <c r="F516" s="1372"/>
      <c r="G516" s="1372"/>
      <c r="H516" s="1373"/>
      <c r="I516" s="788" t="s">
        <v>233</v>
      </c>
      <c r="J516" s="40"/>
      <c r="K516" s="40"/>
      <c r="L516" s="1425" t="s">
        <v>1370</v>
      </c>
      <c r="M516" s="1426"/>
      <c r="N516" s="1426"/>
      <c r="O516" s="1426"/>
      <c r="P516" s="1426"/>
      <c r="Q516" s="1426"/>
      <c r="R516" s="1426"/>
      <c r="S516" s="1426"/>
      <c r="T516" s="1426"/>
      <c r="U516" s="1426"/>
      <c r="V516" s="1426"/>
      <c r="W516" s="1426"/>
      <c r="X516" s="1426"/>
      <c r="Y516" s="1426"/>
      <c r="Z516" s="1426"/>
      <c r="AA516" s="1426"/>
      <c r="AB516" s="1427"/>
      <c r="AC516" s="1361" t="s">
        <v>826</v>
      </c>
      <c r="AD516" s="1345"/>
      <c r="AE516" s="1345"/>
      <c r="AF516" s="1345"/>
      <c r="AG516" s="30" t="s">
        <v>1359</v>
      </c>
      <c r="AH516" s="1363"/>
      <c r="AI516" s="1363"/>
      <c r="AJ516" s="1363"/>
      <c r="AK516" s="1364"/>
      <c r="AZ516" s="3"/>
      <c r="BA516" s="3"/>
      <c r="BB516" s="3"/>
      <c r="BC516" s="3"/>
      <c r="BD516" s="3"/>
      <c r="BE516" s="3"/>
      <c r="BF516" s="3"/>
      <c r="BG516" s="3"/>
      <c r="BH516" s="3"/>
      <c r="BI516" s="3"/>
      <c r="BJ516" s="3"/>
      <c r="BK516" s="3"/>
      <c r="BL516" s="3"/>
      <c r="BM516" s="3"/>
      <c r="BN516" s="3"/>
    </row>
    <row r="517" spans="2:66" ht="13" customHeight="1">
      <c r="B517" s="766"/>
      <c r="C517" s="95"/>
      <c r="D517" s="95"/>
      <c r="E517" s="95"/>
      <c r="F517" s="95"/>
      <c r="G517" s="95"/>
      <c r="H517" s="767"/>
      <c r="I517" s="3" t="s">
        <v>1371</v>
      </c>
      <c r="AC517" s="1400" t="s">
        <v>1043</v>
      </c>
      <c r="AD517" s="1400"/>
      <c r="AE517" s="1400"/>
      <c r="AF517" s="1400"/>
      <c r="AG517" s="12"/>
      <c r="AH517" s="1377"/>
      <c r="AI517" s="1377"/>
      <c r="AJ517" s="1377"/>
      <c r="AK517" s="1378"/>
      <c r="AZ517" s="3"/>
      <c r="BA517" s="3"/>
      <c r="BB517" s="3"/>
      <c r="BC517" s="3"/>
      <c r="BD517" s="3"/>
      <c r="BE517" s="3"/>
      <c r="BF517" s="3"/>
      <c r="BG517" s="3"/>
      <c r="BH517" s="3"/>
      <c r="BI517" s="3"/>
      <c r="BJ517" s="3"/>
      <c r="BK517" s="3"/>
      <c r="BL517" s="3"/>
      <c r="BM517" s="3"/>
      <c r="BN517" s="3"/>
    </row>
    <row r="518" spans="2:66" ht="13" customHeight="1">
      <c r="B518" s="766"/>
      <c r="C518" s="95"/>
      <c r="D518" s="95"/>
      <c r="E518" s="95"/>
      <c r="F518" s="95"/>
      <c r="G518" s="95"/>
      <c r="H518" s="767"/>
      <c r="I518" t="s">
        <v>1372</v>
      </c>
      <c r="AC518" s="1333"/>
      <c r="AD518" s="1334"/>
      <c r="AE518" s="1334"/>
      <c r="AF518" s="1335"/>
      <c r="AG518" s="12"/>
      <c r="AH518" s="1377"/>
      <c r="AI518" s="1377"/>
      <c r="AJ518" s="1377"/>
      <c r="AK518" s="1378"/>
      <c r="AZ518" s="3"/>
      <c r="BA518" s="3"/>
      <c r="BB518" s="3"/>
      <c r="BC518" s="3"/>
      <c r="BD518" s="3"/>
      <c r="BE518" s="3"/>
      <c r="BF518" s="3"/>
      <c r="BG518" s="3"/>
      <c r="BH518" s="3"/>
      <c r="BI518" s="3"/>
      <c r="BJ518" s="3"/>
      <c r="BK518" s="3"/>
      <c r="BL518" s="3"/>
      <c r="BM518" s="3"/>
      <c r="BN518" s="3"/>
    </row>
    <row r="519" spans="2:66" ht="13" customHeight="1">
      <c r="B519" s="766"/>
      <c r="C519" s="95"/>
      <c r="D519" s="95"/>
      <c r="E519" s="95"/>
      <c r="F519" s="95"/>
      <c r="G519" s="95"/>
      <c r="H519" s="767"/>
      <c r="I519" t="s">
        <v>1373</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3" customHeight="1">
      <c r="B520" s="766"/>
      <c r="C520" s="95"/>
      <c r="D520" s="95"/>
      <c r="E520" s="95"/>
      <c r="F520" s="95"/>
      <c r="G520" s="95"/>
      <c r="H520" s="767"/>
      <c r="I520" s="789" t="s">
        <v>1374</v>
      </c>
      <c r="J520" s="40"/>
      <c r="K520" s="40"/>
      <c r="L520" s="40"/>
      <c r="M520" s="40"/>
      <c r="N520" s="40"/>
      <c r="O520" s="40"/>
      <c r="P520" s="40"/>
      <c r="Q520" s="40"/>
      <c r="R520" s="40"/>
      <c r="S520" s="40"/>
      <c r="T520" s="40"/>
      <c r="U520" s="40"/>
      <c r="V520" s="40"/>
      <c r="W520" s="40"/>
      <c r="X520" s="40"/>
      <c r="Y520" s="40"/>
      <c r="Z520" s="40"/>
      <c r="AA520" s="40"/>
      <c r="AB520" s="40"/>
      <c r="AC520" s="1454"/>
      <c r="AD520" s="1455"/>
      <c r="AE520" s="1455"/>
      <c r="AF520" s="1456"/>
      <c r="AG520" s="30"/>
      <c r="AH520" s="1621"/>
      <c r="AI520" s="1621"/>
      <c r="AJ520" s="1621"/>
      <c r="AK520" s="1622"/>
      <c r="AZ520" s="3"/>
      <c r="BA520" s="3"/>
      <c r="BB520" s="3"/>
      <c r="BC520" s="3"/>
      <c r="BD520" s="3"/>
      <c r="BE520" s="3"/>
      <c r="BF520" s="3"/>
      <c r="BG520" s="3"/>
      <c r="BH520" s="3"/>
      <c r="BI520" s="3"/>
      <c r="BJ520" s="3"/>
      <c r="BK520" s="3"/>
      <c r="BL520" s="3"/>
      <c r="BM520" s="3"/>
      <c r="BN520" s="3" t="s">
        <v>1043</v>
      </c>
    </row>
    <row r="521" spans="2:66" ht="13"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783" t="s">
        <v>1358</v>
      </c>
      <c r="AD521" s="1388"/>
      <c r="AE521" s="1388"/>
      <c r="AF521" s="1388"/>
      <c r="AG521" s="30" t="s">
        <v>1359</v>
      </c>
      <c r="AH521" s="1388" t="s">
        <v>1360</v>
      </c>
      <c r="AI521" s="1388"/>
      <c r="AJ521" s="1388"/>
      <c r="AK521" s="1389"/>
      <c r="AZ521" s="3"/>
      <c r="BA521" s="3"/>
      <c r="BB521" s="3"/>
      <c r="BC521" s="3"/>
      <c r="BD521" s="3"/>
      <c r="BE521" s="3"/>
      <c r="BF521" s="3"/>
      <c r="BG521" s="3"/>
      <c r="BH521" s="3"/>
      <c r="BI521" s="3"/>
      <c r="BJ521" s="3"/>
      <c r="BK521" s="3"/>
      <c r="BL521" s="3"/>
      <c r="BM521" s="3"/>
      <c r="BN521" s="3" t="s">
        <v>1375</v>
      </c>
    </row>
    <row r="522" spans="2:66" ht="13" customHeight="1">
      <c r="B522" s="1368" t="s">
        <v>1376</v>
      </c>
      <c r="C522" s="1369"/>
      <c r="D522" s="1369"/>
      <c r="E522" s="1369"/>
      <c r="F522" s="1369"/>
      <c r="G522" s="1369"/>
      <c r="H522" s="1370"/>
      <c r="I522" s="34" t="s">
        <v>1377</v>
      </c>
      <c r="J522" s="34"/>
      <c r="K522" s="34"/>
      <c r="L522" s="34"/>
      <c r="M522" s="34"/>
      <c r="N522" s="34"/>
      <c r="O522" s="34"/>
      <c r="P522" s="34"/>
      <c r="Q522" s="34"/>
      <c r="R522" s="34"/>
      <c r="S522" s="34"/>
      <c r="T522" s="34"/>
      <c r="U522" s="34"/>
      <c r="V522" s="34"/>
      <c r="W522" s="34"/>
      <c r="AC522" s="1361">
        <v>5</v>
      </c>
      <c r="AD522" s="1345"/>
      <c r="AE522" s="1345"/>
      <c r="AF522" s="1345"/>
      <c r="AG522" s="12" t="s">
        <v>1359</v>
      </c>
      <c r="AH522" s="1363">
        <v>2026</v>
      </c>
      <c r="AI522" s="1363"/>
      <c r="AJ522" s="1363"/>
      <c r="AK522" s="1364"/>
      <c r="AZ522" s="3"/>
      <c r="BA522" s="3"/>
      <c r="BB522" s="3"/>
      <c r="BC522" s="3"/>
      <c r="BD522" s="3"/>
      <c r="BE522" s="3"/>
      <c r="BF522" s="3"/>
      <c r="BG522" s="3"/>
      <c r="BH522" s="3"/>
      <c r="BI522" s="3"/>
      <c r="BJ522" s="3"/>
      <c r="BK522" s="3"/>
      <c r="BL522" s="3"/>
      <c r="BM522" s="3"/>
      <c r="BN522" s="3" t="s">
        <v>1378</v>
      </c>
    </row>
    <row r="523" spans="2:66" ht="13" customHeight="1">
      <c r="B523" s="1371"/>
      <c r="C523" s="1372"/>
      <c r="D523" s="1372"/>
      <c r="E523" s="1372"/>
      <c r="F523" s="1372"/>
      <c r="G523" s="1372"/>
      <c r="H523" s="1373"/>
      <c r="I523" t="s">
        <v>1379</v>
      </c>
      <c r="AC523" s="1361">
        <v>5</v>
      </c>
      <c r="AD523" s="1345"/>
      <c r="AE523" s="1345"/>
      <c r="AF523" s="1345"/>
      <c r="AG523" s="12" t="s">
        <v>1359</v>
      </c>
      <c r="AH523" s="1363">
        <v>2026</v>
      </c>
      <c r="AI523" s="1363"/>
      <c r="AJ523" s="1363"/>
      <c r="AK523" s="1364"/>
      <c r="AZ523" s="3"/>
      <c r="BA523" s="3"/>
      <c r="BB523" s="3"/>
      <c r="BC523" s="3"/>
      <c r="BD523" s="3"/>
      <c r="BE523" s="3"/>
      <c r="BF523" s="3"/>
      <c r="BG523" s="3"/>
      <c r="BH523" s="3"/>
      <c r="BI523" s="3"/>
      <c r="BJ523" s="3"/>
      <c r="BK523" s="3"/>
      <c r="BL523" s="3"/>
      <c r="BM523" s="3"/>
      <c r="BN523" s="3" t="s">
        <v>1380</v>
      </c>
    </row>
    <row r="524" spans="2:66" ht="13" customHeight="1">
      <c r="B524" s="1371"/>
      <c r="C524" s="1372"/>
      <c r="D524" s="1372"/>
      <c r="E524" s="1372"/>
      <c r="F524" s="1372"/>
      <c r="G524" s="1372"/>
      <c r="H524" s="1373"/>
      <c r="I524" s="40" t="s">
        <v>1381</v>
      </c>
      <c r="J524" s="40"/>
      <c r="K524" s="40"/>
      <c r="L524" s="40"/>
      <c r="M524" s="40"/>
      <c r="N524" s="40"/>
      <c r="O524" s="40"/>
      <c r="P524" s="40"/>
      <c r="Q524" s="40"/>
      <c r="R524" s="40"/>
      <c r="S524" s="40"/>
      <c r="T524" s="40"/>
      <c r="U524" s="40"/>
      <c r="V524" s="40"/>
      <c r="W524" s="40"/>
      <c r="X524" s="40"/>
      <c r="Y524" s="40"/>
      <c r="Z524" s="40"/>
      <c r="AA524" s="40"/>
      <c r="AB524" s="40"/>
      <c r="AC524" s="1361">
        <v>2</v>
      </c>
      <c r="AD524" s="1345"/>
      <c r="AE524" s="1345"/>
      <c r="AF524" s="1345"/>
      <c r="AG524" s="30" t="s">
        <v>1359</v>
      </c>
      <c r="AH524" s="1363">
        <v>2027</v>
      </c>
      <c r="AI524" s="1363"/>
      <c r="AJ524" s="1363"/>
      <c r="AK524" s="1364"/>
      <c r="AZ524" s="3"/>
      <c r="BA524" s="3"/>
      <c r="BB524" s="3"/>
      <c r="BC524" s="3"/>
      <c r="BD524" s="3"/>
      <c r="BE524" s="3"/>
      <c r="BF524" s="3"/>
      <c r="BG524" s="3"/>
      <c r="BH524" s="3"/>
      <c r="BI524" s="3"/>
      <c r="BJ524" s="3"/>
      <c r="BK524" s="3"/>
      <c r="BL524" s="3"/>
      <c r="BM524" s="3"/>
      <c r="BN524" s="3" t="s">
        <v>1382</v>
      </c>
    </row>
    <row r="525" spans="2:66" ht="13" customHeight="1">
      <c r="B525" s="1368" t="s">
        <v>1383</v>
      </c>
      <c r="C525" s="1369"/>
      <c r="D525" s="1369"/>
      <c r="E525" s="1369"/>
      <c r="F525" s="1369"/>
      <c r="G525" s="1369"/>
      <c r="H525" s="1370"/>
      <c r="I525" s="34" t="s">
        <v>1377</v>
      </c>
      <c r="J525" s="34"/>
      <c r="K525" s="34"/>
      <c r="L525" s="34"/>
      <c r="M525" s="34"/>
      <c r="N525" s="34"/>
      <c r="O525" s="34"/>
      <c r="P525" s="34"/>
      <c r="Q525" s="34"/>
      <c r="R525" s="34"/>
      <c r="S525" s="34"/>
      <c r="T525" s="34"/>
      <c r="U525" s="34"/>
      <c r="V525" s="34"/>
      <c r="W525" s="34"/>
      <c r="X525" s="34"/>
      <c r="Y525" s="34"/>
      <c r="Z525" s="34"/>
      <c r="AA525" s="34"/>
      <c r="AB525" s="34"/>
      <c r="AC525" s="1333">
        <v>5</v>
      </c>
      <c r="AD525" s="1334"/>
      <c r="AE525" s="1334"/>
      <c r="AF525" s="1334"/>
      <c r="AG525" s="94" t="s">
        <v>1359</v>
      </c>
      <c r="AH525" s="1363">
        <v>2026</v>
      </c>
      <c r="AI525" s="1363"/>
      <c r="AJ525" s="1363"/>
      <c r="AK525" s="1364"/>
      <c r="AZ525" s="3"/>
      <c r="BB525" s="3"/>
      <c r="BC525" s="3"/>
      <c r="BD525" s="3"/>
      <c r="BE525" s="3"/>
      <c r="BF525" s="3"/>
      <c r="BG525" s="3"/>
      <c r="BH525" s="3"/>
      <c r="BI525" s="3"/>
      <c r="BJ525" s="3"/>
      <c r="BK525" s="3"/>
      <c r="BL525" s="3"/>
      <c r="BM525" s="3"/>
      <c r="BN525" s="3" t="s">
        <v>1384</v>
      </c>
    </row>
    <row r="526" spans="2:66" ht="13" customHeight="1">
      <c r="B526" s="1371"/>
      <c r="C526" s="1372"/>
      <c r="D526" s="1372"/>
      <c r="E526" s="1372"/>
      <c r="F526" s="1372"/>
      <c r="G526" s="1372"/>
      <c r="H526" s="1373"/>
      <c r="I526" t="s">
        <v>1379</v>
      </c>
      <c r="AC526" s="1361">
        <v>5</v>
      </c>
      <c r="AD526" s="1345"/>
      <c r="AE526" s="1345"/>
      <c r="AF526" s="1345"/>
      <c r="AG526" s="12" t="s">
        <v>1359</v>
      </c>
      <c r="AH526" s="1363">
        <v>2026</v>
      </c>
      <c r="AI526" s="1363"/>
      <c r="AJ526" s="1363"/>
      <c r="AK526" s="1364"/>
      <c r="BB526" s="3"/>
      <c r="BC526" s="3"/>
      <c r="BD526" s="3"/>
      <c r="BE526" s="3"/>
      <c r="BF526" s="3"/>
      <c r="BG526" s="3"/>
      <c r="BH526" s="3"/>
      <c r="BI526" s="3"/>
      <c r="BJ526" s="3"/>
      <c r="BK526" s="3"/>
      <c r="BL526" s="3"/>
      <c r="BM526" s="3"/>
      <c r="BN526" s="3" t="s">
        <v>1385</v>
      </c>
    </row>
    <row r="527" spans="2:66" ht="13" customHeight="1">
      <c r="B527" s="1374"/>
      <c r="C527" s="1375"/>
      <c r="D527" s="1375"/>
      <c r="E527" s="1375"/>
      <c r="F527" s="1375"/>
      <c r="G527" s="1375"/>
      <c r="H527" s="1376"/>
      <c r="I527" s="40" t="s">
        <v>1381</v>
      </c>
      <c r="J527" s="40"/>
      <c r="K527" s="40"/>
      <c r="L527" s="40"/>
      <c r="M527" s="40"/>
      <c r="N527" s="40"/>
      <c r="O527" s="40"/>
      <c r="P527" s="40"/>
      <c r="Q527" s="40"/>
      <c r="R527" s="40"/>
      <c r="S527" s="40"/>
      <c r="T527" s="40"/>
      <c r="U527" s="40"/>
      <c r="V527" s="40"/>
      <c r="W527" s="40"/>
      <c r="X527" s="40"/>
      <c r="Y527" s="40"/>
      <c r="Z527" s="40"/>
      <c r="AA527" s="40"/>
      <c r="AB527" s="40"/>
      <c r="AC527" s="1361">
        <v>8</v>
      </c>
      <c r="AD527" s="1345"/>
      <c r="AE527" s="1345"/>
      <c r="AF527" s="1345"/>
      <c r="AG527" s="30" t="s">
        <v>1359</v>
      </c>
      <c r="AH527" s="1363">
        <v>2029</v>
      </c>
      <c r="AI527" s="1363"/>
      <c r="AJ527" s="1363"/>
      <c r="AK527" s="1364"/>
      <c r="BB527" s="3"/>
      <c r="BC527" s="3"/>
      <c r="BD527" s="3"/>
      <c r="BE527" s="3"/>
      <c r="BF527" s="3"/>
      <c r="BG527" s="3"/>
      <c r="BH527" s="3"/>
      <c r="BI527" s="3"/>
      <c r="BJ527" s="3"/>
      <c r="BK527" s="3"/>
      <c r="BL527" s="3"/>
      <c r="BM527" s="3"/>
      <c r="BN527" s="3" t="s">
        <v>1386</v>
      </c>
    </row>
    <row r="528" spans="2:66" ht="13" customHeight="1">
      <c r="B528" s="1368" t="s">
        <v>1387</v>
      </c>
      <c r="C528" s="1369"/>
      <c r="D528" s="1369"/>
      <c r="E528" s="1369"/>
      <c r="F528" s="1369"/>
      <c r="G528" s="1369"/>
      <c r="H528" s="1370"/>
      <c r="I528" s="33" t="s">
        <v>1388</v>
      </c>
      <c r="J528" s="34"/>
      <c r="K528" s="34"/>
      <c r="L528" s="34"/>
      <c r="M528" s="34"/>
      <c r="N528" s="34"/>
      <c r="O528" s="1425" t="s">
        <v>1370</v>
      </c>
      <c r="P528" s="1426"/>
      <c r="Q528" s="1426"/>
      <c r="R528" s="1426"/>
      <c r="S528" s="1426"/>
      <c r="T528" s="1426"/>
      <c r="U528" s="1426"/>
      <c r="V528" s="1426"/>
      <c r="W528" s="1426"/>
      <c r="X528" s="1426"/>
      <c r="Y528" s="1426"/>
      <c r="Z528" s="1426"/>
      <c r="AA528" s="1426"/>
      <c r="AB528" s="50"/>
      <c r="AC528" s="1333" t="s">
        <v>826</v>
      </c>
      <c r="AD528" s="1334"/>
      <c r="AE528" s="1334"/>
      <c r="AF528" s="1334"/>
      <c r="AG528" s="94" t="s">
        <v>1359</v>
      </c>
      <c r="AH528" s="1363"/>
      <c r="AI528" s="1363"/>
      <c r="AJ528" s="1363"/>
      <c r="AK528" s="1364"/>
      <c r="AZ528" s="3"/>
      <c r="BB528" s="3"/>
      <c r="BC528" s="3"/>
      <c r="BD528" s="3"/>
      <c r="BE528" s="3"/>
      <c r="BF528" s="3"/>
      <c r="BG528" s="3"/>
      <c r="BH528" s="3"/>
      <c r="BI528" s="3"/>
      <c r="BJ528" s="3"/>
      <c r="BK528" s="3"/>
      <c r="BL528" s="3"/>
      <c r="BM528" s="3"/>
      <c r="BN528" s="3" t="s">
        <v>1389</v>
      </c>
    </row>
    <row r="529" spans="2:66" ht="13" customHeight="1">
      <c r="B529" s="1371"/>
      <c r="C529" s="1372"/>
      <c r="D529" s="1372"/>
      <c r="E529" s="1372"/>
      <c r="F529" s="1372"/>
      <c r="G529" s="1372"/>
      <c r="H529" s="1373"/>
      <c r="I529" s="82" t="s">
        <v>44</v>
      </c>
      <c r="AB529" s="56"/>
      <c r="AC529" s="1361" t="s">
        <v>826</v>
      </c>
      <c r="AD529" s="1345"/>
      <c r="AE529" s="1345"/>
      <c r="AF529" s="1345"/>
      <c r="AG529" s="12" t="s">
        <v>1359</v>
      </c>
      <c r="AH529" s="1363"/>
      <c r="AI529" s="1363"/>
      <c r="AJ529" s="1363"/>
      <c r="AK529" s="1364"/>
      <c r="AZ529" s="3"/>
      <c r="BB529" s="3"/>
      <c r="BC529" s="3"/>
      <c r="BD529" s="3"/>
      <c r="BE529" s="3"/>
      <c r="BF529" s="3"/>
      <c r="BG529" s="3"/>
      <c r="BH529" s="3"/>
      <c r="BI529" s="3"/>
      <c r="BJ529" s="3"/>
      <c r="BK529" s="3"/>
      <c r="BL529" s="3"/>
      <c r="BM529" s="3"/>
      <c r="BN529" s="3" t="s">
        <v>1390</v>
      </c>
    </row>
    <row r="530" spans="2:66" ht="13" customHeight="1">
      <c r="B530" s="1371"/>
      <c r="C530" s="1372"/>
      <c r="D530" s="1372"/>
      <c r="E530" s="1372"/>
      <c r="F530" s="1372"/>
      <c r="G530" s="1372"/>
      <c r="H530" s="1373"/>
      <c r="I530" s="39" t="s">
        <v>1391</v>
      </c>
      <c r="J530" s="40"/>
      <c r="K530" s="40"/>
      <c r="L530" s="40"/>
      <c r="M530" s="40"/>
      <c r="N530" s="40"/>
      <c r="O530" s="40"/>
      <c r="P530" s="40"/>
      <c r="Q530" s="40"/>
      <c r="R530" s="40"/>
      <c r="S530" s="40"/>
      <c r="T530" s="40"/>
      <c r="U530" s="40"/>
      <c r="V530" s="40"/>
      <c r="W530" s="40"/>
      <c r="X530" s="40"/>
      <c r="Y530" s="40"/>
      <c r="Z530" s="40"/>
      <c r="AA530" s="40"/>
      <c r="AB530" s="41"/>
      <c r="AC530" s="1361" t="s">
        <v>826</v>
      </c>
      <c r="AD530" s="1345"/>
      <c r="AE530" s="1345"/>
      <c r="AF530" s="1345"/>
      <c r="AG530" s="30" t="s">
        <v>1359</v>
      </c>
      <c r="AH530" s="1363"/>
      <c r="AI530" s="1363"/>
      <c r="AJ530" s="1363"/>
      <c r="AK530" s="1364"/>
      <c r="AZ530" s="3"/>
      <c r="BA530" s="3"/>
      <c r="BB530" s="3"/>
      <c r="BC530" s="3"/>
      <c r="BD530" s="3"/>
      <c r="BE530" s="3"/>
      <c r="BF530" s="3"/>
      <c r="BG530" s="3"/>
      <c r="BH530" s="3"/>
      <c r="BI530" s="3"/>
      <c r="BJ530" s="3"/>
      <c r="BK530" s="3"/>
      <c r="BL530" s="3"/>
      <c r="BM530" s="3"/>
      <c r="BN530" s="3" t="s">
        <v>1392</v>
      </c>
    </row>
    <row r="531" spans="2:66" ht="13" customHeight="1">
      <c r="B531" s="1371"/>
      <c r="C531" s="1372"/>
      <c r="D531" s="1372"/>
      <c r="E531" s="1372"/>
      <c r="F531" s="1372"/>
      <c r="G531" s="1372"/>
      <c r="H531" s="1373"/>
      <c r="I531" s="34" t="s">
        <v>1393</v>
      </c>
      <c r="J531" s="34"/>
      <c r="K531" s="34"/>
      <c r="L531" s="34"/>
      <c r="M531" s="34"/>
      <c r="N531" s="34"/>
      <c r="O531" s="1425" t="s">
        <v>1370</v>
      </c>
      <c r="P531" s="1426"/>
      <c r="Q531" s="1426"/>
      <c r="R531" s="1426"/>
      <c r="S531" s="1426"/>
      <c r="T531" s="1426"/>
      <c r="U531" s="1426"/>
      <c r="V531" s="1426"/>
      <c r="W531" s="1426"/>
      <c r="X531" s="1426"/>
      <c r="Y531" s="1426"/>
      <c r="Z531" s="1426"/>
      <c r="AA531" s="1426"/>
      <c r="AC531" s="1361" t="s">
        <v>826</v>
      </c>
      <c r="AD531" s="1345"/>
      <c r="AE531" s="1345"/>
      <c r="AF531" s="1345"/>
      <c r="AG531" s="12" t="s">
        <v>1359</v>
      </c>
      <c r="AH531" s="1363"/>
      <c r="AI531" s="1363"/>
      <c r="AJ531" s="1363"/>
      <c r="AK531" s="1364"/>
      <c r="AZ531" s="3"/>
      <c r="BA531" s="3"/>
      <c r="BB531" s="3"/>
      <c r="BC531" s="3"/>
      <c r="BD531" s="3"/>
      <c r="BE531" s="3"/>
      <c r="BF531" s="3"/>
      <c r="BG531" s="3"/>
      <c r="BH531" s="3"/>
      <c r="BI531" s="3"/>
      <c r="BJ531" s="3"/>
      <c r="BK531" s="3"/>
      <c r="BL531" s="3"/>
      <c r="BM531" s="3"/>
      <c r="BN531" s="3" t="s">
        <v>1394</v>
      </c>
    </row>
    <row r="532" spans="2:66" ht="13" customHeight="1">
      <c r="B532" s="1371"/>
      <c r="C532" s="1372"/>
      <c r="D532" s="1372"/>
      <c r="E532" s="1372"/>
      <c r="F532" s="1372"/>
      <c r="G532" s="1372"/>
      <c r="H532" s="1373"/>
      <c r="I532" t="s">
        <v>44</v>
      </c>
      <c r="AC532" s="1361" t="s">
        <v>826</v>
      </c>
      <c r="AD532" s="1345"/>
      <c r="AE532" s="1345"/>
      <c r="AF532" s="1345"/>
      <c r="AG532" s="12" t="s">
        <v>1359</v>
      </c>
      <c r="AH532" s="1363"/>
      <c r="AI532" s="1363"/>
      <c r="AJ532" s="1363"/>
      <c r="AK532" s="1364"/>
      <c r="AZ532" s="3"/>
      <c r="BA532" s="3"/>
      <c r="BB532" s="3"/>
      <c r="BC532" s="3"/>
      <c r="BD532" s="3"/>
      <c r="BE532" s="3"/>
      <c r="BF532" s="3"/>
      <c r="BG532" s="3"/>
      <c r="BH532" s="3"/>
      <c r="BI532" s="3"/>
      <c r="BJ532" s="3"/>
      <c r="BK532" s="3"/>
      <c r="BL532" s="3"/>
      <c r="BM532" s="3"/>
      <c r="BN532" s="3" t="s">
        <v>1395</v>
      </c>
    </row>
    <row r="533" spans="2:66" ht="13" customHeight="1">
      <c r="B533" s="1371"/>
      <c r="C533" s="1372"/>
      <c r="D533" s="1372"/>
      <c r="E533" s="1372"/>
      <c r="F533" s="1372"/>
      <c r="G533" s="1372"/>
      <c r="H533" s="1373"/>
      <c r="I533" s="40" t="s">
        <v>1391</v>
      </c>
      <c r="J533" s="40"/>
      <c r="K533" s="40"/>
      <c r="L533" s="40"/>
      <c r="M533" s="40"/>
      <c r="N533" s="40"/>
      <c r="O533" s="40"/>
      <c r="P533" s="40"/>
      <c r="Q533" s="40"/>
      <c r="R533" s="40"/>
      <c r="S533" s="40"/>
      <c r="T533" s="40"/>
      <c r="U533" s="40"/>
      <c r="V533" s="40"/>
      <c r="W533" s="40"/>
      <c r="X533" s="40"/>
      <c r="Y533" s="40"/>
      <c r="Z533" s="40"/>
      <c r="AA533" s="40"/>
      <c r="AB533" s="40"/>
      <c r="AC533" s="1361" t="s">
        <v>826</v>
      </c>
      <c r="AD533" s="1345"/>
      <c r="AE533" s="1345"/>
      <c r="AF533" s="1345"/>
      <c r="AG533" s="30" t="s">
        <v>1359</v>
      </c>
      <c r="AH533" s="1363"/>
      <c r="AI533" s="1363"/>
      <c r="AJ533" s="1363"/>
      <c r="AK533" s="1364"/>
      <c r="AZ533" s="3"/>
      <c r="BA533" s="3"/>
      <c r="BB533" s="3"/>
      <c r="BC533" s="3"/>
      <c r="BD533" s="3"/>
      <c r="BE533" s="3"/>
      <c r="BF533" s="3"/>
      <c r="BG533" s="3"/>
      <c r="BH533" s="3"/>
      <c r="BI533" s="3"/>
      <c r="BJ533" s="3"/>
      <c r="BK533" s="3"/>
      <c r="BL533" s="3"/>
      <c r="BM533" s="3"/>
      <c r="BN533" s="3" t="s">
        <v>1396</v>
      </c>
    </row>
    <row r="534" spans="2:66" ht="13" customHeight="1">
      <c r="B534" s="1371"/>
      <c r="C534" s="1372"/>
      <c r="D534" s="1372"/>
      <c r="E534" s="1372"/>
      <c r="F534" s="1372"/>
      <c r="G534" s="1372"/>
      <c r="H534" s="1373"/>
      <c r="I534" s="34" t="s">
        <v>1393</v>
      </c>
      <c r="J534" s="34"/>
      <c r="K534" s="34"/>
      <c r="L534" s="34"/>
      <c r="M534" s="34"/>
      <c r="N534" s="34"/>
      <c r="O534" s="1425" t="s">
        <v>1370</v>
      </c>
      <c r="P534" s="1426"/>
      <c r="Q534" s="1426"/>
      <c r="R534" s="1426"/>
      <c r="S534" s="1426"/>
      <c r="T534" s="1426"/>
      <c r="U534" s="1426"/>
      <c r="V534" s="1426"/>
      <c r="W534" s="1426"/>
      <c r="X534" s="1426"/>
      <c r="Y534" s="1426"/>
      <c r="Z534" s="1426"/>
      <c r="AA534" s="1426"/>
      <c r="AC534" s="1361" t="s">
        <v>826</v>
      </c>
      <c r="AD534" s="1345"/>
      <c r="AE534" s="1345"/>
      <c r="AF534" s="1345"/>
      <c r="AG534" s="12" t="s">
        <v>1359</v>
      </c>
      <c r="AH534" s="1363"/>
      <c r="AI534" s="1363"/>
      <c r="AJ534" s="1363"/>
      <c r="AK534" s="1364"/>
      <c r="AZ534" s="3"/>
      <c r="BA534" s="3"/>
      <c r="BB534" s="3"/>
      <c r="BC534" s="3"/>
      <c r="BD534" s="3"/>
      <c r="BE534" s="3"/>
      <c r="BF534" s="3"/>
      <c r="BG534" s="3"/>
      <c r="BH534" s="3"/>
      <c r="BI534" s="3"/>
      <c r="BJ534" s="3"/>
      <c r="BK534" s="3"/>
      <c r="BL534" s="3"/>
      <c r="BM534" s="3"/>
      <c r="BN534" s="3" t="s">
        <v>1397</v>
      </c>
    </row>
    <row r="535" spans="2:66" ht="13" customHeight="1">
      <c r="B535" s="1371"/>
      <c r="C535" s="1372"/>
      <c r="D535" s="1372"/>
      <c r="E535" s="1372"/>
      <c r="F535" s="1372"/>
      <c r="G535" s="1372"/>
      <c r="H535" s="1373"/>
      <c r="I535" t="s">
        <v>44</v>
      </c>
      <c r="AC535" s="1361" t="s">
        <v>826</v>
      </c>
      <c r="AD535" s="1345"/>
      <c r="AE535" s="1345"/>
      <c r="AF535" s="1345"/>
      <c r="AG535" s="12" t="s">
        <v>1359</v>
      </c>
      <c r="AH535" s="1363"/>
      <c r="AI535" s="1363"/>
      <c r="AJ535" s="1363"/>
      <c r="AK535" s="1364"/>
      <c r="AZ535" s="3"/>
      <c r="BA535" s="3"/>
      <c r="BB535" s="3"/>
      <c r="BC535" s="3"/>
      <c r="BD535" s="3"/>
      <c r="BE535" s="3"/>
      <c r="BF535" s="3"/>
      <c r="BG535" s="3"/>
      <c r="BH535" s="3"/>
      <c r="BI535" s="3"/>
      <c r="BJ535" s="3"/>
      <c r="BK535" s="3"/>
      <c r="BL535" s="3"/>
      <c r="BM535" s="3"/>
      <c r="BN535" s="3" t="s">
        <v>1398</v>
      </c>
    </row>
    <row r="536" spans="2:66" ht="13" customHeight="1">
      <c r="B536" s="1371"/>
      <c r="C536" s="1372"/>
      <c r="D536" s="1372"/>
      <c r="E536" s="1372"/>
      <c r="F536" s="1372"/>
      <c r="G536" s="1372"/>
      <c r="H536" s="1373"/>
      <c r="I536" s="40" t="s">
        <v>1391</v>
      </c>
      <c r="J536" s="40"/>
      <c r="K536" s="40"/>
      <c r="L536" s="40"/>
      <c r="M536" s="40"/>
      <c r="N536" s="40"/>
      <c r="O536" s="40"/>
      <c r="P536" s="40"/>
      <c r="Q536" s="40"/>
      <c r="R536" s="40"/>
      <c r="S536" s="40"/>
      <c r="T536" s="40"/>
      <c r="U536" s="40"/>
      <c r="V536" s="40"/>
      <c r="W536" s="40"/>
      <c r="X536" s="40"/>
      <c r="Y536" s="40"/>
      <c r="Z536" s="40"/>
      <c r="AA536" s="40"/>
      <c r="AB536" s="40"/>
      <c r="AC536" s="1361" t="s">
        <v>826</v>
      </c>
      <c r="AD536" s="1345"/>
      <c r="AE536" s="1345"/>
      <c r="AF536" s="1345"/>
      <c r="AG536" s="30" t="s">
        <v>1359</v>
      </c>
      <c r="AH536" s="1363"/>
      <c r="AI536" s="1363"/>
      <c r="AJ536" s="1363"/>
      <c r="AK536" s="1364"/>
      <c r="AZ536" s="3"/>
      <c r="BA536" s="3"/>
      <c r="BB536" s="3"/>
      <c r="BC536" s="3"/>
      <c r="BD536" s="3"/>
      <c r="BE536" s="3"/>
      <c r="BF536" s="3"/>
      <c r="BG536" s="3"/>
      <c r="BH536" s="3"/>
      <c r="BI536" s="3"/>
      <c r="BJ536" s="3"/>
      <c r="BK536" s="3"/>
      <c r="BL536" s="3"/>
      <c r="BM536" s="3"/>
      <c r="BN536" s="3" t="s">
        <v>1399</v>
      </c>
    </row>
    <row r="537" spans="2:66" ht="13" customHeight="1">
      <c r="B537" s="1371"/>
      <c r="C537" s="1372"/>
      <c r="D537" s="1372"/>
      <c r="E537" s="1372"/>
      <c r="F537" s="1372"/>
      <c r="G537" s="1372"/>
      <c r="H537" s="1373"/>
      <c r="I537" s="34" t="s">
        <v>1393</v>
      </c>
      <c r="J537" s="34"/>
      <c r="K537" s="34"/>
      <c r="L537" s="34"/>
      <c r="M537" s="34"/>
      <c r="N537" s="34"/>
      <c r="O537" s="1425" t="s">
        <v>1370</v>
      </c>
      <c r="P537" s="1426"/>
      <c r="Q537" s="1426"/>
      <c r="R537" s="1426"/>
      <c r="S537" s="1426"/>
      <c r="T537" s="1426"/>
      <c r="U537" s="1426"/>
      <c r="V537" s="1426"/>
      <c r="W537" s="1426"/>
      <c r="X537" s="1426"/>
      <c r="Y537" s="1426"/>
      <c r="Z537" s="1426"/>
      <c r="AA537" s="1426"/>
      <c r="AC537" s="1361" t="s">
        <v>826</v>
      </c>
      <c r="AD537" s="1345"/>
      <c r="AE537" s="1345"/>
      <c r="AF537" s="1345"/>
      <c r="AG537" s="12" t="s">
        <v>1359</v>
      </c>
      <c r="AH537" s="1363"/>
      <c r="AI537" s="1363"/>
      <c r="AJ537" s="1363"/>
      <c r="AK537" s="1364"/>
      <c r="AZ537" s="3"/>
      <c r="BA537" s="3"/>
      <c r="BB537" s="3"/>
      <c r="BC537" s="3"/>
      <c r="BD537" s="3"/>
      <c r="BE537" s="3"/>
      <c r="BF537" s="3"/>
      <c r="BG537" s="3"/>
      <c r="BH537" s="3"/>
      <c r="BI537" s="3"/>
      <c r="BJ537" s="3"/>
      <c r="BK537" s="3"/>
      <c r="BL537" s="3"/>
      <c r="BM537" s="3"/>
      <c r="BN537" s="3" t="s">
        <v>1400</v>
      </c>
    </row>
    <row r="538" spans="2:66" ht="13" customHeight="1">
      <c r="B538" s="1371"/>
      <c r="C538" s="1372"/>
      <c r="D538" s="1372"/>
      <c r="E538" s="1372"/>
      <c r="F538" s="1372"/>
      <c r="G538" s="1372"/>
      <c r="H538" s="1373"/>
      <c r="I538" t="s">
        <v>44</v>
      </c>
      <c r="AC538" s="1361" t="s">
        <v>826</v>
      </c>
      <c r="AD538" s="1345"/>
      <c r="AE538" s="1345"/>
      <c r="AF538" s="1345"/>
      <c r="AG538" s="12" t="s">
        <v>1359</v>
      </c>
      <c r="AH538" s="1363"/>
      <c r="AI538" s="1363"/>
      <c r="AJ538" s="1363"/>
      <c r="AK538" s="1364"/>
      <c r="AZ538" s="3"/>
      <c r="BA538" s="3"/>
      <c r="BB538" s="3"/>
      <c r="BC538" s="3"/>
      <c r="BD538" s="3"/>
      <c r="BE538" s="3"/>
      <c r="BF538" s="3"/>
      <c r="BG538" s="3"/>
      <c r="BH538" s="3"/>
      <c r="BI538" s="3"/>
      <c r="BJ538" s="3"/>
      <c r="BK538" s="3"/>
      <c r="BL538" s="3"/>
      <c r="BM538" s="3"/>
      <c r="BN538" s="3" t="s">
        <v>1401</v>
      </c>
    </row>
    <row r="539" spans="2:66" ht="13" customHeight="1">
      <c r="B539" s="1371"/>
      <c r="C539" s="1372"/>
      <c r="D539" s="1372"/>
      <c r="E539" s="1372"/>
      <c r="F539" s="1372"/>
      <c r="G539" s="1372"/>
      <c r="H539" s="1373"/>
      <c r="I539" s="40" t="s">
        <v>1391</v>
      </c>
      <c r="J539" s="40"/>
      <c r="K539" s="40"/>
      <c r="L539" s="40"/>
      <c r="M539" s="40"/>
      <c r="N539" s="40"/>
      <c r="O539" s="40"/>
      <c r="P539" s="40"/>
      <c r="Q539" s="40"/>
      <c r="R539" s="40"/>
      <c r="S539" s="40"/>
      <c r="T539" s="40"/>
      <c r="U539" s="40"/>
      <c r="V539" s="40"/>
      <c r="W539" s="40"/>
      <c r="X539" s="40"/>
      <c r="Y539" s="40"/>
      <c r="Z539" s="40"/>
      <c r="AA539" s="40"/>
      <c r="AB539" s="40"/>
      <c r="AC539" s="1361" t="s">
        <v>826</v>
      </c>
      <c r="AD539" s="1345"/>
      <c r="AE539" s="1345"/>
      <c r="AF539" s="1345"/>
      <c r="AG539" s="30" t="s">
        <v>1359</v>
      </c>
      <c r="AH539" s="1363"/>
      <c r="AI539" s="1363"/>
      <c r="AJ539" s="1363"/>
      <c r="AK539" s="1364"/>
      <c r="AZ539" s="3"/>
      <c r="BA539" s="3"/>
      <c r="BB539" s="3"/>
      <c r="BC539" s="3"/>
      <c r="BD539" s="3"/>
      <c r="BE539" s="3"/>
      <c r="BF539" s="3"/>
      <c r="BG539" s="3"/>
      <c r="BH539" s="3"/>
      <c r="BI539" s="3"/>
      <c r="BJ539" s="3"/>
      <c r="BK539" s="3"/>
      <c r="BL539" s="3"/>
      <c r="BM539" s="3"/>
      <c r="BN539" s="3" t="s">
        <v>1402</v>
      </c>
    </row>
    <row r="540" spans="2:66" ht="13" customHeight="1">
      <c r="B540" s="1371"/>
      <c r="C540" s="1372"/>
      <c r="D540" s="1372"/>
      <c r="E540" s="1372"/>
      <c r="F540" s="1372"/>
      <c r="G540" s="1372"/>
      <c r="H540" s="1373"/>
      <c r="I540" s="34" t="s">
        <v>1393</v>
      </c>
      <c r="J540" s="34"/>
      <c r="K540" s="34"/>
      <c r="L540" s="34"/>
      <c r="M540" s="34"/>
      <c r="N540" s="34"/>
      <c r="O540" s="1425" t="s">
        <v>1370</v>
      </c>
      <c r="P540" s="1426"/>
      <c r="Q540" s="1426"/>
      <c r="R540" s="1426"/>
      <c r="S540" s="1426"/>
      <c r="T540" s="1426"/>
      <c r="U540" s="1426"/>
      <c r="V540" s="1426"/>
      <c r="W540" s="1426"/>
      <c r="X540" s="1426"/>
      <c r="Y540" s="1426"/>
      <c r="Z540" s="1426"/>
      <c r="AA540" s="1426"/>
      <c r="AC540" s="1361" t="s">
        <v>826</v>
      </c>
      <c r="AD540" s="1345"/>
      <c r="AE540" s="1345"/>
      <c r="AF540" s="1345"/>
      <c r="AG540" s="12" t="s">
        <v>1359</v>
      </c>
      <c r="AH540" s="1363"/>
      <c r="AI540" s="1363"/>
      <c r="AJ540" s="1363"/>
      <c r="AK540" s="1364"/>
      <c r="AZ540" s="3"/>
      <c r="BA540" s="3"/>
      <c r="BB540" s="3"/>
      <c r="BC540" s="3"/>
      <c r="BD540" s="3"/>
      <c r="BE540" s="3"/>
      <c r="BF540" s="3"/>
      <c r="BG540" s="3"/>
      <c r="BH540" s="3"/>
      <c r="BI540" s="3"/>
      <c r="BJ540" s="3"/>
      <c r="BK540" s="3"/>
      <c r="BL540" s="3"/>
      <c r="BM540" s="3"/>
      <c r="BN540" s="3" t="s">
        <v>1403</v>
      </c>
    </row>
    <row r="541" spans="2:66" ht="13" customHeight="1">
      <c r="B541" s="1371"/>
      <c r="C541" s="1372"/>
      <c r="D541" s="1372"/>
      <c r="E541" s="1372"/>
      <c r="F541" s="1372"/>
      <c r="G541" s="1372"/>
      <c r="H541" s="1373"/>
      <c r="I541" t="s">
        <v>44</v>
      </c>
      <c r="AC541" s="1361" t="s">
        <v>826</v>
      </c>
      <c r="AD541" s="1345"/>
      <c r="AE541" s="1345"/>
      <c r="AF541" s="1345"/>
      <c r="AG541" s="30" t="s">
        <v>1359</v>
      </c>
      <c r="AH541" s="1363"/>
      <c r="AI541" s="1363"/>
      <c r="AJ541" s="1363"/>
      <c r="AK541" s="1364"/>
      <c r="AZ541" s="3"/>
      <c r="BA541" s="3"/>
      <c r="BB541" s="3"/>
      <c r="BC541" s="3"/>
      <c r="BD541" s="3"/>
      <c r="BE541" s="3"/>
      <c r="BF541" s="3"/>
      <c r="BG541" s="3"/>
      <c r="BH541" s="3"/>
      <c r="BI541" s="3"/>
      <c r="BJ541" s="3"/>
      <c r="BK541" s="3"/>
      <c r="BL541" s="3"/>
      <c r="BM541" s="3"/>
      <c r="BN541" s="3" t="s">
        <v>1404</v>
      </c>
    </row>
    <row r="542" spans="2:66" ht="13" customHeight="1">
      <c r="B542" s="1371"/>
      <c r="C542" s="1372"/>
      <c r="D542" s="1372"/>
      <c r="E542" s="1372"/>
      <c r="F542" s="1372"/>
      <c r="G542" s="1372"/>
      <c r="H542" s="1373"/>
      <c r="I542" s="40" t="s">
        <v>1391</v>
      </c>
      <c r="J542" s="40"/>
      <c r="K542" s="40"/>
      <c r="L542" s="40"/>
      <c r="M542" s="40"/>
      <c r="N542" s="40"/>
      <c r="O542" s="40"/>
      <c r="P542" s="40"/>
      <c r="Q542" s="40"/>
      <c r="R542" s="40"/>
      <c r="S542" s="40"/>
      <c r="T542" s="40"/>
      <c r="U542" s="40"/>
      <c r="V542" s="40"/>
      <c r="W542" s="40"/>
      <c r="X542" s="40"/>
      <c r="Y542" s="40"/>
      <c r="Z542" s="40"/>
      <c r="AA542" s="40"/>
      <c r="AB542" s="40"/>
      <c r="AC542" s="1361" t="s">
        <v>826</v>
      </c>
      <c r="AD542" s="1345"/>
      <c r="AE542" s="1345"/>
      <c r="AF542" s="1345"/>
      <c r="AG542" s="12" t="s">
        <v>1359</v>
      </c>
      <c r="AH542" s="1363"/>
      <c r="AI542" s="1363"/>
      <c r="AJ542" s="1363"/>
      <c r="AK542" s="1364"/>
      <c r="AZ542" s="3"/>
      <c r="BA542" s="3"/>
      <c r="BB542" s="3"/>
      <c r="BC542" s="3"/>
      <c r="BD542" s="3"/>
      <c r="BE542" s="3"/>
      <c r="BF542" s="3"/>
      <c r="BG542" s="3"/>
      <c r="BH542" s="3"/>
      <c r="BI542" s="3"/>
      <c r="BJ542" s="3"/>
      <c r="BK542" s="3"/>
      <c r="BL542" s="3"/>
      <c r="BM542" s="3"/>
      <c r="BN542" s="3" t="s">
        <v>1405</v>
      </c>
    </row>
    <row r="543" spans="2:66" ht="13" customHeight="1">
      <c r="B543" s="1371"/>
      <c r="C543" s="1372"/>
      <c r="D543" s="1372"/>
      <c r="E543" s="1372"/>
      <c r="F543" s="1372"/>
      <c r="G543" s="1372"/>
      <c r="H543" s="1373"/>
      <c r="I543" s="34" t="s">
        <v>1393</v>
      </c>
      <c r="J543" s="34"/>
      <c r="K543" s="34"/>
      <c r="L543" s="34"/>
      <c r="M543" s="34"/>
      <c r="N543" s="34"/>
      <c r="O543" s="1425" t="s">
        <v>1370</v>
      </c>
      <c r="P543" s="1426"/>
      <c r="Q543" s="1426"/>
      <c r="R543" s="1426"/>
      <c r="S543" s="1426"/>
      <c r="T543" s="1426"/>
      <c r="U543" s="1426"/>
      <c r="V543" s="1426"/>
      <c r="W543" s="1426"/>
      <c r="X543" s="1426"/>
      <c r="Y543" s="1426"/>
      <c r="Z543" s="1426"/>
      <c r="AA543" s="1426"/>
      <c r="AC543" s="1361" t="s">
        <v>826</v>
      </c>
      <c r="AD543" s="1345"/>
      <c r="AE543" s="1345"/>
      <c r="AF543" s="1345"/>
      <c r="AG543" s="30" t="s">
        <v>1359</v>
      </c>
      <c r="AH543" s="1363"/>
      <c r="AI543" s="1363"/>
      <c r="AJ543" s="1363"/>
      <c r="AK543" s="1364"/>
      <c r="AZ543" s="3"/>
      <c r="BA543" s="3"/>
      <c r="BB543" s="3"/>
      <c r="BC543" s="3"/>
      <c r="BD543" s="3"/>
      <c r="BE543" s="3"/>
      <c r="BF543" s="3"/>
      <c r="BG543" s="3"/>
      <c r="BH543" s="3"/>
      <c r="BI543" s="3"/>
      <c r="BJ543" s="3"/>
      <c r="BK543" s="3"/>
      <c r="BL543" s="3"/>
      <c r="BM543" s="3"/>
      <c r="BN543" s="3" t="s">
        <v>1406</v>
      </c>
    </row>
    <row r="544" spans="2:66" ht="13" customHeight="1">
      <c r="B544" s="1371"/>
      <c r="C544" s="1372"/>
      <c r="D544" s="1372"/>
      <c r="E544" s="1372"/>
      <c r="F544" s="1372"/>
      <c r="G544" s="1372"/>
      <c r="H544" s="1373"/>
      <c r="I544" t="s">
        <v>44</v>
      </c>
      <c r="AC544" s="1361" t="s">
        <v>826</v>
      </c>
      <c r="AD544" s="1345"/>
      <c r="AE544" s="1345"/>
      <c r="AF544" s="1345"/>
      <c r="AG544" s="12" t="s">
        <v>1359</v>
      </c>
      <c r="AH544" s="1363"/>
      <c r="AI544" s="1363"/>
      <c r="AJ544" s="1363"/>
      <c r="AK544" s="1364"/>
      <c r="AZ544" s="3"/>
      <c r="BA544" s="3"/>
      <c r="BB544" s="3"/>
      <c r="BC544" s="3"/>
      <c r="BD544" s="3"/>
      <c r="BE544" s="3"/>
      <c r="BF544" s="3"/>
      <c r="BG544" s="3"/>
      <c r="BH544" s="3"/>
      <c r="BI544" s="3"/>
      <c r="BJ544" s="3"/>
      <c r="BK544" s="3"/>
      <c r="BL544" s="3"/>
      <c r="BM544" s="3"/>
      <c r="BN544" s="3" t="s">
        <v>1407</v>
      </c>
    </row>
    <row r="545" spans="1:66" ht="13" customHeight="1">
      <c r="B545" s="1371"/>
      <c r="C545" s="1372"/>
      <c r="D545" s="1372"/>
      <c r="E545" s="1372"/>
      <c r="F545" s="1372"/>
      <c r="G545" s="1372"/>
      <c r="H545" s="1373"/>
      <c r="I545" s="40" t="s">
        <v>1391</v>
      </c>
      <c r="J545" s="40"/>
      <c r="K545" s="40"/>
      <c r="L545" s="40"/>
      <c r="M545" s="40"/>
      <c r="N545" s="40"/>
      <c r="O545" s="40"/>
      <c r="P545" s="40"/>
      <c r="Q545" s="40"/>
      <c r="R545" s="40"/>
      <c r="S545" s="40"/>
      <c r="T545" s="40"/>
      <c r="U545" s="40"/>
      <c r="V545" s="40"/>
      <c r="W545" s="40"/>
      <c r="X545" s="40"/>
      <c r="Y545" s="40"/>
      <c r="Z545" s="40"/>
      <c r="AA545" s="40"/>
      <c r="AB545" s="40"/>
      <c r="AC545" s="1361" t="s">
        <v>826</v>
      </c>
      <c r="AD545" s="1345"/>
      <c r="AE545" s="1345"/>
      <c r="AF545" s="1345"/>
      <c r="AG545" s="30" t="s">
        <v>1359</v>
      </c>
      <c r="AH545" s="1363"/>
      <c r="AI545" s="1363"/>
      <c r="AJ545" s="1363"/>
      <c r="AK545" s="1364"/>
      <c r="AZ545" s="3"/>
      <c r="BA545" s="3"/>
      <c r="BB545" s="3"/>
      <c r="BC545" s="3"/>
      <c r="BD545" s="3"/>
      <c r="BE545" s="3"/>
      <c r="BF545" s="3"/>
      <c r="BG545" s="3"/>
      <c r="BH545" s="3"/>
      <c r="BI545" s="3"/>
      <c r="BJ545" s="3"/>
      <c r="BK545" s="3"/>
      <c r="BL545" s="3"/>
      <c r="BM545" s="3"/>
      <c r="BN545" s="3" t="s">
        <v>1408</v>
      </c>
    </row>
    <row r="546" spans="1:66" ht="13" customHeight="1">
      <c r="B546" s="1371"/>
      <c r="C546" s="1372"/>
      <c r="D546" s="1372"/>
      <c r="E546" s="1372"/>
      <c r="F546" s="1372"/>
      <c r="G546" s="1372"/>
      <c r="H546" s="1373"/>
      <c r="I546" s="34" t="s">
        <v>1409</v>
      </c>
      <c r="J546" s="34"/>
      <c r="K546" s="34"/>
      <c r="L546" s="34"/>
      <c r="M546" s="34"/>
      <c r="N546" s="34"/>
      <c r="O546" s="34"/>
      <c r="P546" s="34"/>
      <c r="Q546" s="34"/>
      <c r="R546" s="34"/>
      <c r="S546" s="34"/>
      <c r="T546" s="34"/>
      <c r="U546" s="34"/>
      <c r="V546" s="34"/>
      <c r="W546" s="34"/>
      <c r="AC546" s="1361" t="s">
        <v>826</v>
      </c>
      <c r="AD546" s="1345"/>
      <c r="AE546" s="1345"/>
      <c r="AF546" s="1345"/>
      <c r="AG546" s="30" t="s">
        <v>1359</v>
      </c>
      <c r="AH546" s="1363"/>
      <c r="AI546" s="1363"/>
      <c r="AJ546" s="1363"/>
      <c r="AK546" s="1364"/>
      <c r="AZ546" s="3"/>
      <c r="BA546" s="3"/>
      <c r="BB546" s="3"/>
      <c r="BC546" s="3"/>
      <c r="BD546" s="3"/>
      <c r="BE546" s="3"/>
      <c r="BF546" s="3"/>
      <c r="BG546" s="3"/>
      <c r="BH546" s="3"/>
      <c r="BI546" s="3"/>
      <c r="BJ546" s="3"/>
      <c r="BK546" s="3"/>
      <c r="BL546" s="3"/>
      <c r="BM546" s="3"/>
      <c r="BN546" s="3"/>
    </row>
    <row r="547" spans="1:66" ht="13" customHeight="1">
      <c r="B547" s="1371"/>
      <c r="C547" s="1372"/>
      <c r="D547" s="1372"/>
      <c r="E547" s="1372"/>
      <c r="F547" s="1372"/>
      <c r="G547" s="1372"/>
      <c r="H547" s="1373"/>
      <c r="I547" t="s">
        <v>1410</v>
      </c>
      <c r="AC547" s="1361">
        <v>2</v>
      </c>
      <c r="AD547" s="1345"/>
      <c r="AE547" s="1345"/>
      <c r="AF547" s="1345"/>
      <c r="AG547" s="12" t="s">
        <v>1359</v>
      </c>
      <c r="AH547" s="1363">
        <v>2027</v>
      </c>
      <c r="AI547" s="1363"/>
      <c r="AJ547" s="1363"/>
      <c r="AK547" s="1364"/>
      <c r="AZ547" s="3"/>
      <c r="BA547" s="3"/>
      <c r="BB547" s="3"/>
      <c r="BC547" s="3"/>
      <c r="BD547" s="3"/>
      <c r="BE547" s="3"/>
      <c r="BF547" s="3"/>
      <c r="BG547" s="3"/>
      <c r="BH547" s="3"/>
      <c r="BI547" s="3"/>
      <c r="BJ547" s="3"/>
      <c r="BK547" s="3"/>
      <c r="BL547" s="3"/>
      <c r="BM547" s="3"/>
      <c r="BN547" s="3"/>
    </row>
    <row r="548" spans="1:66" ht="13" customHeight="1">
      <c r="B548" s="1371"/>
      <c r="C548" s="1372"/>
      <c r="D548" s="1372"/>
      <c r="E548" s="1372"/>
      <c r="F548" s="1372"/>
      <c r="G548" s="1372"/>
      <c r="H548" s="1373"/>
      <c r="I548" t="s">
        <v>1411</v>
      </c>
      <c r="AC548" s="1361">
        <v>2</v>
      </c>
      <c r="AD548" s="1345"/>
      <c r="AE548" s="1345"/>
      <c r="AF548" s="1345"/>
      <c r="AG548" s="30" t="s">
        <v>1359</v>
      </c>
      <c r="AH548" s="1363">
        <v>2029</v>
      </c>
      <c r="AI548" s="1363"/>
      <c r="AJ548" s="1363"/>
      <c r="AK548" s="1364"/>
      <c r="AZ548" s="3"/>
      <c r="BA548" s="3"/>
      <c r="BB548" s="3"/>
      <c r="BC548" s="3"/>
      <c r="BD548" s="3"/>
      <c r="BE548" s="3"/>
      <c r="BF548" s="3"/>
      <c r="BG548" s="3"/>
      <c r="BH548" s="3"/>
      <c r="BI548" s="3"/>
      <c r="BJ548" s="3"/>
      <c r="BK548" s="3"/>
      <c r="BL548" s="3"/>
      <c r="BM548" s="3"/>
      <c r="BN548" s="3"/>
    </row>
    <row r="549" spans="1:66" ht="13" customHeight="1">
      <c r="B549" s="1371"/>
      <c r="C549" s="1372"/>
      <c r="D549" s="1372"/>
      <c r="E549" s="1372"/>
      <c r="F549" s="1372"/>
      <c r="G549" s="1372"/>
      <c r="H549" s="1373"/>
      <c r="I549" t="s">
        <v>1412</v>
      </c>
      <c r="AC549" s="1361">
        <v>2</v>
      </c>
      <c r="AD549" s="1345"/>
      <c r="AE549" s="1345"/>
      <c r="AF549" s="1345"/>
      <c r="AG549" s="30" t="s">
        <v>1359</v>
      </c>
      <c r="AH549" s="1363">
        <v>2029</v>
      </c>
      <c r="AI549" s="1363"/>
      <c r="AJ549" s="1363"/>
      <c r="AK549" s="1364"/>
      <c r="AZ549" s="3"/>
      <c r="BA549" s="3"/>
      <c r="BB549" s="3"/>
      <c r="BC549" s="3"/>
      <c r="BD549" s="3"/>
      <c r="BE549" s="3"/>
      <c r="BF549" s="3"/>
      <c r="BG549" s="3"/>
      <c r="BH549" s="3"/>
      <c r="BI549" s="3"/>
      <c r="BJ549" s="3"/>
      <c r="BK549" s="3"/>
      <c r="BL549" s="3"/>
      <c r="BM549" s="3"/>
      <c r="BN549" s="3"/>
    </row>
    <row r="550" spans="1:66" ht="13" customHeight="1">
      <c r="B550" s="1374"/>
      <c r="C550" s="1375"/>
      <c r="D550" s="1375"/>
      <c r="E550" s="1375"/>
      <c r="F550" s="1375"/>
      <c r="G550" s="1375"/>
      <c r="H550" s="1376"/>
      <c r="I550" s="40" t="s">
        <v>1413</v>
      </c>
      <c r="J550" s="40"/>
      <c r="K550" s="40"/>
      <c r="L550" s="40"/>
      <c r="M550" s="40"/>
      <c r="N550" s="40"/>
      <c r="O550" s="40"/>
      <c r="P550" s="40"/>
      <c r="Q550" s="40"/>
      <c r="R550" s="40"/>
      <c r="S550" s="40"/>
      <c r="T550" s="40"/>
      <c r="U550" s="40"/>
      <c r="V550" s="40"/>
      <c r="W550" s="40"/>
      <c r="X550" s="40"/>
      <c r="Y550" s="40"/>
      <c r="Z550" s="40"/>
      <c r="AA550" s="40"/>
      <c r="AB550" s="40"/>
      <c r="AC550" s="1361">
        <v>5</v>
      </c>
      <c r="AD550" s="1345"/>
      <c r="AE550" s="1345"/>
      <c r="AF550" s="1345"/>
      <c r="AG550" s="30" t="s">
        <v>1359</v>
      </c>
      <c r="AH550" s="1363">
        <v>2029</v>
      </c>
      <c r="AI550" s="1363"/>
      <c r="AJ550" s="1363"/>
      <c r="AK550" s="1364"/>
      <c r="BB550" s="3"/>
      <c r="BC550" s="3"/>
      <c r="BD550" s="3"/>
      <c r="BE550" s="3"/>
      <c r="BF550" s="3"/>
      <c r="BG550" s="3"/>
      <c r="BH550" s="3" t="s">
        <v>18</v>
      </c>
      <c r="BI550" s="3" t="str">
        <f>N657</f>
        <v>Yes</v>
      </c>
      <c r="BJ550" s="3"/>
      <c r="BK550" s="3"/>
      <c r="BL550" s="3"/>
      <c r="BM550" s="3"/>
      <c r="BN550" s="3"/>
    </row>
    <row r="551" spans="1:66" ht="13"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3" customHeight="1">
      <c r="A552" s="1251" t="s">
        <v>1414</v>
      </c>
      <c r="B552" s="1251"/>
      <c r="C552" s="1251"/>
      <c r="D552" s="1251"/>
      <c r="E552" s="1251"/>
      <c r="F552" s="1251"/>
      <c r="G552" s="1251"/>
      <c r="H552" s="1251"/>
      <c r="I552" s="1251"/>
      <c r="J552" s="1251"/>
      <c r="K552" s="1251"/>
      <c r="L552" s="1251"/>
      <c r="M552" s="1251"/>
      <c r="N552" s="1251"/>
      <c r="O552" s="1251"/>
      <c r="P552" s="1251"/>
      <c r="Q552" s="1251"/>
      <c r="R552" s="1251"/>
      <c r="S552" s="1251"/>
      <c r="T552" s="1251"/>
      <c r="U552" s="1251"/>
      <c r="V552" s="1251"/>
      <c r="W552" s="1251"/>
      <c r="X552" s="1251"/>
      <c r="Y552" s="1251"/>
      <c r="Z552" s="1251"/>
      <c r="AA552" s="1251"/>
      <c r="AB552" s="1251"/>
      <c r="AC552" s="1251"/>
      <c r="AD552" s="1251"/>
      <c r="AE552" s="1251"/>
      <c r="AF552" s="1251"/>
      <c r="AG552" s="1251"/>
      <c r="AH552" s="1251"/>
      <c r="AI552" s="1251"/>
      <c r="AJ552" s="1251"/>
      <c r="AK552" s="1251"/>
      <c r="AL552" s="1251"/>
      <c r="AM552" s="1251"/>
      <c r="AN552" s="1251"/>
      <c r="AO552" s="1251"/>
      <c r="AP552" s="1251"/>
      <c r="AQ552" s="1251"/>
      <c r="AR552" s="1251"/>
      <c r="AS552" s="1251"/>
      <c r="AT552" s="1251"/>
      <c r="AU552" s="791"/>
      <c r="AV552" s="791"/>
      <c r="AW552" s="791"/>
      <c r="AX552" s="791"/>
      <c r="AY552" s="791"/>
      <c r="BB552" s="3"/>
      <c r="BC552" s="3"/>
      <c r="BD552" s="3"/>
      <c r="BE552" s="3"/>
      <c r="BF552" s="3"/>
      <c r="BG552" s="3"/>
      <c r="BH552" s="3"/>
      <c r="BI552" s="3"/>
      <c r="BJ552" s="3"/>
      <c r="BK552" s="3"/>
      <c r="BL552" s="3"/>
      <c r="BM552" s="3"/>
      <c r="BN552" s="3"/>
    </row>
    <row r="553" spans="1:66" ht="13" customHeight="1">
      <c r="A553" s="1251"/>
      <c r="B553" s="1251"/>
      <c r="C553" s="1251"/>
      <c r="D553" s="1251"/>
      <c r="E553" s="1251"/>
      <c r="F553" s="1251"/>
      <c r="G553" s="1251"/>
      <c r="H553" s="1251"/>
      <c r="I553" s="1251"/>
      <c r="J553" s="1251"/>
      <c r="K553" s="1251"/>
      <c r="L553" s="1251"/>
      <c r="M553" s="1251"/>
      <c r="N553" s="1251"/>
      <c r="O553" s="1251"/>
      <c r="P553" s="1251"/>
      <c r="Q553" s="1251"/>
      <c r="R553" s="1251"/>
      <c r="S553" s="1251"/>
      <c r="T553" s="1251"/>
      <c r="U553" s="1251"/>
      <c r="V553" s="1251"/>
      <c r="W553" s="1251"/>
      <c r="X553" s="1251"/>
      <c r="Y553" s="1251"/>
      <c r="Z553" s="1251"/>
      <c r="AA553" s="1251"/>
      <c r="AB553" s="1251"/>
      <c r="AC553" s="1251"/>
      <c r="AD553" s="1251"/>
      <c r="AE553" s="1251"/>
      <c r="AF553" s="1251"/>
      <c r="AG553" s="1251"/>
      <c r="AH553" s="1251"/>
      <c r="AI553" s="1251"/>
      <c r="AJ553" s="1251"/>
      <c r="AK553" s="1251"/>
      <c r="AL553" s="1251"/>
      <c r="AM553" s="1251"/>
      <c r="AN553" s="1251"/>
      <c r="AO553" s="1251"/>
      <c r="AP553" s="1251"/>
      <c r="AQ553" s="1251"/>
      <c r="AR553" s="1251"/>
      <c r="AS553" s="1251"/>
      <c r="AT553" s="1251"/>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887</v>
      </c>
      <c r="B555" s="2"/>
      <c r="C555" s="2" t="s">
        <v>172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1415</v>
      </c>
      <c r="AC557" s="73"/>
      <c r="BB557" s="3"/>
      <c r="BC557" s="3"/>
      <c r="BD557" s="3"/>
      <c r="BE557" s="3"/>
      <c r="BF557" s="3"/>
      <c r="BG557" s="3"/>
      <c r="BH557" s="3"/>
      <c r="BI557" s="3"/>
    </row>
    <row r="558" spans="1:66" ht="13" customHeight="1">
      <c r="B558" s="412"/>
      <c r="BB558" s="3"/>
      <c r="BC558" s="3"/>
      <c r="BD558" s="3"/>
      <c r="BE558" s="3"/>
      <c r="BF558" s="3"/>
      <c r="BG558" s="3"/>
      <c r="BH558" s="3" t="s">
        <v>39</v>
      </c>
      <c r="BI558" s="3" t="str">
        <f>N665</f>
        <v>Yes</v>
      </c>
    </row>
    <row r="559" spans="1:66" ht="13" customHeight="1">
      <c r="B559" s="1368" t="s">
        <v>1416</v>
      </c>
      <c r="C559" s="1369"/>
      <c r="D559" s="1369"/>
      <c r="E559" s="1369"/>
      <c r="F559" s="1369"/>
      <c r="G559" s="1369"/>
      <c r="H559" s="1369"/>
      <c r="I559" s="1369"/>
      <c r="J559" s="1369"/>
      <c r="K559" s="1369"/>
      <c r="L559" s="1370"/>
      <c r="M559" s="1368" t="s">
        <v>1417</v>
      </c>
      <c r="N559" s="1369"/>
      <c r="O559" s="1369"/>
      <c r="P559" s="1370"/>
      <c r="Q559" s="1368" t="s">
        <v>1418</v>
      </c>
      <c r="R559" s="1369"/>
      <c r="S559" s="1370"/>
      <c r="T559" s="1368" t="s">
        <v>1419</v>
      </c>
      <c r="U559" s="1369"/>
      <c r="V559" s="1370"/>
      <c r="W559" s="1368" t="s">
        <v>1420</v>
      </c>
      <c r="X559" s="1369"/>
      <c r="Y559" s="1370"/>
      <c r="Z559" s="1368" t="s">
        <v>1421</v>
      </c>
      <c r="AA559" s="1369"/>
      <c r="AB559" s="1369"/>
      <c r="AC559" s="1369"/>
      <c r="AD559" s="1370"/>
      <c r="AE559" s="1368" t="s">
        <v>1422</v>
      </c>
      <c r="AF559" s="1369"/>
      <c r="AG559" s="1369"/>
      <c r="AH559" s="1370"/>
      <c r="AI559" s="1368" t="s">
        <v>1423</v>
      </c>
      <c r="AJ559" s="1369"/>
      <c r="AK559" s="1369"/>
      <c r="AL559" s="1370"/>
      <c r="AM559" s="1368" t="s">
        <v>1424</v>
      </c>
      <c r="AN559" s="1369"/>
      <c r="AO559" s="1369"/>
      <c r="AP559" s="1369"/>
      <c r="AQ559" s="1369"/>
      <c r="AR559" s="1369"/>
      <c r="AS559" s="1370"/>
      <c r="BB559" s="3"/>
      <c r="BC559" s="3"/>
      <c r="BD559" s="3"/>
      <c r="BE559" s="3"/>
      <c r="BF559" s="3"/>
      <c r="BG559" s="3"/>
      <c r="BH559" s="3" t="s">
        <v>82</v>
      </c>
      <c r="BI559" s="3" t="str">
        <f>AG665</f>
        <v>Yes</v>
      </c>
    </row>
    <row r="560" spans="1:66" ht="13" customHeight="1">
      <c r="B560" s="1371"/>
      <c r="C560" s="1372"/>
      <c r="D560" s="1372"/>
      <c r="E560" s="1372"/>
      <c r="F560" s="1372"/>
      <c r="G560" s="1372"/>
      <c r="H560" s="1372"/>
      <c r="I560" s="1372"/>
      <c r="J560" s="1372"/>
      <c r="K560" s="1372"/>
      <c r="L560" s="1373"/>
      <c r="M560" s="1371"/>
      <c r="N560" s="1372"/>
      <c r="O560" s="1372"/>
      <c r="P560" s="1373"/>
      <c r="Q560" s="1371"/>
      <c r="R560" s="1372"/>
      <c r="S560" s="1373"/>
      <c r="T560" s="1371"/>
      <c r="U560" s="1372"/>
      <c r="V560" s="1373"/>
      <c r="W560" s="1371"/>
      <c r="X560" s="1372"/>
      <c r="Y560" s="1373"/>
      <c r="Z560" s="1371"/>
      <c r="AA560" s="1372"/>
      <c r="AB560" s="1372"/>
      <c r="AC560" s="1372"/>
      <c r="AD560" s="1373"/>
      <c r="AE560" s="1371"/>
      <c r="AF560" s="1372"/>
      <c r="AG560" s="1372"/>
      <c r="AH560" s="1373"/>
      <c r="AI560" s="1371"/>
      <c r="AJ560" s="1372"/>
      <c r="AK560" s="1372"/>
      <c r="AL560" s="1373"/>
      <c r="AM560" s="1371"/>
      <c r="AN560" s="1372"/>
      <c r="AO560" s="1372"/>
      <c r="AP560" s="1372"/>
      <c r="AQ560" s="1372"/>
      <c r="AR560" s="1372"/>
      <c r="AS560" s="1373"/>
      <c r="AU560" s="1030"/>
      <c r="BB560" s="3"/>
      <c r="BC560" s="3"/>
      <c r="BD560" s="3"/>
      <c r="BE560" s="3"/>
      <c r="BF560" s="3"/>
      <c r="BG560" s="3"/>
      <c r="BH560" s="3"/>
      <c r="BI560" s="3"/>
    </row>
    <row r="561" spans="1:61" ht="13" customHeight="1">
      <c r="B561" s="1374"/>
      <c r="C561" s="1375"/>
      <c r="D561" s="1375"/>
      <c r="E561" s="1375"/>
      <c r="F561" s="1375"/>
      <c r="G561" s="1375"/>
      <c r="H561" s="1375"/>
      <c r="I561" s="1375"/>
      <c r="J561" s="1375"/>
      <c r="K561" s="1375"/>
      <c r="L561" s="1376"/>
      <c r="M561" s="1374"/>
      <c r="N561" s="1375"/>
      <c r="O561" s="1375"/>
      <c r="P561" s="1376"/>
      <c r="Q561" s="1374"/>
      <c r="R561" s="1375"/>
      <c r="S561" s="1376"/>
      <c r="T561" s="1374"/>
      <c r="U561" s="1375"/>
      <c r="V561" s="1376"/>
      <c r="W561" s="1374"/>
      <c r="X561" s="1375"/>
      <c r="Y561" s="1376"/>
      <c r="Z561" s="1374"/>
      <c r="AA561" s="1375"/>
      <c r="AB561" s="1375"/>
      <c r="AC561" s="1375"/>
      <c r="AD561" s="1376"/>
      <c r="AE561" s="1374"/>
      <c r="AF561" s="1375"/>
      <c r="AG561" s="1375"/>
      <c r="AH561" s="1376"/>
      <c r="AI561" s="1374"/>
      <c r="AJ561" s="1375"/>
      <c r="AK561" s="1375"/>
      <c r="AL561" s="1376"/>
      <c r="AM561" s="1374"/>
      <c r="AN561" s="1375"/>
      <c r="AO561" s="1375"/>
      <c r="AP561" s="1375"/>
      <c r="AQ561" s="1375"/>
      <c r="AR561" s="1375"/>
      <c r="AS561" s="1376"/>
      <c r="AU561" s="1030"/>
      <c r="BB561" s="3"/>
      <c r="BC561" s="3"/>
      <c r="BD561" s="3"/>
      <c r="BE561" s="3"/>
      <c r="BF561" s="3"/>
      <c r="BG561" s="3"/>
      <c r="BH561" s="3"/>
      <c r="BI561" s="3"/>
    </row>
    <row r="562" spans="1:61" ht="13" customHeight="1">
      <c r="B562" s="43" t="s">
        <v>18</v>
      </c>
      <c r="C562" s="1450" t="s">
        <v>1425</v>
      </c>
      <c r="D562" s="1450"/>
      <c r="E562" s="1450"/>
      <c r="F562" s="1450"/>
      <c r="G562" s="1450"/>
      <c r="H562" s="1450"/>
      <c r="I562" s="1450"/>
      <c r="J562" s="1450"/>
      <c r="K562" s="1450"/>
      <c r="L562" s="1450"/>
      <c r="M562" s="1450" t="s">
        <v>1399</v>
      </c>
      <c r="N562" s="1450"/>
      <c r="O562" s="1450"/>
      <c r="P562" s="1450"/>
      <c r="Q562" s="1421">
        <v>30</v>
      </c>
      <c r="R562" s="1421"/>
      <c r="S562" s="1422"/>
      <c r="T562" s="1420"/>
      <c r="U562" s="1421"/>
      <c r="V562" s="1422"/>
      <c r="W562" s="1417">
        <v>5.7500000000000002E-2</v>
      </c>
      <c r="X562" s="1418"/>
      <c r="Y562" s="1419"/>
      <c r="Z562" s="1362" t="s">
        <v>1426</v>
      </c>
      <c r="AA562" s="1362"/>
      <c r="AB562" s="1362"/>
      <c r="AC562" s="1362"/>
      <c r="AD562" s="1362"/>
      <c r="AE562" s="1384">
        <v>1</v>
      </c>
      <c r="AF562" s="1385"/>
      <c r="AG562" s="1385"/>
      <c r="AH562" s="1386"/>
      <c r="AI562" s="1438"/>
      <c r="AJ562" s="1439"/>
      <c r="AK562" s="1439"/>
      <c r="AL562" s="1440"/>
      <c r="AM562" s="1313">
        <v>21500000</v>
      </c>
      <c r="AN562" s="1314"/>
      <c r="AO562" s="1314"/>
      <c r="AP562" s="1314"/>
      <c r="AQ562" s="1314"/>
      <c r="AR562" s="1314"/>
      <c r="AS562" s="1315"/>
      <c r="AT562" s="1031"/>
      <c r="AU562" s="1030"/>
      <c r="BB562" s="3"/>
      <c r="BC562" s="3"/>
      <c r="BD562" s="3"/>
      <c r="BE562" s="3"/>
      <c r="BF562" s="3"/>
      <c r="BG562" s="3"/>
      <c r="BH562" s="3"/>
      <c r="BI562" s="3"/>
    </row>
    <row r="563" spans="1:61" ht="13" customHeight="1">
      <c r="B563" s="44" t="s">
        <v>31</v>
      </c>
      <c r="C563" s="1451" t="s">
        <v>1427</v>
      </c>
      <c r="D563" s="1451"/>
      <c r="E563" s="1451"/>
      <c r="F563" s="1451"/>
      <c r="G563" s="1451"/>
      <c r="H563" s="1451"/>
      <c r="I563" s="1451"/>
      <c r="J563" s="1451"/>
      <c r="K563" s="1451"/>
      <c r="L563" s="1451"/>
      <c r="M563" s="1450" t="s">
        <v>1398</v>
      </c>
      <c r="N563" s="1450"/>
      <c r="O563" s="1450"/>
      <c r="P563" s="1450"/>
      <c r="Q563" s="1420">
        <v>30</v>
      </c>
      <c r="R563" s="1421"/>
      <c r="S563" s="1422"/>
      <c r="T563" s="1420"/>
      <c r="U563" s="1421"/>
      <c r="V563" s="1422"/>
      <c r="W563" s="1417">
        <v>6.5000000000000002E-2</v>
      </c>
      <c r="X563" s="1418"/>
      <c r="Y563" s="1419"/>
      <c r="Z563" s="1362" t="s">
        <v>1426</v>
      </c>
      <c r="AA563" s="1362"/>
      <c r="AB563" s="1362"/>
      <c r="AC563" s="1362"/>
      <c r="AD563" s="1362"/>
      <c r="AE563" s="1384">
        <v>1</v>
      </c>
      <c r="AF563" s="1385"/>
      <c r="AG563" s="1385"/>
      <c r="AH563" s="1386"/>
      <c r="AI563" s="1438"/>
      <c r="AJ563" s="1439"/>
      <c r="AK563" s="1439"/>
      <c r="AL563" s="1440"/>
      <c r="AM563" s="1313">
        <v>31512685</v>
      </c>
      <c r="AN563" s="1314"/>
      <c r="AO563" s="1314"/>
      <c r="AP563" s="1314"/>
      <c r="AQ563" s="1314"/>
      <c r="AR563" s="1314"/>
      <c r="AS563" s="1315"/>
      <c r="AT563" s="1031" t="str">
        <f>IF(AND(NOT(C562=""),C563="",NOT(C564="")),"!","")</f>
        <v/>
      </c>
      <c r="AU563" s="1030"/>
      <c r="BB563" s="3"/>
      <c r="BC563" s="3"/>
      <c r="BD563" s="3"/>
      <c r="BE563" s="3"/>
      <c r="BF563" s="3"/>
      <c r="BG563" s="3"/>
      <c r="BH563" s="3"/>
      <c r="BI563" s="3"/>
    </row>
    <row r="564" spans="1:61" ht="13" customHeight="1">
      <c r="B564" s="44" t="s">
        <v>39</v>
      </c>
      <c r="C564" s="1451" t="s">
        <v>2797</v>
      </c>
      <c r="D564" s="1451"/>
      <c r="E564" s="1451"/>
      <c r="F564" s="1451"/>
      <c r="G564" s="1451"/>
      <c r="H564" s="1451"/>
      <c r="I564" s="1451"/>
      <c r="J564" s="1451"/>
      <c r="K564" s="1451"/>
      <c r="L564" s="1451"/>
      <c r="M564" s="1450" t="s">
        <v>1395</v>
      </c>
      <c r="N564" s="1450"/>
      <c r="O564" s="1450"/>
      <c r="P564" s="1450"/>
      <c r="Q564" s="1420">
        <v>204</v>
      </c>
      <c r="R564" s="1421"/>
      <c r="S564" s="1422"/>
      <c r="T564" s="1420"/>
      <c r="U564" s="1421"/>
      <c r="V564" s="1422"/>
      <c r="W564" s="1417">
        <v>8.5000000000000006E-2</v>
      </c>
      <c r="X564" s="1418"/>
      <c r="Y564" s="1419"/>
      <c r="Z564" s="1362" t="s">
        <v>2798</v>
      </c>
      <c r="AA564" s="1362"/>
      <c r="AB564" s="1362"/>
      <c r="AC564" s="1362"/>
      <c r="AD564" s="1362"/>
      <c r="AE564" s="1384">
        <v>2</v>
      </c>
      <c r="AF564" s="1385"/>
      <c r="AG564" s="1385"/>
      <c r="AH564" s="1386"/>
      <c r="AI564" s="1438"/>
      <c r="AJ564" s="1439"/>
      <c r="AK564" s="1439"/>
      <c r="AL564" s="1440"/>
      <c r="AM564" s="1313">
        <v>7000000</v>
      </c>
      <c r="AN564" s="1314"/>
      <c r="AO564" s="1314"/>
      <c r="AP564" s="1314"/>
      <c r="AQ564" s="1314"/>
      <c r="AR564" s="1314"/>
      <c r="AS564" s="1315"/>
      <c r="AT564" s="1031" t="str">
        <f>IF(AND(NOT(C563=""),C564="",NOT(C565="")),"!","")</f>
        <v/>
      </c>
      <c r="AU564" s="1030"/>
      <c r="BB564" s="3"/>
      <c r="BC564" s="3"/>
      <c r="BD564" s="3"/>
      <c r="BE564" s="3"/>
      <c r="BF564" s="3"/>
      <c r="BG564" s="3"/>
      <c r="BH564" s="3"/>
      <c r="BI564" s="3"/>
    </row>
    <row r="565" spans="1:61" ht="13" customHeight="1">
      <c r="B565" s="44" t="s">
        <v>82</v>
      </c>
      <c r="C565" s="1623" t="s">
        <v>1428</v>
      </c>
      <c r="D565" s="1624"/>
      <c r="E565" s="1624"/>
      <c r="F565" s="1624"/>
      <c r="G565" s="1624"/>
      <c r="H565" s="1624"/>
      <c r="I565" s="1624"/>
      <c r="J565" s="1624"/>
      <c r="K565" s="1624"/>
      <c r="L565" s="1625"/>
      <c r="M565" s="1450" t="s">
        <v>1386</v>
      </c>
      <c r="N565" s="1450"/>
      <c r="O565" s="1450"/>
      <c r="P565" s="1450"/>
      <c r="Q565" s="1420"/>
      <c r="R565" s="1421"/>
      <c r="S565" s="1422"/>
      <c r="T565" s="1420"/>
      <c r="U565" s="1421"/>
      <c r="V565" s="1422"/>
      <c r="W565" s="1417"/>
      <c r="X565" s="1418"/>
      <c r="Y565" s="1419"/>
      <c r="Z565" s="1362" t="s">
        <v>1043</v>
      </c>
      <c r="AA565" s="1362"/>
      <c r="AB565" s="1362"/>
      <c r="AC565" s="1362"/>
      <c r="AD565" s="1362"/>
      <c r="AE565" s="1384"/>
      <c r="AF565" s="1385"/>
      <c r="AG565" s="1385"/>
      <c r="AH565" s="1386"/>
      <c r="AI565" s="1438"/>
      <c r="AJ565" s="1439"/>
      <c r="AK565" s="1439"/>
      <c r="AL565" s="1440"/>
      <c r="AM565" s="1313">
        <v>7661382</v>
      </c>
      <c r="AN565" s="1314"/>
      <c r="AO565" s="1314"/>
      <c r="AP565" s="1314"/>
      <c r="AQ565" s="1314"/>
      <c r="AR565" s="1314"/>
      <c r="AS565" s="1315"/>
      <c r="AT565" s="1031" t="str">
        <f>IF(AND(NOT(C564=""),C565="",NOT(C566="")),"!","")</f>
        <v/>
      </c>
      <c r="AU565" s="1030"/>
      <c r="BB565" s="3"/>
      <c r="BC565" s="3"/>
      <c r="BD565" s="3"/>
      <c r="BE565" s="3"/>
      <c r="BF565" s="3"/>
      <c r="BG565" s="3"/>
      <c r="BH565" s="3"/>
      <c r="BI565" s="3"/>
    </row>
    <row r="566" spans="1:61" ht="13" customHeight="1">
      <c r="B566" s="44" t="s">
        <v>86</v>
      </c>
      <c r="C566" s="1623" t="s">
        <v>1429</v>
      </c>
      <c r="D566" s="1624"/>
      <c r="E566" s="1624"/>
      <c r="F566" s="1624"/>
      <c r="G566" s="1624"/>
      <c r="H566" s="1624"/>
      <c r="I566" s="1624"/>
      <c r="J566" s="1624"/>
      <c r="K566" s="1624"/>
      <c r="L566" s="1625"/>
      <c r="M566" s="1450" t="s">
        <v>1386</v>
      </c>
      <c r="N566" s="1450"/>
      <c r="O566" s="1450"/>
      <c r="P566" s="1450"/>
      <c r="Q566" s="1420"/>
      <c r="R566" s="1421"/>
      <c r="S566" s="1422"/>
      <c r="T566" s="1420"/>
      <c r="U566" s="1421"/>
      <c r="V566" s="1422"/>
      <c r="W566" s="1417"/>
      <c r="X566" s="1418"/>
      <c r="Y566" s="1419"/>
      <c r="Z566" s="1362" t="s">
        <v>1043</v>
      </c>
      <c r="AA566" s="1362"/>
      <c r="AB566" s="1362"/>
      <c r="AC566" s="1362"/>
      <c r="AD566" s="1362"/>
      <c r="AE566" s="1384"/>
      <c r="AF566" s="1385"/>
      <c r="AG566" s="1385"/>
      <c r="AH566" s="1386"/>
      <c r="AI566" s="1438"/>
      <c r="AJ566" s="1439"/>
      <c r="AK566" s="1439"/>
      <c r="AL566" s="1440"/>
      <c r="AM566" s="1313">
        <v>1237500</v>
      </c>
      <c r="AN566" s="1314"/>
      <c r="AO566" s="1314"/>
      <c r="AP566" s="1314"/>
      <c r="AQ566" s="1314"/>
      <c r="AR566" s="1314"/>
      <c r="AS566" s="1315"/>
      <c r="AT566" s="1031" t="str">
        <f t="shared" ref="AT566:AT573" si="2">IF(AND(NOT(C565=""),C566="",NOT(C567="")),"!","")</f>
        <v/>
      </c>
      <c r="AU566" s="1030"/>
      <c r="BB566" s="3"/>
      <c r="BC566" s="3"/>
      <c r="BD566" s="3"/>
      <c r="BE566" s="3"/>
      <c r="BF566" s="3"/>
      <c r="BG566" s="3"/>
      <c r="BH566" s="3" t="s">
        <v>86</v>
      </c>
      <c r="BI566" s="3" t="str">
        <f>N673</f>
        <v>No</v>
      </c>
    </row>
    <row r="567" spans="1:61" ht="13" customHeight="1">
      <c r="B567" s="44" t="s">
        <v>1431</v>
      </c>
      <c r="C567" s="1451" t="s">
        <v>1430</v>
      </c>
      <c r="D567" s="1451"/>
      <c r="E567" s="1451"/>
      <c r="F567" s="1451"/>
      <c r="G567" s="1451"/>
      <c r="H567" s="1451"/>
      <c r="I567" s="1451"/>
      <c r="J567" s="1451"/>
      <c r="K567" s="1451"/>
      <c r="L567" s="1451"/>
      <c r="M567" s="1450" t="s">
        <v>1378</v>
      </c>
      <c r="N567" s="1450"/>
      <c r="O567" s="1450"/>
      <c r="P567" s="1450"/>
      <c r="Q567" s="1420"/>
      <c r="R567" s="1421"/>
      <c r="S567" s="1422"/>
      <c r="T567" s="1420"/>
      <c r="U567" s="1421"/>
      <c r="V567" s="1422"/>
      <c r="W567" s="1417"/>
      <c r="X567" s="1418"/>
      <c r="Y567" s="1419"/>
      <c r="Z567" s="1362" t="s">
        <v>1043</v>
      </c>
      <c r="AA567" s="1362"/>
      <c r="AB567" s="1362"/>
      <c r="AC567" s="1362"/>
      <c r="AD567" s="1362"/>
      <c r="AE567" s="1384"/>
      <c r="AF567" s="1385"/>
      <c r="AG567" s="1385"/>
      <c r="AH567" s="1386"/>
      <c r="AI567" s="1438"/>
      <c r="AJ567" s="1439"/>
      <c r="AK567" s="1439"/>
      <c r="AL567" s="1440"/>
      <c r="AM567" s="1313">
        <f>AO649- SUM(AM562:AS566)</f>
        <v>9395880</v>
      </c>
      <c r="AN567" s="1314"/>
      <c r="AO567" s="1314"/>
      <c r="AP567" s="1314"/>
      <c r="AQ567" s="1314"/>
      <c r="AR567" s="1314"/>
      <c r="AS567" s="1315"/>
      <c r="AT567" s="1031" t="str">
        <f t="shared" si="2"/>
        <v/>
      </c>
      <c r="AU567" s="1030"/>
      <c r="BB567" s="3"/>
      <c r="BC567" s="3"/>
      <c r="BD567" s="3"/>
      <c r="BE567" s="3"/>
      <c r="BF567" s="3"/>
      <c r="BG567" s="3"/>
      <c r="BH567" s="3" t="s">
        <v>1431</v>
      </c>
      <c r="BI567" s="3" t="str">
        <f>AG673</f>
        <v>No</v>
      </c>
    </row>
    <row r="568" spans="1:61" ht="13" customHeight="1">
      <c r="B568" s="44" t="s">
        <v>1432</v>
      </c>
      <c r="C568" s="1451"/>
      <c r="D568" s="1451"/>
      <c r="E568" s="1451"/>
      <c r="F568" s="1451"/>
      <c r="G568" s="1451"/>
      <c r="H568" s="1451"/>
      <c r="I568" s="1451"/>
      <c r="J568" s="1451"/>
      <c r="K568" s="1451"/>
      <c r="L568" s="1451"/>
      <c r="M568" s="1450" t="s">
        <v>1043</v>
      </c>
      <c r="N568" s="1450"/>
      <c r="O568" s="1450"/>
      <c r="P568" s="1450"/>
      <c r="Q568" s="1420"/>
      <c r="R568" s="1421"/>
      <c r="S568" s="1422"/>
      <c r="T568" s="1420"/>
      <c r="U568" s="1421"/>
      <c r="V568" s="1422"/>
      <c r="W568" s="1417"/>
      <c r="X568" s="1418"/>
      <c r="Y568" s="1419"/>
      <c r="Z568" s="1362" t="s">
        <v>1043</v>
      </c>
      <c r="AA568" s="1362"/>
      <c r="AB568" s="1362"/>
      <c r="AC568" s="1362"/>
      <c r="AD568" s="1362"/>
      <c r="AE568" s="1384"/>
      <c r="AF568" s="1385"/>
      <c r="AG568" s="1385"/>
      <c r="AH568" s="1386"/>
      <c r="AI568" s="1438"/>
      <c r="AJ568" s="1439"/>
      <c r="AK568" s="1439"/>
      <c r="AL568" s="1440"/>
      <c r="AM568" s="1313"/>
      <c r="AN568" s="1314"/>
      <c r="AO568" s="1314"/>
      <c r="AP568" s="1314"/>
      <c r="AQ568" s="1314"/>
      <c r="AR568" s="1314"/>
      <c r="AS568" s="1315"/>
      <c r="AT568" s="1031" t="str">
        <f t="shared" si="2"/>
        <v/>
      </c>
      <c r="AU568" s="1030"/>
      <c r="BB568" s="3"/>
      <c r="BC568" s="3"/>
      <c r="BD568" s="3"/>
      <c r="BE568" s="3"/>
      <c r="BF568" s="3"/>
      <c r="BG568" s="3"/>
      <c r="BH568" s="3"/>
      <c r="BI568" s="3"/>
    </row>
    <row r="569" spans="1:61" ht="13" customHeight="1">
      <c r="B569" s="44" t="s">
        <v>1433</v>
      </c>
      <c r="C569" s="1451"/>
      <c r="D569" s="1451"/>
      <c r="E569" s="1451"/>
      <c r="F569" s="1451"/>
      <c r="G569" s="1451"/>
      <c r="H569" s="1451"/>
      <c r="I569" s="1451"/>
      <c r="J569" s="1451"/>
      <c r="K569" s="1451"/>
      <c r="L569" s="1451"/>
      <c r="M569" s="1450" t="s">
        <v>1043</v>
      </c>
      <c r="N569" s="1450"/>
      <c r="O569" s="1450"/>
      <c r="P569" s="1450"/>
      <c r="Q569" s="1420"/>
      <c r="R569" s="1421"/>
      <c r="S569" s="1422"/>
      <c r="T569" s="1420"/>
      <c r="U569" s="1421"/>
      <c r="V569" s="1422"/>
      <c r="W569" s="1417"/>
      <c r="X569" s="1418"/>
      <c r="Y569" s="1419"/>
      <c r="Z569" s="1362" t="s">
        <v>1043</v>
      </c>
      <c r="AA569" s="1362"/>
      <c r="AB569" s="1362"/>
      <c r="AC569" s="1362"/>
      <c r="AD569" s="1362"/>
      <c r="AE569" s="1384"/>
      <c r="AF569" s="1385"/>
      <c r="AG569" s="1385"/>
      <c r="AH569" s="1386"/>
      <c r="AI569" s="1438"/>
      <c r="AJ569" s="1439"/>
      <c r="AK569" s="1439"/>
      <c r="AL569" s="1440"/>
      <c r="AM569" s="1313"/>
      <c r="AN569" s="1314"/>
      <c r="AO569" s="1314"/>
      <c r="AP569" s="1314"/>
      <c r="AQ569" s="1314"/>
      <c r="AR569" s="1314"/>
      <c r="AS569" s="1315"/>
      <c r="AT569" s="1031" t="str">
        <f t="shared" si="2"/>
        <v/>
      </c>
      <c r="AU569" s="1030"/>
      <c r="BB569" s="3"/>
      <c r="BC569" s="3"/>
      <c r="BD569" s="3"/>
      <c r="BE569" s="3"/>
      <c r="BF569" s="3"/>
      <c r="BG569" s="3"/>
      <c r="BH569" s="3"/>
      <c r="BI569" s="3"/>
    </row>
    <row r="570" spans="1:61" ht="13" customHeight="1">
      <c r="B570" s="44" t="s">
        <v>1434</v>
      </c>
      <c r="C570" s="1451"/>
      <c r="D570" s="1451"/>
      <c r="E570" s="1451"/>
      <c r="F570" s="1451"/>
      <c r="G570" s="1451"/>
      <c r="H570" s="1451"/>
      <c r="I570" s="1451"/>
      <c r="J570" s="1451"/>
      <c r="K570" s="1451"/>
      <c r="L570" s="1451"/>
      <c r="M570" s="1450" t="s">
        <v>1043</v>
      </c>
      <c r="N570" s="1450"/>
      <c r="O570" s="1450"/>
      <c r="P570" s="1450"/>
      <c r="Q570" s="1420"/>
      <c r="R570" s="1421"/>
      <c r="S570" s="1422"/>
      <c r="T570" s="1420"/>
      <c r="U570" s="1421"/>
      <c r="V570" s="1422"/>
      <c r="W570" s="1417"/>
      <c r="X570" s="1418"/>
      <c r="Y570" s="1419"/>
      <c r="Z570" s="1362" t="s">
        <v>1043</v>
      </c>
      <c r="AA570" s="1362"/>
      <c r="AB570" s="1362"/>
      <c r="AC570" s="1362"/>
      <c r="AD570" s="1362"/>
      <c r="AE570" s="1384"/>
      <c r="AF570" s="1385"/>
      <c r="AG570" s="1385"/>
      <c r="AH570" s="1386"/>
      <c r="AI570" s="1438"/>
      <c r="AJ570" s="1439"/>
      <c r="AK570" s="1439"/>
      <c r="AL570" s="1440"/>
      <c r="AM570" s="1313"/>
      <c r="AN570" s="1314"/>
      <c r="AO570" s="1314"/>
      <c r="AP570" s="1314"/>
      <c r="AQ570" s="1314"/>
      <c r="AR570" s="1314"/>
      <c r="AS570" s="1315"/>
      <c r="AT570" s="1031" t="str">
        <f t="shared" si="2"/>
        <v/>
      </c>
      <c r="AU570" s="1030"/>
      <c r="BB570" s="3"/>
      <c r="BC570" s="3"/>
      <c r="BD570" s="3"/>
      <c r="BE570" s="3"/>
      <c r="BF570" s="3"/>
      <c r="BG570" s="3"/>
      <c r="BH570" s="3"/>
      <c r="BI570" s="3"/>
    </row>
    <row r="571" spans="1:61" ht="13" customHeight="1">
      <c r="B571" s="44" t="s">
        <v>1435</v>
      </c>
      <c r="C571" s="1451"/>
      <c r="D571" s="1451"/>
      <c r="E571" s="1451"/>
      <c r="F571" s="1451"/>
      <c r="G571" s="1451"/>
      <c r="H571" s="1451"/>
      <c r="I571" s="1451"/>
      <c r="J571" s="1451"/>
      <c r="K571" s="1451"/>
      <c r="L571" s="1451"/>
      <c r="M571" s="1450" t="s">
        <v>1043</v>
      </c>
      <c r="N571" s="1450"/>
      <c r="O571" s="1450"/>
      <c r="P571" s="1450"/>
      <c r="Q571" s="1420"/>
      <c r="R571" s="1421"/>
      <c r="S571" s="1422"/>
      <c r="T571" s="1420"/>
      <c r="U571" s="1421"/>
      <c r="V571" s="1422"/>
      <c r="W571" s="1417"/>
      <c r="X571" s="1418"/>
      <c r="Y571" s="1419"/>
      <c r="Z571" s="1362" t="s">
        <v>1043</v>
      </c>
      <c r="AA571" s="1362"/>
      <c r="AB571" s="1362"/>
      <c r="AC571" s="1362"/>
      <c r="AD571" s="1362"/>
      <c r="AE571" s="1384"/>
      <c r="AF571" s="1385"/>
      <c r="AG571" s="1385"/>
      <c r="AH571" s="1386"/>
      <c r="AI571" s="1438"/>
      <c r="AJ571" s="1439"/>
      <c r="AK571" s="1439"/>
      <c r="AL571" s="1440"/>
      <c r="AM571" s="1313"/>
      <c r="AN571" s="1314"/>
      <c r="AO571" s="1314"/>
      <c r="AP571" s="1314"/>
      <c r="AQ571" s="1314"/>
      <c r="AR571" s="1314"/>
      <c r="AS571" s="1315"/>
      <c r="AT571" s="1031" t="str">
        <f t="shared" si="2"/>
        <v/>
      </c>
      <c r="BB571" s="3"/>
      <c r="BC571" s="3"/>
      <c r="BD571" s="3"/>
      <c r="BE571" s="3"/>
      <c r="BF571" s="3"/>
      <c r="BG571" s="3"/>
      <c r="BH571" s="3"/>
      <c r="BI571" s="3"/>
    </row>
    <row r="572" spans="1:61" ht="13" customHeight="1">
      <c r="B572" s="44" t="s">
        <v>1436</v>
      </c>
      <c r="C572" s="1451"/>
      <c r="D572" s="1451"/>
      <c r="E572" s="1451"/>
      <c r="F572" s="1451"/>
      <c r="G572" s="1451"/>
      <c r="H572" s="1451"/>
      <c r="I572" s="1451"/>
      <c r="J572" s="1451"/>
      <c r="K572" s="1451"/>
      <c r="L572" s="1451"/>
      <c r="M572" s="1450" t="s">
        <v>1043</v>
      </c>
      <c r="N572" s="1450"/>
      <c r="O572" s="1450"/>
      <c r="P572" s="1450"/>
      <c r="Q572" s="1420"/>
      <c r="R572" s="1421"/>
      <c r="S572" s="1422"/>
      <c r="T572" s="1420"/>
      <c r="U572" s="1421"/>
      <c r="V572" s="1422"/>
      <c r="W572" s="1417"/>
      <c r="X572" s="1418"/>
      <c r="Y572" s="1419"/>
      <c r="Z572" s="1362" t="s">
        <v>1043</v>
      </c>
      <c r="AA572" s="1362"/>
      <c r="AB572" s="1362"/>
      <c r="AC572" s="1362"/>
      <c r="AD572" s="1362"/>
      <c r="AE572" s="1384"/>
      <c r="AF572" s="1385"/>
      <c r="AG572" s="1385"/>
      <c r="AH572" s="1386"/>
      <c r="AI572" s="1438"/>
      <c r="AJ572" s="1439"/>
      <c r="AK572" s="1439"/>
      <c r="AL572" s="1440"/>
      <c r="AM572" s="1313"/>
      <c r="AN572" s="1314"/>
      <c r="AO572" s="1314"/>
      <c r="AP572" s="1314"/>
      <c r="AQ572" s="1314"/>
      <c r="AR572" s="1314"/>
      <c r="AS572" s="1315"/>
      <c r="AT572" s="1031" t="str">
        <f t="shared" si="2"/>
        <v/>
      </c>
      <c r="BB572" s="3"/>
      <c r="BC572" s="3"/>
      <c r="BD572" s="3"/>
      <c r="BE572" s="3"/>
      <c r="BF572" s="3"/>
      <c r="BG572" s="3"/>
      <c r="BH572" s="3"/>
      <c r="BI572" s="3"/>
    </row>
    <row r="573" spans="1:61" ht="13" customHeight="1">
      <c r="B573" s="44" t="s">
        <v>1437</v>
      </c>
      <c r="C573" s="1451"/>
      <c r="D573" s="1451"/>
      <c r="E573" s="1451"/>
      <c r="F573" s="1451"/>
      <c r="G573" s="1451"/>
      <c r="H573" s="1451"/>
      <c r="I573" s="1451"/>
      <c r="J573" s="1451"/>
      <c r="K573" s="1451"/>
      <c r="L573" s="1451"/>
      <c r="M573" s="1450" t="s">
        <v>1043</v>
      </c>
      <c r="N573" s="1450"/>
      <c r="O573" s="1450"/>
      <c r="P573" s="1450"/>
      <c r="Q573" s="1420"/>
      <c r="R573" s="1421"/>
      <c r="S573" s="1422"/>
      <c r="T573" s="1420"/>
      <c r="U573" s="1421"/>
      <c r="V573" s="1422"/>
      <c r="W573" s="1417"/>
      <c r="X573" s="1418"/>
      <c r="Y573" s="1419"/>
      <c r="Z573" s="1362" t="s">
        <v>1043</v>
      </c>
      <c r="AA573" s="1362"/>
      <c r="AB573" s="1362"/>
      <c r="AC573" s="1362"/>
      <c r="AD573" s="1362"/>
      <c r="AE573" s="1384"/>
      <c r="AF573" s="1385"/>
      <c r="AG573" s="1385"/>
      <c r="AH573" s="1386"/>
      <c r="AI573" s="1438"/>
      <c r="AJ573" s="1439"/>
      <c r="AK573" s="1439"/>
      <c r="AL573" s="1440"/>
      <c r="AM573" s="1313"/>
      <c r="AN573" s="1314"/>
      <c r="AO573" s="1314"/>
      <c r="AP573" s="1314"/>
      <c r="AQ573" s="1314"/>
      <c r="AR573" s="1314"/>
      <c r="AS573" s="1315"/>
      <c r="AT573" s="1031" t="str">
        <f t="shared" si="2"/>
        <v/>
      </c>
      <c r="BB573" s="3"/>
      <c r="BC573" s="3"/>
      <c r="BD573" s="3"/>
      <c r="BE573" s="3"/>
      <c r="BF573" s="3"/>
      <c r="BG573" s="3"/>
      <c r="BH573" s="3"/>
      <c r="BI573" s="3"/>
    </row>
    <row r="574" spans="1:61" ht="13" customHeight="1">
      <c r="B574" s="1380" t="s">
        <v>1438</v>
      </c>
      <c r="C574" s="1381"/>
      <c r="D574" s="1381"/>
      <c r="E574" s="1381"/>
      <c r="F574" s="1381"/>
      <c r="G574" s="1381"/>
      <c r="H574" s="1381"/>
      <c r="I574" s="1381"/>
      <c r="J574" s="1381"/>
      <c r="K574" s="1381"/>
      <c r="L574" s="1381"/>
      <c r="M574" s="1381"/>
      <c r="N574" s="1381"/>
      <c r="O574" s="1381"/>
      <c r="P574" s="1381"/>
      <c r="Q574" s="1381"/>
      <c r="R574" s="1381"/>
      <c r="S574" s="1381"/>
      <c r="T574" s="1381"/>
      <c r="U574" s="1382"/>
      <c r="V574" s="1381"/>
      <c r="W574" s="1381"/>
      <c r="X574" s="1381"/>
      <c r="Y574" s="1381"/>
      <c r="Z574" s="1381"/>
      <c r="AA574" s="1381"/>
      <c r="AB574" s="1381"/>
      <c r="AC574" s="1381"/>
      <c r="AD574" s="1381"/>
      <c r="AE574" s="1381"/>
      <c r="AF574" s="1381"/>
      <c r="AG574" s="1381"/>
      <c r="AH574" s="1381"/>
      <c r="AI574" s="1381"/>
      <c r="AJ574" s="1381"/>
      <c r="AK574" s="1381"/>
      <c r="AL574" s="1383"/>
      <c r="AM574" s="1446">
        <f>SUM(AM562:AS573)</f>
        <v>78307447</v>
      </c>
      <c r="AN574" s="1447"/>
      <c r="AO574" s="1447"/>
      <c r="AP574" s="1447"/>
      <c r="AQ574" s="1447"/>
      <c r="AR574" s="1447"/>
      <c r="AS574" s="1448"/>
      <c r="BB574" s="3"/>
      <c r="BC574" s="3"/>
      <c r="BD574" s="3"/>
      <c r="BE574" s="3"/>
      <c r="BF574" s="3"/>
      <c r="BG574" s="3"/>
      <c r="BH574" s="3" t="s">
        <v>1432</v>
      </c>
      <c r="BI574" s="3" t="str">
        <f>N681</f>
        <v>No</v>
      </c>
    </row>
    <row r="575" spans="1:61" ht="13"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1433</v>
      </c>
      <c r="BI575" s="3" t="str">
        <f>AG681</f>
        <v>No</v>
      </c>
    </row>
    <row r="576" spans="1:61" ht="13" customHeight="1">
      <c r="A576" s="47" t="s">
        <v>18</v>
      </c>
      <c r="B576" t="s">
        <v>1439</v>
      </c>
      <c r="G576" s="1444" t="str">
        <f>C562</f>
        <v>Tax Exempt Construciton Loan</v>
      </c>
      <c r="H576" s="1444"/>
      <c r="I576" s="1444"/>
      <c r="J576" s="1444"/>
      <c r="K576" s="1444"/>
      <c r="L576" s="1444"/>
      <c r="M576" s="1444"/>
      <c r="N576" s="1444"/>
      <c r="O576" s="1444"/>
      <c r="P576" s="1444"/>
      <c r="Q576" s="1444"/>
      <c r="R576" s="1444"/>
      <c r="S576" s="7"/>
      <c r="T576" s="47" t="s">
        <v>31</v>
      </c>
      <c r="U576" t="s">
        <v>1439</v>
      </c>
      <c r="Z576" s="1444" t="str">
        <f>C563</f>
        <v>Taxable Construction loan</v>
      </c>
      <c r="AA576" s="1444"/>
      <c r="AB576" s="1444"/>
      <c r="AC576" s="1444"/>
      <c r="AD576" s="1444"/>
      <c r="AE576" s="1444"/>
      <c r="AF576" s="1444"/>
      <c r="AG576" s="1444"/>
      <c r="AH576" s="1444"/>
      <c r="AI576" s="1444"/>
      <c r="AJ576" s="1444"/>
      <c r="AK576" s="1444"/>
      <c r="BB576" s="3"/>
      <c r="BC576" s="3"/>
      <c r="BD576" s="3"/>
      <c r="BE576" s="3"/>
      <c r="BF576" s="3"/>
      <c r="BG576" s="3"/>
      <c r="BH576" s="3"/>
      <c r="BI576" s="3"/>
    </row>
    <row r="577" spans="1:61" ht="13" customHeight="1">
      <c r="A577" s="19"/>
      <c r="B577" t="s">
        <v>1081</v>
      </c>
      <c r="G577" s="1379" t="s">
        <v>1440</v>
      </c>
      <c r="H577" s="1379"/>
      <c r="I577" s="1379"/>
      <c r="J577" s="1379"/>
      <c r="K577" s="1379"/>
      <c r="L577" s="1379"/>
      <c r="M577" s="1379"/>
      <c r="N577" s="1379"/>
      <c r="O577" s="1379"/>
      <c r="P577" s="1379"/>
      <c r="Q577" s="1379"/>
      <c r="R577" s="1379"/>
      <c r="S577" s="7"/>
      <c r="T577" s="19"/>
      <c r="U577" t="s">
        <v>1081</v>
      </c>
      <c r="Z577" s="1379" t="s">
        <v>1440</v>
      </c>
      <c r="AA577" s="1379"/>
      <c r="AB577" s="1379"/>
      <c r="AC577" s="1379"/>
      <c r="AD577" s="1379"/>
      <c r="AE577" s="1379"/>
      <c r="AF577" s="1379"/>
      <c r="AG577" s="1379"/>
      <c r="AH577" s="1379"/>
      <c r="AI577" s="1379"/>
      <c r="AJ577" s="1379"/>
      <c r="AK577" s="1379"/>
      <c r="BB577" s="3"/>
      <c r="BC577" s="3"/>
      <c r="BD577" s="3"/>
      <c r="BE577" s="3"/>
      <c r="BF577" s="3"/>
      <c r="BG577" s="3"/>
      <c r="BH577" s="3"/>
      <c r="BI577" s="3"/>
    </row>
    <row r="578" spans="1:61" ht="13" customHeight="1">
      <c r="A578" s="19"/>
      <c r="B578" t="s">
        <v>947</v>
      </c>
      <c r="G578" s="1379" t="s">
        <v>1441</v>
      </c>
      <c r="H578" s="1379"/>
      <c r="I578" s="1379"/>
      <c r="J578" s="1379"/>
      <c r="K578" s="1379"/>
      <c r="L578" s="1379"/>
      <c r="M578" s="1379"/>
      <c r="N578" s="1379"/>
      <c r="O578" s="1379"/>
      <c r="P578" s="1379"/>
      <c r="Q578" s="1379"/>
      <c r="R578" s="1379"/>
      <c r="T578" s="19"/>
      <c r="U578" t="s">
        <v>947</v>
      </c>
      <c r="Z578" s="1412" t="s">
        <v>1441</v>
      </c>
      <c r="AA578" s="1412"/>
      <c r="AB578" s="1412"/>
      <c r="AC578" s="1412"/>
      <c r="AD578" s="1412"/>
      <c r="AE578" s="1412"/>
      <c r="AF578" s="1412"/>
      <c r="AG578" s="1412"/>
      <c r="AH578" s="1412"/>
      <c r="AI578" s="1412"/>
      <c r="AJ578" s="1412"/>
      <c r="AK578" s="1412"/>
      <c r="BB578" s="3"/>
      <c r="BC578" s="3"/>
      <c r="BD578" s="3"/>
      <c r="BE578" s="3"/>
      <c r="BF578" s="3"/>
      <c r="BG578" s="3"/>
      <c r="BH578" s="3"/>
      <c r="BI578" s="3"/>
    </row>
    <row r="579" spans="1:61" ht="13" customHeight="1">
      <c r="A579" s="19"/>
      <c r="B579" t="s">
        <v>1442</v>
      </c>
      <c r="G579" s="1379" t="s">
        <v>1443</v>
      </c>
      <c r="H579" s="1379"/>
      <c r="I579" s="1379"/>
      <c r="J579" s="1379"/>
      <c r="K579" s="1379"/>
      <c r="L579" s="1379"/>
      <c r="M579" s="1379"/>
      <c r="N579" s="1379"/>
      <c r="O579" s="1379"/>
      <c r="P579" s="1379"/>
      <c r="Q579" s="1379"/>
      <c r="R579" s="1379"/>
      <c r="S579" s="7"/>
      <c r="T579" s="19"/>
      <c r="U579" t="s">
        <v>1442</v>
      </c>
      <c r="Z579" s="1412" t="s">
        <v>1443</v>
      </c>
      <c r="AA579" s="1412"/>
      <c r="AB579" s="1412"/>
      <c r="AC579" s="1412"/>
      <c r="AD579" s="1412"/>
      <c r="AE579" s="1412"/>
      <c r="AF579" s="1412"/>
      <c r="AG579" s="1412"/>
      <c r="AH579" s="1412"/>
      <c r="AI579" s="1412"/>
      <c r="AJ579" s="1412"/>
      <c r="AK579" s="1412"/>
      <c r="BB579" s="3"/>
      <c r="BC579" s="3"/>
      <c r="BD579" s="3"/>
      <c r="BE579" s="3"/>
      <c r="BF579" s="3"/>
      <c r="BG579" s="3"/>
      <c r="BH579" s="3"/>
      <c r="BI579" s="3"/>
    </row>
    <row r="580" spans="1:61" ht="13" customHeight="1">
      <c r="A580" s="19"/>
      <c r="B580" t="s">
        <v>840</v>
      </c>
      <c r="G580" s="1432" t="s">
        <v>1444</v>
      </c>
      <c r="H580" s="1432"/>
      <c r="I580" s="1432"/>
      <c r="J580" s="1432"/>
      <c r="K580" s="1432"/>
      <c r="L580" s="1432"/>
      <c r="O580" s="918" t="s">
        <v>1089</v>
      </c>
      <c r="P580" s="1445"/>
      <c r="Q580" s="1445"/>
      <c r="R580" s="1445"/>
      <c r="S580" s="9"/>
      <c r="T580" s="19"/>
      <c r="U580" t="s">
        <v>840</v>
      </c>
      <c r="Z580" s="1432" t="s">
        <v>1444</v>
      </c>
      <c r="AA580" s="1432"/>
      <c r="AB580" s="1432"/>
      <c r="AC580" s="1432"/>
      <c r="AD580" s="1432"/>
      <c r="AE580" s="1432"/>
      <c r="AH580" s="918" t="s">
        <v>1089</v>
      </c>
      <c r="AI580" s="1445"/>
      <c r="AJ580" s="1445"/>
      <c r="AK580" s="1445"/>
      <c r="BB580" s="3"/>
      <c r="BC580" s="3"/>
      <c r="BD580" s="3"/>
      <c r="BE580" s="3"/>
      <c r="BF580" s="3"/>
      <c r="BG580" s="3"/>
      <c r="BH580" s="3"/>
      <c r="BI580" s="3"/>
    </row>
    <row r="581" spans="1:61" ht="13" customHeight="1">
      <c r="A581" s="19"/>
      <c r="B581" t="s">
        <v>1445</v>
      </c>
      <c r="H581" s="1379" t="s">
        <v>1446</v>
      </c>
      <c r="I581" s="1379"/>
      <c r="J581" s="1379"/>
      <c r="K581" s="1379"/>
      <c r="L581" s="1379"/>
      <c r="M581" s="1379"/>
      <c r="N581" s="1379"/>
      <c r="O581" s="1379"/>
      <c r="P581" s="1379"/>
      <c r="Q581" s="1379"/>
      <c r="R581" s="1379"/>
      <c r="S581" s="7"/>
      <c r="T581" s="19"/>
      <c r="U581" t="s">
        <v>1445</v>
      </c>
      <c r="AA581" s="1379" t="s">
        <v>1398</v>
      </c>
      <c r="AB581" s="1379"/>
      <c r="AC581" s="1379"/>
      <c r="AD581" s="1379"/>
      <c r="AE581" s="1379"/>
      <c r="AF581" s="1379"/>
      <c r="AG581" s="1379"/>
      <c r="AH581" s="1379"/>
      <c r="AI581" s="1379"/>
      <c r="AJ581" s="1379"/>
      <c r="AK581" s="1379"/>
      <c r="BB581" s="3"/>
      <c r="BC581" s="3"/>
      <c r="BD581" s="3"/>
      <c r="BE581" s="3"/>
      <c r="BF581" s="3"/>
      <c r="BG581" s="3"/>
      <c r="BH581" s="3"/>
      <c r="BI581" s="3"/>
    </row>
    <row r="582" spans="1:61" ht="13" customHeight="1">
      <c r="A582" s="19"/>
      <c r="B582" s="225" t="s">
        <v>1447</v>
      </c>
      <c r="H582" s="7"/>
      <c r="I582" s="7"/>
      <c r="J582" s="7"/>
      <c r="K582" s="7"/>
      <c r="L582" s="7"/>
      <c r="M582" s="1592"/>
      <c r="N582" s="1592"/>
      <c r="O582" s="1592"/>
      <c r="P582" s="1592"/>
      <c r="Q582" s="1592"/>
      <c r="R582" s="1592"/>
      <c r="S582" s="7"/>
      <c r="T582" s="19"/>
      <c r="U582" s="225" t="s">
        <v>1447</v>
      </c>
      <c r="AA582" s="7"/>
      <c r="AB582" s="7"/>
      <c r="AC582" s="7"/>
      <c r="AD582" s="7"/>
      <c r="AE582" s="7"/>
      <c r="AF582" s="1592"/>
      <c r="AG582" s="1592"/>
      <c r="AH582" s="1592"/>
      <c r="AI582" s="1592"/>
      <c r="AJ582" s="1592"/>
      <c r="AK582" s="1592"/>
      <c r="BB582" s="3"/>
      <c r="BC582" s="3"/>
      <c r="BD582" s="3"/>
      <c r="BE582" s="3"/>
      <c r="BF582" s="3"/>
      <c r="BG582" s="3"/>
      <c r="BH582" s="3"/>
      <c r="BI582" s="3"/>
    </row>
    <row r="583" spans="1:61" ht="13" customHeight="1">
      <c r="A583" s="19"/>
      <c r="B583" t="s">
        <v>1448</v>
      </c>
      <c r="N583" s="1387" t="s">
        <v>862</v>
      </c>
      <c r="O583" s="1387"/>
      <c r="T583" s="19"/>
      <c r="U583" t="s">
        <v>1448</v>
      </c>
      <c r="AG583" s="1387" t="s">
        <v>862</v>
      </c>
      <c r="AH583" s="1387"/>
      <c r="BB583" s="3"/>
      <c r="BC583" s="3"/>
      <c r="BD583" s="3"/>
      <c r="BE583" s="3"/>
      <c r="BF583" s="3"/>
      <c r="BG583" s="3"/>
      <c r="BH583" s="3"/>
      <c r="BI583" s="3"/>
    </row>
    <row r="584" spans="1:61" ht="13" customHeight="1">
      <c r="A584" s="19"/>
      <c r="T584" s="19"/>
      <c r="BB584" s="3"/>
      <c r="BC584" s="3"/>
      <c r="BD584" s="3"/>
      <c r="BE584" s="3"/>
      <c r="BF584" s="3"/>
      <c r="BG584" s="3"/>
      <c r="BH584" s="3"/>
      <c r="BI584" s="3"/>
    </row>
    <row r="585" spans="1:61" ht="13" customHeight="1">
      <c r="A585" s="47" t="s">
        <v>39</v>
      </c>
      <c r="B585" t="s">
        <v>1439</v>
      </c>
      <c r="G585" s="1444" t="str">
        <f>C564</f>
        <v>Jefferies LLC  B Bond</v>
      </c>
      <c r="H585" s="1444"/>
      <c r="I585" s="1444"/>
      <c r="J585" s="1444"/>
      <c r="K585" s="1444"/>
      <c r="L585" s="1444"/>
      <c r="M585" s="1444"/>
      <c r="N585" s="1444"/>
      <c r="O585" s="1444"/>
      <c r="P585" s="1444"/>
      <c r="Q585" s="1444"/>
      <c r="R585" s="1444"/>
      <c r="T585" s="47" t="s">
        <v>82</v>
      </c>
      <c r="U585" t="s">
        <v>1439</v>
      </c>
      <c r="Z585" s="1444" t="str">
        <f>C565</f>
        <v>Federal LIHTC Equity</v>
      </c>
      <c r="AA585" s="1444"/>
      <c r="AB585" s="1444"/>
      <c r="AC585" s="1444"/>
      <c r="AD585" s="1444"/>
      <c r="AE585" s="1444"/>
      <c r="AF585" s="1444"/>
      <c r="AG585" s="1444"/>
      <c r="AH585" s="1444"/>
      <c r="AI585" s="1444"/>
      <c r="AJ585" s="1444"/>
      <c r="AK585" s="1444"/>
      <c r="BB585" s="3"/>
      <c r="BC585" s="3"/>
    </row>
    <row r="586" spans="1:61" ht="13" customHeight="1">
      <c r="A586" s="19"/>
      <c r="B586" t="s">
        <v>1081</v>
      </c>
      <c r="G586" s="1469" t="s">
        <v>2789</v>
      </c>
      <c r="H586" s="1379"/>
      <c r="I586" s="1379"/>
      <c r="J586" s="1379"/>
      <c r="K586" s="1379"/>
      <c r="L586" s="1379"/>
      <c r="M586" s="1379"/>
      <c r="N586" s="1379"/>
      <c r="O586" s="1379"/>
      <c r="P586" s="1379"/>
      <c r="Q586" s="1379"/>
      <c r="R586" s="1379"/>
      <c r="T586" s="19"/>
      <c r="U586" t="s">
        <v>1081</v>
      </c>
      <c r="Z586" s="1379" t="s">
        <v>1185</v>
      </c>
      <c r="AA586" s="1379"/>
      <c r="AB586" s="1379"/>
      <c r="AC586" s="1379"/>
      <c r="AD586" s="1379"/>
      <c r="AE586" s="1379"/>
      <c r="AF586" s="1379"/>
      <c r="AG586" s="1379"/>
      <c r="AH586" s="1379"/>
      <c r="AI586" s="1379"/>
      <c r="AJ586" s="1379"/>
      <c r="AK586" s="1379"/>
      <c r="BB586" s="3"/>
      <c r="BC586" s="3"/>
    </row>
    <row r="587" spans="1:61" ht="13" customHeight="1">
      <c r="A587" s="19"/>
      <c r="B587" t="s">
        <v>947</v>
      </c>
      <c r="G587" s="1445" t="s">
        <v>2790</v>
      </c>
      <c r="H587" s="1412"/>
      <c r="I587" s="1412"/>
      <c r="J587" s="1412"/>
      <c r="K587" s="1412"/>
      <c r="L587" s="1412"/>
      <c r="M587" s="1412"/>
      <c r="N587" s="1412"/>
      <c r="O587" s="1412"/>
      <c r="P587" s="1412"/>
      <c r="Q587" s="1412"/>
      <c r="R587" s="1412"/>
      <c r="T587" s="19"/>
      <c r="U587" t="s">
        <v>947</v>
      </c>
      <c r="Z587" s="1412" t="s">
        <v>1187</v>
      </c>
      <c r="AA587" s="1412"/>
      <c r="AB587" s="1412"/>
      <c r="AC587" s="1412"/>
      <c r="AD587" s="1412"/>
      <c r="AE587" s="1412"/>
      <c r="AF587" s="1412"/>
      <c r="AG587" s="1412"/>
      <c r="AH587" s="1412"/>
      <c r="AI587" s="1412"/>
      <c r="AJ587" s="1412"/>
      <c r="AK587" s="1412"/>
      <c r="BB587" s="3"/>
      <c r="BC587" s="3"/>
    </row>
    <row r="588" spans="1:61" ht="13" customHeight="1">
      <c r="A588" s="19"/>
      <c r="B588" t="s">
        <v>1442</v>
      </c>
      <c r="G588" s="1445" t="s">
        <v>2791</v>
      </c>
      <c r="H588" s="1412"/>
      <c r="I588" s="1412"/>
      <c r="J588" s="1412"/>
      <c r="K588" s="1412"/>
      <c r="L588" s="1412"/>
      <c r="M588" s="1412"/>
      <c r="N588" s="1412"/>
      <c r="O588" s="1412"/>
      <c r="P588" s="1412"/>
      <c r="Q588" s="1412"/>
      <c r="R588" s="1412"/>
      <c r="T588" s="19"/>
      <c r="U588" t="s">
        <v>1442</v>
      </c>
      <c r="Z588" s="1412" t="s">
        <v>1188</v>
      </c>
      <c r="AA588" s="1412"/>
      <c r="AB588" s="1412"/>
      <c r="AC588" s="1412"/>
      <c r="AD588" s="1412"/>
      <c r="AE588" s="1412"/>
      <c r="AF588" s="1412"/>
      <c r="AG588" s="1412"/>
      <c r="AH588" s="1412"/>
      <c r="AI588" s="1412"/>
      <c r="AJ588" s="1412"/>
      <c r="AK588" s="1412"/>
      <c r="BB588" s="3"/>
      <c r="BC588" s="3"/>
    </row>
    <row r="589" spans="1:61" ht="13" customHeight="1">
      <c r="A589" s="19"/>
      <c r="B589" t="s">
        <v>840</v>
      </c>
      <c r="G589" s="1432" t="s">
        <v>2792</v>
      </c>
      <c r="H589" s="1432"/>
      <c r="I589" s="1432"/>
      <c r="J589" s="1432"/>
      <c r="K589" s="1432"/>
      <c r="L589" s="1432"/>
      <c r="O589" s="918" t="s">
        <v>1089</v>
      </c>
      <c r="P589" s="1445"/>
      <c r="Q589" s="1445"/>
      <c r="R589" s="1445"/>
      <c r="T589" s="19"/>
      <c r="U589" t="s">
        <v>840</v>
      </c>
      <c r="Z589" s="1432" t="s">
        <v>1190</v>
      </c>
      <c r="AA589" s="1432"/>
      <c r="AB589" s="1432"/>
      <c r="AC589" s="1432"/>
      <c r="AD589" s="1432"/>
      <c r="AE589" s="1432"/>
      <c r="AH589" s="918" t="s">
        <v>1089</v>
      </c>
      <c r="AI589" s="1445"/>
      <c r="AJ589" s="1445"/>
      <c r="AK589" s="1445"/>
      <c r="BB589" s="3"/>
      <c r="BC589" s="3"/>
    </row>
    <row r="590" spans="1:61" ht="13" customHeight="1">
      <c r="A590" s="19"/>
      <c r="B590" t="s">
        <v>1445</v>
      </c>
      <c r="H590" s="1379" t="s">
        <v>2794</v>
      </c>
      <c r="I590" s="1379"/>
      <c r="J590" s="1379"/>
      <c r="K590" s="1379"/>
      <c r="L590" s="1379"/>
      <c r="M590" s="1379"/>
      <c r="N590" s="1379"/>
      <c r="O590" s="1379"/>
      <c r="P590" s="1379"/>
      <c r="Q590" s="1379"/>
      <c r="R590" s="1379"/>
      <c r="T590" s="19"/>
      <c r="U590" t="s">
        <v>1445</v>
      </c>
      <c r="AA590" s="1379" t="s">
        <v>1449</v>
      </c>
      <c r="AB590" s="1379"/>
      <c r="AC590" s="1379"/>
      <c r="AD590" s="1379"/>
      <c r="AE590" s="1379"/>
      <c r="AF590" s="1379"/>
      <c r="AG590" s="1379"/>
      <c r="AH590" s="1379"/>
      <c r="AI590" s="1379"/>
      <c r="AJ590" s="1379"/>
      <c r="AK590" s="1379"/>
      <c r="BB590" s="3"/>
      <c r="BC590" s="3"/>
    </row>
    <row r="591" spans="1:61" ht="13" customHeight="1">
      <c r="A591" s="19"/>
      <c r="B591" t="s">
        <v>1448</v>
      </c>
      <c r="N591" s="1387" t="s">
        <v>862</v>
      </c>
      <c r="O591" s="1387"/>
      <c r="T591" s="19"/>
      <c r="U591" t="s">
        <v>1448</v>
      </c>
      <c r="AG591" s="1387" t="s">
        <v>862</v>
      </c>
      <c r="AH591" s="1387"/>
      <c r="BB591" s="3"/>
      <c r="BC591" s="3"/>
    </row>
    <row r="592" spans="1:61" ht="13" customHeight="1">
      <c r="A592" s="19"/>
      <c r="T592" s="19"/>
      <c r="BB592" s="3"/>
      <c r="BC592" s="3"/>
    </row>
    <row r="593" spans="1:55" ht="13" customHeight="1">
      <c r="A593" s="47" t="s">
        <v>86</v>
      </c>
      <c r="B593" t="s">
        <v>1439</v>
      </c>
      <c r="G593" s="1444" t="str">
        <f>C566</f>
        <v>State LIHTC Equity</v>
      </c>
      <c r="H593" s="1444"/>
      <c r="I593" s="1444"/>
      <c r="J593" s="1444"/>
      <c r="K593" s="1444"/>
      <c r="L593" s="1444"/>
      <c r="M593" s="1444"/>
      <c r="N593" s="1444"/>
      <c r="O593" s="1444"/>
      <c r="P593" s="1444"/>
      <c r="Q593" s="1444"/>
      <c r="R593" s="1444"/>
      <c r="T593" s="47" t="s">
        <v>1431</v>
      </c>
      <c r="U593" t="s">
        <v>1439</v>
      </c>
      <c r="Z593" s="1444" t="str">
        <f>C567</f>
        <v>Deferred Costs</v>
      </c>
      <c r="AA593" s="1444"/>
      <c r="AB593" s="1444"/>
      <c r="AC593" s="1444"/>
      <c r="AD593" s="1444"/>
      <c r="AE593" s="1444"/>
      <c r="AF593" s="1444"/>
      <c r="AG593" s="1444"/>
      <c r="AH593" s="1444"/>
      <c r="AI593" s="1444"/>
      <c r="AJ593" s="1444"/>
      <c r="AK593" s="1444"/>
      <c r="BB593" s="3"/>
      <c r="BC593" s="3"/>
    </row>
    <row r="594" spans="1:55" ht="13" customHeight="1">
      <c r="A594" s="19"/>
      <c r="B594" t="s">
        <v>1081</v>
      </c>
      <c r="G594" s="1379" t="s">
        <v>1185</v>
      </c>
      <c r="H594" s="1379"/>
      <c r="I594" s="1379"/>
      <c r="J594" s="1379"/>
      <c r="K594" s="1379"/>
      <c r="L594" s="1379"/>
      <c r="M594" s="1379"/>
      <c r="N594" s="1379"/>
      <c r="O594" s="1379"/>
      <c r="P594" s="1379"/>
      <c r="Q594" s="1379"/>
      <c r="R594" s="1379"/>
      <c r="T594" s="19"/>
      <c r="U594" t="s">
        <v>1081</v>
      </c>
      <c r="Z594" s="1379" t="s">
        <v>1450</v>
      </c>
      <c r="AA594" s="1379"/>
      <c r="AB594" s="1379"/>
      <c r="AC594" s="1379"/>
      <c r="AD594" s="1379"/>
      <c r="AE594" s="1379"/>
      <c r="AF594" s="1379"/>
      <c r="AG594" s="1379"/>
      <c r="AH594" s="1379"/>
      <c r="AI594" s="1379"/>
      <c r="AJ594" s="1379"/>
      <c r="AK594" s="1379"/>
      <c r="BB594" s="3"/>
      <c r="BC594" s="3"/>
    </row>
    <row r="595" spans="1:55" ht="13" customHeight="1">
      <c r="A595" s="19"/>
      <c r="B595" t="s">
        <v>947</v>
      </c>
      <c r="G595" s="1412" t="s">
        <v>1187</v>
      </c>
      <c r="H595" s="1412"/>
      <c r="I595" s="1412"/>
      <c r="J595" s="1412"/>
      <c r="K595" s="1412"/>
      <c r="L595" s="1412"/>
      <c r="M595" s="1412"/>
      <c r="N595" s="1412"/>
      <c r="O595" s="1412"/>
      <c r="P595" s="1412"/>
      <c r="Q595" s="1412"/>
      <c r="R595" s="1412"/>
      <c r="T595" s="19"/>
      <c r="U595" t="s">
        <v>947</v>
      </c>
      <c r="Z595" s="1379" t="s">
        <v>1451</v>
      </c>
      <c r="AA595" s="1379"/>
      <c r="AB595" s="1379"/>
      <c r="AC595" s="1379"/>
      <c r="AD595" s="1379"/>
      <c r="AE595" s="1379"/>
      <c r="AF595" s="1379"/>
      <c r="AG595" s="1379"/>
      <c r="AH595" s="1379"/>
      <c r="AI595" s="1379"/>
      <c r="AJ595" s="1379"/>
      <c r="AK595" s="1379"/>
      <c r="BB595" s="3"/>
      <c r="BC595" s="3"/>
    </row>
    <row r="596" spans="1:55" ht="13" customHeight="1">
      <c r="A596" s="19"/>
      <c r="B596" t="s">
        <v>1442</v>
      </c>
      <c r="G596" s="1412" t="s">
        <v>1188</v>
      </c>
      <c r="H596" s="1412"/>
      <c r="I596" s="1412"/>
      <c r="J596" s="1412"/>
      <c r="K596" s="1412"/>
      <c r="L596" s="1412"/>
      <c r="M596" s="1412"/>
      <c r="N596" s="1412"/>
      <c r="O596" s="1412"/>
      <c r="P596" s="1412"/>
      <c r="Q596" s="1412"/>
      <c r="R596" s="1412"/>
      <c r="T596" s="19"/>
      <c r="U596" t="s">
        <v>1442</v>
      </c>
      <c r="Z596" s="1379" t="s">
        <v>805</v>
      </c>
      <c r="AA596" s="1379"/>
      <c r="AB596" s="1379"/>
      <c r="AC596" s="1379"/>
      <c r="AD596" s="1379"/>
      <c r="AE596" s="1379"/>
      <c r="AF596" s="1379"/>
      <c r="AG596" s="1379"/>
      <c r="AH596" s="1379"/>
      <c r="AI596" s="1379"/>
      <c r="AJ596" s="1379"/>
      <c r="AK596" s="1379"/>
    </row>
    <row r="597" spans="1:55" ht="13" customHeight="1">
      <c r="A597" s="19"/>
      <c r="B597" t="s">
        <v>840</v>
      </c>
      <c r="G597" s="1432" t="s">
        <v>1190</v>
      </c>
      <c r="H597" s="1432"/>
      <c r="I597" s="1432"/>
      <c r="J597" s="1432"/>
      <c r="K597" s="1432"/>
      <c r="L597" s="1432"/>
      <c r="O597" s="918" t="s">
        <v>1089</v>
      </c>
      <c r="P597" s="1445"/>
      <c r="Q597" s="1445"/>
      <c r="R597" s="1445"/>
      <c r="T597" s="19"/>
      <c r="U597" t="s">
        <v>840</v>
      </c>
      <c r="Z597" s="1432">
        <v>2127761914</v>
      </c>
      <c r="AA597" s="1432"/>
      <c r="AB597" s="1432"/>
      <c r="AC597" s="1432"/>
      <c r="AD597" s="1432"/>
      <c r="AE597" s="1432"/>
      <c r="AH597" s="918" t="s">
        <v>1089</v>
      </c>
      <c r="AI597" s="1445"/>
      <c r="AJ597" s="1445"/>
      <c r="AK597" s="1445"/>
      <c r="AZ597" s="3"/>
      <c r="BA597" s="3"/>
      <c r="BB597" s="3"/>
      <c r="BC597" s="3"/>
    </row>
    <row r="598" spans="1:55" ht="13" customHeight="1">
      <c r="A598" s="19"/>
      <c r="B598" t="s">
        <v>1445</v>
      </c>
      <c r="H598" s="1379" t="s">
        <v>1449</v>
      </c>
      <c r="I598" s="1379"/>
      <c r="J598" s="1379"/>
      <c r="K598" s="1379"/>
      <c r="L598" s="1379"/>
      <c r="M598" s="1379"/>
      <c r="N598" s="1379"/>
      <c r="O598" s="1379"/>
      <c r="P598" s="1379"/>
      <c r="Q598" s="1379"/>
      <c r="R598" s="1379"/>
      <c r="T598" s="19"/>
      <c r="U598" t="s">
        <v>1445</v>
      </c>
      <c r="AA598" s="1379" t="s">
        <v>1452</v>
      </c>
      <c r="AB598" s="1379"/>
      <c r="AC598" s="1379"/>
      <c r="AD598" s="1379"/>
      <c r="AE598" s="1379"/>
      <c r="AF598" s="1379"/>
      <c r="AG598" s="1379"/>
      <c r="AH598" s="1379"/>
      <c r="AI598" s="1379"/>
      <c r="AJ598" s="1379"/>
      <c r="AK598" s="1379"/>
      <c r="AZ598" s="3"/>
      <c r="BA598" s="3"/>
      <c r="BB598" s="3"/>
      <c r="BC598" s="3"/>
    </row>
    <row r="599" spans="1:55" ht="13" customHeight="1">
      <c r="A599" s="19"/>
      <c r="B599" t="s">
        <v>1448</v>
      </c>
      <c r="N599" s="1387" t="s">
        <v>862</v>
      </c>
      <c r="O599" s="1387"/>
      <c r="T599" s="19"/>
      <c r="U599" t="s">
        <v>1448</v>
      </c>
      <c r="AG599" s="1387" t="s">
        <v>862</v>
      </c>
      <c r="AH599" s="1387"/>
      <c r="AZ599" s="3"/>
      <c r="BA599" s="3"/>
      <c r="BB599" s="3"/>
      <c r="BC599" s="3"/>
    </row>
    <row r="600" spans="1:55" ht="13" customHeight="1">
      <c r="A600" s="19"/>
      <c r="T600" s="19"/>
      <c r="AZ600" s="3"/>
      <c r="BA600" s="3"/>
      <c r="BB600" s="3"/>
      <c r="BC600" s="3"/>
    </row>
    <row r="601" spans="1:55" ht="13" customHeight="1">
      <c r="A601" s="47" t="s">
        <v>1432</v>
      </c>
      <c r="B601" t="s">
        <v>1439</v>
      </c>
      <c r="G601" s="1444">
        <f>C568</f>
        <v>0</v>
      </c>
      <c r="H601" s="1444"/>
      <c r="I601" s="1444"/>
      <c r="J601" s="1444"/>
      <c r="K601" s="1444"/>
      <c r="L601" s="1444"/>
      <c r="M601" s="1444"/>
      <c r="N601" s="1444"/>
      <c r="O601" s="1444"/>
      <c r="P601" s="1444"/>
      <c r="Q601" s="1444"/>
      <c r="R601" s="1444"/>
      <c r="T601" s="47" t="s">
        <v>1433</v>
      </c>
      <c r="U601" t="s">
        <v>1439</v>
      </c>
      <c r="Z601" s="1444">
        <f>C569</f>
        <v>0</v>
      </c>
      <c r="AA601" s="1444"/>
      <c r="AB601" s="1444"/>
      <c r="AC601" s="1444"/>
      <c r="AD601" s="1444"/>
      <c r="AE601" s="1444"/>
      <c r="AF601" s="1444"/>
      <c r="AG601" s="1444"/>
      <c r="AH601" s="1444"/>
      <c r="AI601" s="1444"/>
      <c r="AJ601" s="1444"/>
      <c r="AK601" s="1444"/>
      <c r="AZ601" s="3"/>
      <c r="BA601" s="3"/>
      <c r="BB601" s="3"/>
      <c r="BC601" s="3"/>
    </row>
    <row r="602" spans="1:55" s="4" customFormat="1" ht="13" customHeight="1">
      <c r="A602" s="19"/>
      <c r="B602" t="s">
        <v>1081</v>
      </c>
      <c r="C602"/>
      <c r="D602"/>
      <c r="E602"/>
      <c r="F602"/>
      <c r="G602" s="1379"/>
      <c r="H602" s="1379"/>
      <c r="I602" s="1379"/>
      <c r="J602" s="1379"/>
      <c r="K602" s="1379"/>
      <c r="L602" s="1379"/>
      <c r="M602" s="1379"/>
      <c r="N602" s="1379"/>
      <c r="O602" s="1379"/>
      <c r="P602" s="1379"/>
      <c r="Q602" s="1379"/>
      <c r="R602" s="1379"/>
      <c r="S602"/>
      <c r="T602" s="19"/>
      <c r="U602" t="s">
        <v>1081</v>
      </c>
      <c r="V602"/>
      <c r="W602"/>
      <c r="X602"/>
      <c r="Y602"/>
      <c r="Z602" s="1379"/>
      <c r="AA602" s="1379"/>
      <c r="AB602" s="1379"/>
      <c r="AC602" s="1379"/>
      <c r="AD602" s="1379"/>
      <c r="AE602" s="1379"/>
      <c r="AF602" s="1379"/>
      <c r="AG602" s="1379"/>
      <c r="AH602" s="1379"/>
      <c r="AI602" s="1379"/>
      <c r="AJ602" s="1379"/>
      <c r="AK602" s="1379"/>
      <c r="AL602"/>
      <c r="AM602"/>
      <c r="AN602"/>
      <c r="AO602"/>
      <c r="AP602"/>
      <c r="AQ602"/>
      <c r="AR602"/>
      <c r="AS602"/>
      <c r="AT602"/>
      <c r="AU602"/>
      <c r="AV602"/>
      <c r="AW602"/>
      <c r="AX602"/>
      <c r="AY602"/>
      <c r="AZ602" s="3"/>
      <c r="BA602" s="3"/>
      <c r="BB602" s="3"/>
      <c r="BC602" s="3"/>
    </row>
    <row r="603" spans="1:55" s="4" customFormat="1" ht="13" customHeight="1">
      <c r="A603" s="19"/>
      <c r="B603" t="s">
        <v>947</v>
      </c>
      <c r="C603"/>
      <c r="D603"/>
      <c r="E603"/>
      <c r="F603"/>
      <c r="G603" s="1379"/>
      <c r="H603" s="1379"/>
      <c r="I603" s="1379"/>
      <c r="J603" s="1379"/>
      <c r="K603" s="1379"/>
      <c r="L603" s="1379"/>
      <c r="M603" s="1379"/>
      <c r="N603" s="1379"/>
      <c r="O603" s="1379"/>
      <c r="P603" s="1379"/>
      <c r="Q603" s="1379"/>
      <c r="R603" s="1379"/>
      <c r="S603"/>
      <c r="T603" s="19"/>
      <c r="U603" t="s">
        <v>947</v>
      </c>
      <c r="V603"/>
      <c r="W603"/>
      <c r="X603"/>
      <c r="Y603"/>
      <c r="Z603" s="1412"/>
      <c r="AA603" s="1412"/>
      <c r="AB603" s="1412"/>
      <c r="AC603" s="1412"/>
      <c r="AD603" s="1412"/>
      <c r="AE603" s="1412"/>
      <c r="AF603" s="1412"/>
      <c r="AG603" s="1412"/>
      <c r="AH603" s="1412"/>
      <c r="AI603" s="1412"/>
      <c r="AJ603" s="1412"/>
      <c r="AK603" s="1412"/>
      <c r="AL603"/>
      <c r="AM603"/>
      <c r="AN603"/>
      <c r="AO603"/>
      <c r="AP603"/>
      <c r="AQ603"/>
      <c r="AR603"/>
      <c r="AS603"/>
      <c r="AT603"/>
      <c r="AU603"/>
      <c r="AV603"/>
      <c r="AW603"/>
      <c r="AX603"/>
      <c r="AY603"/>
      <c r="AZ603" s="3"/>
      <c r="BA603" s="3"/>
      <c r="BB603" s="3"/>
      <c r="BC603" s="3"/>
    </row>
    <row r="604" spans="1:55" s="4" customFormat="1" ht="13" customHeight="1">
      <c r="A604" s="19"/>
      <c r="B604" t="s">
        <v>1442</v>
      </c>
      <c r="C604"/>
      <c r="D604"/>
      <c r="E604"/>
      <c r="F604"/>
      <c r="G604" s="1379"/>
      <c r="H604" s="1379"/>
      <c r="I604" s="1379"/>
      <c r="J604" s="1379"/>
      <c r="K604" s="1379"/>
      <c r="L604" s="1379"/>
      <c r="M604" s="1379"/>
      <c r="N604" s="1379"/>
      <c r="O604" s="1379"/>
      <c r="P604" s="1379"/>
      <c r="Q604" s="1379"/>
      <c r="R604" s="1379"/>
      <c r="S604"/>
      <c r="T604" s="19"/>
      <c r="U604" t="s">
        <v>1442</v>
      </c>
      <c r="V604"/>
      <c r="W604"/>
      <c r="X604"/>
      <c r="Y604"/>
      <c r="Z604" s="1412"/>
      <c r="AA604" s="1412"/>
      <c r="AB604" s="1412"/>
      <c r="AC604" s="1412"/>
      <c r="AD604" s="1412"/>
      <c r="AE604" s="1412"/>
      <c r="AF604" s="1412"/>
      <c r="AG604" s="1412"/>
      <c r="AH604" s="1412"/>
      <c r="AI604" s="1412"/>
      <c r="AJ604" s="1412"/>
      <c r="AK604" s="1412"/>
      <c r="AL604"/>
      <c r="AM604"/>
      <c r="AN604"/>
      <c r="AO604"/>
      <c r="AP604"/>
      <c r="AQ604"/>
      <c r="AR604"/>
      <c r="AS604"/>
      <c r="AT604"/>
      <c r="AU604"/>
      <c r="AV604"/>
      <c r="AW604"/>
      <c r="AX604"/>
      <c r="AY604"/>
      <c r="AZ604" s="3"/>
      <c r="BA604" s="3"/>
      <c r="BB604" s="3"/>
      <c r="BC604" s="3"/>
    </row>
    <row r="605" spans="1:55" s="4" customFormat="1" ht="13" customHeight="1">
      <c r="A605" s="19"/>
      <c r="B605" t="s">
        <v>840</v>
      </c>
      <c r="C605"/>
      <c r="D605"/>
      <c r="E605"/>
      <c r="F605"/>
      <c r="G605" s="1432"/>
      <c r="H605" s="1432"/>
      <c r="I605" s="1432"/>
      <c r="J605" s="1432"/>
      <c r="K605" s="1432"/>
      <c r="L605" s="1432"/>
      <c r="M605"/>
      <c r="N605"/>
      <c r="O605" s="918" t="s">
        <v>1089</v>
      </c>
      <c r="P605" s="1445"/>
      <c r="Q605" s="1445"/>
      <c r="R605" s="1445"/>
      <c r="S605"/>
      <c r="T605" s="19"/>
      <c r="U605" t="s">
        <v>840</v>
      </c>
      <c r="V605"/>
      <c r="W605"/>
      <c r="X605"/>
      <c r="Y605"/>
      <c r="Z605" s="1432"/>
      <c r="AA605" s="1432"/>
      <c r="AB605" s="1432"/>
      <c r="AC605" s="1432"/>
      <c r="AD605" s="1432"/>
      <c r="AE605" s="1432"/>
      <c r="AF605"/>
      <c r="AG605"/>
      <c r="AH605" s="918" t="s">
        <v>1089</v>
      </c>
      <c r="AI605" s="1445"/>
      <c r="AJ605" s="1445"/>
      <c r="AK605" s="1445"/>
      <c r="AL605"/>
      <c r="AM605"/>
      <c r="AN605"/>
      <c r="AO605"/>
      <c r="AP605"/>
      <c r="AQ605"/>
      <c r="AR605"/>
      <c r="AS605"/>
      <c r="AT605"/>
      <c r="AU605"/>
      <c r="AV605"/>
      <c r="AW605"/>
      <c r="AX605"/>
      <c r="AY605"/>
      <c r="AZ605" s="3"/>
      <c r="BA605" s="3"/>
      <c r="BB605" s="3"/>
      <c r="BC605" s="3"/>
    </row>
    <row r="606" spans="1:55" s="4" customFormat="1" ht="13" customHeight="1">
      <c r="A606" s="19"/>
      <c r="B606" t="s">
        <v>1445</v>
      </c>
      <c r="C606"/>
      <c r="D606"/>
      <c r="E606"/>
      <c r="F606"/>
      <c r="G606"/>
      <c r="H606" s="1379"/>
      <c r="I606" s="1379"/>
      <c r="J606" s="1379"/>
      <c r="K606" s="1379"/>
      <c r="L606" s="1379"/>
      <c r="M606" s="1379"/>
      <c r="N606" s="1379"/>
      <c r="O606" s="1379"/>
      <c r="P606" s="1379"/>
      <c r="Q606" s="1379"/>
      <c r="R606" s="1379"/>
      <c r="S606"/>
      <c r="T606" s="19"/>
      <c r="U606" t="s">
        <v>1445</v>
      </c>
      <c r="V606"/>
      <c r="W606"/>
      <c r="X606"/>
      <c r="Y606"/>
      <c r="Z606"/>
      <c r="AA606" s="1379"/>
      <c r="AB606" s="1379"/>
      <c r="AC606" s="1379"/>
      <c r="AD606" s="1379"/>
      <c r="AE606" s="1379"/>
      <c r="AF606" s="1379"/>
      <c r="AG606" s="1379"/>
      <c r="AH606" s="1379"/>
      <c r="AI606" s="1379"/>
      <c r="AJ606" s="1379"/>
      <c r="AK606" s="1379"/>
      <c r="AL606"/>
      <c r="AM606"/>
      <c r="AN606"/>
      <c r="AO606"/>
      <c r="AP606"/>
      <c r="AQ606"/>
      <c r="AR606"/>
      <c r="AS606"/>
      <c r="AT606"/>
      <c r="AU606"/>
      <c r="AV606"/>
      <c r="AW606"/>
      <c r="AX606"/>
      <c r="AY606"/>
      <c r="AZ606" s="3"/>
      <c r="BA606" s="3"/>
      <c r="BB606" s="3"/>
      <c r="BC606" s="3"/>
    </row>
    <row r="607" spans="1:55" ht="13" customHeight="1">
      <c r="A607" s="19"/>
      <c r="B607" t="s">
        <v>1448</v>
      </c>
      <c r="N607" s="1387" t="s">
        <v>700</v>
      </c>
      <c r="O607" s="1387"/>
      <c r="T607" s="19"/>
      <c r="U607" t="s">
        <v>1448</v>
      </c>
      <c r="AG607" s="1387" t="s">
        <v>700</v>
      </c>
      <c r="AH607" s="1387"/>
      <c r="BB607" s="3"/>
      <c r="BC607" s="3"/>
    </row>
    <row r="608" spans="1:55" ht="13" customHeight="1">
      <c r="A608" s="19"/>
      <c r="T608" s="19"/>
      <c r="BB608" s="3"/>
      <c r="BC608" s="3"/>
    </row>
    <row r="609" spans="1:55" ht="13" customHeight="1">
      <c r="A609" s="47" t="s">
        <v>1434</v>
      </c>
      <c r="B609" t="s">
        <v>1439</v>
      </c>
      <c r="G609" s="1444">
        <f>C570</f>
        <v>0</v>
      </c>
      <c r="H609" s="1444"/>
      <c r="I609" s="1444"/>
      <c r="J609" s="1444"/>
      <c r="K609" s="1444"/>
      <c r="L609" s="1444"/>
      <c r="M609" s="1444"/>
      <c r="N609" s="1444"/>
      <c r="O609" s="1444"/>
      <c r="P609" s="1444"/>
      <c r="Q609" s="1444"/>
      <c r="R609" s="1444"/>
      <c r="T609" s="47" t="s">
        <v>1435</v>
      </c>
      <c r="U609" t="s">
        <v>1439</v>
      </c>
      <c r="Z609" s="1444">
        <f>C571</f>
        <v>0</v>
      </c>
      <c r="AA609" s="1444"/>
      <c r="AB609" s="1444"/>
      <c r="AC609" s="1444"/>
      <c r="AD609" s="1444"/>
      <c r="AE609" s="1444"/>
      <c r="AF609" s="1444"/>
      <c r="AG609" s="1444"/>
      <c r="AH609" s="1444"/>
      <c r="AI609" s="1444"/>
      <c r="AJ609" s="1444"/>
      <c r="AK609" s="1444"/>
      <c r="BB609" s="3"/>
      <c r="BC609" s="3"/>
    </row>
    <row r="610" spans="1:55" ht="13" customHeight="1">
      <c r="A610" s="19"/>
      <c r="B610" t="s">
        <v>1081</v>
      </c>
      <c r="G610" s="1379"/>
      <c r="H610" s="1379"/>
      <c r="I610" s="1379"/>
      <c r="J610" s="1379"/>
      <c r="K610" s="1379"/>
      <c r="L610" s="1379"/>
      <c r="M610" s="1379"/>
      <c r="N610" s="1379"/>
      <c r="O610" s="1379"/>
      <c r="P610" s="1379"/>
      <c r="Q610" s="1379"/>
      <c r="R610" s="1379"/>
      <c r="T610" s="19"/>
      <c r="U610" t="s">
        <v>1081</v>
      </c>
      <c r="Z610" s="1379"/>
      <c r="AA610" s="1379"/>
      <c r="AB610" s="1379"/>
      <c r="AC610" s="1379"/>
      <c r="AD610" s="1379"/>
      <c r="AE610" s="1379"/>
      <c r="AF610" s="1379"/>
      <c r="AG610" s="1379"/>
      <c r="AH610" s="1379"/>
      <c r="AI610" s="1379"/>
      <c r="AJ610" s="1379"/>
      <c r="AK610" s="1379"/>
      <c r="AZ610" s="3"/>
      <c r="BA610" s="3"/>
      <c r="BB610" s="3"/>
      <c r="BC610" s="3"/>
    </row>
    <row r="611" spans="1:55" ht="13" customHeight="1">
      <c r="A611" s="19"/>
      <c r="B611" t="s">
        <v>947</v>
      </c>
      <c r="G611" s="1379"/>
      <c r="H611" s="1379"/>
      <c r="I611" s="1379"/>
      <c r="J611" s="1379"/>
      <c r="K611" s="1379"/>
      <c r="L611" s="1379"/>
      <c r="M611" s="1379"/>
      <c r="N611" s="1379"/>
      <c r="O611" s="1379"/>
      <c r="P611" s="1379"/>
      <c r="Q611" s="1379"/>
      <c r="R611" s="1379"/>
      <c r="T611" s="19"/>
      <c r="U611" t="s">
        <v>947</v>
      </c>
      <c r="Z611" s="1412"/>
      <c r="AA611" s="1412"/>
      <c r="AB611" s="1412"/>
      <c r="AC611" s="1412"/>
      <c r="AD611" s="1412"/>
      <c r="AE611" s="1412"/>
      <c r="AF611" s="1412"/>
      <c r="AG611" s="1412"/>
      <c r="AH611" s="1412"/>
      <c r="AI611" s="1412"/>
      <c r="AJ611" s="1412"/>
      <c r="AK611" s="1412"/>
      <c r="AZ611" s="3"/>
      <c r="BA611" s="3"/>
      <c r="BB611" s="3"/>
      <c r="BC611" s="3"/>
    </row>
    <row r="612" spans="1:55" ht="13" customHeight="1">
      <c r="A612" s="19"/>
      <c r="B612" t="s">
        <v>1442</v>
      </c>
      <c r="G612" s="1379"/>
      <c r="H612" s="1379"/>
      <c r="I612" s="1379"/>
      <c r="J612" s="1379"/>
      <c r="K612" s="1379"/>
      <c r="L612" s="1379"/>
      <c r="M612" s="1379"/>
      <c r="N612" s="1379"/>
      <c r="O612" s="1379"/>
      <c r="P612" s="1379"/>
      <c r="Q612" s="1379"/>
      <c r="R612" s="1379"/>
      <c r="T612" s="19"/>
      <c r="U612" t="s">
        <v>1442</v>
      </c>
      <c r="Z612" s="1412"/>
      <c r="AA612" s="1412"/>
      <c r="AB612" s="1412"/>
      <c r="AC612" s="1412"/>
      <c r="AD612" s="1412"/>
      <c r="AE612" s="1412"/>
      <c r="AF612" s="1412"/>
      <c r="AG612" s="1412"/>
      <c r="AH612" s="1412"/>
      <c r="AI612" s="1412"/>
      <c r="AJ612" s="1412"/>
      <c r="AK612" s="1412"/>
      <c r="AZ612" s="3"/>
      <c r="BA612" s="3"/>
      <c r="BB612" s="3"/>
      <c r="BC612" s="3"/>
    </row>
    <row r="613" spans="1:55" s="4" customFormat="1" ht="13" customHeight="1">
      <c r="A613" s="19"/>
      <c r="B613" t="s">
        <v>840</v>
      </c>
      <c r="C613"/>
      <c r="D613"/>
      <c r="E613"/>
      <c r="F613"/>
      <c r="G613" s="1432"/>
      <c r="H613" s="1432"/>
      <c r="I613" s="1432"/>
      <c r="J613" s="1432"/>
      <c r="K613" s="1432"/>
      <c r="L613" s="1432"/>
      <c r="M613"/>
      <c r="N613"/>
      <c r="O613" s="918" t="s">
        <v>1089</v>
      </c>
      <c r="P613" s="1445"/>
      <c r="Q613" s="1445"/>
      <c r="R613" s="1445"/>
      <c r="S613"/>
      <c r="T613" s="19"/>
      <c r="U613" t="s">
        <v>840</v>
      </c>
      <c r="V613"/>
      <c r="W613"/>
      <c r="X613"/>
      <c r="Y613"/>
      <c r="Z613" s="1432"/>
      <c r="AA613" s="1432"/>
      <c r="AB613" s="1432"/>
      <c r="AC613" s="1432"/>
      <c r="AD613" s="1432"/>
      <c r="AE613" s="1432"/>
      <c r="AF613"/>
      <c r="AG613"/>
      <c r="AH613" s="918" t="s">
        <v>1089</v>
      </c>
      <c r="AI613" s="1445"/>
      <c r="AJ613" s="1445"/>
      <c r="AK613" s="1445"/>
      <c r="AL613"/>
      <c r="AM613"/>
      <c r="AN613"/>
      <c r="AO613"/>
      <c r="AP613"/>
      <c r="AQ613"/>
      <c r="AR613"/>
      <c r="AS613"/>
      <c r="AT613"/>
      <c r="AU613"/>
      <c r="AV613"/>
      <c r="AW613"/>
      <c r="AX613"/>
      <c r="AY613"/>
      <c r="AZ613" s="3"/>
      <c r="BA613" s="3"/>
      <c r="BB613" s="3"/>
      <c r="BC613" s="3"/>
    </row>
    <row r="614" spans="1:55" s="4" customFormat="1" ht="13" customHeight="1">
      <c r="A614" s="19"/>
      <c r="B614" t="s">
        <v>1445</v>
      </c>
      <c r="C614"/>
      <c r="D614"/>
      <c r="E614"/>
      <c r="F614"/>
      <c r="G614"/>
      <c r="H614" s="1379"/>
      <c r="I614" s="1379"/>
      <c r="J614" s="1379"/>
      <c r="K614" s="1379"/>
      <c r="L614" s="1379"/>
      <c r="M614" s="1379"/>
      <c r="N614" s="1379"/>
      <c r="O614" s="1379"/>
      <c r="P614" s="1379"/>
      <c r="Q614" s="1379"/>
      <c r="R614" s="1379"/>
      <c r="S614"/>
      <c r="T614" s="19"/>
      <c r="U614" t="s">
        <v>1445</v>
      </c>
      <c r="V614"/>
      <c r="W614"/>
      <c r="X614"/>
      <c r="Y614"/>
      <c r="Z614"/>
      <c r="AA614" s="1379"/>
      <c r="AB614" s="1379"/>
      <c r="AC614" s="1379"/>
      <c r="AD614" s="1379"/>
      <c r="AE614" s="1379"/>
      <c r="AF614" s="1379"/>
      <c r="AG614" s="1379"/>
      <c r="AH614" s="1379"/>
      <c r="AI614" s="1379"/>
      <c r="AJ614" s="1379"/>
      <c r="AK614" s="1379"/>
      <c r="AL614"/>
      <c r="AM614"/>
      <c r="AN614"/>
      <c r="AO614"/>
      <c r="AP614"/>
      <c r="AQ614"/>
      <c r="AR614"/>
      <c r="AS614"/>
      <c r="AT614"/>
      <c r="AU614"/>
      <c r="AV614"/>
      <c r="AW614"/>
      <c r="AX614"/>
      <c r="AY614"/>
      <c r="AZ614" s="3"/>
      <c r="BA614" s="3"/>
      <c r="BB614" s="3"/>
      <c r="BC614" s="3"/>
    </row>
    <row r="615" spans="1:55" s="4" customFormat="1" ht="13" customHeight="1">
      <c r="A615" s="19"/>
      <c r="B615" t="s">
        <v>1448</v>
      </c>
      <c r="C615"/>
      <c r="D615"/>
      <c r="E615"/>
      <c r="F615"/>
      <c r="G615"/>
      <c r="H615"/>
      <c r="I615"/>
      <c r="J615"/>
      <c r="K615"/>
      <c r="L615"/>
      <c r="M615"/>
      <c r="N615" s="1387" t="s">
        <v>700</v>
      </c>
      <c r="O615" s="1387"/>
      <c r="P615"/>
      <c r="Q615"/>
      <c r="R615"/>
      <c r="S615"/>
      <c r="T615" s="19"/>
      <c r="U615" t="s">
        <v>1448</v>
      </c>
      <c r="V615"/>
      <c r="W615"/>
      <c r="X615"/>
      <c r="Y615"/>
      <c r="Z615"/>
      <c r="AA615"/>
      <c r="AB615"/>
      <c r="AC615"/>
      <c r="AD615"/>
      <c r="AE615"/>
      <c r="AF615"/>
      <c r="AG615" s="1387" t="s">
        <v>700</v>
      </c>
      <c r="AH615" s="1387"/>
      <c r="AI615"/>
      <c r="AJ615"/>
      <c r="AK615"/>
      <c r="AL615"/>
      <c r="AM615"/>
      <c r="AN615"/>
      <c r="AO615"/>
      <c r="AP615"/>
      <c r="AQ615"/>
      <c r="AR615"/>
      <c r="AS615"/>
      <c r="AT615"/>
      <c r="AU615"/>
      <c r="AV615"/>
      <c r="AW615"/>
      <c r="AX615"/>
      <c r="AY615"/>
      <c r="AZ615" s="3"/>
      <c r="BA615" s="3"/>
      <c r="BB615" s="3"/>
      <c r="BC615" s="3"/>
    </row>
    <row r="616" spans="1:55" ht="13" customHeight="1">
      <c r="A616" s="19"/>
      <c r="T616" s="19"/>
      <c r="AZ616" s="3"/>
      <c r="BA616" s="3"/>
      <c r="BB616" s="3"/>
      <c r="BC616" s="3"/>
    </row>
    <row r="617" spans="1:55" ht="13" customHeight="1">
      <c r="A617" s="47" t="s">
        <v>1436</v>
      </c>
      <c r="B617" t="s">
        <v>1439</v>
      </c>
      <c r="G617" s="1444">
        <f>C572</f>
        <v>0</v>
      </c>
      <c r="H617" s="1444"/>
      <c r="I617" s="1444"/>
      <c r="J617" s="1444"/>
      <c r="K617" s="1444"/>
      <c r="L617" s="1444"/>
      <c r="M617" s="1444"/>
      <c r="N617" s="1444"/>
      <c r="O617" s="1444"/>
      <c r="P617" s="1444"/>
      <c r="Q617" s="1444"/>
      <c r="R617" s="1444"/>
      <c r="T617" s="47" t="s">
        <v>1437</v>
      </c>
      <c r="U617" t="s">
        <v>1439</v>
      </c>
      <c r="Z617" s="1444">
        <f>C573</f>
        <v>0</v>
      </c>
      <c r="AA617" s="1444"/>
      <c r="AB617" s="1444"/>
      <c r="AC617" s="1444"/>
      <c r="AD617" s="1444"/>
      <c r="AE617" s="1444"/>
      <c r="AF617" s="1444"/>
      <c r="AG617" s="1444"/>
      <c r="AH617" s="1444"/>
      <c r="AI617" s="1444"/>
      <c r="AJ617" s="1444"/>
      <c r="AK617" s="1444"/>
      <c r="AZ617" s="3"/>
      <c r="BA617" s="3"/>
      <c r="BB617" s="3"/>
      <c r="BC617" s="3"/>
    </row>
    <row r="618" spans="1:55" ht="13" customHeight="1">
      <c r="B618" t="s">
        <v>1081</v>
      </c>
      <c r="G618" s="1379"/>
      <c r="H618" s="1379"/>
      <c r="I618" s="1379"/>
      <c r="J618" s="1379"/>
      <c r="K618" s="1379"/>
      <c r="L618" s="1379"/>
      <c r="M618" s="1379"/>
      <c r="N618" s="1379"/>
      <c r="O618" s="1379"/>
      <c r="P618" s="1379"/>
      <c r="Q618" s="1379"/>
      <c r="R618" s="1379"/>
      <c r="U618" t="s">
        <v>1081</v>
      </c>
      <c r="Z618" s="1379"/>
      <c r="AA618" s="1379"/>
      <c r="AB618" s="1379"/>
      <c r="AC618" s="1379"/>
      <c r="AD618" s="1379"/>
      <c r="AE618" s="1379"/>
      <c r="AF618" s="1379"/>
      <c r="AG618" s="1379"/>
      <c r="AH618" s="1379"/>
      <c r="AI618" s="1379"/>
      <c r="AJ618" s="1379"/>
      <c r="AK618" s="1379"/>
      <c r="AZ618" s="3"/>
      <c r="BA618" s="3"/>
      <c r="BB618" s="3"/>
      <c r="BC618" s="3"/>
    </row>
    <row r="619" spans="1:55" ht="13" customHeight="1">
      <c r="B619" t="s">
        <v>947</v>
      </c>
      <c r="G619" s="1379"/>
      <c r="H619" s="1379"/>
      <c r="I619" s="1379"/>
      <c r="J619" s="1379"/>
      <c r="K619" s="1379"/>
      <c r="L619" s="1379"/>
      <c r="M619" s="1379"/>
      <c r="N619" s="1379"/>
      <c r="O619" s="1379"/>
      <c r="P619" s="1379"/>
      <c r="Q619" s="1379"/>
      <c r="R619" s="1379"/>
      <c r="U619" t="s">
        <v>947</v>
      </c>
      <c r="Z619" s="1412"/>
      <c r="AA619" s="1412"/>
      <c r="AB619" s="1412"/>
      <c r="AC619" s="1412"/>
      <c r="AD619" s="1412"/>
      <c r="AE619" s="1412"/>
      <c r="AF619" s="1412"/>
      <c r="AG619" s="1412"/>
      <c r="AH619" s="1412"/>
      <c r="AI619" s="1412"/>
      <c r="AJ619" s="1412"/>
      <c r="AK619" s="1412"/>
      <c r="AZ619" s="3"/>
      <c r="BA619" s="3"/>
      <c r="BB619" s="3"/>
      <c r="BC619" s="3"/>
    </row>
    <row r="620" spans="1:55" ht="13" customHeight="1">
      <c r="B620" t="s">
        <v>1442</v>
      </c>
      <c r="G620" s="1379"/>
      <c r="H620" s="1379"/>
      <c r="I620" s="1379"/>
      <c r="J620" s="1379"/>
      <c r="K620" s="1379"/>
      <c r="L620" s="1379"/>
      <c r="M620" s="1379"/>
      <c r="N620" s="1379"/>
      <c r="O620" s="1379"/>
      <c r="P620" s="1379"/>
      <c r="Q620" s="1379"/>
      <c r="R620" s="1379"/>
      <c r="U620" t="s">
        <v>1442</v>
      </c>
      <c r="Z620" s="1412"/>
      <c r="AA620" s="1412"/>
      <c r="AB620" s="1412"/>
      <c r="AC620" s="1412"/>
      <c r="AD620" s="1412"/>
      <c r="AE620" s="1412"/>
      <c r="AF620" s="1412"/>
      <c r="AG620" s="1412"/>
      <c r="AH620" s="1412"/>
      <c r="AI620" s="1412"/>
      <c r="AJ620" s="1412"/>
      <c r="AK620" s="1412"/>
      <c r="AZ620" s="3"/>
      <c r="BA620" s="3"/>
      <c r="BB620" s="3"/>
      <c r="BC620" s="3"/>
    </row>
    <row r="621" spans="1:55" ht="13" customHeight="1">
      <c r="B621" t="s">
        <v>840</v>
      </c>
      <c r="G621" s="1432"/>
      <c r="H621" s="1432"/>
      <c r="I621" s="1432"/>
      <c r="J621" s="1432"/>
      <c r="K621" s="1432"/>
      <c r="L621" s="1432"/>
      <c r="O621" s="918" t="s">
        <v>1089</v>
      </c>
      <c r="P621" s="1445"/>
      <c r="Q621" s="1445"/>
      <c r="R621" s="1445"/>
      <c r="U621" t="s">
        <v>840</v>
      </c>
      <c r="Z621" s="1432"/>
      <c r="AA621" s="1432"/>
      <c r="AB621" s="1432"/>
      <c r="AC621" s="1432"/>
      <c r="AD621" s="1432"/>
      <c r="AE621" s="1432"/>
      <c r="AH621" s="918" t="s">
        <v>1089</v>
      </c>
      <c r="AI621" s="1445"/>
      <c r="AJ621" s="1445"/>
      <c r="AK621" s="1445"/>
      <c r="AZ621" s="3"/>
      <c r="BA621" s="3"/>
      <c r="BB621" s="3"/>
      <c r="BC621" s="3"/>
    </row>
    <row r="622" spans="1:55" ht="13" customHeight="1">
      <c r="B622" t="s">
        <v>1445</v>
      </c>
      <c r="H622" s="1379"/>
      <c r="I622" s="1379"/>
      <c r="J622" s="1379"/>
      <c r="K622" s="1379"/>
      <c r="L622" s="1379"/>
      <c r="M622" s="1379"/>
      <c r="N622" s="1379"/>
      <c r="O622" s="1379"/>
      <c r="P622" s="1379"/>
      <c r="Q622" s="1379"/>
      <c r="R622" s="1379"/>
      <c r="U622" t="s">
        <v>1445</v>
      </c>
      <c r="AA622" s="1379"/>
      <c r="AB622" s="1379"/>
      <c r="AC622" s="1379"/>
      <c r="AD622" s="1379"/>
      <c r="AE622" s="1379"/>
      <c r="AF622" s="1379"/>
      <c r="AG622" s="1379"/>
      <c r="AH622" s="1379"/>
      <c r="AI622" s="1379"/>
      <c r="AJ622" s="1379"/>
      <c r="AK622" s="1379"/>
      <c r="AU622" s="791"/>
      <c r="AV622" s="791"/>
      <c r="AW622" s="791"/>
      <c r="AX622" s="791"/>
      <c r="AY622" s="791"/>
      <c r="AZ622" s="3"/>
      <c r="BA622" s="3"/>
      <c r="BB622" s="3"/>
      <c r="BC622" s="3"/>
    </row>
    <row r="623" spans="1:55" ht="13" customHeight="1">
      <c r="B623" t="s">
        <v>1448</v>
      </c>
      <c r="N623" s="1387" t="s">
        <v>700</v>
      </c>
      <c r="O623" s="1387"/>
      <c r="U623" t="s">
        <v>1448</v>
      </c>
      <c r="AG623" s="1387" t="s">
        <v>700</v>
      </c>
      <c r="AH623" s="1387"/>
      <c r="AU623" s="791"/>
      <c r="AV623" s="791"/>
      <c r="AW623" s="791"/>
      <c r="AX623" s="791"/>
      <c r="AY623" s="791"/>
      <c r="AZ623" s="3"/>
      <c r="BA623" s="3"/>
      <c r="BB623" s="3"/>
      <c r="BC623" s="3"/>
    </row>
    <row r="624" spans="1:55" ht="13" customHeight="1">
      <c r="AZ624" s="3"/>
      <c r="BA624" s="3"/>
      <c r="BB624" s="3"/>
      <c r="BC624" s="3"/>
    </row>
    <row r="625" spans="1:56" ht="13" customHeight="1">
      <c r="A625" s="1251" t="s">
        <v>1453</v>
      </c>
      <c r="B625" s="1251"/>
      <c r="C625" s="1251"/>
      <c r="D625" s="1251"/>
      <c r="E625" s="1251"/>
      <c r="F625" s="1251"/>
      <c r="G625" s="1251"/>
      <c r="H625" s="1251"/>
      <c r="I625" s="1251"/>
      <c r="J625" s="1251"/>
      <c r="K625" s="1251"/>
      <c r="L625" s="1251"/>
      <c r="M625" s="1251"/>
      <c r="N625" s="1251"/>
      <c r="O625" s="1251"/>
      <c r="P625" s="1251"/>
      <c r="Q625" s="1251"/>
      <c r="R625" s="1251"/>
      <c r="S625" s="1251"/>
      <c r="T625" s="1251"/>
      <c r="U625" s="1251"/>
      <c r="V625" s="1251"/>
      <c r="W625" s="1251"/>
      <c r="X625" s="1251"/>
      <c r="Y625" s="1251"/>
      <c r="Z625" s="1251"/>
      <c r="AA625" s="1251"/>
      <c r="AB625" s="1251"/>
      <c r="AC625" s="1251"/>
      <c r="AD625" s="1251"/>
      <c r="AE625" s="1251"/>
      <c r="AF625" s="1251"/>
      <c r="AG625" s="1251"/>
      <c r="AH625" s="1251"/>
      <c r="AI625" s="1251"/>
      <c r="AJ625" s="1251"/>
      <c r="AK625" s="1251"/>
      <c r="AL625" s="1251"/>
      <c r="AM625" s="1251"/>
      <c r="AN625" s="1251"/>
      <c r="AO625" s="1251"/>
      <c r="AP625" s="1251"/>
      <c r="AQ625" s="1251"/>
      <c r="AR625" s="1251"/>
      <c r="AS625" s="1251"/>
      <c r="AT625" s="1251"/>
      <c r="AZ625" s="3"/>
      <c r="BA625" s="3"/>
      <c r="BB625" s="3"/>
      <c r="BC625" s="3"/>
    </row>
    <row r="626" spans="1:56" ht="13" customHeight="1">
      <c r="A626" s="1251"/>
      <c r="B626" s="1251"/>
      <c r="C626" s="1251"/>
      <c r="D626" s="1251"/>
      <c r="E626" s="1251"/>
      <c r="F626" s="1251"/>
      <c r="G626" s="1251"/>
      <c r="H626" s="1251"/>
      <c r="I626" s="1251"/>
      <c r="J626" s="1251"/>
      <c r="K626" s="1251"/>
      <c r="L626" s="1251"/>
      <c r="M626" s="1251"/>
      <c r="N626" s="1251"/>
      <c r="O626" s="1251"/>
      <c r="P626" s="1251"/>
      <c r="Q626" s="1251"/>
      <c r="R626" s="1251"/>
      <c r="S626" s="1251"/>
      <c r="T626" s="1251"/>
      <c r="U626" s="1251"/>
      <c r="V626" s="1251"/>
      <c r="W626" s="1251"/>
      <c r="X626" s="1251"/>
      <c r="Y626" s="1251"/>
      <c r="Z626" s="1251"/>
      <c r="AA626" s="1251"/>
      <c r="AB626" s="1251"/>
      <c r="AC626" s="1251"/>
      <c r="AD626" s="1251"/>
      <c r="AE626" s="1251"/>
      <c r="AF626" s="1251"/>
      <c r="AG626" s="1251"/>
      <c r="AH626" s="1251"/>
      <c r="AI626" s="1251"/>
      <c r="AJ626" s="1251"/>
      <c r="AK626" s="1251"/>
      <c r="AL626" s="1251"/>
      <c r="AM626" s="1251"/>
      <c r="AN626" s="1251"/>
      <c r="AO626" s="1251"/>
      <c r="AP626" s="1251"/>
      <c r="AQ626" s="1251"/>
      <c r="AR626" s="1251"/>
      <c r="AS626" s="1251"/>
      <c r="AT626" s="1251"/>
      <c r="AZ626" s="3"/>
      <c r="BA626" s="3"/>
      <c r="BB626" s="3"/>
      <c r="BC626" s="3"/>
    </row>
    <row r="627" spans="1:56" ht="13" customHeight="1">
      <c r="AZ627" s="3"/>
      <c r="BA627" s="3"/>
      <c r="BB627" s="3"/>
      <c r="BC627" s="3"/>
    </row>
    <row r="628" spans="1:56" ht="13" customHeight="1">
      <c r="A628" s="2" t="s">
        <v>887</v>
      </c>
      <c r="B628" s="2"/>
      <c r="C628" s="2" t="s">
        <v>175</v>
      </c>
      <c r="AZ628" s="3"/>
      <c r="BA628" s="3"/>
      <c r="BB628" s="3"/>
      <c r="BC628" s="3"/>
    </row>
    <row r="629" spans="1:56" ht="13" customHeight="1">
      <c r="A629" s="2"/>
      <c r="B629" s="2"/>
      <c r="C629" s="2"/>
      <c r="AZ629" s="3"/>
      <c r="BA629" s="3"/>
      <c r="BB629" s="3"/>
      <c r="BC629" s="3"/>
    </row>
    <row r="630" spans="1:56" ht="13" customHeight="1">
      <c r="C630" s="2" t="s">
        <v>1415</v>
      </c>
      <c r="AZ630" s="3"/>
      <c r="BA630" s="3"/>
      <c r="BB630" s="3"/>
      <c r="BC630" s="3"/>
    </row>
    <row r="631" spans="1:56" ht="13" customHeight="1">
      <c r="B631" s="412"/>
      <c r="C631" s="2"/>
      <c r="AU631" s="3"/>
      <c r="AZ631" s="3"/>
      <c r="BA631" s="3"/>
      <c r="BB631" s="3"/>
      <c r="BC631" s="3"/>
    </row>
    <row r="632" spans="1:56" ht="13" customHeight="1">
      <c r="B632" s="1789" t="s">
        <v>1416</v>
      </c>
      <c r="C632" s="1789"/>
      <c r="D632" s="1789"/>
      <c r="E632" s="1789"/>
      <c r="F632" s="1789"/>
      <c r="G632" s="1789"/>
      <c r="H632" s="1789"/>
      <c r="I632" s="1789"/>
      <c r="J632" s="1789"/>
      <c r="K632" s="1789"/>
      <c r="L632" s="1789"/>
      <c r="M632" s="1437" t="s">
        <v>1417</v>
      </c>
      <c r="N632" s="1437"/>
      <c r="O632" s="1437"/>
      <c r="P632" s="1437"/>
      <c r="Q632" s="1437" t="s">
        <v>1454</v>
      </c>
      <c r="R632" s="1437"/>
      <c r="S632" s="1437"/>
      <c r="T632" s="1437" t="s">
        <v>1455</v>
      </c>
      <c r="U632" s="1437"/>
      <c r="V632" s="1437"/>
      <c r="W632" s="1629" t="s">
        <v>1420</v>
      </c>
      <c r="X632" s="1629"/>
      <c r="Y632" s="1629"/>
      <c r="Z632" s="1369" t="s">
        <v>1456</v>
      </c>
      <c r="AA632" s="1369"/>
      <c r="AB632" s="1370"/>
      <c r="AC632" s="1612" t="s">
        <v>1422</v>
      </c>
      <c r="AD632" s="1613"/>
      <c r="AE632" s="1614"/>
      <c r="AF632" s="1368" t="s">
        <v>1457</v>
      </c>
      <c r="AG632" s="1369"/>
      <c r="AH632" s="1369"/>
      <c r="AI632" s="1369"/>
      <c r="AJ632" s="1370"/>
      <c r="AK632" s="1630" t="s">
        <v>1458</v>
      </c>
      <c r="AL632" s="1631"/>
      <c r="AM632" s="1631"/>
      <c r="AN632" s="1632"/>
      <c r="AO632" s="1437" t="s">
        <v>1424</v>
      </c>
      <c r="AP632" s="1437"/>
      <c r="AQ632" s="1437"/>
      <c r="AR632" s="1437"/>
      <c r="AS632" s="1437"/>
      <c r="AU632" s="3"/>
      <c r="AZ632" s="3"/>
      <c r="BA632" s="3"/>
      <c r="BB632" s="3"/>
      <c r="BC632" s="3"/>
    </row>
    <row r="633" spans="1:56" ht="13" customHeight="1">
      <c r="B633" s="1789"/>
      <c r="C633" s="1789"/>
      <c r="D633" s="1789"/>
      <c r="E633" s="1789"/>
      <c r="F633" s="1789"/>
      <c r="G633" s="1789"/>
      <c r="H633" s="1789"/>
      <c r="I633" s="1789"/>
      <c r="J633" s="1789"/>
      <c r="K633" s="1789"/>
      <c r="L633" s="1789"/>
      <c r="M633" s="1437"/>
      <c r="N633" s="1437"/>
      <c r="O633" s="1437"/>
      <c r="P633" s="1437"/>
      <c r="Q633" s="1437"/>
      <c r="R633" s="1437"/>
      <c r="S633" s="1437"/>
      <c r="T633" s="1437"/>
      <c r="U633" s="1437"/>
      <c r="V633" s="1437"/>
      <c r="W633" s="1629"/>
      <c r="X633" s="1629"/>
      <c r="Y633" s="1629"/>
      <c r="Z633" s="1372"/>
      <c r="AA633" s="1372"/>
      <c r="AB633" s="1373"/>
      <c r="AC633" s="1615"/>
      <c r="AD633" s="1616"/>
      <c r="AE633" s="1617"/>
      <c r="AF633" s="1371"/>
      <c r="AG633" s="1372"/>
      <c r="AH633" s="1372"/>
      <c r="AI633" s="1372"/>
      <c r="AJ633" s="1373"/>
      <c r="AK633" s="1633"/>
      <c r="AL633" s="1634"/>
      <c r="AM633" s="1634"/>
      <c r="AN633" s="1635"/>
      <c r="AO633" s="1437"/>
      <c r="AP633" s="1437"/>
      <c r="AQ633" s="1437"/>
      <c r="AR633" s="1437"/>
      <c r="AS633" s="1437"/>
      <c r="AU633" s="3"/>
      <c r="AZ633" s="3"/>
      <c r="BA633" s="3"/>
      <c r="BB633" s="3"/>
      <c r="BC633" s="3"/>
      <c r="BD633" s="3"/>
    </row>
    <row r="634" spans="1:56" ht="13" customHeight="1">
      <c r="B634" s="1789"/>
      <c r="C634" s="1789"/>
      <c r="D634" s="1789"/>
      <c r="E634" s="1789"/>
      <c r="F634" s="1789"/>
      <c r="G634" s="1789"/>
      <c r="H634" s="1789"/>
      <c r="I634" s="1789"/>
      <c r="J634" s="1789"/>
      <c r="K634" s="1789"/>
      <c r="L634" s="1789"/>
      <c r="M634" s="1437"/>
      <c r="N634" s="1437"/>
      <c r="O634" s="1437"/>
      <c r="P634" s="1437"/>
      <c r="Q634" s="1437"/>
      <c r="R634" s="1437"/>
      <c r="S634" s="1437"/>
      <c r="T634" s="1437"/>
      <c r="U634" s="1437"/>
      <c r="V634" s="1437"/>
      <c r="W634" s="1629"/>
      <c r="X634" s="1629"/>
      <c r="Y634" s="1629"/>
      <c r="Z634" s="1375"/>
      <c r="AA634" s="1375"/>
      <c r="AB634" s="1376"/>
      <c r="AC634" s="1618"/>
      <c r="AD634" s="1619"/>
      <c r="AE634" s="1620"/>
      <c r="AF634" s="1374"/>
      <c r="AG634" s="1375"/>
      <c r="AH634" s="1375"/>
      <c r="AI634" s="1375"/>
      <c r="AJ634" s="1376"/>
      <c r="AK634" s="1636"/>
      <c r="AL634" s="1637"/>
      <c r="AM634" s="1637"/>
      <c r="AN634" s="1638"/>
      <c r="AO634" s="1437"/>
      <c r="AP634" s="1437"/>
      <c r="AQ634" s="1437"/>
      <c r="AR634" s="1437"/>
      <c r="AS634" s="1437"/>
      <c r="AT634" s="3"/>
      <c r="AU634" s="3"/>
      <c r="AZ634" s="3"/>
      <c r="BA634" s="3"/>
      <c r="BB634" s="3"/>
      <c r="BC634" s="3"/>
      <c r="BD634" s="3"/>
    </row>
    <row r="635" spans="1:56" ht="13" customHeight="1">
      <c r="B635" s="43" t="s">
        <v>18</v>
      </c>
      <c r="C635" s="1462" t="s">
        <v>1459</v>
      </c>
      <c r="D635" s="1462"/>
      <c r="E635" s="1462"/>
      <c r="F635" s="1462"/>
      <c r="G635" s="1462"/>
      <c r="H635" s="1462"/>
      <c r="I635" s="1462"/>
      <c r="J635" s="1462"/>
      <c r="K635" s="1462"/>
      <c r="L635" s="1462"/>
      <c r="M635" s="1538" t="s">
        <v>1392</v>
      </c>
      <c r="N635" s="1538"/>
      <c r="O635" s="1538"/>
      <c r="P635" s="1538"/>
      <c r="Q635" s="1498">
        <f>17*12</f>
        <v>204</v>
      </c>
      <c r="R635" s="1498"/>
      <c r="S635" s="1537"/>
      <c r="T635" s="1536">
        <f>40*12</f>
        <v>480</v>
      </c>
      <c r="U635" s="1498"/>
      <c r="V635" s="1537"/>
      <c r="W635" s="1441">
        <v>6.25E-2</v>
      </c>
      <c r="X635" s="1442"/>
      <c r="Y635" s="1443"/>
      <c r="Z635" s="1429" t="s">
        <v>1460</v>
      </c>
      <c r="AA635" s="1430"/>
      <c r="AB635" s="1431"/>
      <c r="AC635" s="1397">
        <v>1</v>
      </c>
      <c r="AD635" s="1398"/>
      <c r="AE635" s="1399"/>
      <c r="AF635" s="1433">
        <v>987867</v>
      </c>
      <c r="AG635" s="1434"/>
      <c r="AH635" s="1434"/>
      <c r="AI635" s="1434"/>
      <c r="AJ635" s="1435"/>
      <c r="AK635" s="1390"/>
      <c r="AL635" s="1391"/>
      <c r="AM635" s="1391"/>
      <c r="AN635" s="1392"/>
      <c r="AO635" s="1594">
        <v>14500000</v>
      </c>
      <c r="AP635" s="1594"/>
      <c r="AQ635" s="1594"/>
      <c r="AR635" s="1594"/>
      <c r="AS635" s="1594"/>
      <c r="AT635" s="3"/>
      <c r="AU635" s="3"/>
      <c r="AZ635" s="3"/>
      <c r="BA635" s="3"/>
      <c r="BB635" s="3"/>
      <c r="BC635" s="3"/>
      <c r="BD635" s="3"/>
    </row>
    <row r="636" spans="1:56" ht="13" customHeight="1">
      <c r="B636" s="44" t="s">
        <v>31</v>
      </c>
      <c r="C636" s="1462" t="s">
        <v>2795</v>
      </c>
      <c r="D636" s="1462"/>
      <c r="E636" s="1462"/>
      <c r="F636" s="1462"/>
      <c r="G636" s="1462"/>
      <c r="H636" s="1462"/>
      <c r="I636" s="1462"/>
      <c r="J636" s="1462"/>
      <c r="K636" s="1462"/>
      <c r="L636" s="1462"/>
      <c r="M636" s="1538" t="s">
        <v>1392</v>
      </c>
      <c r="N636" s="1538"/>
      <c r="O636" s="1538"/>
      <c r="P636" s="1538"/>
      <c r="Q636" s="1536">
        <v>204</v>
      </c>
      <c r="R636" s="1498"/>
      <c r="S636" s="1537"/>
      <c r="T636" s="1536">
        <v>480</v>
      </c>
      <c r="U636" s="1498"/>
      <c r="V636" s="1537"/>
      <c r="W636" s="1441">
        <v>7.2499999999999995E-2</v>
      </c>
      <c r="X636" s="1442"/>
      <c r="Y636" s="1443"/>
      <c r="Z636" s="1429" t="s">
        <v>1460</v>
      </c>
      <c r="AA636" s="1430"/>
      <c r="AB636" s="1431"/>
      <c r="AC636" s="1397">
        <v>1</v>
      </c>
      <c r="AD636" s="1398"/>
      <c r="AE636" s="1399"/>
      <c r="AF636" s="1433">
        <v>1139314</v>
      </c>
      <c r="AG636" s="1434"/>
      <c r="AH636" s="1434"/>
      <c r="AI636" s="1434"/>
      <c r="AJ636" s="1435"/>
      <c r="AK636" s="1390"/>
      <c r="AL636" s="1391"/>
      <c r="AM636" s="1391"/>
      <c r="AN636" s="1392"/>
      <c r="AO636" s="1436">
        <v>14842422</v>
      </c>
      <c r="AP636" s="1322"/>
      <c r="AQ636" s="1322"/>
      <c r="AR636" s="1322"/>
      <c r="AS636" s="1323"/>
      <c r="AT636" s="1031" t="str">
        <f>IF(AND(NOT(C635=""),C636="",NOT(C637="")),"!","")</f>
        <v/>
      </c>
      <c r="AU636" s="3"/>
      <c r="AZ636" s="3"/>
      <c r="BA636" s="3"/>
      <c r="BB636" s="3"/>
      <c r="BC636" s="3"/>
      <c r="BD636" s="3"/>
    </row>
    <row r="637" spans="1:56" ht="13" customHeight="1">
      <c r="B637" s="44" t="s">
        <v>39</v>
      </c>
      <c r="C637" s="1462" t="s">
        <v>2793</v>
      </c>
      <c r="D637" s="1462"/>
      <c r="E637" s="1462"/>
      <c r="F637" s="1462"/>
      <c r="G637" s="1462"/>
      <c r="H637" s="1462"/>
      <c r="I637" s="1462"/>
      <c r="J637" s="1462"/>
      <c r="K637" s="1462"/>
      <c r="L637" s="1462"/>
      <c r="M637" s="1538" t="s">
        <v>1395</v>
      </c>
      <c r="N637" s="1538"/>
      <c r="O637" s="1538"/>
      <c r="P637" s="1538"/>
      <c r="Q637" s="1536">
        <v>204</v>
      </c>
      <c r="R637" s="1498"/>
      <c r="S637" s="1537"/>
      <c r="T637" s="1536"/>
      <c r="U637" s="1498"/>
      <c r="V637" s="1537"/>
      <c r="W637" s="1441">
        <v>8.5000000000000006E-2</v>
      </c>
      <c r="X637" s="1442"/>
      <c r="Y637" s="1443"/>
      <c r="Z637" s="1429" t="s">
        <v>1461</v>
      </c>
      <c r="AA637" s="1430"/>
      <c r="AB637" s="1431"/>
      <c r="AC637" s="1397">
        <v>2</v>
      </c>
      <c r="AD637" s="1398"/>
      <c r="AE637" s="1399"/>
      <c r="AF637" s="1433"/>
      <c r="AG637" s="1434"/>
      <c r="AH637" s="1434"/>
      <c r="AI637" s="1434"/>
      <c r="AJ637" s="1435"/>
      <c r="AK637" s="1390"/>
      <c r="AL637" s="1391"/>
      <c r="AM637" s="1391"/>
      <c r="AN637" s="1392"/>
      <c r="AO637" s="1436">
        <v>7000000</v>
      </c>
      <c r="AP637" s="1322"/>
      <c r="AQ637" s="1322"/>
      <c r="AR637" s="1322"/>
      <c r="AS637" s="1323"/>
      <c r="AT637" s="1031" t="str">
        <f t="shared" ref="AT637:AT646" si="3">IF(AND(NOT(C636=""),C637="",NOT(C638="")),"!","")</f>
        <v/>
      </c>
      <c r="AU637" s="3"/>
      <c r="AZ637" s="3"/>
      <c r="BA637" s="3"/>
      <c r="BB637" s="3"/>
      <c r="BC637" s="3"/>
      <c r="BD637" s="3"/>
    </row>
    <row r="638" spans="1:56" ht="13" customHeight="1">
      <c r="B638" s="44" t="s">
        <v>82</v>
      </c>
      <c r="C638" s="1462" t="s">
        <v>1462</v>
      </c>
      <c r="D638" s="1462"/>
      <c r="E638" s="1462"/>
      <c r="F638" s="1462"/>
      <c r="G638" s="1462"/>
      <c r="H638" s="1462"/>
      <c r="I638" s="1462"/>
      <c r="J638" s="1462"/>
      <c r="K638" s="1462"/>
      <c r="L638" s="1462"/>
      <c r="M638" s="1538" t="s">
        <v>1380</v>
      </c>
      <c r="N638" s="1538"/>
      <c r="O638" s="1538"/>
      <c r="P638" s="1538"/>
      <c r="Q638" s="1536"/>
      <c r="R638" s="1498"/>
      <c r="S638" s="1537"/>
      <c r="T638" s="1536"/>
      <c r="U638" s="1498"/>
      <c r="V638" s="1537"/>
      <c r="W638" s="1441"/>
      <c r="X638" s="1442"/>
      <c r="Y638" s="1443"/>
      <c r="Z638" s="1429" t="s">
        <v>1461</v>
      </c>
      <c r="AA638" s="1430"/>
      <c r="AB638" s="1431"/>
      <c r="AC638" s="1397"/>
      <c r="AD638" s="1398"/>
      <c r="AE638" s="1399"/>
      <c r="AF638" s="1433"/>
      <c r="AG638" s="1434"/>
      <c r="AH638" s="1434"/>
      <c r="AI638" s="1434"/>
      <c r="AJ638" s="1435"/>
      <c r="AK638" s="1390"/>
      <c r="AL638" s="1391"/>
      <c r="AM638" s="1391"/>
      <c r="AN638" s="1392"/>
      <c r="AO638" s="1436">
        <v>6369496</v>
      </c>
      <c r="AP638" s="1322"/>
      <c r="AQ638" s="1322"/>
      <c r="AR638" s="1322"/>
      <c r="AS638" s="1323"/>
      <c r="AT638" s="1031" t="str">
        <f t="shared" si="3"/>
        <v/>
      </c>
      <c r="AU638" s="3"/>
      <c r="AZ638" s="3"/>
      <c r="BA638" s="3"/>
      <c r="BB638" s="3"/>
      <c r="BC638" s="3"/>
      <c r="BD638" s="3"/>
    </row>
    <row r="639" spans="1:56" ht="13" customHeight="1">
      <c r="B639" s="44" t="s">
        <v>86</v>
      </c>
      <c r="C639" s="1462"/>
      <c r="D639" s="1462"/>
      <c r="E639" s="1462"/>
      <c r="F639" s="1462"/>
      <c r="G639" s="1462"/>
      <c r="H639" s="1462"/>
      <c r="I639" s="1462"/>
      <c r="J639" s="1462"/>
      <c r="K639" s="1462"/>
      <c r="L639" s="1462"/>
      <c r="M639" s="1538" t="s">
        <v>1043</v>
      </c>
      <c r="N639" s="1538"/>
      <c r="O639" s="1538"/>
      <c r="P639" s="1538"/>
      <c r="Q639" s="1536"/>
      <c r="R639" s="1498"/>
      <c r="S639" s="1537"/>
      <c r="T639" s="1536"/>
      <c r="U639" s="1498"/>
      <c r="V639" s="1537"/>
      <c r="W639" s="1441"/>
      <c r="X639" s="1442"/>
      <c r="Y639" s="1443"/>
      <c r="Z639" s="1429" t="s">
        <v>1043</v>
      </c>
      <c r="AA639" s="1430"/>
      <c r="AB639" s="1431"/>
      <c r="AC639" s="1397"/>
      <c r="AD639" s="1398"/>
      <c r="AE639" s="1399"/>
      <c r="AF639" s="1433"/>
      <c r="AG639" s="1434"/>
      <c r="AH639" s="1434"/>
      <c r="AI639" s="1434"/>
      <c r="AJ639" s="1435"/>
      <c r="AK639" s="1390"/>
      <c r="AL639" s="1391"/>
      <c r="AM639" s="1391"/>
      <c r="AN639" s="1392"/>
      <c r="AO639" s="1436"/>
      <c r="AP639" s="1322"/>
      <c r="AQ639" s="1322"/>
      <c r="AR639" s="1322"/>
      <c r="AS639" s="1323"/>
      <c r="AT639" s="1031" t="str">
        <f t="shared" si="3"/>
        <v/>
      </c>
      <c r="AU639" s="3"/>
      <c r="AZ639" s="3"/>
      <c r="BA639" s="3"/>
      <c r="BB639" s="3"/>
      <c r="BC639" s="3"/>
      <c r="BD639" s="3"/>
    </row>
    <row r="640" spans="1:56" ht="13" customHeight="1">
      <c r="B640" s="44" t="s">
        <v>1431</v>
      </c>
      <c r="C640" s="1462"/>
      <c r="D640" s="1462"/>
      <c r="E640" s="1462"/>
      <c r="F640" s="1462"/>
      <c r="G640" s="1462"/>
      <c r="H640" s="1462"/>
      <c r="I640" s="1462"/>
      <c r="J640" s="1462"/>
      <c r="K640" s="1462"/>
      <c r="L640" s="1462"/>
      <c r="M640" s="1538" t="s">
        <v>1043</v>
      </c>
      <c r="N640" s="1538"/>
      <c r="O640" s="1538"/>
      <c r="P640" s="1538"/>
      <c r="Q640" s="1536"/>
      <c r="R640" s="1498"/>
      <c r="S640" s="1537"/>
      <c r="T640" s="1536"/>
      <c r="U640" s="1498"/>
      <c r="V640" s="1537"/>
      <c r="W640" s="1441"/>
      <c r="X640" s="1442"/>
      <c r="Y640" s="1443"/>
      <c r="Z640" s="1429" t="s">
        <v>1043</v>
      </c>
      <c r="AA640" s="1430"/>
      <c r="AB640" s="1431"/>
      <c r="AC640" s="1397"/>
      <c r="AD640" s="1398"/>
      <c r="AE640" s="1399"/>
      <c r="AF640" s="1433"/>
      <c r="AG640" s="1434"/>
      <c r="AH640" s="1434"/>
      <c r="AI640" s="1434"/>
      <c r="AJ640" s="1435"/>
      <c r="AK640" s="1390"/>
      <c r="AL640" s="1391"/>
      <c r="AM640" s="1391"/>
      <c r="AN640" s="1392"/>
      <c r="AO640" s="1436"/>
      <c r="AP640" s="1322"/>
      <c r="AQ640" s="1322"/>
      <c r="AR640" s="1322"/>
      <c r="AS640" s="1323"/>
      <c r="AT640" s="1031" t="str">
        <f t="shared" si="3"/>
        <v/>
      </c>
      <c r="AU640" s="3"/>
      <c r="AZ640" s="3"/>
      <c r="BA640" s="3"/>
      <c r="BB640" s="3"/>
      <c r="BC640" s="3"/>
      <c r="BD640" s="3"/>
    </row>
    <row r="641" spans="1:157" ht="13" customHeight="1">
      <c r="B641" s="44" t="s">
        <v>1432</v>
      </c>
      <c r="C641" s="1462"/>
      <c r="D641" s="1462"/>
      <c r="E641" s="1462"/>
      <c r="F641" s="1462"/>
      <c r="G641" s="1462"/>
      <c r="H641" s="1462"/>
      <c r="I641" s="1462"/>
      <c r="J641" s="1462"/>
      <c r="K641" s="1462"/>
      <c r="L641" s="1462"/>
      <c r="M641" s="1538" t="s">
        <v>1043</v>
      </c>
      <c r="N641" s="1538"/>
      <c r="O641" s="1538"/>
      <c r="P641" s="1538"/>
      <c r="Q641" s="1536"/>
      <c r="R641" s="1498"/>
      <c r="S641" s="1537"/>
      <c r="T641" s="1536"/>
      <c r="U641" s="1498"/>
      <c r="V641" s="1537"/>
      <c r="W641" s="1441"/>
      <c r="X641" s="1442"/>
      <c r="Y641" s="1443"/>
      <c r="Z641" s="1429" t="s">
        <v>1043</v>
      </c>
      <c r="AA641" s="1430"/>
      <c r="AB641" s="1431"/>
      <c r="AC641" s="1397"/>
      <c r="AD641" s="1398"/>
      <c r="AE641" s="1399"/>
      <c r="AF641" s="1433"/>
      <c r="AG641" s="1434"/>
      <c r="AH641" s="1434"/>
      <c r="AI641" s="1434"/>
      <c r="AJ641" s="1435"/>
      <c r="AK641" s="1390"/>
      <c r="AL641" s="1391"/>
      <c r="AM641" s="1391"/>
      <c r="AN641" s="1392"/>
      <c r="AO641" s="1436"/>
      <c r="AP641" s="1322"/>
      <c r="AQ641" s="1322"/>
      <c r="AR641" s="1322"/>
      <c r="AS641" s="1323"/>
      <c r="AT641" s="1031" t="str">
        <f t="shared" si="3"/>
        <v/>
      </c>
      <c r="AU641" s="3"/>
      <c r="AV641" s="3"/>
      <c r="AW641" s="3"/>
      <c r="AX641" s="3"/>
      <c r="AY641" s="3"/>
      <c r="AZ641" s="3"/>
      <c r="BA641" s="3"/>
      <c r="BB641" s="3"/>
      <c r="BC641" s="3"/>
      <c r="BD641" s="3"/>
    </row>
    <row r="642" spans="1:157" ht="13" customHeight="1">
      <c r="B642" s="44" t="s">
        <v>1433</v>
      </c>
      <c r="C642" s="1462"/>
      <c r="D642" s="1462"/>
      <c r="E642" s="1462"/>
      <c r="F642" s="1462"/>
      <c r="G642" s="1462"/>
      <c r="H642" s="1462"/>
      <c r="I642" s="1462"/>
      <c r="J642" s="1462"/>
      <c r="K642" s="1462"/>
      <c r="L642" s="1462"/>
      <c r="M642" s="1538" t="s">
        <v>1043</v>
      </c>
      <c r="N642" s="1538"/>
      <c r="O642" s="1538"/>
      <c r="P642" s="1538"/>
      <c r="Q642" s="1536"/>
      <c r="R642" s="1498"/>
      <c r="S642" s="1537"/>
      <c r="T642" s="1536"/>
      <c r="U642" s="1498"/>
      <c r="V642" s="1537"/>
      <c r="W642" s="1441"/>
      <c r="X642" s="1442"/>
      <c r="Y642" s="1443"/>
      <c r="Z642" s="1429" t="s">
        <v>1043</v>
      </c>
      <c r="AA642" s="1430"/>
      <c r="AB642" s="1431"/>
      <c r="AC642" s="1397"/>
      <c r="AD642" s="1398"/>
      <c r="AE642" s="1399"/>
      <c r="AF642" s="1433"/>
      <c r="AG642" s="1434"/>
      <c r="AH642" s="1434"/>
      <c r="AI642" s="1434"/>
      <c r="AJ642" s="1435"/>
      <c r="AK642" s="1390"/>
      <c r="AL642" s="1391"/>
      <c r="AM642" s="1391"/>
      <c r="AN642" s="1392"/>
      <c r="AO642" s="1436"/>
      <c r="AP642" s="1322"/>
      <c r="AQ642" s="1322"/>
      <c r="AR642" s="1322"/>
      <c r="AS642" s="1323"/>
      <c r="AT642" s="1031" t="str">
        <f t="shared" si="3"/>
        <v/>
      </c>
      <c r="AU642" s="3"/>
      <c r="AV642" s="3"/>
      <c r="AW642" s="3"/>
      <c r="AX642" s="3"/>
      <c r="AY642" s="3"/>
      <c r="AZ642" s="3"/>
      <c r="BA642" s="3" t="s">
        <v>1043</v>
      </c>
      <c r="BB642" s="3"/>
      <c r="BC642" s="3"/>
      <c r="BD642" s="3"/>
    </row>
    <row r="643" spans="1:157" ht="13" customHeight="1">
      <c r="B643" s="44" t="s">
        <v>1434</v>
      </c>
      <c r="C643" s="1462"/>
      <c r="D643" s="1462"/>
      <c r="E643" s="1462"/>
      <c r="F643" s="1462"/>
      <c r="G643" s="1462"/>
      <c r="H643" s="1462"/>
      <c r="I643" s="1462"/>
      <c r="J643" s="1462"/>
      <c r="K643" s="1462"/>
      <c r="L643" s="1462"/>
      <c r="M643" s="1538" t="s">
        <v>1043</v>
      </c>
      <c r="N643" s="1538"/>
      <c r="O643" s="1538"/>
      <c r="P643" s="1538"/>
      <c r="Q643" s="1536"/>
      <c r="R643" s="1498"/>
      <c r="S643" s="1537"/>
      <c r="T643" s="1536"/>
      <c r="U643" s="1498"/>
      <c r="V643" s="1537"/>
      <c r="W643" s="1441"/>
      <c r="X643" s="1442"/>
      <c r="Y643" s="1443"/>
      <c r="Z643" s="1429" t="s">
        <v>1043</v>
      </c>
      <c r="AA643" s="1430"/>
      <c r="AB643" s="1431"/>
      <c r="AC643" s="1397"/>
      <c r="AD643" s="1398"/>
      <c r="AE643" s="1399"/>
      <c r="AF643" s="1433"/>
      <c r="AG643" s="1434"/>
      <c r="AH643" s="1434"/>
      <c r="AI643" s="1434"/>
      <c r="AJ643" s="1435"/>
      <c r="AK643" s="1390"/>
      <c r="AL643" s="1391"/>
      <c r="AM643" s="1391"/>
      <c r="AN643" s="1392"/>
      <c r="AO643" s="1436"/>
      <c r="AP643" s="1322"/>
      <c r="AQ643" s="1322"/>
      <c r="AR643" s="1322"/>
      <c r="AS643" s="1323"/>
      <c r="AT643" s="1031" t="str">
        <f t="shared" si="3"/>
        <v/>
      </c>
      <c r="AU643" s="3"/>
      <c r="AV643" s="3"/>
      <c r="AW643" s="3"/>
      <c r="AX643" s="3"/>
      <c r="AY643" s="3"/>
      <c r="AZ643" s="3"/>
      <c r="BA643" s="3" t="s">
        <v>1463</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54" t="e">
        <f t="shared" ref="DX643:DX677" si="4">EZ726*(CP726/$CP$761)</f>
        <v>#VALUE!</v>
      </c>
      <c r="DY643" s="1354"/>
      <c r="DZ643" s="1354"/>
      <c r="EA643" s="1354"/>
      <c r="EB643" s="1354"/>
      <c r="EC643" s="1354">
        <f t="shared" ref="EC643:EC677" si="5">FE726*(CU726/$CU$761)</f>
        <v>818.66666666666663</v>
      </c>
      <c r="ED643" s="1354"/>
      <c r="EE643" s="1354"/>
      <c r="EF643" s="1354"/>
      <c r="EG643" s="1354"/>
      <c r="EH643" s="1354" t="e">
        <f t="shared" ref="EH643:EH677" si="6">FJ726*(CZ726/$CZ$761)</f>
        <v>#VALUE!</v>
      </c>
      <c r="EI643" s="1354"/>
      <c r="EJ643" s="1354"/>
      <c r="EK643" s="1354"/>
      <c r="EL643" s="1354"/>
      <c r="EM643" s="1354" t="e">
        <f t="shared" ref="EM643:EM677" si="7">FO726*(DE726/$DE$761)</f>
        <v>#VALUE!</v>
      </c>
      <c r="EN643" s="1354"/>
      <c r="EO643" s="1354"/>
      <c r="EP643" s="1354"/>
      <c r="EQ643" s="1354"/>
      <c r="ER643" s="1354" t="e">
        <f t="shared" ref="ER643:ER677" si="8">FT726*(DJ726/$DJ$761)</f>
        <v>#VALUE!</v>
      </c>
      <c r="ES643" s="1354"/>
      <c r="ET643" s="1354"/>
      <c r="EU643" s="1354"/>
      <c r="EV643" s="1354"/>
      <c r="EW643" s="1354" t="e">
        <f t="shared" ref="EW643:EW677" si="9">FY726*(DO726/$DO$761)</f>
        <v>#VALUE!</v>
      </c>
      <c r="EX643" s="1354"/>
      <c r="EY643" s="1354"/>
      <c r="EZ643" s="1354"/>
      <c r="FA643" s="1354"/>
    </row>
    <row r="644" spans="1:157" ht="13" customHeight="1">
      <c r="B644" s="44" t="s">
        <v>1435</v>
      </c>
      <c r="C644" s="1462"/>
      <c r="D644" s="1462"/>
      <c r="E644" s="1462"/>
      <c r="F644" s="1462"/>
      <c r="G644" s="1462"/>
      <c r="H644" s="1462"/>
      <c r="I644" s="1462"/>
      <c r="J644" s="1462"/>
      <c r="K644" s="1462"/>
      <c r="L644" s="1462"/>
      <c r="M644" s="1538" t="s">
        <v>1043</v>
      </c>
      <c r="N644" s="1538"/>
      <c r="O644" s="1538"/>
      <c r="P644" s="1538"/>
      <c r="Q644" s="1536"/>
      <c r="R644" s="1498"/>
      <c r="S644" s="1537"/>
      <c r="T644" s="1536"/>
      <c r="U644" s="1498"/>
      <c r="V644" s="1537"/>
      <c r="W644" s="1441"/>
      <c r="X644" s="1442"/>
      <c r="Y644" s="1443"/>
      <c r="Z644" s="1429" t="s">
        <v>1043</v>
      </c>
      <c r="AA644" s="1430"/>
      <c r="AB644" s="1431"/>
      <c r="AC644" s="1397"/>
      <c r="AD644" s="1398"/>
      <c r="AE644" s="1399"/>
      <c r="AF644" s="1433"/>
      <c r="AG644" s="1434"/>
      <c r="AH644" s="1434"/>
      <c r="AI644" s="1434"/>
      <c r="AJ644" s="1435"/>
      <c r="AK644" s="1390"/>
      <c r="AL644" s="1391"/>
      <c r="AM644" s="1391"/>
      <c r="AN644" s="1392"/>
      <c r="AO644" s="1436"/>
      <c r="AP644" s="1322"/>
      <c r="AQ644" s="1322"/>
      <c r="AR644" s="1322"/>
      <c r="AS644" s="1323"/>
      <c r="AT644" s="1031" t="str">
        <f t="shared" si="3"/>
        <v/>
      </c>
      <c r="AV644" s="3"/>
      <c r="AW644" s="3"/>
      <c r="AX644" s="3"/>
      <c r="AY644" s="3"/>
      <c r="AZ644" s="3"/>
      <c r="BA644" s="3" t="s">
        <v>1461</v>
      </c>
      <c r="BB644" s="3"/>
      <c r="BC644" s="3"/>
      <c r="BD644" s="3"/>
      <c r="BE644" s="3"/>
      <c r="BF644" s="3"/>
      <c r="BG644" s="3"/>
      <c r="BH644" s="3"/>
      <c r="BI644" s="3"/>
      <c r="BJ644" s="3"/>
      <c r="BK644" s="3"/>
      <c r="BL644" s="3"/>
      <c r="BM644" s="3"/>
      <c r="DA644" s="3"/>
      <c r="DB644" s="3"/>
      <c r="DC644" s="3"/>
      <c r="DD644" s="3"/>
      <c r="DE644" s="3"/>
      <c r="DF644" s="3"/>
      <c r="DX644" s="1354" t="e">
        <f t="shared" si="4"/>
        <v>#VALUE!</v>
      </c>
      <c r="DY644" s="1354"/>
      <c r="DZ644" s="1354"/>
      <c r="EA644" s="1354"/>
      <c r="EB644" s="1354"/>
      <c r="EC644" s="1354">
        <f t="shared" si="5"/>
        <v>586.13333333333333</v>
      </c>
      <c r="ED644" s="1354"/>
      <c r="EE644" s="1354"/>
      <c r="EF644" s="1354"/>
      <c r="EG644" s="1354"/>
      <c r="EH644" s="1354" t="e">
        <f t="shared" si="6"/>
        <v>#VALUE!</v>
      </c>
      <c r="EI644" s="1354"/>
      <c r="EJ644" s="1354"/>
      <c r="EK644" s="1354"/>
      <c r="EL644" s="1354"/>
      <c r="EM644" s="1354" t="e">
        <f t="shared" si="7"/>
        <v>#VALUE!</v>
      </c>
      <c r="EN644" s="1354"/>
      <c r="EO644" s="1354"/>
      <c r="EP644" s="1354"/>
      <c r="EQ644" s="1354"/>
      <c r="ER644" s="1354" t="e">
        <f t="shared" si="8"/>
        <v>#VALUE!</v>
      </c>
      <c r="ES644" s="1354"/>
      <c r="ET644" s="1354"/>
      <c r="EU644" s="1354"/>
      <c r="EV644" s="1354"/>
      <c r="EW644" s="1354" t="e">
        <f t="shared" si="9"/>
        <v>#VALUE!</v>
      </c>
      <c r="EX644" s="1354"/>
      <c r="EY644" s="1354"/>
      <c r="EZ644" s="1354"/>
      <c r="FA644" s="1354"/>
    </row>
    <row r="645" spans="1:157" ht="13" customHeight="1">
      <c r="B645" s="44" t="s">
        <v>1436</v>
      </c>
      <c r="C645" s="1462"/>
      <c r="D645" s="1462"/>
      <c r="E645" s="1462"/>
      <c r="F645" s="1462"/>
      <c r="G645" s="1462"/>
      <c r="H645" s="1462"/>
      <c r="I645" s="1462"/>
      <c r="J645" s="1462"/>
      <c r="K645" s="1462"/>
      <c r="L645" s="1462"/>
      <c r="M645" s="1538" t="s">
        <v>1043</v>
      </c>
      <c r="N645" s="1538"/>
      <c r="O645" s="1538"/>
      <c r="P645" s="1538"/>
      <c r="Q645" s="1536"/>
      <c r="R645" s="1498"/>
      <c r="S645" s="1537"/>
      <c r="T645" s="1536"/>
      <c r="U645" s="1498"/>
      <c r="V645" s="1537"/>
      <c r="W645" s="1441"/>
      <c r="X645" s="1442"/>
      <c r="Y645" s="1443"/>
      <c r="Z645" s="1429" t="s">
        <v>1043</v>
      </c>
      <c r="AA645" s="1430"/>
      <c r="AB645" s="1431"/>
      <c r="AC645" s="1397"/>
      <c r="AD645" s="1398"/>
      <c r="AE645" s="1399"/>
      <c r="AF645" s="1433"/>
      <c r="AG645" s="1434"/>
      <c r="AH645" s="1434"/>
      <c r="AI645" s="1434"/>
      <c r="AJ645" s="1435"/>
      <c r="AK645" s="1390"/>
      <c r="AL645" s="1391"/>
      <c r="AM645" s="1391"/>
      <c r="AN645" s="1392"/>
      <c r="AO645" s="1436"/>
      <c r="AP645" s="1322"/>
      <c r="AQ645" s="1322"/>
      <c r="AR645" s="1322"/>
      <c r="AS645" s="1323"/>
      <c r="AT645" s="1031" t="str">
        <f t="shared" si="3"/>
        <v/>
      </c>
      <c r="AV645" s="3"/>
      <c r="AW645" s="3"/>
      <c r="AX645" s="3"/>
      <c r="AY645" s="3"/>
      <c r="AZ645" s="3"/>
      <c r="BA645" s="3" t="s">
        <v>1460</v>
      </c>
      <c r="BB645" s="3"/>
      <c r="BC645" s="3"/>
      <c r="BD645" s="3"/>
      <c r="BE645" s="3"/>
      <c r="BF645" s="3"/>
      <c r="BG645" s="3"/>
      <c r="BH645" s="3"/>
      <c r="BI645" s="3"/>
      <c r="BJ645" s="3"/>
      <c r="BK645" s="3"/>
      <c r="BL645" s="3"/>
      <c r="BM645" s="3"/>
      <c r="DA645" s="3"/>
      <c r="DB645" s="3"/>
      <c r="DC645" s="3"/>
      <c r="DD645" s="3"/>
      <c r="DE645" s="3"/>
      <c r="DF645" s="3"/>
      <c r="DX645" s="1354" t="e">
        <f t="shared" si="4"/>
        <v>#VALUE!</v>
      </c>
      <c r="DY645" s="1354"/>
      <c r="DZ645" s="1354"/>
      <c r="EA645" s="1354"/>
      <c r="EB645" s="1354"/>
      <c r="EC645" s="1354">
        <f t="shared" si="5"/>
        <v>364.40000000000003</v>
      </c>
      <c r="ED645" s="1354"/>
      <c r="EE645" s="1354"/>
      <c r="EF645" s="1354"/>
      <c r="EG645" s="1354"/>
      <c r="EH645" s="1354" t="e">
        <f t="shared" si="6"/>
        <v>#VALUE!</v>
      </c>
      <c r="EI645" s="1354"/>
      <c r="EJ645" s="1354"/>
      <c r="EK645" s="1354"/>
      <c r="EL645" s="1354"/>
      <c r="EM645" s="1354" t="e">
        <f t="shared" si="7"/>
        <v>#VALUE!</v>
      </c>
      <c r="EN645" s="1354"/>
      <c r="EO645" s="1354"/>
      <c r="EP645" s="1354"/>
      <c r="EQ645" s="1354"/>
      <c r="ER645" s="1354" t="e">
        <f t="shared" si="8"/>
        <v>#VALUE!</v>
      </c>
      <c r="ES645" s="1354"/>
      <c r="ET645" s="1354"/>
      <c r="EU645" s="1354"/>
      <c r="EV645" s="1354"/>
      <c r="EW645" s="1354" t="e">
        <f t="shared" si="9"/>
        <v>#VALUE!</v>
      </c>
      <c r="EX645" s="1354"/>
      <c r="EY645" s="1354"/>
      <c r="EZ645" s="1354"/>
      <c r="FA645" s="1354"/>
    </row>
    <row r="646" spans="1:157" ht="13" customHeight="1">
      <c r="B646" s="44" t="s">
        <v>1437</v>
      </c>
      <c r="C646" s="1462"/>
      <c r="D646" s="1462"/>
      <c r="E646" s="1462"/>
      <c r="F646" s="1462"/>
      <c r="G646" s="1462"/>
      <c r="H646" s="1462"/>
      <c r="I646" s="1462"/>
      <c r="J646" s="1462"/>
      <c r="K646" s="1462"/>
      <c r="L646" s="1462"/>
      <c r="M646" s="1538" t="s">
        <v>1043</v>
      </c>
      <c r="N646" s="1538"/>
      <c r="O646" s="1538"/>
      <c r="P646" s="1538"/>
      <c r="Q646" s="1536"/>
      <c r="R646" s="1498"/>
      <c r="S646" s="1537"/>
      <c r="T646" s="1536"/>
      <c r="U646" s="1498"/>
      <c r="V646" s="1537"/>
      <c r="W646" s="1441"/>
      <c r="X646" s="1442"/>
      <c r="Y646" s="1443"/>
      <c r="Z646" s="1429" t="s">
        <v>1043</v>
      </c>
      <c r="AA646" s="1430"/>
      <c r="AB646" s="1431"/>
      <c r="AC646" s="1397"/>
      <c r="AD646" s="1398"/>
      <c r="AE646" s="1399"/>
      <c r="AF646" s="1433"/>
      <c r="AG646" s="1434"/>
      <c r="AH646" s="1434"/>
      <c r="AI646" s="1434"/>
      <c r="AJ646" s="1435"/>
      <c r="AK646" s="1390"/>
      <c r="AL646" s="1391"/>
      <c r="AM646" s="1391"/>
      <c r="AN646" s="1392"/>
      <c r="AO646" s="1436"/>
      <c r="AP646" s="1322"/>
      <c r="AQ646" s="1322"/>
      <c r="AR646" s="1322"/>
      <c r="AS646" s="1323"/>
      <c r="AT646" s="1031" t="str">
        <f t="shared" si="3"/>
        <v/>
      </c>
      <c r="AV646" s="3"/>
      <c r="AW646" s="3"/>
      <c r="AX646" s="3"/>
      <c r="AY646" s="3"/>
      <c r="AZ646" s="3"/>
      <c r="BA646" s="3" t="s">
        <v>1068</v>
      </c>
      <c r="BB646" s="3"/>
      <c r="BC646" s="3"/>
      <c r="BD646" s="3"/>
      <c r="BE646" s="3"/>
      <c r="BF646" s="3"/>
      <c r="BG646" s="3"/>
      <c r="BH646" s="3"/>
      <c r="BI646" s="3"/>
      <c r="BJ646" s="3"/>
      <c r="BK646" s="3"/>
      <c r="BL646" s="3"/>
      <c r="BM646" s="3"/>
      <c r="DA646" s="3"/>
      <c r="DB646" s="3"/>
      <c r="DC646" s="3"/>
      <c r="DD646" s="3"/>
      <c r="DE646" s="3"/>
      <c r="DF646" s="3"/>
      <c r="DX646" s="1354" t="e">
        <f t="shared" si="4"/>
        <v>#VALUE!</v>
      </c>
      <c r="DY646" s="1354"/>
      <c r="DZ646" s="1354"/>
      <c r="EA646" s="1354"/>
      <c r="EB646" s="1354"/>
      <c r="EC646" s="1354">
        <f t="shared" si="5"/>
        <v>213.60000000000002</v>
      </c>
      <c r="ED646" s="1354"/>
      <c r="EE646" s="1354"/>
      <c r="EF646" s="1354"/>
      <c r="EG646" s="1354"/>
      <c r="EH646" s="1354" t="e">
        <f t="shared" si="6"/>
        <v>#VALUE!</v>
      </c>
      <c r="EI646" s="1354"/>
      <c r="EJ646" s="1354"/>
      <c r="EK646" s="1354"/>
      <c r="EL646" s="1354"/>
      <c r="EM646" s="1354" t="e">
        <f t="shared" si="7"/>
        <v>#VALUE!</v>
      </c>
      <c r="EN646" s="1354"/>
      <c r="EO646" s="1354"/>
      <c r="EP646" s="1354"/>
      <c r="EQ646" s="1354"/>
      <c r="ER646" s="1354" t="e">
        <f t="shared" si="8"/>
        <v>#VALUE!</v>
      </c>
      <c r="ES646" s="1354"/>
      <c r="ET646" s="1354"/>
      <c r="EU646" s="1354"/>
      <c r="EV646" s="1354"/>
      <c r="EW646" s="1354" t="e">
        <f t="shared" si="9"/>
        <v>#VALUE!</v>
      </c>
      <c r="EX646" s="1354"/>
      <c r="EY646" s="1354"/>
      <c r="EZ646" s="1354"/>
      <c r="FA646" s="1354"/>
    </row>
    <row r="647" spans="1:157" ht="13" customHeight="1">
      <c r="B647" s="1380" t="s">
        <v>1464</v>
      </c>
      <c r="C647" s="1381"/>
      <c r="D647" s="1381"/>
      <c r="E647" s="1381"/>
      <c r="F647" s="1381"/>
      <c r="G647" s="1381"/>
      <c r="H647" s="1381"/>
      <c r="I647" s="1381"/>
      <c r="J647" s="1381"/>
      <c r="K647" s="1381"/>
      <c r="L647" s="1381"/>
      <c r="M647" s="1381"/>
      <c r="N647" s="1381"/>
      <c r="O647" s="1381"/>
      <c r="P647" s="1381"/>
      <c r="Q647" s="1381"/>
      <c r="R647" s="1381"/>
      <c r="S647" s="1381"/>
      <c r="T647" s="1381"/>
      <c r="U647" s="1381"/>
      <c r="V647" s="1381"/>
      <c r="W647" s="1381"/>
      <c r="X647" s="1381"/>
      <c r="Y647" s="1381"/>
      <c r="Z647" s="1381"/>
      <c r="AA647" s="1381"/>
      <c r="AB647" s="1381"/>
      <c r="AC647" s="1381"/>
      <c r="AD647" s="1381"/>
      <c r="AE647" s="1381"/>
      <c r="AF647" s="1381"/>
      <c r="AG647" s="1381"/>
      <c r="AH647" s="1381"/>
      <c r="AI647" s="1381"/>
      <c r="AJ647" s="1381"/>
      <c r="AK647" s="1381"/>
      <c r="AL647" s="1381"/>
      <c r="AM647" s="1381"/>
      <c r="AN647" s="1383"/>
      <c r="AO647" s="1446">
        <f>SUM(AO635:AR646)</f>
        <v>42711918</v>
      </c>
      <c r="AP647" s="1447"/>
      <c r="AQ647" s="1447"/>
      <c r="AR647" s="1447"/>
      <c r="AS647" s="1448"/>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54" t="e">
        <f t="shared" si="4"/>
        <v>#VALUE!</v>
      </c>
      <c r="DY647" s="1354"/>
      <c r="DZ647" s="1354"/>
      <c r="EA647" s="1354"/>
      <c r="EB647" s="1354"/>
      <c r="EC647" s="1354" t="e">
        <f t="shared" si="5"/>
        <v>#VALUE!</v>
      </c>
      <c r="ED647" s="1354"/>
      <c r="EE647" s="1354"/>
      <c r="EF647" s="1354"/>
      <c r="EG647" s="1354"/>
      <c r="EH647" s="1354">
        <f t="shared" si="6"/>
        <v>607.0454545454545</v>
      </c>
      <c r="EI647" s="1354"/>
      <c r="EJ647" s="1354"/>
      <c r="EK647" s="1354"/>
      <c r="EL647" s="1354"/>
      <c r="EM647" s="1354" t="e">
        <f t="shared" si="7"/>
        <v>#VALUE!</v>
      </c>
      <c r="EN647" s="1354"/>
      <c r="EO647" s="1354"/>
      <c r="EP647" s="1354"/>
      <c r="EQ647" s="1354"/>
      <c r="ER647" s="1354" t="e">
        <f t="shared" si="8"/>
        <v>#VALUE!</v>
      </c>
      <c r="ES647" s="1354"/>
      <c r="ET647" s="1354"/>
      <c r="EU647" s="1354"/>
      <c r="EV647" s="1354"/>
      <c r="EW647" s="1354" t="e">
        <f t="shared" si="9"/>
        <v>#VALUE!</v>
      </c>
      <c r="EX647" s="1354"/>
      <c r="EY647" s="1354"/>
      <c r="EZ647" s="1354"/>
      <c r="FA647" s="1354"/>
    </row>
    <row r="648" spans="1:157" ht="13" customHeight="1">
      <c r="B648" s="1380" t="s">
        <v>1465</v>
      </c>
      <c r="C648" s="1381"/>
      <c r="D648" s="1381"/>
      <c r="E648" s="1381"/>
      <c r="F648" s="1381"/>
      <c r="G648" s="1381"/>
      <c r="H648" s="1381"/>
      <c r="I648" s="1381"/>
      <c r="J648" s="1381"/>
      <c r="K648" s="1381"/>
      <c r="L648" s="1381"/>
      <c r="M648" s="1381"/>
      <c r="N648" s="1381"/>
      <c r="O648" s="1381"/>
      <c r="P648" s="1381"/>
      <c r="Q648" s="1381"/>
      <c r="R648" s="1381"/>
      <c r="S648" s="1381"/>
      <c r="T648" s="1381"/>
      <c r="U648" s="1381"/>
      <c r="V648" s="1381"/>
      <c r="W648" s="1381"/>
      <c r="X648" s="1381"/>
      <c r="Y648" s="1381"/>
      <c r="Z648" s="1381"/>
      <c r="AA648" s="1381"/>
      <c r="AB648" s="1381"/>
      <c r="AC648" s="1381"/>
      <c r="AD648" s="1381"/>
      <c r="AE648" s="1381"/>
      <c r="AF648" s="1381"/>
      <c r="AG648" s="1381"/>
      <c r="AH648" s="1381"/>
      <c r="AI648" s="1381"/>
      <c r="AJ648" s="1381"/>
      <c r="AK648" s="1381"/>
      <c r="AL648" s="1381"/>
      <c r="AM648" s="1381"/>
      <c r="AN648" s="1383"/>
      <c r="AO648" s="1436">
        <f>30645529+4950000</f>
        <v>35595529</v>
      </c>
      <c r="AP648" s="1322"/>
      <c r="AQ648" s="1322"/>
      <c r="AR648" s="1322"/>
      <c r="AS648" s="1323"/>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54" t="e">
        <f t="shared" si="4"/>
        <v>#VALUE!</v>
      </c>
      <c r="DY648" s="1354"/>
      <c r="DZ648" s="1354"/>
      <c r="EA648" s="1354"/>
      <c r="EB648" s="1354"/>
      <c r="EC648" s="1354" t="e">
        <f t="shared" si="5"/>
        <v>#VALUE!</v>
      </c>
      <c r="ED648" s="1354"/>
      <c r="EE648" s="1354"/>
      <c r="EF648" s="1354"/>
      <c r="EG648" s="1354"/>
      <c r="EH648" s="1354">
        <f t="shared" si="6"/>
        <v>1553.5</v>
      </c>
      <c r="EI648" s="1354"/>
      <c r="EJ648" s="1354"/>
      <c r="EK648" s="1354"/>
      <c r="EL648" s="1354"/>
      <c r="EM648" s="1354" t="e">
        <f t="shared" si="7"/>
        <v>#VALUE!</v>
      </c>
      <c r="EN648" s="1354"/>
      <c r="EO648" s="1354"/>
      <c r="EP648" s="1354"/>
      <c r="EQ648" s="1354"/>
      <c r="ER648" s="1354" t="e">
        <f t="shared" si="8"/>
        <v>#VALUE!</v>
      </c>
      <c r="ES648" s="1354"/>
      <c r="ET648" s="1354"/>
      <c r="EU648" s="1354"/>
      <c r="EV648" s="1354"/>
      <c r="EW648" s="1354" t="e">
        <f t="shared" si="9"/>
        <v>#VALUE!</v>
      </c>
      <c r="EX648" s="1354"/>
      <c r="EY648" s="1354"/>
      <c r="EZ648" s="1354"/>
      <c r="FA648" s="1354"/>
    </row>
    <row r="649" spans="1:157" ht="13" customHeight="1">
      <c r="B649" s="1639" t="s">
        <v>1466</v>
      </c>
      <c r="C649" s="1382"/>
      <c r="D649" s="1382"/>
      <c r="E649" s="1382"/>
      <c r="F649" s="1382"/>
      <c r="G649" s="1382"/>
      <c r="H649" s="1382"/>
      <c r="I649" s="1382"/>
      <c r="J649" s="1382"/>
      <c r="K649" s="1382"/>
      <c r="L649" s="1382"/>
      <c r="M649" s="1382"/>
      <c r="N649" s="1382"/>
      <c r="O649" s="1382"/>
      <c r="P649" s="1382"/>
      <c r="Q649" s="1382"/>
      <c r="R649" s="1382"/>
      <c r="S649" s="1382"/>
      <c r="T649" s="1382"/>
      <c r="U649" s="1382"/>
      <c r="V649" s="1382"/>
      <c r="W649" s="1382"/>
      <c r="X649" s="1382"/>
      <c r="Y649" s="1382"/>
      <c r="Z649" s="1382"/>
      <c r="AA649" s="1382"/>
      <c r="AB649" s="1382"/>
      <c r="AC649" s="1382"/>
      <c r="AD649" s="1382"/>
      <c r="AE649" s="1382"/>
      <c r="AF649" s="1382"/>
      <c r="AG649" s="1382"/>
      <c r="AH649" s="1382"/>
      <c r="AI649" s="1382"/>
      <c r="AJ649" s="1382"/>
      <c r="AK649" s="1382"/>
      <c r="AL649" s="1382"/>
      <c r="AM649" s="1382"/>
      <c r="AN649" s="1640"/>
      <c r="AO649" s="1446">
        <f>AO647+AO648</f>
        <v>78307447</v>
      </c>
      <c r="AP649" s="1447"/>
      <c r="AQ649" s="1447"/>
      <c r="AR649" s="1447"/>
      <c r="AS649" s="1448"/>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54" t="e">
        <f t="shared" si="4"/>
        <v>#VALUE!</v>
      </c>
      <c r="DY649" s="1354"/>
      <c r="DZ649" s="1354"/>
      <c r="EA649" s="1354"/>
      <c r="EB649" s="1354"/>
      <c r="EC649" s="1354" t="e">
        <f t="shared" si="5"/>
        <v>#VALUE!</v>
      </c>
      <c r="ED649" s="1354"/>
      <c r="EE649" s="1354"/>
      <c r="EF649" s="1354"/>
      <c r="EG649" s="1354"/>
      <c r="EH649" s="1354">
        <f t="shared" si="6"/>
        <v>197.90909090909091</v>
      </c>
      <c r="EI649" s="1354"/>
      <c r="EJ649" s="1354"/>
      <c r="EK649" s="1354"/>
      <c r="EL649" s="1354"/>
      <c r="EM649" s="1354" t="e">
        <f t="shared" si="7"/>
        <v>#VALUE!</v>
      </c>
      <c r="EN649" s="1354"/>
      <c r="EO649" s="1354"/>
      <c r="EP649" s="1354"/>
      <c r="EQ649" s="1354"/>
      <c r="ER649" s="1354" t="e">
        <f t="shared" si="8"/>
        <v>#VALUE!</v>
      </c>
      <c r="ES649" s="1354"/>
      <c r="ET649" s="1354"/>
      <c r="EU649" s="1354"/>
      <c r="EV649" s="1354"/>
      <c r="EW649" s="1354" t="e">
        <f t="shared" si="9"/>
        <v>#VALUE!</v>
      </c>
      <c r="EX649" s="1354"/>
      <c r="EY649" s="1354"/>
      <c r="EZ649" s="1354"/>
      <c r="FA649" s="1354"/>
    </row>
    <row r="650" spans="1:157" ht="13"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54" t="e">
        <f t="shared" si="4"/>
        <v>#VALUE!</v>
      </c>
      <c r="DY650" s="1354"/>
      <c r="DZ650" s="1354"/>
      <c r="EA650" s="1354"/>
      <c r="EB650" s="1354"/>
      <c r="EC650" s="1354" t="e">
        <f t="shared" si="5"/>
        <v>#VALUE!</v>
      </c>
      <c r="ED650" s="1354"/>
      <c r="EE650" s="1354"/>
      <c r="EF650" s="1354"/>
      <c r="EG650" s="1354"/>
      <c r="EH650" s="1354">
        <f t="shared" si="6"/>
        <v>115.63636363636364</v>
      </c>
      <c r="EI650" s="1354"/>
      <c r="EJ650" s="1354"/>
      <c r="EK650" s="1354"/>
      <c r="EL650" s="1354"/>
      <c r="EM650" s="1354" t="e">
        <f t="shared" si="7"/>
        <v>#VALUE!</v>
      </c>
      <c r="EN650" s="1354"/>
      <c r="EO650" s="1354"/>
      <c r="EP650" s="1354"/>
      <c r="EQ650" s="1354"/>
      <c r="ER650" s="1354" t="e">
        <f t="shared" si="8"/>
        <v>#VALUE!</v>
      </c>
      <c r="ES650" s="1354"/>
      <c r="ET650" s="1354"/>
      <c r="EU650" s="1354"/>
      <c r="EV650" s="1354"/>
      <c r="EW650" s="1354" t="e">
        <f t="shared" si="9"/>
        <v>#VALUE!</v>
      </c>
      <c r="EX650" s="1354"/>
      <c r="EY650" s="1354"/>
      <c r="EZ650" s="1354"/>
      <c r="FA650" s="1354"/>
    </row>
    <row r="651" spans="1:157" ht="13" customHeight="1">
      <c r="A651" s="47" t="s">
        <v>18</v>
      </c>
      <c r="B651" t="s">
        <v>1439</v>
      </c>
      <c r="G651" s="1444" t="str">
        <f>C635</f>
        <v>Citibank Permanent Loan (Tranche A)</v>
      </c>
      <c r="H651" s="1444"/>
      <c r="I651" s="1444"/>
      <c r="J651" s="1444"/>
      <c r="K651" s="1444"/>
      <c r="L651" s="1444"/>
      <c r="M651" s="1444"/>
      <c r="N651" s="1444"/>
      <c r="O651" s="1444"/>
      <c r="P651" s="1444"/>
      <c r="Q651" s="1444"/>
      <c r="R651" s="1444"/>
      <c r="S651" s="7"/>
      <c r="T651" s="47" t="s">
        <v>31</v>
      </c>
      <c r="U651" t="s">
        <v>1439</v>
      </c>
      <c r="Z651" s="1444" t="str">
        <f>C636</f>
        <v>Citibank Permenant Loan (Tranche B)</v>
      </c>
      <c r="AA651" s="1444"/>
      <c r="AB651" s="1444"/>
      <c r="AC651" s="1444"/>
      <c r="AD651" s="1444"/>
      <c r="AE651" s="1444"/>
      <c r="AF651" s="1444"/>
      <c r="AG651" s="1444"/>
      <c r="AH651" s="1444"/>
      <c r="AI651" s="1444"/>
      <c r="AJ651" s="1444"/>
      <c r="AK651" s="1444"/>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54" t="e">
        <f t="shared" si="4"/>
        <v>#VALUE!</v>
      </c>
      <c r="DY651" s="1354"/>
      <c r="DZ651" s="1354"/>
      <c r="EA651" s="1354"/>
      <c r="EB651" s="1354"/>
      <c r="EC651" s="1354" t="e">
        <f t="shared" si="5"/>
        <v>#VALUE!</v>
      </c>
      <c r="ED651" s="1354"/>
      <c r="EE651" s="1354"/>
      <c r="EF651" s="1354"/>
      <c r="EG651" s="1354"/>
      <c r="EH651" s="1354" t="e">
        <f t="shared" si="6"/>
        <v>#VALUE!</v>
      </c>
      <c r="EI651" s="1354"/>
      <c r="EJ651" s="1354"/>
      <c r="EK651" s="1354"/>
      <c r="EL651" s="1354"/>
      <c r="EM651" s="1354">
        <f t="shared" si="7"/>
        <v>596.03773584905662</v>
      </c>
      <c r="EN651" s="1354"/>
      <c r="EO651" s="1354"/>
      <c r="EP651" s="1354"/>
      <c r="EQ651" s="1354"/>
      <c r="ER651" s="1354" t="e">
        <f t="shared" si="8"/>
        <v>#VALUE!</v>
      </c>
      <c r="ES651" s="1354"/>
      <c r="ET651" s="1354"/>
      <c r="EU651" s="1354"/>
      <c r="EV651" s="1354"/>
      <c r="EW651" s="1354" t="e">
        <f t="shared" si="9"/>
        <v>#VALUE!</v>
      </c>
      <c r="EX651" s="1354"/>
      <c r="EY651" s="1354"/>
      <c r="EZ651" s="1354"/>
      <c r="FA651" s="1354"/>
    </row>
    <row r="652" spans="1:157" ht="13" customHeight="1">
      <c r="A652" s="19"/>
      <c r="B652" t="s">
        <v>1081</v>
      </c>
      <c r="G652" s="1379" t="s">
        <v>1440</v>
      </c>
      <c r="H652" s="1379"/>
      <c r="I652" s="1379"/>
      <c r="J652" s="1379"/>
      <c r="K652" s="1379"/>
      <c r="L652" s="1379"/>
      <c r="M652" s="1379"/>
      <c r="N652" s="1379"/>
      <c r="O652" s="1379"/>
      <c r="P652" s="1379"/>
      <c r="Q652" s="1379"/>
      <c r="R652" s="1379"/>
      <c r="S652" s="7"/>
      <c r="T652" s="19"/>
      <c r="U652" t="s">
        <v>1081</v>
      </c>
      <c r="Z652" s="1379" t="s">
        <v>1440</v>
      </c>
      <c r="AA652" s="1379"/>
      <c r="AB652" s="1379"/>
      <c r="AC652" s="1379"/>
      <c r="AD652" s="1379"/>
      <c r="AE652" s="1379"/>
      <c r="AF652" s="1379"/>
      <c r="AG652" s="1379"/>
      <c r="AH652" s="1379"/>
      <c r="AI652" s="1379"/>
      <c r="AJ652" s="1379"/>
      <c r="AK652" s="1379"/>
      <c r="AV652" s="3"/>
      <c r="AW652" s="3"/>
      <c r="AX652" s="3"/>
      <c r="AY652" s="3"/>
      <c r="AZ652" s="3"/>
      <c r="BA652" s="3"/>
      <c r="BB652" s="3"/>
      <c r="BC652" s="3"/>
      <c r="BD652" s="3"/>
      <c r="BE652" s="3"/>
      <c r="BF652" s="3"/>
      <c r="BG652" s="3"/>
      <c r="BH652" s="3"/>
      <c r="BI652" s="3"/>
      <c r="BJ652" s="3"/>
      <c r="BK652" s="3"/>
      <c r="BL652" s="3"/>
      <c r="BM652" s="3"/>
      <c r="DX652" s="1354" t="e">
        <f t="shared" si="4"/>
        <v>#VALUE!</v>
      </c>
      <c r="DY652" s="1354"/>
      <c r="DZ652" s="1354"/>
      <c r="EA652" s="1354"/>
      <c r="EB652" s="1354"/>
      <c r="EC652" s="1354" t="e">
        <f t="shared" si="5"/>
        <v>#VALUE!</v>
      </c>
      <c r="ED652" s="1354"/>
      <c r="EE652" s="1354"/>
      <c r="EF652" s="1354"/>
      <c r="EG652" s="1354"/>
      <c r="EH652" s="1354" t="e">
        <f t="shared" si="6"/>
        <v>#VALUE!</v>
      </c>
      <c r="EI652" s="1354"/>
      <c r="EJ652" s="1354"/>
      <c r="EK652" s="1354"/>
      <c r="EL652" s="1354"/>
      <c r="EM652" s="1354">
        <f t="shared" si="7"/>
        <v>1769.9245283018868</v>
      </c>
      <c r="EN652" s="1354"/>
      <c r="EO652" s="1354"/>
      <c r="EP652" s="1354"/>
      <c r="EQ652" s="1354"/>
      <c r="ER652" s="1354" t="e">
        <f t="shared" si="8"/>
        <v>#VALUE!</v>
      </c>
      <c r="ES652" s="1354"/>
      <c r="ET652" s="1354"/>
      <c r="EU652" s="1354"/>
      <c r="EV652" s="1354"/>
      <c r="EW652" s="1354" t="e">
        <f t="shared" si="9"/>
        <v>#VALUE!</v>
      </c>
      <c r="EX652" s="1354"/>
      <c r="EY652" s="1354"/>
      <c r="EZ652" s="1354"/>
      <c r="FA652" s="1354"/>
    </row>
    <row r="653" spans="1:157" ht="13" customHeight="1">
      <c r="A653" s="19"/>
      <c r="B653" t="s">
        <v>947</v>
      </c>
      <c r="G653" s="1379" t="s">
        <v>1441</v>
      </c>
      <c r="H653" s="1379"/>
      <c r="I653" s="1379"/>
      <c r="J653" s="1379"/>
      <c r="K653" s="1379"/>
      <c r="L653" s="1379"/>
      <c r="M653" s="1379"/>
      <c r="N653" s="1379"/>
      <c r="O653" s="1379"/>
      <c r="P653" s="1379"/>
      <c r="Q653" s="1379"/>
      <c r="R653" s="1379"/>
      <c r="T653" s="19"/>
      <c r="U653" t="s">
        <v>947</v>
      </c>
      <c r="Z653" s="1412" t="s">
        <v>1441</v>
      </c>
      <c r="AA653" s="1412"/>
      <c r="AB653" s="1412"/>
      <c r="AC653" s="1412"/>
      <c r="AD653" s="1412"/>
      <c r="AE653" s="1412"/>
      <c r="AF653" s="1412"/>
      <c r="AG653" s="1412"/>
      <c r="AH653" s="1412"/>
      <c r="AI653" s="1412"/>
      <c r="AJ653" s="1412"/>
      <c r="AK653" s="1412"/>
      <c r="AV653" s="3"/>
      <c r="AW653" s="3"/>
      <c r="AX653" s="3"/>
      <c r="AY653" s="3"/>
      <c r="AZ653" s="3"/>
      <c r="BA653" s="3"/>
      <c r="BB653" s="3"/>
      <c r="BC653" s="3"/>
      <c r="BD653" s="3"/>
      <c r="BE653" s="3"/>
      <c r="BF653" s="3"/>
      <c r="BG653" s="3"/>
      <c r="BH653" s="3"/>
      <c r="BI653" s="3"/>
      <c r="BJ653" s="3"/>
      <c r="BK653" s="3"/>
      <c r="BL653" s="3"/>
      <c r="BM653" s="3"/>
      <c r="DX653" s="1354" t="e">
        <f t="shared" si="4"/>
        <v>#VALUE!</v>
      </c>
      <c r="DY653" s="1354"/>
      <c r="DZ653" s="1354"/>
      <c r="EA653" s="1354"/>
      <c r="EB653" s="1354"/>
      <c r="EC653" s="1354" t="e">
        <f t="shared" si="5"/>
        <v>#VALUE!</v>
      </c>
      <c r="ED653" s="1354"/>
      <c r="EE653" s="1354"/>
      <c r="EF653" s="1354"/>
      <c r="EG653" s="1354"/>
      <c r="EH653" s="1354" t="e">
        <f t="shared" si="6"/>
        <v>#VALUE!</v>
      </c>
      <c r="EI653" s="1354"/>
      <c r="EJ653" s="1354"/>
      <c r="EK653" s="1354"/>
      <c r="EL653" s="1354"/>
      <c r="EM653" s="1354">
        <f t="shared" si="7"/>
        <v>283.47169811320754</v>
      </c>
      <c r="EN653" s="1354"/>
      <c r="EO653" s="1354"/>
      <c r="EP653" s="1354"/>
      <c r="EQ653" s="1354"/>
      <c r="ER653" s="1354" t="e">
        <f t="shared" si="8"/>
        <v>#VALUE!</v>
      </c>
      <c r="ES653" s="1354"/>
      <c r="ET653" s="1354"/>
      <c r="EU653" s="1354"/>
      <c r="EV653" s="1354"/>
      <c r="EW653" s="1354" t="e">
        <f t="shared" si="9"/>
        <v>#VALUE!</v>
      </c>
      <c r="EX653" s="1354"/>
      <c r="EY653" s="1354"/>
      <c r="EZ653" s="1354"/>
      <c r="FA653" s="1354"/>
    </row>
    <row r="654" spans="1:157" ht="13" customHeight="1">
      <c r="A654" s="19"/>
      <c r="B654" t="s">
        <v>1442</v>
      </c>
      <c r="G654" s="1379" t="s">
        <v>1443</v>
      </c>
      <c r="H654" s="1379"/>
      <c r="I654" s="1379"/>
      <c r="J654" s="1379"/>
      <c r="K654" s="1379"/>
      <c r="L654" s="1379"/>
      <c r="M654" s="1379"/>
      <c r="N654" s="1379"/>
      <c r="O654" s="1379"/>
      <c r="P654" s="1379"/>
      <c r="Q654" s="1379"/>
      <c r="R654" s="1379"/>
      <c r="S654" s="7"/>
      <c r="T654" s="19"/>
      <c r="U654" t="s">
        <v>1442</v>
      </c>
      <c r="Z654" s="1412" t="s">
        <v>1443</v>
      </c>
      <c r="AA654" s="1412"/>
      <c r="AB654" s="1412"/>
      <c r="AC654" s="1412"/>
      <c r="AD654" s="1412"/>
      <c r="AE654" s="1412"/>
      <c r="AF654" s="1412"/>
      <c r="AG654" s="1412"/>
      <c r="AH654" s="1412"/>
      <c r="AI654" s="1412"/>
      <c r="AJ654" s="1412"/>
      <c r="AK654" s="1412"/>
      <c r="AZ654" s="3"/>
      <c r="BA654" s="3"/>
      <c r="BB654" s="3"/>
      <c r="BC654" s="3"/>
      <c r="BD654" s="3"/>
      <c r="BE654" s="3"/>
      <c r="BF654" s="3"/>
      <c r="BG654" s="3"/>
      <c r="BH654" s="3"/>
      <c r="BI654" s="3"/>
      <c r="BJ654" s="3"/>
      <c r="BK654" s="3"/>
      <c r="BL654" s="3"/>
      <c r="BM654" s="3"/>
      <c r="DX654" s="1354" t="e">
        <f t="shared" si="4"/>
        <v>#VALUE!</v>
      </c>
      <c r="DY654" s="1354"/>
      <c r="DZ654" s="1354"/>
      <c r="EA654" s="1354"/>
      <c r="EB654" s="1354"/>
      <c r="EC654" s="1354" t="e">
        <f t="shared" si="5"/>
        <v>#VALUE!</v>
      </c>
      <c r="ED654" s="1354"/>
      <c r="EE654" s="1354"/>
      <c r="EF654" s="1354"/>
      <c r="EG654" s="1354"/>
      <c r="EH654" s="1354" t="e">
        <f t="shared" si="6"/>
        <v>#VALUE!</v>
      </c>
      <c r="EI654" s="1354"/>
      <c r="EJ654" s="1354"/>
      <c r="EK654" s="1354"/>
      <c r="EL654" s="1354"/>
      <c r="EM654" s="1354">
        <f t="shared" si="7"/>
        <v>165.16981132075472</v>
      </c>
      <c r="EN654" s="1354"/>
      <c r="EO654" s="1354"/>
      <c r="EP654" s="1354"/>
      <c r="EQ654" s="1354"/>
      <c r="ER654" s="1354" t="e">
        <f t="shared" si="8"/>
        <v>#VALUE!</v>
      </c>
      <c r="ES654" s="1354"/>
      <c r="ET654" s="1354"/>
      <c r="EU654" s="1354"/>
      <c r="EV654" s="1354"/>
      <c r="EW654" s="1354" t="e">
        <f t="shared" si="9"/>
        <v>#VALUE!</v>
      </c>
      <c r="EX654" s="1354"/>
      <c r="EY654" s="1354"/>
      <c r="EZ654" s="1354"/>
      <c r="FA654" s="1354"/>
    </row>
    <row r="655" spans="1:157" ht="13" customHeight="1">
      <c r="A655" s="19"/>
      <c r="B655" t="s">
        <v>840</v>
      </c>
      <c r="G655" s="1432" t="s">
        <v>1444</v>
      </c>
      <c r="H655" s="1432"/>
      <c r="I655" s="1432"/>
      <c r="J655" s="1432"/>
      <c r="K655" s="1432"/>
      <c r="L655" s="1432"/>
      <c r="O655" s="918" t="s">
        <v>1089</v>
      </c>
      <c r="P655" s="1445"/>
      <c r="Q655" s="1445"/>
      <c r="R655" s="1445"/>
      <c r="S655" s="9"/>
      <c r="T655" s="19"/>
      <c r="U655" t="s">
        <v>840</v>
      </c>
      <c r="Z655" s="1432" t="s">
        <v>1444</v>
      </c>
      <c r="AA655" s="1432"/>
      <c r="AB655" s="1432"/>
      <c r="AC655" s="1432"/>
      <c r="AD655" s="1432"/>
      <c r="AE655" s="1432"/>
      <c r="AH655" s="918" t="s">
        <v>1089</v>
      </c>
      <c r="AI655" s="1445"/>
      <c r="AJ655" s="1445"/>
      <c r="AK655" s="1445"/>
      <c r="AZ655" s="3"/>
      <c r="BA655" s="3"/>
      <c r="BB655" s="3"/>
      <c r="BC655" s="3"/>
      <c r="BD655" s="3"/>
      <c r="BE655" s="3"/>
      <c r="BF655" s="3"/>
      <c r="BG655" s="3"/>
      <c r="BH655" s="3"/>
      <c r="BI655" s="3"/>
      <c r="BJ655" s="3"/>
      <c r="BK655" s="3"/>
      <c r="BL655" s="3"/>
      <c r="BM655" s="3"/>
      <c r="DX655" s="1354" t="e">
        <f t="shared" si="4"/>
        <v>#VALUE!</v>
      </c>
      <c r="DY655" s="1354"/>
      <c r="DZ655" s="1354"/>
      <c r="EA655" s="1354"/>
      <c r="EB655" s="1354"/>
      <c r="EC655" s="1354" t="e">
        <f t="shared" si="5"/>
        <v>#VALUE!</v>
      </c>
      <c r="ED655" s="1354"/>
      <c r="EE655" s="1354"/>
      <c r="EF655" s="1354"/>
      <c r="EG655" s="1354"/>
      <c r="EH655" s="1354" t="e">
        <f t="shared" si="6"/>
        <v>#VALUE!</v>
      </c>
      <c r="EI655" s="1354"/>
      <c r="EJ655" s="1354"/>
      <c r="EK655" s="1354"/>
      <c r="EL655" s="1354"/>
      <c r="EM655" s="1354" t="e">
        <f t="shared" si="7"/>
        <v>#VALUE!</v>
      </c>
      <c r="EN655" s="1354"/>
      <c r="EO655" s="1354"/>
      <c r="EP655" s="1354"/>
      <c r="EQ655" s="1354"/>
      <c r="ER655" s="1354" t="e">
        <f t="shared" si="8"/>
        <v>#VALUE!</v>
      </c>
      <c r="ES655" s="1354"/>
      <c r="ET655" s="1354"/>
      <c r="EU655" s="1354"/>
      <c r="EV655" s="1354"/>
      <c r="EW655" s="1354" t="e">
        <f t="shared" si="9"/>
        <v>#VALUE!</v>
      </c>
      <c r="EX655" s="1354"/>
      <c r="EY655" s="1354"/>
      <c r="EZ655" s="1354"/>
      <c r="FA655" s="1354"/>
    </row>
    <row r="656" spans="1:157" ht="13" customHeight="1">
      <c r="A656" s="19"/>
      <c r="B656" t="s">
        <v>1445</v>
      </c>
      <c r="H656" s="1379" t="s">
        <v>1392</v>
      </c>
      <c r="I656" s="1379"/>
      <c r="J656" s="1379"/>
      <c r="K656" s="1379"/>
      <c r="L656" s="1379"/>
      <c r="M656" s="1379"/>
      <c r="N656" s="1379"/>
      <c r="O656" s="1379"/>
      <c r="P656" s="1379"/>
      <c r="Q656" s="1379"/>
      <c r="R656" s="1379"/>
      <c r="S656" s="7"/>
      <c r="T656" s="19"/>
      <c r="U656" t="s">
        <v>1445</v>
      </c>
      <c r="AA656" s="1379" t="s">
        <v>1392</v>
      </c>
      <c r="AB656" s="1379"/>
      <c r="AC656" s="1379"/>
      <c r="AD656" s="1379"/>
      <c r="AE656" s="1379"/>
      <c r="AF656" s="1379"/>
      <c r="AG656" s="1379"/>
      <c r="AH656" s="1379"/>
      <c r="AI656" s="1379"/>
      <c r="AJ656" s="1379"/>
      <c r="AK656" s="1379"/>
      <c r="AZ656" s="3"/>
      <c r="BA656" s="3"/>
      <c r="BB656" s="3"/>
      <c r="BC656" s="3"/>
      <c r="BD656" s="3"/>
      <c r="BE656" s="3"/>
      <c r="BF656" s="3"/>
      <c r="BG656" s="3"/>
      <c r="BH656" s="3"/>
      <c r="BI656" s="3"/>
      <c r="BJ656" s="3"/>
      <c r="BK656" s="3"/>
      <c r="BL656" s="3"/>
      <c r="BM656" s="3"/>
      <c r="DX656" s="1354" t="e">
        <f t="shared" si="4"/>
        <v>#VALUE!</v>
      </c>
      <c r="DY656" s="1354"/>
      <c r="DZ656" s="1354"/>
      <c r="EA656" s="1354"/>
      <c r="EB656" s="1354"/>
      <c r="EC656" s="1354" t="e">
        <f t="shared" si="5"/>
        <v>#VALUE!</v>
      </c>
      <c r="ED656" s="1354"/>
      <c r="EE656" s="1354"/>
      <c r="EF656" s="1354"/>
      <c r="EG656" s="1354"/>
      <c r="EH656" s="1354" t="e">
        <f t="shared" si="6"/>
        <v>#VALUE!</v>
      </c>
      <c r="EI656" s="1354"/>
      <c r="EJ656" s="1354"/>
      <c r="EK656" s="1354"/>
      <c r="EL656" s="1354"/>
      <c r="EM656" s="1354" t="e">
        <f t="shared" si="7"/>
        <v>#VALUE!</v>
      </c>
      <c r="EN656" s="1354"/>
      <c r="EO656" s="1354"/>
      <c r="EP656" s="1354"/>
      <c r="EQ656" s="1354"/>
      <c r="ER656" s="1354" t="e">
        <f t="shared" si="8"/>
        <v>#VALUE!</v>
      </c>
      <c r="ES656" s="1354"/>
      <c r="ET656" s="1354"/>
      <c r="EU656" s="1354"/>
      <c r="EV656" s="1354"/>
      <c r="EW656" s="1354" t="e">
        <f t="shared" si="9"/>
        <v>#VALUE!</v>
      </c>
      <c r="EX656" s="1354"/>
      <c r="EY656" s="1354"/>
      <c r="EZ656" s="1354"/>
      <c r="FA656" s="1354"/>
    </row>
    <row r="657" spans="1:157" ht="13" customHeight="1">
      <c r="A657" s="19"/>
      <c r="B657" t="s">
        <v>1448</v>
      </c>
      <c r="N657" s="1387" t="s">
        <v>862</v>
      </c>
      <c r="O657" s="1387"/>
      <c r="T657" s="19"/>
      <c r="U657" t="s">
        <v>1448</v>
      </c>
      <c r="AG657" s="1387" t="s">
        <v>862</v>
      </c>
      <c r="AH657" s="1387"/>
      <c r="AZ657" s="3"/>
      <c r="BA657" s="3"/>
      <c r="BB657" s="3"/>
      <c r="BC657" s="3"/>
      <c r="BD657" s="3"/>
      <c r="BE657" s="3"/>
      <c r="BF657" s="3"/>
      <c r="BG657" s="3"/>
      <c r="BH657" s="3"/>
      <c r="BI657" s="3"/>
      <c r="BJ657" s="3"/>
      <c r="BK657" s="3"/>
      <c r="BL657" s="3"/>
      <c r="BM657" s="3"/>
      <c r="DX657" s="1354" t="e">
        <f t="shared" si="4"/>
        <v>#VALUE!</v>
      </c>
      <c r="DY657" s="1354"/>
      <c r="DZ657" s="1354"/>
      <c r="EA657" s="1354"/>
      <c r="EB657" s="1354"/>
      <c r="EC657" s="1354" t="e">
        <f t="shared" si="5"/>
        <v>#VALUE!</v>
      </c>
      <c r="ED657" s="1354"/>
      <c r="EE657" s="1354"/>
      <c r="EF657" s="1354"/>
      <c r="EG657" s="1354"/>
      <c r="EH657" s="1354" t="e">
        <f t="shared" si="6"/>
        <v>#VALUE!</v>
      </c>
      <c r="EI657" s="1354"/>
      <c r="EJ657" s="1354"/>
      <c r="EK657" s="1354"/>
      <c r="EL657" s="1354"/>
      <c r="EM657" s="1354" t="e">
        <f t="shared" si="7"/>
        <v>#VALUE!</v>
      </c>
      <c r="EN657" s="1354"/>
      <c r="EO657" s="1354"/>
      <c r="EP657" s="1354"/>
      <c r="EQ657" s="1354"/>
      <c r="ER657" s="1354" t="e">
        <f t="shared" si="8"/>
        <v>#VALUE!</v>
      </c>
      <c r="ES657" s="1354"/>
      <c r="ET657" s="1354"/>
      <c r="EU657" s="1354"/>
      <c r="EV657" s="1354"/>
      <c r="EW657" s="1354" t="e">
        <f t="shared" si="9"/>
        <v>#VALUE!</v>
      </c>
      <c r="EX657" s="1354"/>
      <c r="EY657" s="1354"/>
      <c r="EZ657" s="1354"/>
      <c r="FA657" s="1354"/>
    </row>
    <row r="658" spans="1:157" ht="13" customHeight="1">
      <c r="A658" s="19"/>
      <c r="T658" s="19"/>
      <c r="AZ658" s="3"/>
      <c r="BA658" s="3"/>
      <c r="BB658" s="3"/>
      <c r="BC658" s="3"/>
      <c r="BD658" s="3"/>
      <c r="BE658" s="3"/>
      <c r="BF658" s="3"/>
      <c r="BG658" s="3"/>
      <c r="BH658" s="3"/>
      <c r="BI658" s="3"/>
      <c r="BJ658" s="3"/>
      <c r="BK658" s="3"/>
      <c r="BL658" s="3"/>
      <c r="BM658" s="3"/>
      <c r="DX658" s="1354" t="e">
        <f t="shared" si="4"/>
        <v>#VALUE!</v>
      </c>
      <c r="DY658" s="1354"/>
      <c r="DZ658" s="1354"/>
      <c r="EA658" s="1354"/>
      <c r="EB658" s="1354"/>
      <c r="EC658" s="1354" t="e">
        <f t="shared" si="5"/>
        <v>#VALUE!</v>
      </c>
      <c r="ED658" s="1354"/>
      <c r="EE658" s="1354"/>
      <c r="EF658" s="1354"/>
      <c r="EG658" s="1354"/>
      <c r="EH658" s="1354" t="e">
        <f t="shared" si="6"/>
        <v>#VALUE!</v>
      </c>
      <c r="EI658" s="1354"/>
      <c r="EJ658" s="1354"/>
      <c r="EK658" s="1354"/>
      <c r="EL658" s="1354"/>
      <c r="EM658" s="1354" t="e">
        <f t="shared" si="7"/>
        <v>#VALUE!</v>
      </c>
      <c r="EN658" s="1354"/>
      <c r="EO658" s="1354"/>
      <c r="EP658" s="1354"/>
      <c r="EQ658" s="1354"/>
      <c r="ER658" s="1354" t="e">
        <f t="shared" si="8"/>
        <v>#VALUE!</v>
      </c>
      <c r="ES658" s="1354"/>
      <c r="ET658" s="1354"/>
      <c r="EU658" s="1354"/>
      <c r="EV658" s="1354"/>
      <c r="EW658" s="1354" t="e">
        <f t="shared" si="9"/>
        <v>#VALUE!</v>
      </c>
      <c r="EX658" s="1354"/>
      <c r="EY658" s="1354"/>
      <c r="EZ658" s="1354"/>
      <c r="FA658" s="1354"/>
    </row>
    <row r="659" spans="1:157" ht="13" customHeight="1">
      <c r="A659" s="47" t="s">
        <v>39</v>
      </c>
      <c r="B659" t="s">
        <v>1439</v>
      </c>
      <c r="G659" s="1444" t="str">
        <f>C637</f>
        <v>Jefferies LLC B- Bond</v>
      </c>
      <c r="H659" s="1444"/>
      <c r="I659" s="1444"/>
      <c r="J659" s="1444"/>
      <c r="K659" s="1444"/>
      <c r="L659" s="1444"/>
      <c r="M659" s="1444"/>
      <c r="N659" s="1444"/>
      <c r="O659" s="1444"/>
      <c r="P659" s="1444"/>
      <c r="Q659" s="1444"/>
      <c r="R659" s="1444"/>
      <c r="T659" s="47" t="s">
        <v>82</v>
      </c>
      <c r="U659" t="s">
        <v>1439</v>
      </c>
      <c r="Z659" s="1444" t="str">
        <f>C638</f>
        <v>Deferred Developere Fee</v>
      </c>
      <c r="AA659" s="1444"/>
      <c r="AB659" s="1444"/>
      <c r="AC659" s="1444"/>
      <c r="AD659" s="1444"/>
      <c r="AE659" s="1444"/>
      <c r="AF659" s="1444"/>
      <c r="AG659" s="1444"/>
      <c r="AH659" s="1444"/>
      <c r="AI659" s="1444"/>
      <c r="AJ659" s="1444"/>
      <c r="AK659" s="1444"/>
      <c r="AZ659" s="3"/>
      <c r="BA659" s="3"/>
      <c r="BB659" s="3"/>
      <c r="BC659" s="3"/>
      <c r="BD659" s="3"/>
      <c r="BE659" s="3"/>
      <c r="BF659" s="3"/>
      <c r="BG659" s="3"/>
      <c r="BH659" s="3"/>
      <c r="BI659" s="3"/>
      <c r="BJ659" s="3"/>
      <c r="BK659" s="3"/>
      <c r="BL659" s="3"/>
      <c r="BM659" s="3"/>
      <c r="DX659" s="1354" t="e">
        <f t="shared" si="4"/>
        <v>#VALUE!</v>
      </c>
      <c r="DY659" s="1354"/>
      <c r="DZ659" s="1354"/>
      <c r="EA659" s="1354"/>
      <c r="EB659" s="1354"/>
      <c r="EC659" s="1354" t="e">
        <f t="shared" si="5"/>
        <v>#VALUE!</v>
      </c>
      <c r="ED659" s="1354"/>
      <c r="EE659" s="1354"/>
      <c r="EF659" s="1354"/>
      <c r="EG659" s="1354"/>
      <c r="EH659" s="1354" t="e">
        <f t="shared" si="6"/>
        <v>#VALUE!</v>
      </c>
      <c r="EI659" s="1354"/>
      <c r="EJ659" s="1354"/>
      <c r="EK659" s="1354"/>
      <c r="EL659" s="1354"/>
      <c r="EM659" s="1354" t="e">
        <f t="shared" si="7"/>
        <v>#VALUE!</v>
      </c>
      <c r="EN659" s="1354"/>
      <c r="EO659" s="1354"/>
      <c r="EP659" s="1354"/>
      <c r="EQ659" s="1354"/>
      <c r="ER659" s="1354" t="e">
        <f t="shared" si="8"/>
        <v>#VALUE!</v>
      </c>
      <c r="ES659" s="1354"/>
      <c r="ET659" s="1354"/>
      <c r="EU659" s="1354"/>
      <c r="EV659" s="1354"/>
      <c r="EW659" s="1354" t="e">
        <f t="shared" si="9"/>
        <v>#VALUE!</v>
      </c>
      <c r="EX659" s="1354"/>
      <c r="EY659" s="1354"/>
      <c r="EZ659" s="1354"/>
      <c r="FA659" s="1354"/>
    </row>
    <row r="660" spans="1:157" ht="13" customHeight="1">
      <c r="A660" s="19"/>
      <c r="B660" t="s">
        <v>1081</v>
      </c>
      <c r="G660" s="1469" t="s">
        <v>2789</v>
      </c>
      <c r="H660" s="1379"/>
      <c r="I660" s="1379"/>
      <c r="J660" s="1379"/>
      <c r="K660" s="1379"/>
      <c r="L660" s="1379"/>
      <c r="M660" s="1379"/>
      <c r="N660" s="1379"/>
      <c r="O660" s="1379"/>
      <c r="P660" s="1379"/>
      <c r="Q660" s="1379"/>
      <c r="R660" s="1379"/>
      <c r="T660" s="19"/>
      <c r="U660" t="s">
        <v>1081</v>
      </c>
      <c r="Z660" s="1379" t="s">
        <v>1450</v>
      </c>
      <c r="AA660" s="1379"/>
      <c r="AB660" s="1379"/>
      <c r="AC660" s="1379"/>
      <c r="AD660" s="1379"/>
      <c r="AE660" s="1379"/>
      <c r="AF660" s="1379"/>
      <c r="AG660" s="1379"/>
      <c r="AH660" s="1379"/>
      <c r="AI660" s="1379"/>
      <c r="AJ660" s="1379"/>
      <c r="AK660" s="1379"/>
      <c r="AZ660" s="3"/>
      <c r="BA660" s="3"/>
      <c r="BB660" s="3"/>
      <c r="BC660" s="3"/>
      <c r="BD660" s="3"/>
      <c r="BE660" s="3"/>
      <c r="BF660" s="3"/>
      <c r="BG660" s="3"/>
      <c r="BH660" s="3"/>
      <c r="BI660" s="3"/>
      <c r="BJ660" s="3"/>
      <c r="BK660" s="3"/>
      <c r="BL660" s="3"/>
      <c r="BM660" s="3"/>
      <c r="DX660" s="1354" t="e">
        <f t="shared" si="4"/>
        <v>#VALUE!</v>
      </c>
      <c r="DY660" s="1354"/>
      <c r="DZ660" s="1354"/>
      <c r="EA660" s="1354"/>
      <c r="EB660" s="1354"/>
      <c r="EC660" s="1354" t="e">
        <f t="shared" si="5"/>
        <v>#VALUE!</v>
      </c>
      <c r="ED660" s="1354"/>
      <c r="EE660" s="1354"/>
      <c r="EF660" s="1354"/>
      <c r="EG660" s="1354"/>
      <c r="EH660" s="1354" t="e">
        <f t="shared" si="6"/>
        <v>#VALUE!</v>
      </c>
      <c r="EI660" s="1354"/>
      <c r="EJ660" s="1354"/>
      <c r="EK660" s="1354"/>
      <c r="EL660" s="1354"/>
      <c r="EM660" s="1354" t="e">
        <f t="shared" si="7"/>
        <v>#VALUE!</v>
      </c>
      <c r="EN660" s="1354"/>
      <c r="EO660" s="1354"/>
      <c r="EP660" s="1354"/>
      <c r="EQ660" s="1354"/>
      <c r="ER660" s="1354" t="e">
        <f t="shared" si="8"/>
        <v>#VALUE!</v>
      </c>
      <c r="ES660" s="1354"/>
      <c r="ET660" s="1354"/>
      <c r="EU660" s="1354"/>
      <c r="EV660" s="1354"/>
      <c r="EW660" s="1354" t="e">
        <f t="shared" si="9"/>
        <v>#VALUE!</v>
      </c>
      <c r="EX660" s="1354"/>
      <c r="EY660" s="1354"/>
      <c r="EZ660" s="1354"/>
      <c r="FA660" s="1354"/>
    </row>
    <row r="661" spans="1:157" ht="13" customHeight="1">
      <c r="A661" s="19"/>
      <c r="B661" t="s">
        <v>947</v>
      </c>
      <c r="G661" s="1445" t="s">
        <v>2790</v>
      </c>
      <c r="H661" s="1412"/>
      <c r="I661" s="1412"/>
      <c r="J661" s="1412"/>
      <c r="K661" s="1412"/>
      <c r="L661" s="1412"/>
      <c r="M661" s="1412"/>
      <c r="N661" s="1412"/>
      <c r="O661" s="1412"/>
      <c r="P661" s="1412"/>
      <c r="Q661" s="1412"/>
      <c r="R661" s="1412"/>
      <c r="T661" s="19"/>
      <c r="U661" t="s">
        <v>947</v>
      </c>
      <c r="Z661" s="1412" t="s">
        <v>1451</v>
      </c>
      <c r="AA661" s="1412"/>
      <c r="AB661" s="1412"/>
      <c r="AC661" s="1412"/>
      <c r="AD661" s="1412"/>
      <c r="AE661" s="1412"/>
      <c r="AF661" s="1412"/>
      <c r="AG661" s="1412"/>
      <c r="AH661" s="1412"/>
      <c r="AI661" s="1412"/>
      <c r="AJ661" s="1412"/>
      <c r="AK661" s="1412"/>
      <c r="AZ661" s="3"/>
      <c r="BA661" s="3"/>
      <c r="BB661" s="3"/>
      <c r="BC661" s="3"/>
      <c r="BD661" s="3"/>
      <c r="BE661" s="3"/>
      <c r="BF661" s="3"/>
      <c r="BG661" s="3"/>
      <c r="BH661" s="3"/>
      <c r="BI661" s="3"/>
      <c r="BJ661" s="3"/>
      <c r="BK661" s="3"/>
      <c r="BL661" s="3"/>
      <c r="BM661" s="3"/>
      <c r="DX661" s="1354" t="e">
        <f t="shared" si="4"/>
        <v>#VALUE!</v>
      </c>
      <c r="DY661" s="1354"/>
      <c r="DZ661" s="1354"/>
      <c r="EA661" s="1354"/>
      <c r="EB661" s="1354"/>
      <c r="EC661" s="1354" t="e">
        <f t="shared" si="5"/>
        <v>#VALUE!</v>
      </c>
      <c r="ED661" s="1354"/>
      <c r="EE661" s="1354"/>
      <c r="EF661" s="1354"/>
      <c r="EG661" s="1354"/>
      <c r="EH661" s="1354" t="e">
        <f t="shared" si="6"/>
        <v>#VALUE!</v>
      </c>
      <c r="EI661" s="1354"/>
      <c r="EJ661" s="1354"/>
      <c r="EK661" s="1354"/>
      <c r="EL661" s="1354"/>
      <c r="EM661" s="1354" t="e">
        <f t="shared" si="7"/>
        <v>#VALUE!</v>
      </c>
      <c r="EN661" s="1354"/>
      <c r="EO661" s="1354"/>
      <c r="EP661" s="1354"/>
      <c r="EQ661" s="1354"/>
      <c r="ER661" s="1354" t="e">
        <f t="shared" si="8"/>
        <v>#VALUE!</v>
      </c>
      <c r="ES661" s="1354"/>
      <c r="ET661" s="1354"/>
      <c r="EU661" s="1354"/>
      <c r="EV661" s="1354"/>
      <c r="EW661" s="1354" t="e">
        <f t="shared" si="9"/>
        <v>#VALUE!</v>
      </c>
      <c r="EX661" s="1354"/>
      <c r="EY661" s="1354"/>
      <c r="EZ661" s="1354"/>
      <c r="FA661" s="1354"/>
    </row>
    <row r="662" spans="1:157" ht="13" customHeight="1">
      <c r="A662" s="19"/>
      <c r="B662" t="s">
        <v>1442</v>
      </c>
      <c r="G662" s="1445" t="s">
        <v>2791</v>
      </c>
      <c r="H662" s="1412"/>
      <c r="I662" s="1412"/>
      <c r="J662" s="1412"/>
      <c r="K662" s="1412"/>
      <c r="L662" s="1412"/>
      <c r="M662" s="1412"/>
      <c r="N662" s="1412"/>
      <c r="O662" s="1412"/>
      <c r="P662" s="1412"/>
      <c r="Q662" s="1412"/>
      <c r="R662" s="1412"/>
      <c r="T662" s="19"/>
      <c r="U662" t="s">
        <v>1442</v>
      </c>
      <c r="Z662" s="1412" t="s">
        <v>805</v>
      </c>
      <c r="AA662" s="1412"/>
      <c r="AB662" s="1412"/>
      <c r="AC662" s="1412"/>
      <c r="AD662" s="1412"/>
      <c r="AE662" s="1412"/>
      <c r="AF662" s="1412"/>
      <c r="AG662" s="1412"/>
      <c r="AH662" s="1412"/>
      <c r="AI662" s="1412"/>
      <c r="AJ662" s="1412"/>
      <c r="AK662" s="1412"/>
      <c r="AZ662" s="3"/>
      <c r="BA662" s="3"/>
      <c r="BB662" s="3"/>
      <c r="BC662" s="3"/>
      <c r="BD662" s="3"/>
      <c r="BE662" s="3"/>
      <c r="BF662" s="3"/>
      <c r="BG662" s="3"/>
      <c r="BH662" s="3"/>
      <c r="BI662" s="3"/>
      <c r="BJ662" s="3"/>
      <c r="BK662" s="3"/>
      <c r="BL662" s="3"/>
      <c r="BM662" s="3"/>
      <c r="DX662" s="1354" t="e">
        <f t="shared" si="4"/>
        <v>#VALUE!</v>
      </c>
      <c r="DY662" s="1354"/>
      <c r="DZ662" s="1354"/>
      <c r="EA662" s="1354"/>
      <c r="EB662" s="1354"/>
      <c r="EC662" s="1354" t="e">
        <f t="shared" si="5"/>
        <v>#VALUE!</v>
      </c>
      <c r="ED662" s="1354"/>
      <c r="EE662" s="1354"/>
      <c r="EF662" s="1354"/>
      <c r="EG662" s="1354"/>
      <c r="EH662" s="1354" t="e">
        <f t="shared" si="6"/>
        <v>#VALUE!</v>
      </c>
      <c r="EI662" s="1354"/>
      <c r="EJ662" s="1354"/>
      <c r="EK662" s="1354"/>
      <c r="EL662" s="1354"/>
      <c r="EM662" s="1354" t="e">
        <f t="shared" si="7"/>
        <v>#VALUE!</v>
      </c>
      <c r="EN662" s="1354"/>
      <c r="EO662" s="1354"/>
      <c r="EP662" s="1354"/>
      <c r="EQ662" s="1354"/>
      <c r="ER662" s="1354" t="e">
        <f t="shared" si="8"/>
        <v>#VALUE!</v>
      </c>
      <c r="ES662" s="1354"/>
      <c r="ET662" s="1354"/>
      <c r="EU662" s="1354"/>
      <c r="EV662" s="1354"/>
      <c r="EW662" s="1354" t="e">
        <f t="shared" si="9"/>
        <v>#VALUE!</v>
      </c>
      <c r="EX662" s="1354"/>
      <c r="EY662" s="1354"/>
      <c r="EZ662" s="1354"/>
      <c r="FA662" s="1354"/>
    </row>
    <row r="663" spans="1:157" ht="13" customHeight="1">
      <c r="A663" s="19"/>
      <c r="B663" t="s">
        <v>840</v>
      </c>
      <c r="G663" s="1432" t="s">
        <v>2792</v>
      </c>
      <c r="H663" s="1432"/>
      <c r="I663" s="1432"/>
      <c r="J663" s="1432"/>
      <c r="K663" s="1432"/>
      <c r="L663" s="1432"/>
      <c r="O663" s="918" t="s">
        <v>1089</v>
      </c>
      <c r="P663" s="1445"/>
      <c r="Q663" s="1445"/>
      <c r="R663" s="1445"/>
      <c r="T663" s="19"/>
      <c r="U663" t="s">
        <v>840</v>
      </c>
      <c r="Z663" s="1432" t="s">
        <v>1088</v>
      </c>
      <c r="AA663" s="1432"/>
      <c r="AB663" s="1432"/>
      <c r="AC663" s="1432"/>
      <c r="AD663" s="1432"/>
      <c r="AE663" s="1432"/>
      <c r="AH663" s="918" t="s">
        <v>1089</v>
      </c>
      <c r="AI663" s="1445"/>
      <c r="AJ663" s="1445"/>
      <c r="AK663" s="1445"/>
      <c r="AZ663" s="3"/>
      <c r="BA663" s="3"/>
      <c r="BB663" s="3"/>
      <c r="BC663" s="3"/>
      <c r="BD663" s="3"/>
      <c r="BE663" s="3"/>
      <c r="BF663" s="3"/>
      <c r="BG663" s="3"/>
      <c r="BH663" s="3"/>
      <c r="BI663" s="3"/>
      <c r="BJ663" s="3"/>
      <c r="BK663" s="3"/>
      <c r="BL663" s="3"/>
      <c r="BM663" s="3"/>
      <c r="DX663" s="1354" t="e">
        <f t="shared" si="4"/>
        <v>#VALUE!</v>
      </c>
      <c r="DY663" s="1354"/>
      <c r="DZ663" s="1354"/>
      <c r="EA663" s="1354"/>
      <c r="EB663" s="1354"/>
      <c r="EC663" s="1354" t="e">
        <f t="shared" si="5"/>
        <v>#VALUE!</v>
      </c>
      <c r="ED663" s="1354"/>
      <c r="EE663" s="1354"/>
      <c r="EF663" s="1354"/>
      <c r="EG663" s="1354"/>
      <c r="EH663" s="1354" t="e">
        <f t="shared" si="6"/>
        <v>#VALUE!</v>
      </c>
      <c r="EI663" s="1354"/>
      <c r="EJ663" s="1354"/>
      <c r="EK663" s="1354"/>
      <c r="EL663" s="1354"/>
      <c r="EM663" s="1354" t="e">
        <f t="shared" si="7"/>
        <v>#VALUE!</v>
      </c>
      <c r="EN663" s="1354"/>
      <c r="EO663" s="1354"/>
      <c r="EP663" s="1354"/>
      <c r="EQ663" s="1354"/>
      <c r="ER663" s="1354" t="e">
        <f t="shared" si="8"/>
        <v>#VALUE!</v>
      </c>
      <c r="ES663" s="1354"/>
      <c r="ET663" s="1354"/>
      <c r="EU663" s="1354"/>
      <c r="EV663" s="1354"/>
      <c r="EW663" s="1354" t="e">
        <f t="shared" si="9"/>
        <v>#VALUE!</v>
      </c>
      <c r="EX663" s="1354"/>
      <c r="EY663" s="1354"/>
      <c r="EZ663" s="1354"/>
      <c r="FA663" s="1354"/>
    </row>
    <row r="664" spans="1:157" ht="13" customHeight="1">
      <c r="A664" s="19"/>
      <c r="B664" t="s">
        <v>1445</v>
      </c>
      <c r="H664" s="1469" t="s">
        <v>2794</v>
      </c>
      <c r="I664" s="1379"/>
      <c r="J664" s="1379"/>
      <c r="K664" s="1379"/>
      <c r="L664" s="1379"/>
      <c r="M664" s="1379"/>
      <c r="N664" s="1379"/>
      <c r="O664" s="1379"/>
      <c r="P664" s="1379"/>
      <c r="Q664" s="1379"/>
      <c r="R664" s="1379"/>
      <c r="T664" s="19"/>
      <c r="U664" t="s">
        <v>1445</v>
      </c>
      <c r="AA664" s="1379" t="s">
        <v>1449</v>
      </c>
      <c r="AB664" s="1379"/>
      <c r="AC664" s="1379"/>
      <c r="AD664" s="1379"/>
      <c r="AE664" s="1379"/>
      <c r="AF664" s="1379"/>
      <c r="AG664" s="1379"/>
      <c r="AH664" s="1379"/>
      <c r="AI664" s="1379"/>
      <c r="AJ664" s="1379"/>
      <c r="AK664" s="1379"/>
      <c r="AZ664" s="3"/>
      <c r="BA664" s="3"/>
      <c r="BB664" s="3"/>
      <c r="BC664" s="3"/>
      <c r="BD664" s="3"/>
      <c r="BE664" s="3"/>
      <c r="BF664" s="3"/>
      <c r="BG664" s="3"/>
      <c r="BH664" s="3"/>
      <c r="BI664" s="3"/>
      <c r="BJ664" s="3"/>
      <c r="BK664" s="3"/>
      <c r="BL664" s="3"/>
      <c r="BM664" s="3"/>
      <c r="DX664" s="1354" t="e">
        <f t="shared" si="4"/>
        <v>#VALUE!</v>
      </c>
      <c r="DY664" s="1354"/>
      <c r="DZ664" s="1354"/>
      <c r="EA664" s="1354"/>
      <c r="EB664" s="1354"/>
      <c r="EC664" s="1354" t="e">
        <f t="shared" si="5"/>
        <v>#VALUE!</v>
      </c>
      <c r="ED664" s="1354"/>
      <c r="EE664" s="1354"/>
      <c r="EF664" s="1354"/>
      <c r="EG664" s="1354"/>
      <c r="EH664" s="1354" t="e">
        <f t="shared" si="6"/>
        <v>#VALUE!</v>
      </c>
      <c r="EI664" s="1354"/>
      <c r="EJ664" s="1354"/>
      <c r="EK664" s="1354"/>
      <c r="EL664" s="1354"/>
      <c r="EM664" s="1354" t="e">
        <f t="shared" si="7"/>
        <v>#VALUE!</v>
      </c>
      <c r="EN664" s="1354"/>
      <c r="EO664" s="1354"/>
      <c r="EP664" s="1354"/>
      <c r="EQ664" s="1354"/>
      <c r="ER664" s="1354" t="e">
        <f t="shared" si="8"/>
        <v>#VALUE!</v>
      </c>
      <c r="ES664" s="1354"/>
      <c r="ET664" s="1354"/>
      <c r="EU664" s="1354"/>
      <c r="EV664" s="1354"/>
      <c r="EW664" s="1354" t="e">
        <f t="shared" si="9"/>
        <v>#VALUE!</v>
      </c>
      <c r="EX664" s="1354"/>
      <c r="EY664" s="1354"/>
      <c r="EZ664" s="1354"/>
      <c r="FA664" s="1354"/>
    </row>
    <row r="665" spans="1:157" ht="13" customHeight="1">
      <c r="A665" s="19"/>
      <c r="B665" t="s">
        <v>1448</v>
      </c>
      <c r="N665" s="1387" t="s">
        <v>862</v>
      </c>
      <c r="O665" s="1387"/>
      <c r="T665" s="19"/>
      <c r="U665" t="s">
        <v>1448</v>
      </c>
      <c r="AG665" s="1387" t="s">
        <v>862</v>
      </c>
      <c r="AH665" s="1387"/>
      <c r="AZ665" s="3"/>
      <c r="BA665" s="3"/>
      <c r="BB665" s="3"/>
      <c r="BC665" s="3"/>
      <c r="BD665" s="3"/>
      <c r="BE665" s="3"/>
      <c r="BF665" s="3"/>
      <c r="BG665" s="3"/>
      <c r="BH665" s="3"/>
      <c r="BI665" s="3"/>
      <c r="BJ665" s="3"/>
      <c r="BK665" s="3"/>
      <c r="BL665" s="3"/>
      <c r="BM665" s="3"/>
      <c r="DX665" s="1354" t="e">
        <f t="shared" si="4"/>
        <v>#VALUE!</v>
      </c>
      <c r="DY665" s="1354"/>
      <c r="DZ665" s="1354"/>
      <c r="EA665" s="1354"/>
      <c r="EB665" s="1354"/>
      <c r="EC665" s="1354" t="e">
        <f t="shared" si="5"/>
        <v>#VALUE!</v>
      </c>
      <c r="ED665" s="1354"/>
      <c r="EE665" s="1354"/>
      <c r="EF665" s="1354"/>
      <c r="EG665" s="1354"/>
      <c r="EH665" s="1354" t="e">
        <f t="shared" si="6"/>
        <v>#VALUE!</v>
      </c>
      <c r="EI665" s="1354"/>
      <c r="EJ665" s="1354"/>
      <c r="EK665" s="1354"/>
      <c r="EL665" s="1354"/>
      <c r="EM665" s="1354" t="e">
        <f t="shared" si="7"/>
        <v>#VALUE!</v>
      </c>
      <c r="EN665" s="1354"/>
      <c r="EO665" s="1354"/>
      <c r="EP665" s="1354"/>
      <c r="EQ665" s="1354"/>
      <c r="ER665" s="1354" t="e">
        <f t="shared" si="8"/>
        <v>#VALUE!</v>
      </c>
      <c r="ES665" s="1354"/>
      <c r="ET665" s="1354"/>
      <c r="EU665" s="1354"/>
      <c r="EV665" s="1354"/>
      <c r="EW665" s="1354" t="e">
        <f t="shared" si="9"/>
        <v>#VALUE!</v>
      </c>
      <c r="EX665" s="1354"/>
      <c r="EY665" s="1354"/>
      <c r="EZ665" s="1354"/>
      <c r="FA665" s="1354"/>
    </row>
    <row r="666" spans="1:157" ht="13" customHeight="1">
      <c r="A666" s="19"/>
      <c r="T666" s="19"/>
      <c r="AZ666" s="3"/>
      <c r="BA666" s="3"/>
      <c r="BB666" s="3"/>
      <c r="BC666" s="3"/>
      <c r="BD666" s="3"/>
      <c r="BE666" s="3"/>
      <c r="BF666" s="3"/>
      <c r="BG666" s="3"/>
      <c r="BH666" s="3"/>
      <c r="BI666" s="3"/>
      <c r="BJ666" s="3"/>
      <c r="BK666" s="3"/>
      <c r="BL666" s="3"/>
      <c r="BM666" s="3"/>
      <c r="DX666" s="1354" t="e">
        <f t="shared" si="4"/>
        <v>#VALUE!</v>
      </c>
      <c r="DY666" s="1354"/>
      <c r="DZ666" s="1354"/>
      <c r="EA666" s="1354"/>
      <c r="EB666" s="1354"/>
      <c r="EC666" s="1354" t="e">
        <f t="shared" si="5"/>
        <v>#VALUE!</v>
      </c>
      <c r="ED666" s="1354"/>
      <c r="EE666" s="1354"/>
      <c r="EF666" s="1354"/>
      <c r="EG666" s="1354"/>
      <c r="EH666" s="1354" t="e">
        <f t="shared" si="6"/>
        <v>#VALUE!</v>
      </c>
      <c r="EI666" s="1354"/>
      <c r="EJ666" s="1354"/>
      <c r="EK666" s="1354"/>
      <c r="EL666" s="1354"/>
      <c r="EM666" s="1354" t="e">
        <f t="shared" si="7"/>
        <v>#VALUE!</v>
      </c>
      <c r="EN666" s="1354"/>
      <c r="EO666" s="1354"/>
      <c r="EP666" s="1354"/>
      <c r="EQ666" s="1354"/>
      <c r="ER666" s="1354" t="e">
        <f t="shared" si="8"/>
        <v>#VALUE!</v>
      </c>
      <c r="ES666" s="1354"/>
      <c r="ET666" s="1354"/>
      <c r="EU666" s="1354"/>
      <c r="EV666" s="1354"/>
      <c r="EW666" s="1354" t="e">
        <f t="shared" si="9"/>
        <v>#VALUE!</v>
      </c>
      <c r="EX666" s="1354"/>
      <c r="EY666" s="1354"/>
      <c r="EZ666" s="1354"/>
      <c r="FA666" s="1354"/>
    </row>
    <row r="667" spans="1:157" ht="13" customHeight="1">
      <c r="A667" s="47" t="s">
        <v>86</v>
      </c>
      <c r="B667" t="s">
        <v>1439</v>
      </c>
      <c r="G667" s="1444">
        <f>C639</f>
        <v>0</v>
      </c>
      <c r="H667" s="1444"/>
      <c r="I667" s="1444"/>
      <c r="J667" s="1444"/>
      <c r="K667" s="1444"/>
      <c r="L667" s="1444"/>
      <c r="M667" s="1444"/>
      <c r="N667" s="1444"/>
      <c r="O667" s="1444"/>
      <c r="P667" s="1444"/>
      <c r="Q667" s="1444"/>
      <c r="R667" s="1444"/>
      <c r="T667" s="47" t="s">
        <v>1431</v>
      </c>
      <c r="U667" t="s">
        <v>1439</v>
      </c>
      <c r="Z667" s="1444">
        <f>C640</f>
        <v>0</v>
      </c>
      <c r="AA667" s="1444"/>
      <c r="AB667" s="1444"/>
      <c r="AC667" s="1444"/>
      <c r="AD667" s="1444"/>
      <c r="AE667" s="1444"/>
      <c r="AF667" s="1444"/>
      <c r="AG667" s="1444"/>
      <c r="AH667" s="1444"/>
      <c r="AI667" s="1444"/>
      <c r="AJ667" s="1444"/>
      <c r="AK667" s="1444"/>
      <c r="AZ667" s="3"/>
      <c r="BA667" s="3"/>
      <c r="BB667" s="3"/>
      <c r="BC667" s="3"/>
      <c r="BD667" s="3"/>
      <c r="BE667" s="3"/>
      <c r="BF667" s="3"/>
      <c r="BG667" s="3"/>
      <c r="BH667" s="3"/>
      <c r="BI667" s="3"/>
      <c r="BJ667" s="3"/>
      <c r="BK667" s="3"/>
      <c r="BL667" s="3"/>
      <c r="BM667" s="3"/>
      <c r="DX667" s="1354" t="e">
        <f t="shared" si="4"/>
        <v>#VALUE!</v>
      </c>
      <c r="DY667" s="1354"/>
      <c r="DZ667" s="1354"/>
      <c r="EA667" s="1354"/>
      <c r="EB667" s="1354"/>
      <c r="EC667" s="1354" t="e">
        <f t="shared" si="5"/>
        <v>#VALUE!</v>
      </c>
      <c r="ED667" s="1354"/>
      <c r="EE667" s="1354"/>
      <c r="EF667" s="1354"/>
      <c r="EG667" s="1354"/>
      <c r="EH667" s="1354" t="e">
        <f t="shared" si="6"/>
        <v>#VALUE!</v>
      </c>
      <c r="EI667" s="1354"/>
      <c r="EJ667" s="1354"/>
      <c r="EK667" s="1354"/>
      <c r="EL667" s="1354"/>
      <c r="EM667" s="1354" t="e">
        <f t="shared" si="7"/>
        <v>#VALUE!</v>
      </c>
      <c r="EN667" s="1354"/>
      <c r="EO667" s="1354"/>
      <c r="EP667" s="1354"/>
      <c r="EQ667" s="1354"/>
      <c r="ER667" s="1354" t="e">
        <f t="shared" si="8"/>
        <v>#VALUE!</v>
      </c>
      <c r="ES667" s="1354"/>
      <c r="ET667" s="1354"/>
      <c r="EU667" s="1354"/>
      <c r="EV667" s="1354"/>
      <c r="EW667" s="1354" t="e">
        <f t="shared" si="9"/>
        <v>#VALUE!</v>
      </c>
      <c r="EX667" s="1354"/>
      <c r="EY667" s="1354"/>
      <c r="EZ667" s="1354"/>
      <c r="FA667" s="1354"/>
    </row>
    <row r="668" spans="1:157" ht="13" customHeight="1">
      <c r="A668" s="19"/>
      <c r="B668" t="s">
        <v>1081</v>
      </c>
      <c r="G668" s="1379"/>
      <c r="H668" s="1379"/>
      <c r="I668" s="1379"/>
      <c r="J668" s="1379"/>
      <c r="K668" s="1379"/>
      <c r="L668" s="1379"/>
      <c r="M668" s="1379"/>
      <c r="N668" s="1379"/>
      <c r="O668" s="1379"/>
      <c r="P668" s="1379"/>
      <c r="Q668" s="1379"/>
      <c r="R668" s="1379"/>
      <c r="T668" s="19"/>
      <c r="U668" t="s">
        <v>1081</v>
      </c>
      <c r="Z668" s="1379"/>
      <c r="AA668" s="1379"/>
      <c r="AB668" s="1379"/>
      <c r="AC668" s="1379"/>
      <c r="AD668" s="1379"/>
      <c r="AE668" s="1379"/>
      <c r="AF668" s="1379"/>
      <c r="AG668" s="1379"/>
      <c r="AH668" s="1379"/>
      <c r="AI668" s="1379"/>
      <c r="AJ668" s="1379"/>
      <c r="AK668" s="1379"/>
      <c r="AZ668" s="3"/>
      <c r="BA668" s="3"/>
      <c r="BB668" s="3"/>
      <c r="BC668" s="3"/>
      <c r="BD668" s="3"/>
      <c r="BE668" s="3"/>
      <c r="BF668" s="3"/>
      <c r="BG668" s="3"/>
      <c r="BH668" s="3"/>
      <c r="BI668" s="3"/>
      <c r="BJ668" s="3"/>
      <c r="BK668" s="3"/>
      <c r="BL668" s="3"/>
      <c r="BM668" s="3"/>
      <c r="DX668" s="1354" t="e">
        <f t="shared" si="4"/>
        <v>#VALUE!</v>
      </c>
      <c r="DY668" s="1354"/>
      <c r="DZ668" s="1354"/>
      <c r="EA668" s="1354"/>
      <c r="EB668" s="1354"/>
      <c r="EC668" s="1354" t="e">
        <f t="shared" si="5"/>
        <v>#VALUE!</v>
      </c>
      <c r="ED668" s="1354"/>
      <c r="EE668" s="1354"/>
      <c r="EF668" s="1354"/>
      <c r="EG668" s="1354"/>
      <c r="EH668" s="1354" t="e">
        <f t="shared" si="6"/>
        <v>#VALUE!</v>
      </c>
      <c r="EI668" s="1354"/>
      <c r="EJ668" s="1354"/>
      <c r="EK668" s="1354"/>
      <c r="EL668" s="1354"/>
      <c r="EM668" s="1354" t="e">
        <f t="shared" si="7"/>
        <v>#VALUE!</v>
      </c>
      <c r="EN668" s="1354"/>
      <c r="EO668" s="1354"/>
      <c r="EP668" s="1354"/>
      <c r="EQ668" s="1354"/>
      <c r="ER668" s="1354" t="e">
        <f t="shared" si="8"/>
        <v>#VALUE!</v>
      </c>
      <c r="ES668" s="1354"/>
      <c r="ET668" s="1354"/>
      <c r="EU668" s="1354"/>
      <c r="EV668" s="1354"/>
      <c r="EW668" s="1354" t="e">
        <f t="shared" si="9"/>
        <v>#VALUE!</v>
      </c>
      <c r="EX668" s="1354"/>
      <c r="EY668" s="1354"/>
      <c r="EZ668" s="1354"/>
      <c r="FA668" s="1354"/>
    </row>
    <row r="669" spans="1:157" ht="13" customHeight="1">
      <c r="A669" s="19"/>
      <c r="B669" t="s">
        <v>947</v>
      </c>
      <c r="G669" s="1379"/>
      <c r="H669" s="1379"/>
      <c r="I669" s="1379"/>
      <c r="J669" s="1379"/>
      <c r="K669" s="1379"/>
      <c r="L669" s="1379"/>
      <c r="M669" s="1379"/>
      <c r="N669" s="1379"/>
      <c r="O669" s="1379"/>
      <c r="P669" s="1379"/>
      <c r="Q669" s="1379"/>
      <c r="R669" s="1379"/>
      <c r="T669" s="19"/>
      <c r="U669" t="s">
        <v>947</v>
      </c>
      <c r="Z669" s="1412"/>
      <c r="AA669" s="1412"/>
      <c r="AB669" s="1412"/>
      <c r="AC669" s="1412"/>
      <c r="AD669" s="1412"/>
      <c r="AE669" s="1412"/>
      <c r="AF669" s="1412"/>
      <c r="AG669" s="1412"/>
      <c r="AH669" s="1412"/>
      <c r="AI669" s="1412"/>
      <c r="AJ669" s="1412"/>
      <c r="AK669" s="1412"/>
      <c r="AZ669" s="3"/>
      <c r="BA669" s="3"/>
      <c r="BB669" s="3"/>
      <c r="BC669" s="3"/>
      <c r="BD669" s="3"/>
      <c r="BE669" s="3"/>
      <c r="BF669" s="3"/>
      <c r="BG669" s="3"/>
      <c r="BH669" s="3"/>
      <c r="BI669" s="3"/>
      <c r="BJ669" s="3"/>
      <c r="BK669" s="3"/>
      <c r="BL669" s="3"/>
      <c r="BM669" s="3"/>
      <c r="DX669" s="1354" t="e">
        <f t="shared" si="4"/>
        <v>#VALUE!</v>
      </c>
      <c r="DY669" s="1354"/>
      <c r="DZ669" s="1354"/>
      <c r="EA669" s="1354"/>
      <c r="EB669" s="1354"/>
      <c r="EC669" s="1354" t="e">
        <f t="shared" si="5"/>
        <v>#VALUE!</v>
      </c>
      <c r="ED669" s="1354"/>
      <c r="EE669" s="1354"/>
      <c r="EF669" s="1354"/>
      <c r="EG669" s="1354"/>
      <c r="EH669" s="1354" t="e">
        <f t="shared" si="6"/>
        <v>#VALUE!</v>
      </c>
      <c r="EI669" s="1354"/>
      <c r="EJ669" s="1354"/>
      <c r="EK669" s="1354"/>
      <c r="EL669" s="1354"/>
      <c r="EM669" s="1354" t="e">
        <f t="shared" si="7"/>
        <v>#VALUE!</v>
      </c>
      <c r="EN669" s="1354"/>
      <c r="EO669" s="1354"/>
      <c r="EP669" s="1354"/>
      <c r="EQ669" s="1354"/>
      <c r="ER669" s="1354" t="e">
        <f t="shared" si="8"/>
        <v>#VALUE!</v>
      </c>
      <c r="ES669" s="1354"/>
      <c r="ET669" s="1354"/>
      <c r="EU669" s="1354"/>
      <c r="EV669" s="1354"/>
      <c r="EW669" s="1354" t="e">
        <f t="shared" si="9"/>
        <v>#VALUE!</v>
      </c>
      <c r="EX669" s="1354"/>
      <c r="EY669" s="1354"/>
      <c r="EZ669" s="1354"/>
      <c r="FA669" s="1354"/>
    </row>
    <row r="670" spans="1:157" ht="13" customHeight="1">
      <c r="A670" s="19"/>
      <c r="B670" t="s">
        <v>1442</v>
      </c>
      <c r="G670" s="1379"/>
      <c r="H670" s="1379"/>
      <c r="I670" s="1379"/>
      <c r="J670" s="1379"/>
      <c r="K670" s="1379"/>
      <c r="L670" s="1379"/>
      <c r="M670" s="1379"/>
      <c r="N670" s="1379"/>
      <c r="O670" s="1379"/>
      <c r="P670" s="1379"/>
      <c r="Q670" s="1379"/>
      <c r="R670" s="1379"/>
      <c r="T670" s="19"/>
      <c r="U670" t="s">
        <v>1442</v>
      </c>
      <c r="Z670" s="1412"/>
      <c r="AA670" s="1412"/>
      <c r="AB670" s="1412"/>
      <c r="AC670" s="1412"/>
      <c r="AD670" s="1412"/>
      <c r="AE670" s="1412"/>
      <c r="AF670" s="1412"/>
      <c r="AG670" s="1412"/>
      <c r="AH670" s="1412"/>
      <c r="AI670" s="1412"/>
      <c r="AJ670" s="1412"/>
      <c r="AK670" s="141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54" t="e">
        <f t="shared" si="4"/>
        <v>#VALUE!</v>
      </c>
      <c r="DY670" s="1354"/>
      <c r="DZ670" s="1354"/>
      <c r="EA670" s="1354"/>
      <c r="EB670" s="1354"/>
      <c r="EC670" s="1354" t="e">
        <f t="shared" si="5"/>
        <v>#VALUE!</v>
      </c>
      <c r="ED670" s="1354"/>
      <c r="EE670" s="1354"/>
      <c r="EF670" s="1354"/>
      <c r="EG670" s="1354"/>
      <c r="EH670" s="1354" t="e">
        <f t="shared" si="6"/>
        <v>#VALUE!</v>
      </c>
      <c r="EI670" s="1354"/>
      <c r="EJ670" s="1354"/>
      <c r="EK670" s="1354"/>
      <c r="EL670" s="1354"/>
      <c r="EM670" s="1354" t="e">
        <f t="shared" si="7"/>
        <v>#VALUE!</v>
      </c>
      <c r="EN670" s="1354"/>
      <c r="EO670" s="1354"/>
      <c r="EP670" s="1354"/>
      <c r="EQ670" s="1354"/>
      <c r="ER670" s="1354" t="e">
        <f t="shared" si="8"/>
        <v>#VALUE!</v>
      </c>
      <c r="ES670" s="1354"/>
      <c r="ET670" s="1354"/>
      <c r="EU670" s="1354"/>
      <c r="EV670" s="1354"/>
      <c r="EW670" s="1354" t="e">
        <f t="shared" si="9"/>
        <v>#VALUE!</v>
      </c>
      <c r="EX670" s="1354"/>
      <c r="EY670" s="1354"/>
      <c r="EZ670" s="1354"/>
      <c r="FA670" s="1354"/>
    </row>
    <row r="671" spans="1:157" ht="13" customHeight="1">
      <c r="A671" s="19"/>
      <c r="B671" t="s">
        <v>840</v>
      </c>
      <c r="G671" s="1432"/>
      <c r="H671" s="1432"/>
      <c r="I671" s="1432"/>
      <c r="J671" s="1432"/>
      <c r="K671" s="1432"/>
      <c r="L671" s="1432"/>
      <c r="O671" s="918" t="s">
        <v>1089</v>
      </c>
      <c r="P671" s="1445"/>
      <c r="Q671" s="1445"/>
      <c r="R671" s="1445"/>
      <c r="T671" s="19"/>
      <c r="U671" t="s">
        <v>840</v>
      </c>
      <c r="Z671" s="1432"/>
      <c r="AA671" s="1432"/>
      <c r="AB671" s="1432"/>
      <c r="AC671" s="1432"/>
      <c r="AD671" s="1432"/>
      <c r="AE671" s="1432"/>
      <c r="AH671" s="918" t="s">
        <v>1089</v>
      </c>
      <c r="AI671" s="1445"/>
      <c r="AJ671" s="1445"/>
      <c r="AK671" s="144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54" t="e">
        <f t="shared" si="4"/>
        <v>#VALUE!</v>
      </c>
      <c r="DY671" s="1354"/>
      <c r="DZ671" s="1354"/>
      <c r="EA671" s="1354"/>
      <c r="EB671" s="1354"/>
      <c r="EC671" s="1354" t="e">
        <f t="shared" si="5"/>
        <v>#VALUE!</v>
      </c>
      <c r="ED671" s="1354"/>
      <c r="EE671" s="1354"/>
      <c r="EF671" s="1354"/>
      <c r="EG671" s="1354"/>
      <c r="EH671" s="1354" t="e">
        <f t="shared" si="6"/>
        <v>#VALUE!</v>
      </c>
      <c r="EI671" s="1354"/>
      <c r="EJ671" s="1354"/>
      <c r="EK671" s="1354"/>
      <c r="EL671" s="1354"/>
      <c r="EM671" s="1354" t="e">
        <f t="shared" si="7"/>
        <v>#VALUE!</v>
      </c>
      <c r="EN671" s="1354"/>
      <c r="EO671" s="1354"/>
      <c r="EP671" s="1354"/>
      <c r="EQ671" s="1354"/>
      <c r="ER671" s="1354" t="e">
        <f t="shared" si="8"/>
        <v>#VALUE!</v>
      </c>
      <c r="ES671" s="1354"/>
      <c r="ET671" s="1354"/>
      <c r="EU671" s="1354"/>
      <c r="EV671" s="1354"/>
      <c r="EW671" s="1354" t="e">
        <f t="shared" si="9"/>
        <v>#VALUE!</v>
      </c>
      <c r="EX671" s="1354"/>
      <c r="EY671" s="1354"/>
      <c r="EZ671" s="1354"/>
      <c r="FA671" s="1354"/>
    </row>
    <row r="672" spans="1:157" ht="13" customHeight="1">
      <c r="A672" s="19"/>
      <c r="B672" t="s">
        <v>1445</v>
      </c>
      <c r="H672" s="1379"/>
      <c r="I672" s="1379"/>
      <c r="J672" s="1379"/>
      <c r="K672" s="1379"/>
      <c r="L672" s="1379"/>
      <c r="M672" s="1379"/>
      <c r="N672" s="1379"/>
      <c r="O672" s="1379"/>
      <c r="P672" s="1379"/>
      <c r="Q672" s="1379"/>
      <c r="R672" s="1379"/>
      <c r="T672" s="19"/>
      <c r="U672" t="s">
        <v>1445</v>
      </c>
      <c r="AA672" s="1379"/>
      <c r="AB672" s="1379"/>
      <c r="AC672" s="1379"/>
      <c r="AD672" s="1379"/>
      <c r="AE672" s="1379"/>
      <c r="AF672" s="1379"/>
      <c r="AG672" s="1379"/>
      <c r="AH672" s="1379"/>
      <c r="AI672" s="1379"/>
      <c r="AJ672" s="1379"/>
      <c r="AK672" s="1379"/>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54" t="e">
        <f t="shared" si="4"/>
        <v>#VALUE!</v>
      </c>
      <c r="DY672" s="1354"/>
      <c r="DZ672" s="1354"/>
      <c r="EA672" s="1354"/>
      <c r="EB672" s="1354"/>
      <c r="EC672" s="1354" t="e">
        <f t="shared" si="5"/>
        <v>#VALUE!</v>
      </c>
      <c r="ED672" s="1354"/>
      <c r="EE672" s="1354"/>
      <c r="EF672" s="1354"/>
      <c r="EG672" s="1354"/>
      <c r="EH672" s="1354" t="e">
        <f t="shared" si="6"/>
        <v>#VALUE!</v>
      </c>
      <c r="EI672" s="1354"/>
      <c r="EJ672" s="1354"/>
      <c r="EK672" s="1354"/>
      <c r="EL672" s="1354"/>
      <c r="EM672" s="1354" t="e">
        <f t="shared" si="7"/>
        <v>#VALUE!</v>
      </c>
      <c r="EN672" s="1354"/>
      <c r="EO672" s="1354"/>
      <c r="EP672" s="1354"/>
      <c r="EQ672" s="1354"/>
      <c r="ER672" s="1354" t="e">
        <f t="shared" si="8"/>
        <v>#VALUE!</v>
      </c>
      <c r="ES672" s="1354"/>
      <c r="ET672" s="1354"/>
      <c r="EU672" s="1354"/>
      <c r="EV672" s="1354"/>
      <c r="EW672" s="1354" t="e">
        <f t="shared" si="9"/>
        <v>#VALUE!</v>
      </c>
      <c r="EX672" s="1354"/>
      <c r="EY672" s="1354"/>
      <c r="EZ672" s="1354"/>
      <c r="FA672" s="1354"/>
    </row>
    <row r="673" spans="1:157" ht="13" customHeight="1">
      <c r="A673" s="19"/>
      <c r="B673" t="s">
        <v>1448</v>
      </c>
      <c r="N673" s="1387" t="s">
        <v>700</v>
      </c>
      <c r="O673" s="1387"/>
      <c r="T673" s="19"/>
      <c r="U673" t="s">
        <v>1448</v>
      </c>
      <c r="AG673" s="1387" t="s">
        <v>700</v>
      </c>
      <c r="AH673" s="138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54" t="e">
        <f t="shared" si="4"/>
        <v>#VALUE!</v>
      </c>
      <c r="DY673" s="1354"/>
      <c r="DZ673" s="1354"/>
      <c r="EA673" s="1354"/>
      <c r="EB673" s="1354"/>
      <c r="EC673" s="1354" t="e">
        <f t="shared" si="5"/>
        <v>#VALUE!</v>
      </c>
      <c r="ED673" s="1354"/>
      <c r="EE673" s="1354"/>
      <c r="EF673" s="1354"/>
      <c r="EG673" s="1354"/>
      <c r="EH673" s="1354" t="e">
        <f t="shared" si="6"/>
        <v>#VALUE!</v>
      </c>
      <c r="EI673" s="1354"/>
      <c r="EJ673" s="1354"/>
      <c r="EK673" s="1354"/>
      <c r="EL673" s="1354"/>
      <c r="EM673" s="1354" t="e">
        <f t="shared" si="7"/>
        <v>#VALUE!</v>
      </c>
      <c r="EN673" s="1354"/>
      <c r="EO673" s="1354"/>
      <c r="EP673" s="1354"/>
      <c r="EQ673" s="1354"/>
      <c r="ER673" s="1354" t="e">
        <f t="shared" si="8"/>
        <v>#VALUE!</v>
      </c>
      <c r="ES673" s="1354"/>
      <c r="ET673" s="1354"/>
      <c r="EU673" s="1354"/>
      <c r="EV673" s="1354"/>
      <c r="EW673" s="1354" t="e">
        <f t="shared" si="9"/>
        <v>#VALUE!</v>
      </c>
      <c r="EX673" s="1354"/>
      <c r="EY673" s="1354"/>
      <c r="EZ673" s="1354"/>
      <c r="FA673" s="1354"/>
    </row>
    <row r="674" spans="1:157" ht="13"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54" t="e">
        <f t="shared" si="4"/>
        <v>#VALUE!</v>
      </c>
      <c r="DY674" s="1354"/>
      <c r="DZ674" s="1354"/>
      <c r="EA674" s="1354"/>
      <c r="EB674" s="1354"/>
      <c r="EC674" s="1354" t="e">
        <f t="shared" si="5"/>
        <v>#VALUE!</v>
      </c>
      <c r="ED674" s="1354"/>
      <c r="EE674" s="1354"/>
      <c r="EF674" s="1354"/>
      <c r="EG674" s="1354"/>
      <c r="EH674" s="1354" t="e">
        <f t="shared" si="6"/>
        <v>#VALUE!</v>
      </c>
      <c r="EI674" s="1354"/>
      <c r="EJ674" s="1354"/>
      <c r="EK674" s="1354"/>
      <c r="EL674" s="1354"/>
      <c r="EM674" s="1354" t="e">
        <f t="shared" si="7"/>
        <v>#VALUE!</v>
      </c>
      <c r="EN674" s="1354"/>
      <c r="EO674" s="1354"/>
      <c r="EP674" s="1354"/>
      <c r="EQ674" s="1354"/>
      <c r="ER674" s="1354" t="e">
        <f t="shared" si="8"/>
        <v>#VALUE!</v>
      </c>
      <c r="ES674" s="1354"/>
      <c r="ET674" s="1354"/>
      <c r="EU674" s="1354"/>
      <c r="EV674" s="1354"/>
      <c r="EW674" s="1354" t="e">
        <f t="shared" si="9"/>
        <v>#VALUE!</v>
      </c>
      <c r="EX674" s="1354"/>
      <c r="EY674" s="1354"/>
      <c r="EZ674" s="1354"/>
      <c r="FA674" s="1354"/>
    </row>
    <row r="675" spans="1:157" ht="13" customHeight="1">
      <c r="A675" s="47" t="s">
        <v>1432</v>
      </c>
      <c r="B675" t="s">
        <v>1439</v>
      </c>
      <c r="G675" s="1444">
        <f>C641</f>
        <v>0</v>
      </c>
      <c r="H675" s="1444"/>
      <c r="I675" s="1444"/>
      <c r="J675" s="1444"/>
      <c r="K675" s="1444"/>
      <c r="L675" s="1444"/>
      <c r="M675" s="1444"/>
      <c r="N675" s="1444"/>
      <c r="O675" s="1444"/>
      <c r="P675" s="1444"/>
      <c r="Q675" s="1444"/>
      <c r="R675" s="1444"/>
      <c r="T675" s="47" t="s">
        <v>1433</v>
      </c>
      <c r="U675" t="s">
        <v>1439</v>
      </c>
      <c r="Z675" s="1444">
        <f>C642</f>
        <v>0</v>
      </c>
      <c r="AA675" s="1444"/>
      <c r="AB675" s="1444"/>
      <c r="AC675" s="1444"/>
      <c r="AD675" s="1444"/>
      <c r="AE675" s="1444"/>
      <c r="AF675" s="1444"/>
      <c r="AG675" s="1444"/>
      <c r="AH675" s="1444"/>
      <c r="AI675" s="1444"/>
      <c r="AJ675" s="1444"/>
      <c r="AK675" s="144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54" t="e">
        <f t="shared" si="4"/>
        <v>#VALUE!</v>
      </c>
      <c r="DY675" s="1354"/>
      <c r="DZ675" s="1354"/>
      <c r="EA675" s="1354"/>
      <c r="EB675" s="1354"/>
      <c r="EC675" s="1354" t="e">
        <f t="shared" si="5"/>
        <v>#VALUE!</v>
      </c>
      <c r="ED675" s="1354"/>
      <c r="EE675" s="1354"/>
      <c r="EF675" s="1354"/>
      <c r="EG675" s="1354"/>
      <c r="EH675" s="1354" t="e">
        <f t="shared" si="6"/>
        <v>#VALUE!</v>
      </c>
      <c r="EI675" s="1354"/>
      <c r="EJ675" s="1354"/>
      <c r="EK675" s="1354"/>
      <c r="EL675" s="1354"/>
      <c r="EM675" s="1354" t="e">
        <f t="shared" si="7"/>
        <v>#VALUE!</v>
      </c>
      <c r="EN675" s="1354"/>
      <c r="EO675" s="1354"/>
      <c r="EP675" s="1354"/>
      <c r="EQ675" s="1354"/>
      <c r="ER675" s="1354" t="e">
        <f t="shared" si="8"/>
        <v>#VALUE!</v>
      </c>
      <c r="ES675" s="1354"/>
      <c r="ET675" s="1354"/>
      <c r="EU675" s="1354"/>
      <c r="EV675" s="1354"/>
      <c r="EW675" s="1354" t="e">
        <f t="shared" si="9"/>
        <v>#VALUE!</v>
      </c>
      <c r="EX675" s="1354"/>
      <c r="EY675" s="1354"/>
      <c r="EZ675" s="1354"/>
      <c r="FA675" s="1354"/>
    </row>
    <row r="676" spans="1:157" ht="13" customHeight="1">
      <c r="A676" s="19"/>
      <c r="B676" t="s">
        <v>1081</v>
      </c>
      <c r="G676" s="1379"/>
      <c r="H676" s="1379"/>
      <c r="I676" s="1379"/>
      <c r="J676" s="1379"/>
      <c r="K676" s="1379"/>
      <c r="L676" s="1379"/>
      <c r="M676" s="1379"/>
      <c r="N676" s="1379"/>
      <c r="O676" s="1379"/>
      <c r="P676" s="1379"/>
      <c r="Q676" s="1379"/>
      <c r="R676" s="1379"/>
      <c r="T676" s="19"/>
      <c r="U676" t="s">
        <v>1081</v>
      </c>
      <c r="Z676" s="1379"/>
      <c r="AA676" s="1379"/>
      <c r="AB676" s="1379"/>
      <c r="AC676" s="1379"/>
      <c r="AD676" s="1379"/>
      <c r="AE676" s="1379"/>
      <c r="AF676" s="1379"/>
      <c r="AG676" s="1379"/>
      <c r="AH676" s="1379"/>
      <c r="AI676" s="1379"/>
      <c r="AJ676" s="1379"/>
      <c r="AK676" s="1379"/>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54" t="e">
        <f t="shared" si="4"/>
        <v>#VALUE!</v>
      </c>
      <c r="DY676" s="1354"/>
      <c r="DZ676" s="1354"/>
      <c r="EA676" s="1354"/>
      <c r="EB676" s="1354"/>
      <c r="EC676" s="1354" t="e">
        <f t="shared" si="5"/>
        <v>#VALUE!</v>
      </c>
      <c r="ED676" s="1354"/>
      <c r="EE676" s="1354"/>
      <c r="EF676" s="1354"/>
      <c r="EG676" s="1354"/>
      <c r="EH676" s="1354" t="e">
        <f t="shared" si="6"/>
        <v>#VALUE!</v>
      </c>
      <c r="EI676" s="1354"/>
      <c r="EJ676" s="1354"/>
      <c r="EK676" s="1354"/>
      <c r="EL676" s="1354"/>
      <c r="EM676" s="1354" t="e">
        <f t="shared" si="7"/>
        <v>#VALUE!</v>
      </c>
      <c r="EN676" s="1354"/>
      <c r="EO676" s="1354"/>
      <c r="EP676" s="1354"/>
      <c r="EQ676" s="1354"/>
      <c r="ER676" s="1354" t="e">
        <f t="shared" si="8"/>
        <v>#VALUE!</v>
      </c>
      <c r="ES676" s="1354"/>
      <c r="ET676" s="1354"/>
      <c r="EU676" s="1354"/>
      <c r="EV676" s="1354"/>
      <c r="EW676" s="1354" t="e">
        <f t="shared" si="9"/>
        <v>#VALUE!</v>
      </c>
      <c r="EX676" s="1354"/>
      <c r="EY676" s="1354"/>
      <c r="EZ676" s="1354"/>
      <c r="FA676" s="1354"/>
    </row>
    <row r="677" spans="1:157" ht="13" customHeight="1">
      <c r="A677" s="19"/>
      <c r="B677" t="s">
        <v>947</v>
      </c>
      <c r="G677" s="1379"/>
      <c r="H677" s="1379"/>
      <c r="I677" s="1379"/>
      <c r="J677" s="1379"/>
      <c r="K677" s="1379"/>
      <c r="L677" s="1379"/>
      <c r="M677" s="1379"/>
      <c r="N677" s="1379"/>
      <c r="O677" s="1379"/>
      <c r="P677" s="1379"/>
      <c r="Q677" s="1379"/>
      <c r="R677" s="1379"/>
      <c r="T677" s="19"/>
      <c r="U677" t="s">
        <v>947</v>
      </c>
      <c r="Z677" s="1412"/>
      <c r="AA677" s="1412"/>
      <c r="AB677" s="1412"/>
      <c r="AC677" s="1412"/>
      <c r="AD677" s="1412"/>
      <c r="AE677" s="1412"/>
      <c r="AF677" s="1412"/>
      <c r="AG677" s="1412"/>
      <c r="AH677" s="1412"/>
      <c r="AI677" s="1412"/>
      <c r="AJ677" s="1412"/>
      <c r="AK677" s="141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54" t="e">
        <f t="shared" si="4"/>
        <v>#VALUE!</v>
      </c>
      <c r="DY677" s="1354"/>
      <c r="DZ677" s="1354"/>
      <c r="EA677" s="1354"/>
      <c r="EB677" s="1354"/>
      <c r="EC677" s="1354" t="e">
        <f t="shared" si="5"/>
        <v>#VALUE!</v>
      </c>
      <c r="ED677" s="1354"/>
      <c r="EE677" s="1354"/>
      <c r="EF677" s="1354"/>
      <c r="EG677" s="1354"/>
      <c r="EH677" s="1354" t="e">
        <f t="shared" si="6"/>
        <v>#VALUE!</v>
      </c>
      <c r="EI677" s="1354"/>
      <c r="EJ677" s="1354"/>
      <c r="EK677" s="1354"/>
      <c r="EL677" s="1354"/>
      <c r="EM677" s="1354" t="e">
        <f t="shared" si="7"/>
        <v>#VALUE!</v>
      </c>
      <c r="EN677" s="1354"/>
      <c r="EO677" s="1354"/>
      <c r="EP677" s="1354"/>
      <c r="EQ677" s="1354"/>
      <c r="ER677" s="1354" t="e">
        <f t="shared" si="8"/>
        <v>#VALUE!</v>
      </c>
      <c r="ES677" s="1354"/>
      <c r="ET677" s="1354"/>
      <c r="EU677" s="1354"/>
      <c r="EV677" s="1354"/>
      <c r="EW677" s="1354" t="e">
        <f t="shared" si="9"/>
        <v>#VALUE!</v>
      </c>
      <c r="EX677" s="1354"/>
      <c r="EY677" s="1354"/>
      <c r="EZ677" s="1354"/>
      <c r="FA677" s="1354"/>
    </row>
    <row r="678" spans="1:157" ht="13" customHeight="1">
      <c r="A678" s="19"/>
      <c r="B678" t="s">
        <v>1442</v>
      </c>
      <c r="G678" s="1379"/>
      <c r="H678" s="1379"/>
      <c r="I678" s="1379"/>
      <c r="J678" s="1379"/>
      <c r="K678" s="1379"/>
      <c r="L678" s="1379"/>
      <c r="M678" s="1379"/>
      <c r="N678" s="1379"/>
      <c r="O678" s="1379"/>
      <c r="P678" s="1379"/>
      <c r="Q678" s="1379"/>
      <c r="R678" s="1379"/>
      <c r="T678" s="19"/>
      <c r="U678" t="s">
        <v>1442</v>
      </c>
      <c r="Z678" s="1412"/>
      <c r="AA678" s="1412"/>
      <c r="AB678" s="1412"/>
      <c r="AC678" s="1412"/>
      <c r="AD678" s="1412"/>
      <c r="AE678" s="1412"/>
      <c r="AF678" s="1412"/>
      <c r="AG678" s="1412"/>
      <c r="AH678" s="1412"/>
      <c r="AI678" s="1412"/>
      <c r="AJ678" s="1412"/>
      <c r="AK678" s="141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54">
        <f>SUMIF(DX643:EB677,"&gt;0")</f>
        <v>0</v>
      </c>
      <c r="DY678" s="1354"/>
      <c r="DZ678" s="1354"/>
      <c r="EA678" s="1354"/>
      <c r="EB678" s="1354"/>
      <c r="EC678" s="1354">
        <f>SUMIF(EC643:EG677,"&gt;0")</f>
        <v>1982.8000000000002</v>
      </c>
      <c r="ED678" s="1354"/>
      <c r="EE678" s="1354"/>
      <c r="EF678" s="1354"/>
      <c r="EG678" s="1354"/>
      <c r="EH678" s="1354">
        <f>SUMIF(EH643:EL677,"&gt;0")</f>
        <v>2474.090909090909</v>
      </c>
      <c r="EI678" s="1354"/>
      <c r="EJ678" s="1354"/>
      <c r="EK678" s="1354"/>
      <c r="EL678" s="1354"/>
      <c r="EM678" s="1354">
        <f>SUMIF(EM643:EQ677,"&gt;0")</f>
        <v>2814.6037735849054</v>
      </c>
      <c r="EN678" s="1354"/>
      <c r="EO678" s="1354"/>
      <c r="EP678" s="1354"/>
      <c r="EQ678" s="1354"/>
      <c r="ER678" s="1354">
        <f>SUMIF(ER643:EV677,"&gt;0")</f>
        <v>0</v>
      </c>
      <c r="ES678" s="1354"/>
      <c r="ET678" s="1354"/>
      <c r="EU678" s="1354"/>
      <c r="EV678" s="1354"/>
      <c r="EW678" s="1354">
        <f>SUMIF(EW643:FA677,"&gt;0")</f>
        <v>0</v>
      </c>
      <c r="EX678" s="1354"/>
      <c r="EY678" s="1354"/>
      <c r="EZ678" s="1354"/>
      <c r="FA678" s="1354"/>
    </row>
    <row r="679" spans="1:157" ht="13" customHeight="1">
      <c r="A679" s="19"/>
      <c r="B679" t="s">
        <v>840</v>
      </c>
      <c r="G679" s="1432"/>
      <c r="H679" s="1432"/>
      <c r="I679" s="1432"/>
      <c r="J679" s="1432"/>
      <c r="K679" s="1432"/>
      <c r="L679" s="1432"/>
      <c r="O679" s="918" t="s">
        <v>1089</v>
      </c>
      <c r="P679" s="1445"/>
      <c r="Q679" s="1445"/>
      <c r="R679" s="1445"/>
      <c r="T679" s="19"/>
      <c r="U679" t="s">
        <v>840</v>
      </c>
      <c r="Z679" s="1432"/>
      <c r="AA679" s="1432"/>
      <c r="AB679" s="1432"/>
      <c r="AC679" s="1432"/>
      <c r="AD679" s="1432"/>
      <c r="AE679" s="1432"/>
      <c r="AH679" s="918" t="s">
        <v>1089</v>
      </c>
      <c r="AI679" s="1445"/>
      <c r="AJ679" s="1445"/>
      <c r="AK679" s="144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19"/>
      <c r="B680" t="s">
        <v>1445</v>
      </c>
      <c r="H680" s="1379"/>
      <c r="I680" s="1379"/>
      <c r="J680" s="1379"/>
      <c r="K680" s="1379"/>
      <c r="L680" s="1379"/>
      <c r="M680" s="1379"/>
      <c r="N680" s="1379"/>
      <c r="O680" s="1379"/>
      <c r="P680" s="1379"/>
      <c r="Q680" s="1379"/>
      <c r="R680" s="1379"/>
      <c r="T680" s="19"/>
      <c r="U680" t="s">
        <v>1445</v>
      </c>
      <c r="AA680" s="1379"/>
      <c r="AB680" s="1379"/>
      <c r="AC680" s="1379"/>
      <c r="AD680" s="1379"/>
      <c r="AE680" s="1379"/>
      <c r="AF680" s="1379"/>
      <c r="AG680" s="1379"/>
      <c r="AH680" s="1379"/>
      <c r="AI680" s="1379"/>
      <c r="AJ680" s="1379"/>
      <c r="AK680" s="1379"/>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19"/>
      <c r="B681" t="s">
        <v>1448</v>
      </c>
      <c r="N681" s="1387" t="s">
        <v>700</v>
      </c>
      <c r="O681" s="1387"/>
      <c r="T681" s="19"/>
      <c r="U681" t="s">
        <v>1448</v>
      </c>
      <c r="AG681" s="1387" t="s">
        <v>700</v>
      </c>
      <c r="AH681" s="1387"/>
      <c r="AZ681" s="3"/>
    </row>
    <row r="682" spans="1:157" ht="13" customHeight="1">
      <c r="A682" s="19"/>
      <c r="T682" s="19"/>
      <c r="AZ682" s="3"/>
    </row>
    <row r="683" spans="1:157" ht="13" customHeight="1">
      <c r="A683" s="47" t="s">
        <v>1434</v>
      </c>
      <c r="B683" t="s">
        <v>1439</v>
      </c>
      <c r="G683" s="1444">
        <f>C643</f>
        <v>0</v>
      </c>
      <c r="H683" s="1444"/>
      <c r="I683" s="1444"/>
      <c r="J683" s="1444"/>
      <c r="K683" s="1444"/>
      <c r="L683" s="1444"/>
      <c r="M683" s="1444"/>
      <c r="N683" s="1444"/>
      <c r="O683" s="1444"/>
      <c r="P683" s="1444"/>
      <c r="Q683" s="1444"/>
      <c r="R683" s="1444"/>
      <c r="T683" s="47" t="s">
        <v>1435</v>
      </c>
      <c r="U683" t="s">
        <v>1439</v>
      </c>
      <c r="Z683" s="1444">
        <f>C644</f>
        <v>0</v>
      </c>
      <c r="AA683" s="1444"/>
      <c r="AB683" s="1444"/>
      <c r="AC683" s="1444"/>
      <c r="AD683" s="1444"/>
      <c r="AE683" s="1444"/>
      <c r="AF683" s="1444"/>
      <c r="AG683" s="1444"/>
      <c r="AH683" s="1444"/>
      <c r="AI683" s="1444"/>
      <c r="AJ683" s="1444"/>
      <c r="AK683" s="1444"/>
      <c r="AZ683" s="3"/>
    </row>
    <row r="684" spans="1:157" ht="13" customHeight="1">
      <c r="A684" s="19"/>
      <c r="B684" t="s">
        <v>1081</v>
      </c>
      <c r="G684" s="1379"/>
      <c r="H684" s="1379"/>
      <c r="I684" s="1379"/>
      <c r="J684" s="1379"/>
      <c r="K684" s="1379"/>
      <c r="L684" s="1379"/>
      <c r="M684" s="1379"/>
      <c r="N684" s="1379"/>
      <c r="O684" s="1379"/>
      <c r="P684" s="1379"/>
      <c r="Q684" s="1379"/>
      <c r="R684" s="1379"/>
      <c r="T684" s="19"/>
      <c r="U684" t="s">
        <v>1081</v>
      </c>
      <c r="Z684" s="1379"/>
      <c r="AA684" s="1379"/>
      <c r="AB684" s="1379"/>
      <c r="AC684" s="1379"/>
      <c r="AD684" s="1379"/>
      <c r="AE684" s="1379"/>
      <c r="AF684" s="1379"/>
      <c r="AG684" s="1379"/>
      <c r="AH684" s="1379"/>
      <c r="AI684" s="1379"/>
      <c r="AJ684" s="1379"/>
      <c r="AK684" s="1379"/>
      <c r="AZ684" s="3"/>
    </row>
    <row r="685" spans="1:157" ht="13" customHeight="1">
      <c r="A685" s="19"/>
      <c r="B685" t="s">
        <v>947</v>
      </c>
      <c r="G685" s="1379"/>
      <c r="H685" s="1379"/>
      <c r="I685" s="1379"/>
      <c r="J685" s="1379"/>
      <c r="K685" s="1379"/>
      <c r="L685" s="1379"/>
      <c r="M685" s="1379"/>
      <c r="N685" s="1379"/>
      <c r="O685" s="1379"/>
      <c r="P685" s="1379"/>
      <c r="Q685" s="1379"/>
      <c r="R685" s="1379"/>
      <c r="T685" s="19"/>
      <c r="U685" t="s">
        <v>947</v>
      </c>
      <c r="Z685" s="1412"/>
      <c r="AA685" s="1412"/>
      <c r="AB685" s="1412"/>
      <c r="AC685" s="1412"/>
      <c r="AD685" s="1412"/>
      <c r="AE685" s="1412"/>
      <c r="AF685" s="1412"/>
      <c r="AG685" s="1412"/>
      <c r="AH685" s="1412"/>
      <c r="AI685" s="1412"/>
      <c r="AJ685" s="1412"/>
      <c r="AK685" s="1412"/>
      <c r="AZ685" s="3"/>
    </row>
    <row r="686" spans="1:157" ht="13" customHeight="1">
      <c r="A686" s="19"/>
      <c r="B686" t="s">
        <v>1442</v>
      </c>
      <c r="G686" s="1379"/>
      <c r="H686" s="1379"/>
      <c r="I686" s="1379"/>
      <c r="J686" s="1379"/>
      <c r="K686" s="1379"/>
      <c r="L686" s="1379"/>
      <c r="M686" s="1379"/>
      <c r="N686" s="1379"/>
      <c r="O686" s="1379"/>
      <c r="P686" s="1379"/>
      <c r="Q686" s="1379"/>
      <c r="R686" s="1379"/>
      <c r="T686" s="19"/>
      <c r="U686" t="s">
        <v>1442</v>
      </c>
      <c r="Z686" s="1412"/>
      <c r="AA686" s="1412"/>
      <c r="AB686" s="1412"/>
      <c r="AC686" s="1412"/>
      <c r="AD686" s="1412"/>
      <c r="AE686" s="1412"/>
      <c r="AF686" s="1412"/>
      <c r="AG686" s="1412"/>
      <c r="AH686" s="1412"/>
      <c r="AI686" s="1412"/>
      <c r="AJ686" s="1412"/>
      <c r="AK686" s="1412"/>
      <c r="AZ686" s="3"/>
    </row>
    <row r="687" spans="1:157" ht="13" customHeight="1">
      <c r="A687" s="19"/>
      <c r="B687" t="s">
        <v>840</v>
      </c>
      <c r="G687" s="1432"/>
      <c r="H687" s="1432"/>
      <c r="I687" s="1432"/>
      <c r="J687" s="1432"/>
      <c r="K687" s="1432"/>
      <c r="L687" s="1432"/>
      <c r="O687" s="918" t="s">
        <v>1089</v>
      </c>
      <c r="P687" s="1445"/>
      <c r="Q687" s="1445"/>
      <c r="R687" s="1445"/>
      <c r="T687" s="19"/>
      <c r="U687" t="s">
        <v>840</v>
      </c>
      <c r="Z687" s="1432"/>
      <c r="AA687" s="1432"/>
      <c r="AB687" s="1432"/>
      <c r="AC687" s="1432"/>
      <c r="AD687" s="1432"/>
      <c r="AE687" s="1432"/>
      <c r="AH687" s="918" t="s">
        <v>1089</v>
      </c>
      <c r="AI687" s="1445"/>
      <c r="AJ687" s="1445"/>
      <c r="AK687" s="1445"/>
      <c r="AZ687" s="3"/>
    </row>
    <row r="688" spans="1:157" ht="13" customHeight="1">
      <c r="A688" s="19"/>
      <c r="B688" t="s">
        <v>1445</v>
      </c>
      <c r="H688" s="1379"/>
      <c r="I688" s="1379"/>
      <c r="J688" s="1379"/>
      <c r="K688" s="1379"/>
      <c r="L688" s="1379"/>
      <c r="M688" s="1379"/>
      <c r="N688" s="1379"/>
      <c r="O688" s="1379"/>
      <c r="P688" s="1379"/>
      <c r="Q688" s="1379"/>
      <c r="R688" s="1379"/>
      <c r="T688" s="19"/>
      <c r="U688" t="s">
        <v>1445</v>
      </c>
      <c r="AA688" s="1379"/>
      <c r="AB688" s="1379"/>
      <c r="AC688" s="1379"/>
      <c r="AD688" s="1379"/>
      <c r="AE688" s="1379"/>
      <c r="AF688" s="1379"/>
      <c r="AG688" s="1379"/>
      <c r="AH688" s="1379"/>
      <c r="AI688" s="1379"/>
      <c r="AJ688" s="1379"/>
      <c r="AK688" s="1379"/>
      <c r="AZ688" s="3"/>
    </row>
    <row r="689" spans="1:52" ht="13" customHeight="1">
      <c r="A689" s="19"/>
      <c r="B689" t="s">
        <v>1448</v>
      </c>
      <c r="N689" s="1387" t="s">
        <v>700</v>
      </c>
      <c r="O689" s="1387"/>
      <c r="T689" s="19"/>
      <c r="U689" t="s">
        <v>1448</v>
      </c>
      <c r="AG689" s="1387" t="s">
        <v>700</v>
      </c>
      <c r="AH689" s="1387"/>
      <c r="AZ689" s="3"/>
    </row>
    <row r="690" spans="1:52" ht="13" customHeight="1">
      <c r="A690" s="19"/>
      <c r="T690" s="19"/>
      <c r="AZ690" s="3"/>
    </row>
    <row r="691" spans="1:52" ht="13" customHeight="1">
      <c r="A691" s="47" t="s">
        <v>1436</v>
      </c>
      <c r="B691" t="s">
        <v>1439</v>
      </c>
      <c r="G691" s="1444">
        <f>C645</f>
        <v>0</v>
      </c>
      <c r="H691" s="1444"/>
      <c r="I691" s="1444"/>
      <c r="J691" s="1444"/>
      <c r="K691" s="1444"/>
      <c r="L691" s="1444"/>
      <c r="M691" s="1444"/>
      <c r="N691" s="1444"/>
      <c r="O691" s="1444"/>
      <c r="P691" s="1444"/>
      <c r="Q691" s="1444"/>
      <c r="R691" s="1444"/>
      <c r="T691" s="47" t="s">
        <v>1437</v>
      </c>
      <c r="U691" t="s">
        <v>1439</v>
      </c>
      <c r="Z691" s="1444">
        <f>C646</f>
        <v>0</v>
      </c>
      <c r="AA691" s="1444"/>
      <c r="AB691" s="1444"/>
      <c r="AC691" s="1444"/>
      <c r="AD691" s="1444"/>
      <c r="AE691" s="1444"/>
      <c r="AF691" s="1444"/>
      <c r="AG691" s="1444"/>
      <c r="AH691" s="1444"/>
      <c r="AI691" s="1444"/>
      <c r="AJ691" s="1444"/>
      <c r="AK691" s="1444"/>
      <c r="AZ691" s="3"/>
    </row>
    <row r="692" spans="1:52" ht="13" customHeight="1">
      <c r="B692" t="s">
        <v>1081</v>
      </c>
      <c r="G692" s="1379"/>
      <c r="H692" s="1379"/>
      <c r="I692" s="1379"/>
      <c r="J692" s="1379"/>
      <c r="K692" s="1379"/>
      <c r="L692" s="1379"/>
      <c r="M692" s="1379"/>
      <c r="N692" s="1379"/>
      <c r="O692" s="1379"/>
      <c r="P692" s="1379"/>
      <c r="Q692" s="1379"/>
      <c r="R692" s="1379"/>
      <c r="T692" s="19"/>
      <c r="U692" t="s">
        <v>1081</v>
      </c>
      <c r="Z692" s="1379"/>
      <c r="AA692" s="1379"/>
      <c r="AB692" s="1379"/>
      <c r="AC692" s="1379"/>
      <c r="AD692" s="1379"/>
      <c r="AE692" s="1379"/>
      <c r="AF692" s="1379"/>
      <c r="AG692" s="1379"/>
      <c r="AH692" s="1379"/>
      <c r="AI692" s="1379"/>
      <c r="AJ692" s="1379"/>
      <c r="AK692" s="1379"/>
      <c r="AZ692" s="3"/>
    </row>
    <row r="693" spans="1:52" ht="13" customHeight="1">
      <c r="B693" t="s">
        <v>947</v>
      </c>
      <c r="G693" s="1379"/>
      <c r="H693" s="1379"/>
      <c r="I693" s="1379"/>
      <c r="J693" s="1379"/>
      <c r="K693" s="1379"/>
      <c r="L693" s="1379"/>
      <c r="M693" s="1379"/>
      <c r="N693" s="1379"/>
      <c r="O693" s="1379"/>
      <c r="P693" s="1379"/>
      <c r="Q693" s="1379"/>
      <c r="R693" s="1379"/>
      <c r="U693" t="s">
        <v>947</v>
      </c>
      <c r="Z693" s="1412"/>
      <c r="AA693" s="1412"/>
      <c r="AB693" s="1412"/>
      <c r="AC693" s="1412"/>
      <c r="AD693" s="1412"/>
      <c r="AE693" s="1412"/>
      <c r="AF693" s="1412"/>
      <c r="AG693" s="1412"/>
      <c r="AH693" s="1412"/>
      <c r="AI693" s="1412"/>
      <c r="AJ693" s="1412"/>
      <c r="AK693" s="1412"/>
      <c r="AZ693" s="3"/>
    </row>
    <row r="694" spans="1:52" ht="13" customHeight="1">
      <c r="B694" t="s">
        <v>1442</v>
      </c>
      <c r="G694" s="1379"/>
      <c r="H694" s="1379"/>
      <c r="I694" s="1379"/>
      <c r="J694" s="1379"/>
      <c r="K694" s="1379"/>
      <c r="L694" s="1379"/>
      <c r="M694" s="1379"/>
      <c r="N694" s="1379"/>
      <c r="O694" s="1379"/>
      <c r="P694" s="1379"/>
      <c r="Q694" s="1379"/>
      <c r="R694" s="1379"/>
      <c r="U694" t="s">
        <v>1442</v>
      </c>
      <c r="Z694" s="1412"/>
      <c r="AA694" s="1412"/>
      <c r="AB694" s="1412"/>
      <c r="AC694" s="1412"/>
      <c r="AD694" s="1412"/>
      <c r="AE694" s="1412"/>
      <c r="AF694" s="1412"/>
      <c r="AG694" s="1412"/>
      <c r="AH694" s="1412"/>
      <c r="AI694" s="1412"/>
      <c r="AJ694" s="1412"/>
      <c r="AK694" s="1412"/>
      <c r="AZ694" s="3"/>
    </row>
    <row r="695" spans="1:52" ht="13" customHeight="1">
      <c r="B695" t="s">
        <v>840</v>
      </c>
      <c r="G695" s="1432"/>
      <c r="H695" s="1432"/>
      <c r="I695" s="1432"/>
      <c r="J695" s="1432"/>
      <c r="K695" s="1432"/>
      <c r="L695" s="1432"/>
      <c r="O695" s="918" t="s">
        <v>1089</v>
      </c>
      <c r="P695" s="1445"/>
      <c r="Q695" s="1445"/>
      <c r="R695" s="1445"/>
      <c r="U695" t="s">
        <v>840</v>
      </c>
      <c r="Z695" s="1432"/>
      <c r="AA695" s="1432"/>
      <c r="AB695" s="1432"/>
      <c r="AC695" s="1432"/>
      <c r="AD695" s="1432"/>
      <c r="AE695" s="1432"/>
      <c r="AH695" s="918" t="s">
        <v>1089</v>
      </c>
      <c r="AI695" s="1445"/>
      <c r="AJ695" s="1445"/>
      <c r="AK695" s="1445"/>
      <c r="AZ695" s="3"/>
    </row>
    <row r="696" spans="1:52" ht="13" customHeight="1">
      <c r="B696" t="s">
        <v>1445</v>
      </c>
      <c r="H696" s="1379"/>
      <c r="I696" s="1379"/>
      <c r="J696" s="1379"/>
      <c r="K696" s="1379"/>
      <c r="L696" s="1379"/>
      <c r="M696" s="1379"/>
      <c r="N696" s="1379"/>
      <c r="O696" s="1379"/>
      <c r="P696" s="1379"/>
      <c r="Q696" s="1379"/>
      <c r="R696" s="1379"/>
      <c r="U696" t="s">
        <v>1445</v>
      </c>
      <c r="AA696" s="1379"/>
      <c r="AB696" s="1379"/>
      <c r="AC696" s="1379"/>
      <c r="AD696" s="1379"/>
      <c r="AE696" s="1379"/>
      <c r="AF696" s="1379"/>
      <c r="AG696" s="1379"/>
      <c r="AH696" s="1379"/>
      <c r="AI696" s="1379"/>
      <c r="AJ696" s="1379"/>
      <c r="AK696" s="1379"/>
      <c r="AZ696" s="3"/>
    </row>
    <row r="697" spans="1:52" ht="13" customHeight="1">
      <c r="B697" t="s">
        <v>1448</v>
      </c>
      <c r="N697" s="1387" t="s">
        <v>700</v>
      </c>
      <c r="O697" s="1387"/>
      <c r="U697" t="s">
        <v>1448</v>
      </c>
      <c r="AG697" s="1387" t="s">
        <v>700</v>
      </c>
      <c r="AH697" s="1387"/>
      <c r="AZ697" s="3"/>
    </row>
    <row r="698" spans="1:52" ht="13" customHeight="1">
      <c r="AZ698" s="3"/>
    </row>
    <row r="699" spans="1:52" ht="13" customHeight="1">
      <c r="A699" s="2" t="s">
        <v>928</v>
      </c>
      <c r="C699" s="2" t="s">
        <v>179</v>
      </c>
      <c r="E699" s="95"/>
      <c r="F699" s="95"/>
      <c r="G699" s="95"/>
      <c r="H699" s="95"/>
      <c r="AZ699" s="3"/>
    </row>
    <row r="700" spans="1:52" ht="13" customHeight="1">
      <c r="B700" s="99"/>
      <c r="C700" s="99"/>
      <c r="D700" s="921" t="s">
        <v>1467</v>
      </c>
      <c r="E700" s="99"/>
      <c r="F700" s="99"/>
      <c r="G700" s="99"/>
      <c r="H700" s="99"/>
      <c r="AZ700" s="3"/>
    </row>
    <row r="701" spans="1:52" ht="13" customHeight="1">
      <c r="B701" s="99"/>
      <c r="C701" s="99"/>
      <c r="E701" s="921" t="s">
        <v>1468</v>
      </c>
      <c r="F701" s="99"/>
      <c r="G701" s="99"/>
      <c r="H701" s="99"/>
      <c r="AE701" s="1387" t="s">
        <v>862</v>
      </c>
      <c r="AF701" s="1387"/>
      <c r="AZ701" s="3"/>
    </row>
    <row r="702" spans="1:52" ht="13" customHeight="1">
      <c r="B702" s="99"/>
      <c r="C702" s="99"/>
      <c r="D702" s="921" t="s">
        <v>1469</v>
      </c>
      <c r="E702" s="99"/>
      <c r="F702" s="99"/>
      <c r="G702" s="99"/>
      <c r="H702" s="99"/>
      <c r="AE702" s="1387" t="s">
        <v>700</v>
      </c>
      <c r="AF702" s="1387"/>
      <c r="AZ702" s="3"/>
    </row>
    <row r="703" spans="1:52" ht="13" customHeight="1">
      <c r="B703" s="99"/>
      <c r="C703" s="99"/>
      <c r="D703" s="921" t="s">
        <v>1470</v>
      </c>
      <c r="E703" s="99"/>
      <c r="F703" s="99"/>
      <c r="G703" s="99"/>
      <c r="H703" s="99"/>
      <c r="AE703" s="1512">
        <v>46161</v>
      </c>
      <c r="AF703" s="1512"/>
      <c r="AG703" s="1512"/>
      <c r="AH703" s="1512"/>
      <c r="AI703" s="1512"/>
    </row>
    <row r="704" spans="1:52" ht="13" customHeight="1">
      <c r="B704" s="99"/>
      <c r="C704" s="99"/>
      <c r="D704" s="223" t="s">
        <v>1471</v>
      </c>
      <c r="E704" s="99"/>
      <c r="F704" s="99"/>
      <c r="G704" s="99"/>
      <c r="H704" s="99"/>
      <c r="AE704" s="1449">
        <v>46252</v>
      </c>
      <c r="AF704" s="1449"/>
      <c r="AG704" s="1449"/>
      <c r="AH704" s="1449"/>
      <c r="AI704" s="1449"/>
    </row>
    <row r="705" spans="1:110" ht="13" customHeight="1">
      <c r="B705" s="99"/>
      <c r="C705" s="99"/>
    </row>
    <row r="706" spans="1:110" ht="13" customHeight="1">
      <c r="B706" s="99"/>
      <c r="C706" s="99"/>
      <c r="D706" s="921" t="s">
        <v>1472</v>
      </c>
      <c r="E706" s="99"/>
      <c r="F706" s="99"/>
      <c r="G706" s="99"/>
      <c r="H706" s="99"/>
      <c r="AE706" s="1512">
        <v>46419</v>
      </c>
      <c r="AF706" s="1512"/>
      <c r="AG706" s="1512"/>
      <c r="AH706" s="1512"/>
      <c r="AI706" s="1512"/>
    </row>
    <row r="707" spans="1:110" ht="13" customHeight="1">
      <c r="B707" s="99"/>
      <c r="C707" s="99"/>
      <c r="D707" s="921" t="s">
        <v>1473</v>
      </c>
      <c r="E707" s="99"/>
      <c r="F707" s="99"/>
      <c r="G707" s="99"/>
      <c r="H707" s="99"/>
      <c r="AE707" s="1641">
        <v>0.28749999999999998</v>
      </c>
      <c r="AF707" s="1641"/>
      <c r="AG707" s="1641"/>
      <c r="AH707" s="1641"/>
      <c r="AI707" s="1641"/>
    </row>
    <row r="708" spans="1:110" ht="13" customHeight="1">
      <c r="B708" s="99"/>
      <c r="C708" s="99"/>
      <c r="D708" s="921" t="s">
        <v>1474</v>
      </c>
      <c r="E708" s="99"/>
      <c r="F708" s="99"/>
      <c r="G708" s="99"/>
      <c r="H708" s="99"/>
      <c r="W708" s="1444" t="str">
        <f>H344</f>
        <v>California Housing Finance Authority</v>
      </c>
      <c r="X708" s="1444"/>
      <c r="Y708" s="1444"/>
      <c r="Z708" s="1444"/>
      <c r="AA708" s="1444"/>
      <c r="AB708" s="1444"/>
      <c r="AC708" s="1444"/>
      <c r="AD708" s="1444"/>
      <c r="AE708" s="1444"/>
      <c r="AF708" s="1444"/>
      <c r="AG708" s="1444"/>
      <c r="AH708" s="1444"/>
      <c r="AI708" s="1444"/>
      <c r="AJ708" s="1444"/>
      <c r="AK708" s="1444"/>
    </row>
    <row r="709" spans="1:110" ht="13" customHeight="1">
      <c r="B709" s="99"/>
      <c r="C709" s="99"/>
      <c r="D709" s="921"/>
      <c r="E709" s="99"/>
      <c r="F709" s="99"/>
      <c r="G709" s="99"/>
      <c r="H709" s="99"/>
    </row>
    <row r="710" spans="1:110" ht="13" customHeight="1">
      <c r="B710" s="99"/>
      <c r="C710" s="99"/>
      <c r="D710" s="921" t="s">
        <v>1475</v>
      </c>
      <c r="E710" s="99"/>
      <c r="F710" s="99"/>
      <c r="G710" s="99"/>
      <c r="H710" s="99"/>
      <c r="AE710" s="1387" t="s">
        <v>700</v>
      </c>
      <c r="AF710" s="1387"/>
    </row>
    <row r="711" spans="1:110" ht="13" customHeight="1">
      <c r="B711" s="99"/>
      <c r="C711" s="99"/>
      <c r="D711" s="921" t="s">
        <v>1476</v>
      </c>
      <c r="E711" s="99"/>
      <c r="F711" s="99"/>
      <c r="G711" s="99"/>
      <c r="H711" s="99"/>
      <c r="W711" s="1379" t="s">
        <v>826</v>
      </c>
      <c r="X711" s="1379"/>
      <c r="Y711" s="1379"/>
      <c r="Z711" s="1379"/>
      <c r="AA711" s="1379"/>
      <c r="AB711" s="1379"/>
      <c r="AC711" s="1379"/>
      <c r="AD711" s="1379"/>
      <c r="AE711" s="1379"/>
      <c r="AF711" s="1379"/>
      <c r="AG711" s="1379"/>
      <c r="AH711" s="1379"/>
      <c r="AI711" s="1379"/>
      <c r="AJ711" s="1379"/>
      <c r="AK711" s="1379"/>
    </row>
    <row r="712" spans="1:110" ht="13" customHeight="1">
      <c r="B712" s="99"/>
      <c r="C712" s="99"/>
      <c r="D712" s="921" t="s">
        <v>1086</v>
      </c>
      <c r="E712" s="99"/>
      <c r="F712" s="99"/>
      <c r="G712" s="99"/>
      <c r="H712" s="99"/>
      <c r="J712" s="1379"/>
      <c r="K712" s="1379"/>
      <c r="L712" s="1379"/>
      <c r="M712" s="1379"/>
      <c r="N712" s="1379"/>
      <c r="O712" s="1379"/>
      <c r="P712" s="1379"/>
      <c r="Q712" s="1379"/>
      <c r="R712" s="1379"/>
      <c r="S712" s="1379"/>
      <c r="T712" s="1379"/>
      <c r="U712" s="1379"/>
      <c r="V712" s="1379"/>
      <c r="W712" s="1379"/>
      <c r="X712" s="1379"/>
      <c r="BB712" s="3"/>
      <c r="BC712" s="3"/>
      <c r="BD712" s="3"/>
      <c r="BE712" s="3"/>
      <c r="BF712" s="3"/>
      <c r="BJ712" s="3"/>
      <c r="BK712" s="3"/>
      <c r="BL712" s="3"/>
      <c r="BM712" s="3"/>
      <c r="BN712" s="3"/>
      <c r="BO712" s="3"/>
    </row>
    <row r="713" spans="1:110" ht="13" customHeight="1">
      <c r="B713" s="99"/>
      <c r="C713" s="99"/>
      <c r="D713" s="921" t="s">
        <v>1087</v>
      </c>
      <c r="J713" s="1432"/>
      <c r="K713" s="1432"/>
      <c r="L713" s="1432"/>
      <c r="M713" s="1432"/>
      <c r="N713" s="1432"/>
      <c r="O713" s="1432"/>
      <c r="P713" s="3" t="s">
        <v>1089</v>
      </c>
      <c r="Q713" s="3"/>
      <c r="R713" s="1445"/>
      <c r="S713" s="1445"/>
      <c r="T713" s="144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99"/>
      <c r="C714" s="99"/>
      <c r="D714" s="921" t="s">
        <v>1477</v>
      </c>
      <c r="W714" s="1379" t="s">
        <v>348</v>
      </c>
      <c r="X714" s="1379"/>
      <c r="Y714" s="1379"/>
      <c r="Z714" s="1379"/>
      <c r="AA714" s="1379"/>
      <c r="AB714" s="1379"/>
      <c r="AC714" s="1379"/>
      <c r="AD714" s="1379"/>
      <c r="AE714" s="1379"/>
      <c r="AF714" s="1379"/>
      <c r="AG714" s="1379"/>
      <c r="AH714" s="1379"/>
      <c r="AI714" s="1379"/>
      <c r="AJ714" s="1379"/>
      <c r="AK714" s="1379"/>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99"/>
      <c r="C715" s="99"/>
      <c r="D715" s="921"/>
      <c r="E715" s="1379" t="s">
        <v>1370</v>
      </c>
      <c r="F715" s="1379"/>
      <c r="G715" s="1379"/>
      <c r="H715" s="1379"/>
      <c r="I715" s="1379"/>
      <c r="J715" s="1379"/>
      <c r="K715" s="1379"/>
      <c r="L715" s="1379"/>
      <c r="M715" s="1379"/>
      <c r="N715" s="1379"/>
      <c r="O715" s="1379"/>
      <c r="P715" s="1379"/>
      <c r="Q715" s="1379"/>
      <c r="R715" s="1379"/>
      <c r="S715" s="1379"/>
      <c r="T715" s="1379"/>
      <c r="U715" s="1379"/>
      <c r="V715" s="1379"/>
      <c r="W715" s="1379"/>
      <c r="X715" s="1379"/>
      <c r="Y715" s="1379"/>
      <c r="Z715" s="1379"/>
      <c r="AA715" s="1379"/>
      <c r="AB715" s="1379"/>
      <c r="AC715" s="1379"/>
      <c r="AD715" s="1379"/>
      <c r="AE715" s="1379"/>
      <c r="AF715" s="1379"/>
      <c r="AG715" s="1379"/>
      <c r="AH715" s="1379"/>
      <c r="AI715" s="1379"/>
      <c r="AJ715" s="1379"/>
      <c r="AK715" s="1379"/>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51" t="s">
        <v>1478</v>
      </c>
      <c r="B717" s="1251"/>
      <c r="C717" s="1251"/>
      <c r="D717" s="1251"/>
      <c r="E717" s="1251"/>
      <c r="F717" s="1251"/>
      <c r="G717" s="1251"/>
      <c r="H717" s="1251"/>
      <c r="I717" s="1251"/>
      <c r="J717" s="1251"/>
      <c r="K717" s="1251"/>
      <c r="L717" s="1251"/>
      <c r="M717" s="1251"/>
      <c r="N717" s="1251"/>
      <c r="O717" s="1251"/>
      <c r="P717" s="1251"/>
      <c r="Q717" s="1251"/>
      <c r="R717" s="1251"/>
      <c r="S717" s="1251"/>
      <c r="T717" s="1251"/>
      <c r="U717" s="1251"/>
      <c r="V717" s="1251"/>
      <c r="W717" s="1251"/>
      <c r="X717" s="1251"/>
      <c r="Y717" s="1251"/>
      <c r="Z717" s="1251"/>
      <c r="AA717" s="1251"/>
      <c r="AB717" s="1251"/>
      <c r="AC717" s="1251"/>
      <c r="AD717" s="1251"/>
      <c r="AE717" s="1251"/>
      <c r="AF717" s="1251"/>
      <c r="AG717" s="1251"/>
      <c r="AH717" s="1251"/>
      <c r="AI717" s="1251"/>
      <c r="AJ717" s="1251"/>
      <c r="AK717" s="1251"/>
      <c r="AL717" s="1251"/>
      <c r="AM717" s="1251"/>
      <c r="AN717" s="1251"/>
      <c r="AO717" s="1251"/>
      <c r="AP717" s="1251"/>
      <c r="AQ717" s="1251"/>
      <c r="AR717" s="1251"/>
      <c r="AS717" s="1251"/>
      <c r="AT717" s="1251"/>
      <c r="AZ717" s="3" t="s">
        <v>846</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51"/>
      <c r="B718" s="1251"/>
      <c r="C718" s="1251"/>
      <c r="D718" s="1251"/>
      <c r="E718" s="1251"/>
      <c r="F718" s="1251"/>
      <c r="G718" s="1251"/>
      <c r="H718" s="1251"/>
      <c r="I718" s="1251"/>
      <c r="J718" s="1251"/>
      <c r="K718" s="1251"/>
      <c r="L718" s="1251"/>
      <c r="M718" s="1251"/>
      <c r="N718" s="1251"/>
      <c r="O718" s="1251"/>
      <c r="P718" s="1251"/>
      <c r="Q718" s="1251"/>
      <c r="R718" s="1251"/>
      <c r="S718" s="1251"/>
      <c r="T718" s="1251"/>
      <c r="U718" s="1251"/>
      <c r="V718" s="1251"/>
      <c r="W718" s="1251"/>
      <c r="X718" s="1251"/>
      <c r="Y718" s="1251"/>
      <c r="Z718" s="1251"/>
      <c r="AA718" s="1251"/>
      <c r="AB718" s="1251"/>
      <c r="AC718" s="1251"/>
      <c r="AD718" s="1251"/>
      <c r="AE718" s="1251"/>
      <c r="AF718" s="1251"/>
      <c r="AG718" s="1251"/>
      <c r="AH718" s="1251"/>
      <c r="AI718" s="1251"/>
      <c r="AJ718" s="1251"/>
      <c r="AK718" s="1251"/>
      <c r="AL718" s="1251"/>
      <c r="AM718" s="1251"/>
      <c r="AN718" s="1251"/>
      <c r="AO718" s="1251"/>
      <c r="AP718" s="1251"/>
      <c r="AQ718" s="1251"/>
      <c r="AR718" s="1251"/>
      <c r="AS718" s="1251"/>
      <c r="AT718" s="1251"/>
      <c r="AZ718" s="3" t="s">
        <v>847</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51"/>
      <c r="B719" s="1251"/>
      <c r="C719" s="1251"/>
      <c r="D719" s="1251"/>
      <c r="E719" s="1251"/>
      <c r="F719" s="1251"/>
      <c r="G719" s="1251"/>
      <c r="H719" s="1251"/>
      <c r="I719" s="1251"/>
      <c r="J719" s="1251"/>
      <c r="K719" s="1251"/>
      <c r="L719" s="1251"/>
      <c r="M719" s="1251"/>
      <c r="N719" s="1251"/>
      <c r="O719" s="1251"/>
      <c r="P719" s="1251"/>
      <c r="Q719" s="1251"/>
      <c r="R719" s="1251"/>
      <c r="S719" s="1251"/>
      <c r="T719" s="1251"/>
      <c r="U719" s="1251"/>
      <c r="V719" s="1251"/>
      <c r="W719" s="1251"/>
      <c r="X719" s="1251"/>
      <c r="Y719" s="1251"/>
      <c r="Z719" s="1251"/>
      <c r="AA719" s="1251"/>
      <c r="AB719" s="1251"/>
      <c r="AC719" s="1251"/>
      <c r="AD719" s="1251"/>
      <c r="AE719" s="1251"/>
      <c r="AF719" s="1251"/>
      <c r="AG719" s="1251"/>
      <c r="AH719" s="1251"/>
      <c r="AI719" s="1251"/>
      <c r="AJ719" s="1251"/>
      <c r="AK719" s="1251"/>
      <c r="AL719" s="1251"/>
      <c r="AM719" s="1251"/>
      <c r="AN719" s="1251"/>
      <c r="AO719" s="1251"/>
      <c r="AP719" s="1251"/>
      <c r="AQ719" s="1251"/>
      <c r="AR719" s="1251"/>
      <c r="AS719" s="1251"/>
      <c r="AT719" s="1251"/>
      <c r="AZ719" s="3" t="s">
        <v>848</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887</v>
      </c>
      <c r="B720" s="2"/>
      <c r="C720" s="2" t="s">
        <v>1479</v>
      </c>
      <c r="AZ720" s="3" t="s">
        <v>849</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412"/>
      <c r="C721" s="2"/>
      <c r="AZ721" s="3" t="s">
        <v>850</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542" t="s">
        <v>1480</v>
      </c>
      <c r="C722" s="1543"/>
      <c r="D722" s="1543"/>
      <c r="E722" s="1543"/>
      <c r="F722" s="1544"/>
      <c r="G722" s="1542" t="s">
        <v>1481</v>
      </c>
      <c r="H722" s="1543"/>
      <c r="I722" s="1543"/>
      <c r="J722" s="1544"/>
      <c r="K722" s="1551" t="s">
        <v>1482</v>
      </c>
      <c r="L722" s="1552"/>
      <c r="M722" s="1552"/>
      <c r="N722" s="1553"/>
      <c r="O722" s="1542" t="s">
        <v>1483</v>
      </c>
      <c r="P722" s="1543"/>
      <c r="Q722" s="1543"/>
      <c r="R722" s="1543"/>
      <c r="S722" s="1544"/>
      <c r="T722" s="1542" t="s">
        <v>1484</v>
      </c>
      <c r="U722" s="1543"/>
      <c r="V722" s="1543"/>
      <c r="W722" s="1544"/>
      <c r="X722" s="1542" t="s">
        <v>1485</v>
      </c>
      <c r="Y722" s="1543"/>
      <c r="Z722" s="1543"/>
      <c r="AA722" s="1543"/>
      <c r="AB722" s="1544"/>
      <c r="AC722" s="1542" t="s">
        <v>1486</v>
      </c>
      <c r="AD722" s="1543"/>
      <c r="AE722" s="1543"/>
      <c r="AF722" s="1543"/>
      <c r="AG722" s="1544"/>
      <c r="AH722" s="1542" t="s">
        <v>1487</v>
      </c>
      <c r="AI722" s="1543"/>
      <c r="AJ722" s="1544"/>
      <c r="AK722" s="1542" t="s">
        <v>1488</v>
      </c>
      <c r="AL722" s="1543"/>
      <c r="AM722" s="1543"/>
      <c r="AN722" s="1543"/>
      <c r="AO722" s="1544"/>
      <c r="AP722" s="3"/>
      <c r="AQ722" s="3"/>
      <c r="AR722" s="3"/>
      <c r="AS722" s="3"/>
      <c r="AZ722" s="3" t="s">
        <v>851</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545"/>
      <c r="C723" s="1546"/>
      <c r="D723" s="1546"/>
      <c r="E723" s="1546"/>
      <c r="F723" s="1547"/>
      <c r="G723" s="1545"/>
      <c r="H723" s="1546"/>
      <c r="I723" s="1546"/>
      <c r="J723" s="1547"/>
      <c r="K723" s="1554"/>
      <c r="L723" s="1555"/>
      <c r="M723" s="1555"/>
      <c r="N723" s="1556"/>
      <c r="O723" s="1545"/>
      <c r="P723" s="1546"/>
      <c r="Q723" s="1546"/>
      <c r="R723" s="1546"/>
      <c r="S723" s="1547"/>
      <c r="T723" s="1545"/>
      <c r="U723" s="1546"/>
      <c r="V723" s="1546"/>
      <c r="W723" s="1547"/>
      <c r="X723" s="1545"/>
      <c r="Y723" s="1546"/>
      <c r="Z723" s="1546"/>
      <c r="AA723" s="1546"/>
      <c r="AB723" s="1547"/>
      <c r="AC723" s="1545"/>
      <c r="AD723" s="1546"/>
      <c r="AE723" s="1546"/>
      <c r="AF723" s="1546"/>
      <c r="AG723" s="1547"/>
      <c r="AH723" s="1545"/>
      <c r="AI723" s="1546"/>
      <c r="AJ723" s="1547"/>
      <c r="AK723" s="1545"/>
      <c r="AL723" s="1546"/>
      <c r="AM723" s="1546"/>
      <c r="AN723" s="1546"/>
      <c r="AO723" s="154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3"/>
      <c r="B724" s="1545"/>
      <c r="C724" s="1546"/>
      <c r="D724" s="1546"/>
      <c r="E724" s="1546"/>
      <c r="F724" s="1547"/>
      <c r="G724" s="1545"/>
      <c r="H724" s="1546"/>
      <c r="I724" s="1546"/>
      <c r="J724" s="1547"/>
      <c r="K724" s="1554"/>
      <c r="L724" s="1555"/>
      <c r="M724" s="1555"/>
      <c r="N724" s="1556"/>
      <c r="O724" s="1545"/>
      <c r="P724" s="1546"/>
      <c r="Q724" s="1546"/>
      <c r="R724" s="1546"/>
      <c r="S724" s="1547"/>
      <c r="T724" s="1545"/>
      <c r="U724" s="1546"/>
      <c r="V724" s="1546"/>
      <c r="W724" s="1547"/>
      <c r="X724" s="1545"/>
      <c r="Y724" s="1546"/>
      <c r="Z724" s="1546"/>
      <c r="AA724" s="1546"/>
      <c r="AB724" s="1547"/>
      <c r="AC724" s="1545"/>
      <c r="AD724" s="1546"/>
      <c r="AE724" s="1546"/>
      <c r="AF724" s="1546"/>
      <c r="AG724" s="1547"/>
      <c r="AH724" s="1545"/>
      <c r="AI724" s="1546"/>
      <c r="AJ724" s="1547"/>
      <c r="AK724" s="1545"/>
      <c r="AL724" s="1546"/>
      <c r="AM724" s="1546"/>
      <c r="AN724" s="1546"/>
      <c r="AO724" s="1547"/>
      <c r="AP724" s="3"/>
      <c r="AQ724" s="3"/>
      <c r="AR724" s="3"/>
      <c r="AS724" s="3"/>
      <c r="BA724" s="3"/>
      <c r="BB724" s="3"/>
      <c r="BC724" s="3"/>
      <c r="BD724" s="3"/>
      <c r="BE724" s="136"/>
      <c r="BF724" s="137" t="s">
        <v>1489</v>
      </c>
      <c r="BG724" s="136"/>
      <c r="BH724" s="136"/>
      <c r="BI724" s="3"/>
      <c r="BJ724" s="3"/>
      <c r="BK724" s="3"/>
      <c r="BL724" s="3"/>
      <c r="BM724" s="3"/>
      <c r="BN724" s="3"/>
      <c r="BS724" s="137" t="s">
        <v>1490</v>
      </c>
      <c r="BT724" s="136"/>
      <c r="BU724" s="136"/>
      <c r="CC724" s="3"/>
      <c r="CD724" s="3"/>
      <c r="CE724" s="3"/>
      <c r="CF724" s="3"/>
      <c r="CG724" s="3"/>
      <c r="CH724" s="3"/>
      <c r="CI724" s="3"/>
      <c r="CJ724" s="3"/>
      <c r="CK724" s="3"/>
      <c r="CL724" s="3"/>
      <c r="CM724" s="3"/>
      <c r="CN724" s="3"/>
      <c r="CO724" s="3"/>
      <c r="CP724" s="3" t="s">
        <v>1491</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1492</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1493</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3"/>
      <c r="B725" s="1548"/>
      <c r="C725" s="1549"/>
      <c r="D725" s="1549"/>
      <c r="E725" s="1549"/>
      <c r="F725" s="1550"/>
      <c r="G725" s="1548"/>
      <c r="H725" s="1549"/>
      <c r="I725" s="1549"/>
      <c r="J725" s="1550"/>
      <c r="K725" s="1554"/>
      <c r="L725" s="1555"/>
      <c r="M725" s="1555"/>
      <c r="N725" s="1556"/>
      <c r="O725" s="1548"/>
      <c r="P725" s="1549"/>
      <c r="Q725" s="1549"/>
      <c r="R725" s="1549"/>
      <c r="S725" s="1550"/>
      <c r="T725" s="1548"/>
      <c r="U725" s="1549"/>
      <c r="V725" s="1549"/>
      <c r="W725" s="1550"/>
      <c r="X725" s="1548"/>
      <c r="Y725" s="1549"/>
      <c r="Z725" s="1549"/>
      <c r="AA725" s="1549"/>
      <c r="AB725" s="1550"/>
      <c r="AC725" s="1548"/>
      <c r="AD725" s="1549"/>
      <c r="AE725" s="1549"/>
      <c r="AF725" s="1549"/>
      <c r="AG725" s="1550"/>
      <c r="AH725" s="1548"/>
      <c r="AI725" s="1549"/>
      <c r="AJ725" s="1550"/>
      <c r="AK725" s="1548"/>
      <c r="AL725" s="1549"/>
      <c r="AM725" s="1549"/>
      <c r="AN725" s="1549"/>
      <c r="AO725" s="1550"/>
      <c r="AP725" s="3"/>
      <c r="AQ725" s="3"/>
      <c r="AR725" s="3"/>
      <c r="AS725" s="3"/>
      <c r="AZ725" s="73" t="s">
        <v>1494</v>
      </c>
      <c r="BA725" s="3"/>
      <c r="BB725" s="3"/>
      <c r="BC725" s="3"/>
      <c r="BD725" s="3"/>
      <c r="BE725" s="136"/>
      <c r="BF725" s="201" t="s">
        <v>1495</v>
      </c>
      <c r="BG725" s="205" t="s">
        <v>1496</v>
      </c>
      <c r="BH725" s="204" t="s">
        <v>1497</v>
      </c>
      <c r="BI725" s="3"/>
      <c r="BJ725" s="3"/>
      <c r="BK725" s="3"/>
      <c r="BL725" s="3"/>
      <c r="BM725" s="3"/>
      <c r="BN725" s="3"/>
      <c r="BS725" s="201" t="s">
        <v>1495</v>
      </c>
      <c r="BT725" s="205" t="s">
        <v>1496</v>
      </c>
      <c r="BU725" s="204" t="s">
        <v>1497</v>
      </c>
      <c r="CC725" s="3"/>
      <c r="CD725" s="3"/>
      <c r="CE725" s="3"/>
      <c r="CF725" s="3"/>
      <c r="CG725" s="87" t="s">
        <v>1498</v>
      </c>
      <c r="CH725" s="88"/>
      <c r="CI725" s="1319"/>
      <c r="CJ725" s="1321"/>
      <c r="CK725" s="87" t="s">
        <v>1499</v>
      </c>
      <c r="CL725" s="88"/>
      <c r="CM725" s="1319"/>
      <c r="CN725" s="1321"/>
      <c r="CO725" s="3"/>
      <c r="CP725" s="1642" t="s">
        <v>852</v>
      </c>
      <c r="CQ725" s="1643"/>
      <c r="CR725" s="1643"/>
      <c r="CS725" s="1643"/>
      <c r="CT725" s="1644"/>
      <c r="CU725" s="1355" t="s">
        <v>847</v>
      </c>
      <c r="CV725" s="1355"/>
      <c r="CW725" s="1355"/>
      <c r="CX725" s="1355"/>
      <c r="CY725" s="1355"/>
      <c r="CZ725" s="1355" t="s">
        <v>848</v>
      </c>
      <c r="DA725" s="1355"/>
      <c r="DB725" s="1355"/>
      <c r="DC725" s="1355"/>
      <c r="DD725" s="1355"/>
      <c r="DE725" s="1355" t="s">
        <v>849</v>
      </c>
      <c r="DF725" s="1355"/>
      <c r="DG725" s="1355"/>
      <c r="DH725" s="1355"/>
      <c r="DI725" s="1355"/>
      <c r="DJ725" s="1355" t="s">
        <v>853</v>
      </c>
      <c r="DK725" s="1355"/>
      <c r="DL725" s="1355"/>
      <c r="DM725" s="1355"/>
      <c r="DN725" s="1355"/>
      <c r="DO725" s="1355" t="s">
        <v>851</v>
      </c>
      <c r="DP725" s="1355"/>
      <c r="DQ725" s="1355"/>
      <c r="DR725" s="1355"/>
      <c r="DS725" s="1355"/>
      <c r="DT725" s="65"/>
      <c r="DU725" s="1355" t="s">
        <v>852</v>
      </c>
      <c r="DV725" s="1355"/>
      <c r="DW725" s="1355"/>
      <c r="DX725" s="1355"/>
      <c r="DY725" s="1355"/>
      <c r="DZ725" s="1355" t="s">
        <v>847</v>
      </c>
      <c r="EA725" s="1355"/>
      <c r="EB725" s="1355"/>
      <c r="EC725" s="1355"/>
      <c r="ED725" s="1355"/>
      <c r="EE725" s="1355" t="s">
        <v>848</v>
      </c>
      <c r="EF725" s="1355"/>
      <c r="EG725" s="1355"/>
      <c r="EH725" s="1355"/>
      <c r="EI725" s="1355"/>
      <c r="EJ725" s="1355" t="s">
        <v>849</v>
      </c>
      <c r="EK725" s="1355"/>
      <c r="EL725" s="1355"/>
      <c r="EM725" s="1355"/>
      <c r="EN725" s="1355"/>
      <c r="EO725" s="1355" t="s">
        <v>853</v>
      </c>
      <c r="EP725" s="1355"/>
      <c r="EQ725" s="1355"/>
      <c r="ER725" s="1355"/>
      <c r="ES725" s="1355"/>
      <c r="ET725" s="1355" t="s">
        <v>851</v>
      </c>
      <c r="EU725" s="1355"/>
      <c r="EV725" s="1355"/>
      <c r="EW725" s="1355"/>
      <c r="EX725" s="1355"/>
      <c r="EY725" s="3"/>
      <c r="EZ725" s="1355" t="s">
        <v>852</v>
      </c>
      <c r="FA725" s="1355"/>
      <c r="FB725" s="1355"/>
      <c r="FC725" s="1355"/>
      <c r="FD725" s="1355"/>
      <c r="FE725" s="1355" t="s">
        <v>847</v>
      </c>
      <c r="FF725" s="1355"/>
      <c r="FG725" s="1355"/>
      <c r="FH725" s="1355"/>
      <c r="FI725" s="1355"/>
      <c r="FJ725" s="1355" t="s">
        <v>848</v>
      </c>
      <c r="FK725" s="1355"/>
      <c r="FL725" s="1355"/>
      <c r="FM725" s="1355"/>
      <c r="FN725" s="1355"/>
      <c r="FO725" s="1355" t="s">
        <v>849</v>
      </c>
      <c r="FP725" s="1355"/>
      <c r="FQ725" s="1355"/>
      <c r="FR725" s="1355"/>
      <c r="FS725" s="1355"/>
      <c r="FT725" s="1355" t="s">
        <v>853</v>
      </c>
      <c r="FU725" s="1355"/>
      <c r="FV725" s="1355"/>
      <c r="FW725" s="1355"/>
      <c r="FX725" s="1355"/>
      <c r="FY725" s="1355" t="s">
        <v>851</v>
      </c>
      <c r="FZ725" s="1355"/>
      <c r="GA725" s="1355"/>
      <c r="GB725" s="1355"/>
      <c r="GC725" s="1355"/>
    </row>
    <row r="726" spans="1:185" ht="13" customHeight="1">
      <c r="A726" s="3"/>
      <c r="B726" s="1333" t="s">
        <v>847</v>
      </c>
      <c r="C726" s="1334"/>
      <c r="D726" s="1334"/>
      <c r="E726" s="1334"/>
      <c r="F726" s="1335"/>
      <c r="G726" s="1342">
        <v>5</v>
      </c>
      <c r="H726" s="1343"/>
      <c r="I726" s="1343"/>
      <c r="J726" s="1344"/>
      <c r="K726" s="1533">
        <v>600</v>
      </c>
      <c r="L726" s="1534"/>
      <c r="M726" s="1534"/>
      <c r="N726" s="1535"/>
      <c r="O726" s="1349">
        <v>2456</v>
      </c>
      <c r="P726" s="1350"/>
      <c r="Q726" s="1350"/>
      <c r="R726" s="1350"/>
      <c r="S726" s="1351"/>
      <c r="T726" s="1349">
        <v>62</v>
      </c>
      <c r="U726" s="1350"/>
      <c r="V726" s="1350"/>
      <c r="W726" s="1351"/>
      <c r="X726" s="1336">
        <f t="shared" ref="X726:X749" si="10">O726+T726</f>
        <v>2518</v>
      </c>
      <c r="Y726" s="1337"/>
      <c r="Z726" s="1337"/>
      <c r="AA726" s="1337"/>
      <c r="AB726" s="1338"/>
      <c r="AC726" s="1346">
        <v>0.7</v>
      </c>
      <c r="AD726" s="1347"/>
      <c r="AE726" s="1347"/>
      <c r="AF726" s="1347"/>
      <c r="AG726" s="1348"/>
      <c r="AH726" s="1339">
        <f>IF($AC726&gt;0,($X726/$AZ726), "")</f>
        <v>0.66825902335456477</v>
      </c>
      <c r="AI726" s="1340"/>
      <c r="AJ726" s="1341"/>
      <c r="AK726" s="1333" t="s">
        <v>826</v>
      </c>
      <c r="AL726" s="1334"/>
      <c r="AM726" s="1334"/>
      <c r="AN726" s="1334"/>
      <c r="AO726" s="1335"/>
      <c r="AP726" s="3"/>
      <c r="AQ726" s="3"/>
      <c r="AR726" s="3"/>
      <c r="AS726" s="3"/>
      <c r="AZ726" s="84">
        <f t="shared" ref="AZ726:AZ760" si="11">IF($G726=0,"N/A",VLOOKUP($T$189,TC_Rent,(MATCH($B726,bedrooms,FALSE)),FALSE))</f>
        <v>3768</v>
      </c>
      <c r="BA726" s="3"/>
      <c r="BB726" s="3"/>
      <c r="BC726" s="3"/>
      <c r="BD726" s="3"/>
      <c r="BE726" s="136"/>
      <c r="BF726" s="202">
        <f t="shared" ref="BF726:BF760" si="12">G726</f>
        <v>5</v>
      </c>
      <c r="BG726" s="206">
        <f t="shared" ref="BG726:BG760" si="13">IF($BF$761=0,0,BF726/$BF$761)</f>
        <v>4.4642857142857144E-2</v>
      </c>
      <c r="BH726" s="207">
        <f t="shared" ref="BH726:BH760" si="14">IF(BG726=0,"",BG726*AC726)</f>
        <v>3.125E-2</v>
      </c>
      <c r="BI726" s="3"/>
      <c r="BJ726" s="3"/>
      <c r="BK726" s="3"/>
      <c r="BL726" s="3"/>
      <c r="BM726" s="3"/>
      <c r="BN726" s="3"/>
      <c r="BS726" s="202">
        <f t="shared" ref="BS726:BS760" si="15">G726</f>
        <v>5</v>
      </c>
      <c r="BT726" s="206">
        <f t="shared" ref="BT726:BT760" si="16">IF($BS$761=0,0,BS726/$BS$761)</f>
        <v>4.4642857142857144E-2</v>
      </c>
      <c r="BU726" s="207">
        <f t="shared" ref="BU726:BU760" si="17">IF(BT726=0,"",BT726*AH726)</f>
        <v>2.9832992114043069E-2</v>
      </c>
      <c r="CC726" s="3"/>
      <c r="CD726" s="3"/>
      <c r="CE726" s="3"/>
      <c r="CF726" s="3"/>
      <c r="CG726" s="1319">
        <f>IF(AND(AC726&lt;=0.5,AC726&gt;=0.36),1,0)</f>
        <v>0</v>
      </c>
      <c r="CH726" s="1321"/>
      <c r="CI726" s="1319">
        <f>IF(CG726=1,G726,0)</f>
        <v>0</v>
      </c>
      <c r="CJ726" s="1321"/>
      <c r="CK726" s="1319">
        <f t="shared" ref="CK726:CK760" si="18">IF(AND(AC726&lt;=0.35,AC726&gt;0),1,0)</f>
        <v>0</v>
      </c>
      <c r="CL726" s="1321"/>
      <c r="CM726" s="1319">
        <f t="shared" ref="CM726:CM760" si="19">IF(CK726=1,G726,0)</f>
        <v>0</v>
      </c>
      <c r="CN726" s="1321"/>
      <c r="CO726" s="3"/>
      <c r="CP726" s="1316">
        <f t="shared" ref="CP726:CP760" si="20">IF(B726="SRO/Studio",G726,0)</f>
        <v>0</v>
      </c>
      <c r="CQ726" s="1317"/>
      <c r="CR726" s="1317"/>
      <c r="CS726" s="1317"/>
      <c r="CT726" s="1318"/>
      <c r="CU726" s="1332">
        <f t="shared" ref="CU726:CU760" si="21">IF(B726="1 Bedroom",G726,0)</f>
        <v>5</v>
      </c>
      <c r="CV726" s="1332"/>
      <c r="CW726" s="1332"/>
      <c r="CX726" s="1332"/>
      <c r="CY726" s="1332"/>
      <c r="CZ726" s="1332">
        <f t="shared" ref="CZ726:CZ760" si="22">IF(B726="2 Bedrooms",G726,0)</f>
        <v>0</v>
      </c>
      <c r="DA726" s="1332"/>
      <c r="DB726" s="1332"/>
      <c r="DC726" s="1332"/>
      <c r="DD726" s="1332"/>
      <c r="DE726" s="1332">
        <f t="shared" ref="DE726:DE760" si="23">IF(B726="3 Bedrooms",G726,0)</f>
        <v>0</v>
      </c>
      <c r="DF726" s="1332"/>
      <c r="DG726" s="1332"/>
      <c r="DH726" s="1332"/>
      <c r="DI726" s="1332"/>
      <c r="DJ726" s="1332">
        <f t="shared" ref="DJ726:DJ760" si="24">IF(B726="4 Bedrooms",G726,0)</f>
        <v>0</v>
      </c>
      <c r="DK726" s="1332"/>
      <c r="DL726" s="1332"/>
      <c r="DM726" s="1332"/>
      <c r="DN726" s="1332"/>
      <c r="DO726" s="1332">
        <f t="shared" ref="DO726:DO760" si="25">IF(B726="5 Bedrooms",G726,0)</f>
        <v>0</v>
      </c>
      <c r="DP726" s="1332"/>
      <c r="DQ726" s="1332"/>
      <c r="DR726" s="1332"/>
      <c r="DS726" s="1332"/>
      <c r="DT726" s="257"/>
      <c r="DU726" s="1353">
        <f t="shared" ref="DU726:DU760" si="26">IF(AND(B726="SRO/Studio",AC726&lt;=0.3),G726,0)</f>
        <v>0</v>
      </c>
      <c r="DV726" s="1353"/>
      <c r="DW726" s="1353"/>
      <c r="DX726" s="1353"/>
      <c r="DY726" s="1353"/>
      <c r="DZ726" s="1353">
        <f t="shared" ref="DZ726:DZ760" si="27">IF(AND(B726="1 Bedroom",AC726&lt;=0.3),G726,0)</f>
        <v>0</v>
      </c>
      <c r="EA726" s="1353"/>
      <c r="EB726" s="1353"/>
      <c r="EC726" s="1353"/>
      <c r="ED726" s="1353"/>
      <c r="EE726" s="1353">
        <f t="shared" ref="EE726:EE760" si="28">IF(AND(B726="2 Bedrooms",AC726&lt;=0.3),G726,0)</f>
        <v>0</v>
      </c>
      <c r="EF726" s="1353"/>
      <c r="EG726" s="1353"/>
      <c r="EH726" s="1353"/>
      <c r="EI726" s="1353"/>
      <c r="EJ726" s="1353">
        <f t="shared" ref="EJ726:EJ760" si="29">IF(AND(B726="3 Bedrooms",AC726&lt;=0.3),G726,0)</f>
        <v>0</v>
      </c>
      <c r="EK726" s="1353"/>
      <c r="EL726" s="1353"/>
      <c r="EM726" s="1353"/>
      <c r="EN726" s="1353"/>
      <c r="EO726" s="1353">
        <f t="shared" ref="EO726:EO760" si="30">IF(AND(B726="4 Bedrooms",AC726&lt;=0.3),G726,0)</f>
        <v>0</v>
      </c>
      <c r="EP726" s="1353"/>
      <c r="EQ726" s="1353"/>
      <c r="ER726" s="1353"/>
      <c r="ES726" s="1353"/>
      <c r="ET726" s="1353">
        <f t="shared" ref="ET726:ET760" si="31">IF(AND(B726="5 Bedrooms",AC726&lt;=0.3),G726,0)</f>
        <v>0</v>
      </c>
      <c r="EU726" s="1353"/>
      <c r="EV726" s="1353"/>
      <c r="EW726" s="1353"/>
      <c r="EX726" s="1353"/>
      <c r="EY726" s="3"/>
      <c r="EZ726" s="1319" t="str">
        <f t="shared" ref="EZ726:EZ760" si="32">IF(CP726&gt;0,O726,"")</f>
        <v/>
      </c>
      <c r="FA726" s="1320"/>
      <c r="FB726" s="1320"/>
      <c r="FC726" s="1320"/>
      <c r="FD726" s="1321"/>
      <c r="FE726" s="1319">
        <f t="shared" ref="FE726:FE760" si="33">IF(CU726&gt;0,O726,"")</f>
        <v>2456</v>
      </c>
      <c r="FF726" s="1320"/>
      <c r="FG726" s="1320"/>
      <c r="FH726" s="1320"/>
      <c r="FI726" s="1321"/>
      <c r="FJ726" s="1319" t="str">
        <f t="shared" ref="FJ726:FJ760" si="34">IF(CZ726&gt;0,O726,"")</f>
        <v/>
      </c>
      <c r="FK726" s="1320"/>
      <c r="FL726" s="1320"/>
      <c r="FM726" s="1320"/>
      <c r="FN726" s="1321"/>
      <c r="FO726" s="1319" t="str">
        <f t="shared" ref="FO726:FO760" si="35">IF(DE726&gt;0,O726,"")</f>
        <v/>
      </c>
      <c r="FP726" s="1320"/>
      <c r="FQ726" s="1320"/>
      <c r="FR726" s="1320"/>
      <c r="FS726" s="1321"/>
      <c r="FT726" s="1319" t="str">
        <f t="shared" ref="FT726:FT760" si="36">IF(DJ726&gt;0,O726,"")</f>
        <v/>
      </c>
      <c r="FU726" s="1320"/>
      <c r="FV726" s="1320"/>
      <c r="FW726" s="1320"/>
      <c r="FX726" s="1321"/>
      <c r="FY726" s="1319" t="str">
        <f t="shared" ref="FY726:FY760" si="37">IF(DO726&gt;0,O726,"")</f>
        <v/>
      </c>
      <c r="FZ726" s="1320"/>
      <c r="GA726" s="1320"/>
      <c r="GB726" s="1320"/>
      <c r="GC726" s="1321"/>
    </row>
    <row r="727" spans="1:185" ht="13" customHeight="1">
      <c r="A727" s="3"/>
      <c r="B727" s="1333" t="s">
        <v>847</v>
      </c>
      <c r="C727" s="1334"/>
      <c r="D727" s="1334"/>
      <c r="E727" s="1334"/>
      <c r="F727" s="1335"/>
      <c r="G727" s="1342">
        <v>4</v>
      </c>
      <c r="H727" s="1343"/>
      <c r="I727" s="1343"/>
      <c r="J727" s="1344"/>
      <c r="K727" s="1533">
        <v>600</v>
      </c>
      <c r="L727" s="1534"/>
      <c r="M727" s="1534"/>
      <c r="N727" s="1535"/>
      <c r="O727" s="1349">
        <v>2198</v>
      </c>
      <c r="P727" s="1350"/>
      <c r="Q727" s="1350"/>
      <c r="R727" s="1350"/>
      <c r="S727" s="1351"/>
      <c r="T727" s="1349">
        <v>62</v>
      </c>
      <c r="U727" s="1350"/>
      <c r="V727" s="1350"/>
      <c r="W727" s="1351"/>
      <c r="X727" s="1336">
        <f t="shared" si="10"/>
        <v>2260</v>
      </c>
      <c r="Y727" s="1337"/>
      <c r="Z727" s="1337"/>
      <c r="AA727" s="1337"/>
      <c r="AB727" s="1338"/>
      <c r="AC727" s="1346">
        <v>0.6</v>
      </c>
      <c r="AD727" s="1347"/>
      <c r="AE727" s="1347"/>
      <c r="AF727" s="1347"/>
      <c r="AG727" s="1348"/>
      <c r="AH727" s="1339">
        <f t="shared" ref="AH727:AH760" si="38">IF($AC727&gt;0,($X727/$AZ727), "")</f>
        <v>0.5997876857749469</v>
      </c>
      <c r="AI727" s="1340"/>
      <c r="AJ727" s="1341"/>
      <c r="AK727" s="1333" t="s">
        <v>826</v>
      </c>
      <c r="AL727" s="1334"/>
      <c r="AM727" s="1334"/>
      <c r="AN727" s="1334"/>
      <c r="AO727" s="1335"/>
      <c r="AP727" s="3"/>
      <c r="AQ727" s="3"/>
      <c r="AR727" s="3"/>
      <c r="AS727" s="3"/>
      <c r="AZ727" s="84">
        <f t="shared" si="11"/>
        <v>3768</v>
      </c>
      <c r="BA727" s="3"/>
      <c r="BB727" s="3"/>
      <c r="BC727" s="3"/>
      <c r="BD727" s="3"/>
      <c r="BE727" s="136"/>
      <c r="BF727" s="203">
        <f t="shared" si="12"/>
        <v>4</v>
      </c>
      <c r="BG727" s="206">
        <f t="shared" si="13"/>
        <v>3.5714285714285712E-2</v>
      </c>
      <c r="BH727" s="207">
        <f t="shared" si="14"/>
        <v>2.1428571428571425E-2</v>
      </c>
      <c r="BI727" s="3"/>
      <c r="BJ727" s="3"/>
      <c r="BK727" s="3"/>
      <c r="BL727" s="3"/>
      <c r="BM727" s="3"/>
      <c r="BN727" s="3"/>
      <c r="BS727" s="203">
        <f t="shared" si="15"/>
        <v>4</v>
      </c>
      <c r="BT727" s="206">
        <f t="shared" si="16"/>
        <v>3.5714285714285712E-2</v>
      </c>
      <c r="BU727" s="207">
        <f t="shared" si="17"/>
        <v>2.1420988777676675E-2</v>
      </c>
      <c r="CC727" s="3"/>
      <c r="CD727" s="3"/>
      <c r="CE727" s="3"/>
      <c r="CF727" s="3"/>
      <c r="CG727" s="1319">
        <f t="shared" ref="CG727:CG760" si="39">IF(AND(AC727&lt;=0.5,AC727&gt;=0.36),1,0)</f>
        <v>0</v>
      </c>
      <c r="CH727" s="1321"/>
      <c r="CI727" s="1319">
        <f t="shared" ref="CI727:CI760" si="40">IF(CG727=1,G727,0)</f>
        <v>0</v>
      </c>
      <c r="CJ727" s="1321"/>
      <c r="CK727" s="1319">
        <f t="shared" si="18"/>
        <v>0</v>
      </c>
      <c r="CL727" s="1321"/>
      <c r="CM727" s="1319">
        <f t="shared" si="19"/>
        <v>0</v>
      </c>
      <c r="CN727" s="1321"/>
      <c r="CO727" s="3"/>
      <c r="CP727" s="1316">
        <f t="shared" si="20"/>
        <v>0</v>
      </c>
      <c r="CQ727" s="1317"/>
      <c r="CR727" s="1317"/>
      <c r="CS727" s="1317"/>
      <c r="CT727" s="1318"/>
      <c r="CU727" s="1332">
        <f t="shared" si="21"/>
        <v>4</v>
      </c>
      <c r="CV727" s="1332"/>
      <c r="CW727" s="1332"/>
      <c r="CX727" s="1332"/>
      <c r="CY727" s="1332"/>
      <c r="CZ727" s="1332">
        <f t="shared" si="22"/>
        <v>0</v>
      </c>
      <c r="DA727" s="1332"/>
      <c r="DB727" s="1332"/>
      <c r="DC727" s="1332"/>
      <c r="DD727" s="1332"/>
      <c r="DE727" s="1332">
        <f t="shared" si="23"/>
        <v>0</v>
      </c>
      <c r="DF727" s="1332"/>
      <c r="DG727" s="1332"/>
      <c r="DH727" s="1332"/>
      <c r="DI727" s="1332"/>
      <c r="DJ727" s="1332">
        <f t="shared" si="24"/>
        <v>0</v>
      </c>
      <c r="DK727" s="1332"/>
      <c r="DL727" s="1332"/>
      <c r="DM727" s="1332"/>
      <c r="DN727" s="1332"/>
      <c r="DO727" s="1332">
        <f t="shared" si="25"/>
        <v>0</v>
      </c>
      <c r="DP727" s="1332"/>
      <c r="DQ727" s="1332"/>
      <c r="DR727" s="1332"/>
      <c r="DS727" s="1332"/>
      <c r="DT727" s="257"/>
      <c r="DU727" s="1353">
        <f t="shared" si="26"/>
        <v>0</v>
      </c>
      <c r="DV727" s="1353"/>
      <c r="DW727" s="1353"/>
      <c r="DX727" s="1353"/>
      <c r="DY727" s="1353"/>
      <c r="DZ727" s="1353">
        <f t="shared" si="27"/>
        <v>0</v>
      </c>
      <c r="EA727" s="1353"/>
      <c r="EB727" s="1353"/>
      <c r="EC727" s="1353"/>
      <c r="ED727" s="1353"/>
      <c r="EE727" s="1353">
        <f t="shared" si="28"/>
        <v>0</v>
      </c>
      <c r="EF727" s="1353"/>
      <c r="EG727" s="1353"/>
      <c r="EH727" s="1353"/>
      <c r="EI727" s="1353"/>
      <c r="EJ727" s="1353">
        <f t="shared" si="29"/>
        <v>0</v>
      </c>
      <c r="EK727" s="1353"/>
      <c r="EL727" s="1353"/>
      <c r="EM727" s="1353"/>
      <c r="EN727" s="1353"/>
      <c r="EO727" s="1353">
        <f t="shared" si="30"/>
        <v>0</v>
      </c>
      <c r="EP727" s="1353"/>
      <c r="EQ727" s="1353"/>
      <c r="ER727" s="1353"/>
      <c r="ES727" s="1353"/>
      <c r="ET727" s="1353">
        <f t="shared" si="31"/>
        <v>0</v>
      </c>
      <c r="EU727" s="1353"/>
      <c r="EV727" s="1353"/>
      <c r="EW727" s="1353"/>
      <c r="EX727" s="1353"/>
      <c r="EY727" s="3"/>
      <c r="EZ727" s="1319" t="str">
        <f t="shared" si="32"/>
        <v/>
      </c>
      <c r="FA727" s="1320"/>
      <c r="FB727" s="1320"/>
      <c r="FC727" s="1320"/>
      <c r="FD727" s="1321"/>
      <c r="FE727" s="1319">
        <f t="shared" si="33"/>
        <v>2198</v>
      </c>
      <c r="FF727" s="1320"/>
      <c r="FG727" s="1320"/>
      <c r="FH727" s="1320"/>
      <c r="FI727" s="1321"/>
      <c r="FJ727" s="1319" t="str">
        <f t="shared" si="34"/>
        <v/>
      </c>
      <c r="FK727" s="1320"/>
      <c r="FL727" s="1320"/>
      <c r="FM727" s="1320"/>
      <c r="FN727" s="1321"/>
      <c r="FO727" s="1319" t="str">
        <f t="shared" si="35"/>
        <v/>
      </c>
      <c r="FP727" s="1320"/>
      <c r="FQ727" s="1320"/>
      <c r="FR727" s="1320"/>
      <c r="FS727" s="1321"/>
      <c r="FT727" s="1319" t="str">
        <f t="shared" si="36"/>
        <v/>
      </c>
      <c r="FU727" s="1320"/>
      <c r="FV727" s="1320"/>
      <c r="FW727" s="1320"/>
      <c r="FX727" s="1321"/>
      <c r="FY727" s="1319" t="str">
        <f t="shared" si="37"/>
        <v/>
      </c>
      <c r="FZ727" s="1320"/>
      <c r="GA727" s="1320"/>
      <c r="GB727" s="1320"/>
      <c r="GC727" s="1321"/>
    </row>
    <row r="728" spans="1:185" ht="13" customHeight="1">
      <c r="A728" s="3"/>
      <c r="B728" s="1333" t="s">
        <v>847</v>
      </c>
      <c r="C728" s="1334"/>
      <c r="D728" s="1334"/>
      <c r="E728" s="1334"/>
      <c r="F728" s="1335"/>
      <c r="G728" s="1342">
        <v>3</v>
      </c>
      <c r="H728" s="1343"/>
      <c r="I728" s="1343"/>
      <c r="J728" s="1344"/>
      <c r="K728" s="1533">
        <v>600</v>
      </c>
      <c r="L728" s="1534"/>
      <c r="M728" s="1534"/>
      <c r="N728" s="1535"/>
      <c r="O728" s="1349">
        <v>1822</v>
      </c>
      <c r="P728" s="1350"/>
      <c r="Q728" s="1350"/>
      <c r="R728" s="1350"/>
      <c r="S728" s="1351"/>
      <c r="T728" s="1349">
        <v>62</v>
      </c>
      <c r="U728" s="1350"/>
      <c r="V728" s="1350"/>
      <c r="W728" s="1351"/>
      <c r="X728" s="1336">
        <f t="shared" si="10"/>
        <v>1884</v>
      </c>
      <c r="Y728" s="1337"/>
      <c r="Z728" s="1337"/>
      <c r="AA728" s="1337"/>
      <c r="AB728" s="1338"/>
      <c r="AC728" s="1346">
        <v>0.5</v>
      </c>
      <c r="AD728" s="1347"/>
      <c r="AE728" s="1347"/>
      <c r="AF728" s="1347"/>
      <c r="AG728" s="1348"/>
      <c r="AH728" s="1339">
        <f t="shared" si="38"/>
        <v>0.5</v>
      </c>
      <c r="AI728" s="1340"/>
      <c r="AJ728" s="1341"/>
      <c r="AK728" s="1333" t="s">
        <v>826</v>
      </c>
      <c r="AL728" s="1334"/>
      <c r="AM728" s="1334"/>
      <c r="AN728" s="1334"/>
      <c r="AO728" s="1335"/>
      <c r="AP728" s="3"/>
      <c r="AQ728" s="3"/>
      <c r="AR728" s="3"/>
      <c r="AS728" s="3"/>
      <c r="AZ728" s="84">
        <f t="shared" si="11"/>
        <v>3768</v>
      </c>
      <c r="BA728" s="3"/>
      <c r="BB728" s="3"/>
      <c r="BC728" s="3"/>
      <c r="BD728" s="3"/>
      <c r="BE728" s="136"/>
      <c r="BF728" s="203">
        <f t="shared" si="12"/>
        <v>3</v>
      </c>
      <c r="BG728" s="206">
        <f t="shared" si="13"/>
        <v>2.6785714285714284E-2</v>
      </c>
      <c r="BH728" s="207">
        <f t="shared" si="14"/>
        <v>1.3392857142857142E-2</v>
      </c>
      <c r="BI728" s="3"/>
      <c r="BJ728" s="3"/>
      <c r="BK728" s="3"/>
      <c r="BL728" s="3"/>
      <c r="BM728" s="3"/>
      <c r="BN728" s="3"/>
      <c r="BS728" s="203">
        <f t="shared" si="15"/>
        <v>3</v>
      </c>
      <c r="BT728" s="206">
        <f t="shared" si="16"/>
        <v>2.6785714285714284E-2</v>
      </c>
      <c r="BU728" s="207">
        <f t="shared" si="17"/>
        <v>1.3392857142857142E-2</v>
      </c>
      <c r="CC728" s="3"/>
      <c r="CD728" s="3"/>
      <c r="CE728" s="3"/>
      <c r="CF728" s="3"/>
      <c r="CG728" s="1319">
        <f t="shared" si="39"/>
        <v>1</v>
      </c>
      <c r="CH728" s="1321"/>
      <c r="CI728" s="1319">
        <f t="shared" si="40"/>
        <v>3</v>
      </c>
      <c r="CJ728" s="1321"/>
      <c r="CK728" s="1319">
        <f t="shared" si="18"/>
        <v>0</v>
      </c>
      <c r="CL728" s="1321"/>
      <c r="CM728" s="1319">
        <f t="shared" si="19"/>
        <v>0</v>
      </c>
      <c r="CN728" s="1321"/>
      <c r="CO728" s="3"/>
      <c r="CP728" s="1316">
        <f t="shared" si="20"/>
        <v>0</v>
      </c>
      <c r="CQ728" s="1317"/>
      <c r="CR728" s="1317"/>
      <c r="CS728" s="1317"/>
      <c r="CT728" s="1318"/>
      <c r="CU728" s="1332">
        <f t="shared" si="21"/>
        <v>3</v>
      </c>
      <c r="CV728" s="1332"/>
      <c r="CW728" s="1332"/>
      <c r="CX728" s="1332"/>
      <c r="CY728" s="1332"/>
      <c r="CZ728" s="1332">
        <f t="shared" si="22"/>
        <v>0</v>
      </c>
      <c r="DA728" s="1332"/>
      <c r="DB728" s="1332"/>
      <c r="DC728" s="1332"/>
      <c r="DD728" s="1332"/>
      <c r="DE728" s="1332">
        <f t="shared" si="23"/>
        <v>0</v>
      </c>
      <c r="DF728" s="1332"/>
      <c r="DG728" s="1332"/>
      <c r="DH728" s="1332"/>
      <c r="DI728" s="1332"/>
      <c r="DJ728" s="1332">
        <f t="shared" si="24"/>
        <v>0</v>
      </c>
      <c r="DK728" s="1332"/>
      <c r="DL728" s="1332"/>
      <c r="DM728" s="1332"/>
      <c r="DN728" s="1332"/>
      <c r="DO728" s="1332">
        <f t="shared" si="25"/>
        <v>0</v>
      </c>
      <c r="DP728" s="1332"/>
      <c r="DQ728" s="1332"/>
      <c r="DR728" s="1332"/>
      <c r="DS728" s="1332"/>
      <c r="DT728" s="257"/>
      <c r="DU728" s="1353">
        <f t="shared" si="26"/>
        <v>0</v>
      </c>
      <c r="DV728" s="1353"/>
      <c r="DW728" s="1353"/>
      <c r="DX728" s="1353"/>
      <c r="DY728" s="1353"/>
      <c r="DZ728" s="1353">
        <f t="shared" si="27"/>
        <v>0</v>
      </c>
      <c r="EA728" s="1353"/>
      <c r="EB728" s="1353"/>
      <c r="EC728" s="1353"/>
      <c r="ED728" s="1353"/>
      <c r="EE728" s="1353">
        <f t="shared" si="28"/>
        <v>0</v>
      </c>
      <c r="EF728" s="1353"/>
      <c r="EG728" s="1353"/>
      <c r="EH728" s="1353"/>
      <c r="EI728" s="1353"/>
      <c r="EJ728" s="1353">
        <f t="shared" si="29"/>
        <v>0</v>
      </c>
      <c r="EK728" s="1353"/>
      <c r="EL728" s="1353"/>
      <c r="EM728" s="1353"/>
      <c r="EN728" s="1353"/>
      <c r="EO728" s="1353">
        <f t="shared" si="30"/>
        <v>0</v>
      </c>
      <c r="EP728" s="1353"/>
      <c r="EQ728" s="1353"/>
      <c r="ER728" s="1353"/>
      <c r="ES728" s="1353"/>
      <c r="ET728" s="1353">
        <f t="shared" si="31"/>
        <v>0</v>
      </c>
      <c r="EU728" s="1353"/>
      <c r="EV728" s="1353"/>
      <c r="EW728" s="1353"/>
      <c r="EX728" s="1353"/>
      <c r="EZ728" s="1319" t="str">
        <f t="shared" si="32"/>
        <v/>
      </c>
      <c r="FA728" s="1320"/>
      <c r="FB728" s="1320"/>
      <c r="FC728" s="1320"/>
      <c r="FD728" s="1321"/>
      <c r="FE728" s="1319">
        <f t="shared" si="33"/>
        <v>1822</v>
      </c>
      <c r="FF728" s="1320"/>
      <c r="FG728" s="1320"/>
      <c r="FH728" s="1320"/>
      <c r="FI728" s="1321"/>
      <c r="FJ728" s="1319" t="str">
        <f t="shared" si="34"/>
        <v/>
      </c>
      <c r="FK728" s="1320"/>
      <c r="FL728" s="1320"/>
      <c r="FM728" s="1320"/>
      <c r="FN728" s="1321"/>
      <c r="FO728" s="1319" t="str">
        <f t="shared" si="35"/>
        <v/>
      </c>
      <c r="FP728" s="1320"/>
      <c r="FQ728" s="1320"/>
      <c r="FR728" s="1320"/>
      <c r="FS728" s="1321"/>
      <c r="FT728" s="1319" t="str">
        <f t="shared" si="36"/>
        <v/>
      </c>
      <c r="FU728" s="1320"/>
      <c r="FV728" s="1320"/>
      <c r="FW728" s="1320"/>
      <c r="FX728" s="1321"/>
      <c r="FY728" s="1319" t="str">
        <f t="shared" si="37"/>
        <v/>
      </c>
      <c r="FZ728" s="1320"/>
      <c r="GA728" s="1320"/>
      <c r="GB728" s="1320"/>
      <c r="GC728" s="1321"/>
    </row>
    <row r="729" spans="1:185" ht="13" customHeight="1">
      <c r="B729" s="1333" t="s">
        <v>847</v>
      </c>
      <c r="C729" s="1334"/>
      <c r="D729" s="1334"/>
      <c r="E729" s="1334"/>
      <c r="F729" s="1335"/>
      <c r="G729" s="1342">
        <v>3</v>
      </c>
      <c r="H729" s="1343"/>
      <c r="I729" s="1343"/>
      <c r="J729" s="1344"/>
      <c r="K729" s="1533">
        <v>600</v>
      </c>
      <c r="L729" s="1534"/>
      <c r="M729" s="1534"/>
      <c r="N729" s="1535"/>
      <c r="O729" s="1349">
        <v>1068</v>
      </c>
      <c r="P729" s="1350"/>
      <c r="Q729" s="1350"/>
      <c r="R729" s="1350"/>
      <c r="S729" s="1351"/>
      <c r="T729" s="1349">
        <v>62</v>
      </c>
      <c r="U729" s="1350"/>
      <c r="V729" s="1350"/>
      <c r="W729" s="1351"/>
      <c r="X729" s="1336">
        <f t="shared" si="10"/>
        <v>1130</v>
      </c>
      <c r="Y729" s="1337"/>
      <c r="Z729" s="1337"/>
      <c r="AA729" s="1337"/>
      <c r="AB729" s="1338"/>
      <c r="AC729" s="1346">
        <v>0.3</v>
      </c>
      <c r="AD729" s="1347"/>
      <c r="AE729" s="1347"/>
      <c r="AF729" s="1347"/>
      <c r="AG729" s="1348"/>
      <c r="AH729" s="1339">
        <f t="shared" si="38"/>
        <v>0.29989384288747345</v>
      </c>
      <c r="AI729" s="1340"/>
      <c r="AJ729" s="1341"/>
      <c r="AK729" s="1333" t="s">
        <v>826</v>
      </c>
      <c r="AL729" s="1334"/>
      <c r="AM729" s="1334"/>
      <c r="AN729" s="1334"/>
      <c r="AO729" s="1335"/>
      <c r="AP729" s="3"/>
      <c r="AQ729" s="3"/>
      <c r="AR729" s="3"/>
      <c r="AS729" s="3"/>
      <c r="AY729" s="85"/>
      <c r="AZ729" s="84">
        <f t="shared" si="11"/>
        <v>3768</v>
      </c>
      <c r="BA729" s="3"/>
      <c r="BB729" s="3"/>
      <c r="BC729" s="3"/>
      <c r="BD729" s="3"/>
      <c r="BE729" s="136"/>
      <c r="BF729" s="203">
        <f t="shared" si="12"/>
        <v>3</v>
      </c>
      <c r="BG729" s="206">
        <f t="shared" si="13"/>
        <v>2.6785714285714284E-2</v>
      </c>
      <c r="BH729" s="207">
        <f t="shared" si="14"/>
        <v>8.0357142857142849E-3</v>
      </c>
      <c r="BI729" s="3"/>
      <c r="BJ729" s="3"/>
      <c r="BK729" s="3"/>
      <c r="BL729" s="3"/>
      <c r="BM729" s="3"/>
      <c r="BN729" s="3"/>
      <c r="BS729" s="203">
        <f t="shared" si="15"/>
        <v>3</v>
      </c>
      <c r="BT729" s="206">
        <f t="shared" si="16"/>
        <v>2.6785714285714284E-2</v>
      </c>
      <c r="BU729" s="207">
        <f t="shared" si="17"/>
        <v>8.0328707916287531E-3</v>
      </c>
      <c r="CC729" s="3"/>
      <c r="CD729" s="3"/>
      <c r="CE729" s="3"/>
      <c r="CF729" s="3"/>
      <c r="CG729" s="1319">
        <f t="shared" si="39"/>
        <v>0</v>
      </c>
      <c r="CH729" s="1321"/>
      <c r="CI729" s="1319">
        <f t="shared" si="40"/>
        <v>0</v>
      </c>
      <c r="CJ729" s="1321"/>
      <c r="CK729" s="1319">
        <f t="shared" si="18"/>
        <v>1</v>
      </c>
      <c r="CL729" s="1321"/>
      <c r="CM729" s="1319">
        <f t="shared" si="19"/>
        <v>3</v>
      </c>
      <c r="CN729" s="1321"/>
      <c r="CO729" s="3"/>
      <c r="CP729" s="1316">
        <f t="shared" si="20"/>
        <v>0</v>
      </c>
      <c r="CQ729" s="1317"/>
      <c r="CR729" s="1317"/>
      <c r="CS729" s="1317"/>
      <c r="CT729" s="1318"/>
      <c r="CU729" s="1332">
        <f t="shared" si="21"/>
        <v>3</v>
      </c>
      <c r="CV729" s="1332"/>
      <c r="CW729" s="1332"/>
      <c r="CX729" s="1332"/>
      <c r="CY729" s="1332"/>
      <c r="CZ729" s="1332">
        <f t="shared" si="22"/>
        <v>0</v>
      </c>
      <c r="DA729" s="1332"/>
      <c r="DB729" s="1332"/>
      <c r="DC729" s="1332"/>
      <c r="DD729" s="1332"/>
      <c r="DE729" s="1332">
        <f t="shared" si="23"/>
        <v>0</v>
      </c>
      <c r="DF729" s="1332"/>
      <c r="DG729" s="1332"/>
      <c r="DH729" s="1332"/>
      <c r="DI729" s="1332"/>
      <c r="DJ729" s="1332">
        <f t="shared" si="24"/>
        <v>0</v>
      </c>
      <c r="DK729" s="1332"/>
      <c r="DL729" s="1332"/>
      <c r="DM729" s="1332"/>
      <c r="DN729" s="1332"/>
      <c r="DO729" s="1332">
        <f t="shared" si="25"/>
        <v>0</v>
      </c>
      <c r="DP729" s="1332"/>
      <c r="DQ729" s="1332"/>
      <c r="DR729" s="1332"/>
      <c r="DS729" s="1332"/>
      <c r="DT729" s="257"/>
      <c r="DU729" s="1353">
        <f t="shared" si="26"/>
        <v>0</v>
      </c>
      <c r="DV729" s="1353"/>
      <c r="DW729" s="1353"/>
      <c r="DX729" s="1353"/>
      <c r="DY729" s="1353"/>
      <c r="DZ729" s="1353">
        <f t="shared" si="27"/>
        <v>3</v>
      </c>
      <c r="EA729" s="1353"/>
      <c r="EB729" s="1353"/>
      <c r="EC729" s="1353"/>
      <c r="ED729" s="1353"/>
      <c r="EE729" s="1353">
        <f t="shared" si="28"/>
        <v>0</v>
      </c>
      <c r="EF729" s="1353"/>
      <c r="EG729" s="1353"/>
      <c r="EH729" s="1353"/>
      <c r="EI729" s="1353"/>
      <c r="EJ729" s="1353">
        <f t="shared" si="29"/>
        <v>0</v>
      </c>
      <c r="EK729" s="1353"/>
      <c r="EL729" s="1353"/>
      <c r="EM729" s="1353"/>
      <c r="EN729" s="1353"/>
      <c r="EO729" s="1353">
        <f t="shared" si="30"/>
        <v>0</v>
      </c>
      <c r="EP729" s="1353"/>
      <c r="EQ729" s="1353"/>
      <c r="ER729" s="1353"/>
      <c r="ES729" s="1353"/>
      <c r="ET729" s="1353">
        <f t="shared" si="31"/>
        <v>0</v>
      </c>
      <c r="EU729" s="1353"/>
      <c r="EV729" s="1353"/>
      <c r="EW729" s="1353"/>
      <c r="EX729" s="1353"/>
      <c r="EZ729" s="1319" t="str">
        <f t="shared" si="32"/>
        <v/>
      </c>
      <c r="FA729" s="1320"/>
      <c r="FB729" s="1320"/>
      <c r="FC729" s="1320"/>
      <c r="FD729" s="1321"/>
      <c r="FE729" s="1319">
        <f t="shared" si="33"/>
        <v>1068</v>
      </c>
      <c r="FF729" s="1320"/>
      <c r="FG729" s="1320"/>
      <c r="FH729" s="1320"/>
      <c r="FI729" s="1321"/>
      <c r="FJ729" s="1319" t="str">
        <f t="shared" si="34"/>
        <v/>
      </c>
      <c r="FK729" s="1320"/>
      <c r="FL729" s="1320"/>
      <c r="FM729" s="1320"/>
      <c r="FN729" s="1321"/>
      <c r="FO729" s="1319" t="str">
        <f t="shared" si="35"/>
        <v/>
      </c>
      <c r="FP729" s="1320"/>
      <c r="FQ729" s="1320"/>
      <c r="FR729" s="1320"/>
      <c r="FS729" s="1321"/>
      <c r="FT729" s="1319" t="str">
        <f t="shared" si="36"/>
        <v/>
      </c>
      <c r="FU729" s="1320"/>
      <c r="FV729" s="1320"/>
      <c r="FW729" s="1320"/>
      <c r="FX729" s="1321"/>
      <c r="FY729" s="1319" t="str">
        <f t="shared" si="37"/>
        <v/>
      </c>
      <c r="FZ729" s="1320"/>
      <c r="GA729" s="1320"/>
      <c r="GB729" s="1320"/>
      <c r="GC729" s="1321"/>
    </row>
    <row r="730" spans="1:185" ht="13" customHeight="1">
      <c r="B730" s="1333" t="s">
        <v>848</v>
      </c>
      <c r="C730" s="1334"/>
      <c r="D730" s="1334"/>
      <c r="E730" s="1334"/>
      <c r="F730" s="1335"/>
      <c r="G730" s="1342">
        <v>10</v>
      </c>
      <c r="H730" s="1343"/>
      <c r="I730" s="1343"/>
      <c r="J730" s="1344"/>
      <c r="K730" s="1533">
        <v>788</v>
      </c>
      <c r="L730" s="1534"/>
      <c r="M730" s="1534"/>
      <c r="N730" s="1535"/>
      <c r="O730" s="1349">
        <v>2671</v>
      </c>
      <c r="P730" s="1350"/>
      <c r="Q730" s="1350"/>
      <c r="R730" s="1350"/>
      <c r="S730" s="1351"/>
      <c r="T730" s="1349">
        <v>84</v>
      </c>
      <c r="U730" s="1350"/>
      <c r="V730" s="1350"/>
      <c r="W730" s="1351"/>
      <c r="X730" s="1336">
        <f t="shared" si="10"/>
        <v>2755</v>
      </c>
      <c r="Y730" s="1337"/>
      <c r="Z730" s="1337"/>
      <c r="AA730" s="1337"/>
      <c r="AB730" s="1338"/>
      <c r="AC730" s="1346">
        <v>0.7</v>
      </c>
      <c r="AD730" s="1347"/>
      <c r="AE730" s="1347"/>
      <c r="AF730" s="1347"/>
      <c r="AG730" s="1348"/>
      <c r="AH730" s="1339">
        <f t="shared" si="38"/>
        <v>0.60924369747899154</v>
      </c>
      <c r="AI730" s="1340"/>
      <c r="AJ730" s="1341"/>
      <c r="AK730" s="1333" t="s">
        <v>826</v>
      </c>
      <c r="AL730" s="1334"/>
      <c r="AM730" s="1334"/>
      <c r="AN730" s="1334"/>
      <c r="AO730" s="1335"/>
      <c r="AP730" s="3"/>
      <c r="AQ730" s="3"/>
      <c r="AR730" s="3"/>
      <c r="AS730" s="3"/>
      <c r="AY730" s="85"/>
      <c r="AZ730" s="84">
        <f t="shared" si="11"/>
        <v>4522</v>
      </c>
      <c r="BA730" s="3"/>
      <c r="BB730" s="3"/>
      <c r="BC730" s="3"/>
      <c r="BD730" s="3"/>
      <c r="BE730" s="136"/>
      <c r="BF730" s="203">
        <f t="shared" si="12"/>
        <v>10</v>
      </c>
      <c r="BG730" s="206">
        <f t="shared" si="13"/>
        <v>8.9285714285714288E-2</v>
      </c>
      <c r="BH730" s="207">
        <f t="shared" si="14"/>
        <v>6.25E-2</v>
      </c>
      <c r="BI730" s="3"/>
      <c r="BJ730" s="3"/>
      <c r="BK730" s="3"/>
      <c r="BL730" s="3"/>
      <c r="BM730" s="3"/>
      <c r="BN730" s="3"/>
      <c r="BS730" s="203">
        <f t="shared" si="15"/>
        <v>10</v>
      </c>
      <c r="BT730" s="206">
        <f t="shared" si="16"/>
        <v>8.9285714285714288E-2</v>
      </c>
      <c r="BU730" s="207">
        <f t="shared" si="17"/>
        <v>5.4396758703481388E-2</v>
      </c>
      <c r="CC730" s="3"/>
      <c r="CD730" s="3"/>
      <c r="CE730" s="3"/>
      <c r="CF730" s="3"/>
      <c r="CG730" s="1319">
        <f t="shared" si="39"/>
        <v>0</v>
      </c>
      <c r="CH730" s="1321"/>
      <c r="CI730" s="1319">
        <f t="shared" si="40"/>
        <v>0</v>
      </c>
      <c r="CJ730" s="1321"/>
      <c r="CK730" s="1319">
        <f t="shared" si="18"/>
        <v>0</v>
      </c>
      <c r="CL730" s="1321"/>
      <c r="CM730" s="1319">
        <f t="shared" si="19"/>
        <v>0</v>
      </c>
      <c r="CN730" s="1321"/>
      <c r="CO730" s="3"/>
      <c r="CP730" s="1316">
        <f t="shared" si="20"/>
        <v>0</v>
      </c>
      <c r="CQ730" s="1317"/>
      <c r="CR730" s="1317"/>
      <c r="CS730" s="1317"/>
      <c r="CT730" s="1318"/>
      <c r="CU730" s="1332">
        <f t="shared" si="21"/>
        <v>0</v>
      </c>
      <c r="CV730" s="1332"/>
      <c r="CW730" s="1332"/>
      <c r="CX730" s="1332"/>
      <c r="CY730" s="1332"/>
      <c r="CZ730" s="1332">
        <f t="shared" si="22"/>
        <v>10</v>
      </c>
      <c r="DA730" s="1332"/>
      <c r="DB730" s="1332"/>
      <c r="DC730" s="1332"/>
      <c r="DD730" s="1332"/>
      <c r="DE730" s="1332">
        <f t="shared" si="23"/>
        <v>0</v>
      </c>
      <c r="DF730" s="1332"/>
      <c r="DG730" s="1332"/>
      <c r="DH730" s="1332"/>
      <c r="DI730" s="1332"/>
      <c r="DJ730" s="1332">
        <f t="shared" si="24"/>
        <v>0</v>
      </c>
      <c r="DK730" s="1332"/>
      <c r="DL730" s="1332"/>
      <c r="DM730" s="1332"/>
      <c r="DN730" s="1332"/>
      <c r="DO730" s="1332">
        <f t="shared" si="25"/>
        <v>0</v>
      </c>
      <c r="DP730" s="1332"/>
      <c r="DQ730" s="1332"/>
      <c r="DR730" s="1332"/>
      <c r="DS730" s="1332"/>
      <c r="DT730" s="257"/>
      <c r="DU730" s="1353">
        <f t="shared" si="26"/>
        <v>0</v>
      </c>
      <c r="DV730" s="1353"/>
      <c r="DW730" s="1353"/>
      <c r="DX730" s="1353"/>
      <c r="DY730" s="1353"/>
      <c r="DZ730" s="1353">
        <f t="shared" si="27"/>
        <v>0</v>
      </c>
      <c r="EA730" s="1353"/>
      <c r="EB730" s="1353"/>
      <c r="EC730" s="1353"/>
      <c r="ED730" s="1353"/>
      <c r="EE730" s="1353">
        <f t="shared" si="28"/>
        <v>0</v>
      </c>
      <c r="EF730" s="1353"/>
      <c r="EG730" s="1353"/>
      <c r="EH730" s="1353"/>
      <c r="EI730" s="1353"/>
      <c r="EJ730" s="1353">
        <f t="shared" si="29"/>
        <v>0</v>
      </c>
      <c r="EK730" s="1353"/>
      <c r="EL730" s="1353"/>
      <c r="EM730" s="1353"/>
      <c r="EN730" s="1353"/>
      <c r="EO730" s="1353">
        <f t="shared" si="30"/>
        <v>0</v>
      </c>
      <c r="EP730" s="1353"/>
      <c r="EQ730" s="1353"/>
      <c r="ER730" s="1353"/>
      <c r="ES730" s="1353"/>
      <c r="ET730" s="1353">
        <f t="shared" si="31"/>
        <v>0</v>
      </c>
      <c r="EU730" s="1353"/>
      <c r="EV730" s="1353"/>
      <c r="EW730" s="1353"/>
      <c r="EX730" s="1353"/>
      <c r="EZ730" s="1319" t="str">
        <f t="shared" si="32"/>
        <v/>
      </c>
      <c r="FA730" s="1320"/>
      <c r="FB730" s="1320"/>
      <c r="FC730" s="1320"/>
      <c r="FD730" s="1321"/>
      <c r="FE730" s="1319" t="str">
        <f t="shared" si="33"/>
        <v/>
      </c>
      <c r="FF730" s="1320"/>
      <c r="FG730" s="1320"/>
      <c r="FH730" s="1320"/>
      <c r="FI730" s="1321"/>
      <c r="FJ730" s="1319">
        <f t="shared" si="34"/>
        <v>2671</v>
      </c>
      <c r="FK730" s="1320"/>
      <c r="FL730" s="1320"/>
      <c r="FM730" s="1320"/>
      <c r="FN730" s="1321"/>
      <c r="FO730" s="1319" t="str">
        <f t="shared" si="35"/>
        <v/>
      </c>
      <c r="FP730" s="1320"/>
      <c r="FQ730" s="1320"/>
      <c r="FR730" s="1320"/>
      <c r="FS730" s="1321"/>
      <c r="FT730" s="1319" t="str">
        <f t="shared" si="36"/>
        <v/>
      </c>
      <c r="FU730" s="1320"/>
      <c r="FV730" s="1320"/>
      <c r="FW730" s="1320"/>
      <c r="FX730" s="1321"/>
      <c r="FY730" s="1319" t="str">
        <f t="shared" si="37"/>
        <v/>
      </c>
      <c r="FZ730" s="1320"/>
      <c r="GA730" s="1320"/>
      <c r="GB730" s="1320"/>
      <c r="GC730" s="1321"/>
    </row>
    <row r="731" spans="1:185" ht="13" customHeight="1">
      <c r="B731" s="1333" t="s">
        <v>848</v>
      </c>
      <c r="C731" s="1334"/>
      <c r="D731" s="1334"/>
      <c r="E731" s="1334"/>
      <c r="F731" s="1335"/>
      <c r="G731" s="1342">
        <v>26</v>
      </c>
      <c r="H731" s="1343"/>
      <c r="I731" s="1343"/>
      <c r="J731" s="1344"/>
      <c r="K731" s="1533">
        <v>788</v>
      </c>
      <c r="L731" s="1534"/>
      <c r="M731" s="1534"/>
      <c r="N731" s="1535"/>
      <c r="O731" s="1349">
        <v>2629</v>
      </c>
      <c r="P731" s="1350"/>
      <c r="Q731" s="1350"/>
      <c r="R731" s="1350"/>
      <c r="S731" s="1351"/>
      <c r="T731" s="1349">
        <v>84</v>
      </c>
      <c r="U731" s="1350"/>
      <c r="V731" s="1350"/>
      <c r="W731" s="1351"/>
      <c r="X731" s="1336">
        <f t="shared" si="10"/>
        <v>2713</v>
      </c>
      <c r="Y731" s="1337"/>
      <c r="Z731" s="1337"/>
      <c r="AA731" s="1337"/>
      <c r="AB731" s="1338"/>
      <c r="AC731" s="1346">
        <v>0.6</v>
      </c>
      <c r="AD731" s="1347"/>
      <c r="AE731" s="1347"/>
      <c r="AF731" s="1347"/>
      <c r="AG731" s="1348"/>
      <c r="AH731" s="1339">
        <f t="shared" si="38"/>
        <v>0.59995577178239712</v>
      </c>
      <c r="AI731" s="1340"/>
      <c r="AJ731" s="1341"/>
      <c r="AK731" s="1333" t="s">
        <v>826</v>
      </c>
      <c r="AL731" s="1334"/>
      <c r="AM731" s="1334"/>
      <c r="AN731" s="1334"/>
      <c r="AO731" s="1335"/>
      <c r="AP731" s="3"/>
      <c r="AQ731" s="3"/>
      <c r="AR731" s="3"/>
      <c r="AS731" s="3"/>
      <c r="AY731" s="85"/>
      <c r="AZ731" s="84">
        <f t="shared" si="11"/>
        <v>4522</v>
      </c>
      <c r="BA731" s="3"/>
      <c r="BB731" s="3"/>
      <c r="BC731" s="3"/>
      <c r="BD731" s="3"/>
      <c r="BE731" s="136"/>
      <c r="BF731" s="203">
        <f t="shared" si="12"/>
        <v>26</v>
      </c>
      <c r="BG731" s="206">
        <f t="shared" si="13"/>
        <v>0.23214285714285715</v>
      </c>
      <c r="BH731" s="207">
        <f t="shared" si="14"/>
        <v>0.13928571428571429</v>
      </c>
      <c r="BI731" s="3"/>
      <c r="BJ731" s="3"/>
      <c r="BK731" s="3"/>
      <c r="BL731" s="3"/>
      <c r="BM731" s="3"/>
      <c r="BN731" s="3"/>
      <c r="BS731" s="203">
        <f t="shared" si="15"/>
        <v>26</v>
      </c>
      <c r="BT731" s="206">
        <f t="shared" si="16"/>
        <v>0.23214285714285715</v>
      </c>
      <c r="BU731" s="207">
        <f t="shared" si="17"/>
        <v>0.13927544702091363</v>
      </c>
      <c r="CC731" s="3"/>
      <c r="CD731" s="3"/>
      <c r="CE731" s="3"/>
      <c r="CF731" s="3"/>
      <c r="CG731" s="1319">
        <f t="shared" si="39"/>
        <v>0</v>
      </c>
      <c r="CH731" s="1321"/>
      <c r="CI731" s="1319">
        <f t="shared" si="40"/>
        <v>0</v>
      </c>
      <c r="CJ731" s="1321"/>
      <c r="CK731" s="1319">
        <f t="shared" si="18"/>
        <v>0</v>
      </c>
      <c r="CL731" s="1321"/>
      <c r="CM731" s="1319">
        <f t="shared" si="19"/>
        <v>0</v>
      </c>
      <c r="CN731" s="1321"/>
      <c r="CO731" s="3"/>
      <c r="CP731" s="1316">
        <f t="shared" si="20"/>
        <v>0</v>
      </c>
      <c r="CQ731" s="1317"/>
      <c r="CR731" s="1317"/>
      <c r="CS731" s="1317"/>
      <c r="CT731" s="1318"/>
      <c r="CU731" s="1332">
        <f t="shared" si="21"/>
        <v>0</v>
      </c>
      <c r="CV731" s="1332"/>
      <c r="CW731" s="1332"/>
      <c r="CX731" s="1332"/>
      <c r="CY731" s="1332"/>
      <c r="CZ731" s="1332">
        <f t="shared" si="22"/>
        <v>26</v>
      </c>
      <c r="DA731" s="1332"/>
      <c r="DB731" s="1332"/>
      <c r="DC731" s="1332"/>
      <c r="DD731" s="1332"/>
      <c r="DE731" s="1332">
        <f t="shared" si="23"/>
        <v>0</v>
      </c>
      <c r="DF731" s="1332"/>
      <c r="DG731" s="1332"/>
      <c r="DH731" s="1332"/>
      <c r="DI731" s="1332"/>
      <c r="DJ731" s="1332">
        <f t="shared" si="24"/>
        <v>0</v>
      </c>
      <c r="DK731" s="1332"/>
      <c r="DL731" s="1332"/>
      <c r="DM731" s="1332"/>
      <c r="DN731" s="1332"/>
      <c r="DO731" s="1332">
        <f t="shared" si="25"/>
        <v>0</v>
      </c>
      <c r="DP731" s="1332"/>
      <c r="DQ731" s="1332"/>
      <c r="DR731" s="1332"/>
      <c r="DS731" s="1332"/>
      <c r="DT731" s="257"/>
      <c r="DU731" s="1353">
        <f t="shared" si="26"/>
        <v>0</v>
      </c>
      <c r="DV731" s="1353"/>
      <c r="DW731" s="1353"/>
      <c r="DX731" s="1353"/>
      <c r="DY731" s="1353"/>
      <c r="DZ731" s="1353">
        <f t="shared" si="27"/>
        <v>0</v>
      </c>
      <c r="EA731" s="1353"/>
      <c r="EB731" s="1353"/>
      <c r="EC731" s="1353"/>
      <c r="ED731" s="1353"/>
      <c r="EE731" s="1353">
        <f t="shared" si="28"/>
        <v>0</v>
      </c>
      <c r="EF731" s="1353"/>
      <c r="EG731" s="1353"/>
      <c r="EH731" s="1353"/>
      <c r="EI731" s="1353"/>
      <c r="EJ731" s="1353">
        <f t="shared" si="29"/>
        <v>0</v>
      </c>
      <c r="EK731" s="1353"/>
      <c r="EL731" s="1353"/>
      <c r="EM731" s="1353"/>
      <c r="EN731" s="1353"/>
      <c r="EO731" s="1353">
        <f t="shared" si="30"/>
        <v>0</v>
      </c>
      <c r="EP731" s="1353"/>
      <c r="EQ731" s="1353"/>
      <c r="ER731" s="1353"/>
      <c r="ES731" s="1353"/>
      <c r="ET731" s="1353">
        <f t="shared" si="31"/>
        <v>0</v>
      </c>
      <c r="EU731" s="1353"/>
      <c r="EV731" s="1353"/>
      <c r="EW731" s="1353"/>
      <c r="EX731" s="1353"/>
      <c r="EZ731" s="1319" t="str">
        <f t="shared" si="32"/>
        <v/>
      </c>
      <c r="FA731" s="1320"/>
      <c r="FB731" s="1320"/>
      <c r="FC731" s="1320"/>
      <c r="FD731" s="1321"/>
      <c r="FE731" s="1319" t="str">
        <f t="shared" si="33"/>
        <v/>
      </c>
      <c r="FF731" s="1320"/>
      <c r="FG731" s="1320"/>
      <c r="FH731" s="1320"/>
      <c r="FI731" s="1321"/>
      <c r="FJ731" s="1319">
        <f t="shared" si="34"/>
        <v>2629</v>
      </c>
      <c r="FK731" s="1320"/>
      <c r="FL731" s="1320"/>
      <c r="FM731" s="1320"/>
      <c r="FN731" s="1321"/>
      <c r="FO731" s="1319" t="str">
        <f t="shared" si="35"/>
        <v/>
      </c>
      <c r="FP731" s="1320"/>
      <c r="FQ731" s="1320"/>
      <c r="FR731" s="1320"/>
      <c r="FS731" s="1321"/>
      <c r="FT731" s="1319" t="str">
        <f t="shared" si="36"/>
        <v/>
      </c>
      <c r="FU731" s="1320"/>
      <c r="FV731" s="1320"/>
      <c r="FW731" s="1320"/>
      <c r="FX731" s="1321"/>
      <c r="FY731" s="1319" t="str">
        <f t="shared" si="37"/>
        <v/>
      </c>
      <c r="FZ731" s="1320"/>
      <c r="GA731" s="1320"/>
      <c r="GB731" s="1320"/>
      <c r="GC731" s="1321"/>
    </row>
    <row r="732" spans="1:185" ht="13" customHeight="1">
      <c r="B732" s="1333" t="s">
        <v>848</v>
      </c>
      <c r="C732" s="1334"/>
      <c r="D732" s="1334"/>
      <c r="E732" s="1334"/>
      <c r="F732" s="1335"/>
      <c r="G732" s="1342">
        <v>4</v>
      </c>
      <c r="H732" s="1343"/>
      <c r="I732" s="1343"/>
      <c r="J732" s="1344"/>
      <c r="K732" s="1533">
        <v>788</v>
      </c>
      <c r="L732" s="1534"/>
      <c r="M732" s="1534"/>
      <c r="N732" s="1535"/>
      <c r="O732" s="1349">
        <v>2177</v>
      </c>
      <c r="P732" s="1350"/>
      <c r="Q732" s="1350"/>
      <c r="R732" s="1350"/>
      <c r="S732" s="1351"/>
      <c r="T732" s="1349">
        <v>84</v>
      </c>
      <c r="U732" s="1350"/>
      <c r="V732" s="1350"/>
      <c r="W732" s="1351"/>
      <c r="X732" s="1336">
        <f t="shared" si="10"/>
        <v>2261</v>
      </c>
      <c r="Y732" s="1337"/>
      <c r="Z732" s="1337"/>
      <c r="AA732" s="1337"/>
      <c r="AB732" s="1338"/>
      <c r="AC732" s="1346">
        <v>0.5</v>
      </c>
      <c r="AD732" s="1347"/>
      <c r="AE732" s="1347"/>
      <c r="AF732" s="1347"/>
      <c r="AG732" s="1348"/>
      <c r="AH732" s="1339">
        <f t="shared" si="38"/>
        <v>0.5</v>
      </c>
      <c r="AI732" s="1340"/>
      <c r="AJ732" s="1341"/>
      <c r="AK732" s="1333" t="s">
        <v>826</v>
      </c>
      <c r="AL732" s="1334"/>
      <c r="AM732" s="1334"/>
      <c r="AN732" s="1334"/>
      <c r="AO732" s="1335"/>
      <c r="AP732" s="3"/>
      <c r="AQ732" s="3"/>
      <c r="AR732" s="3"/>
      <c r="AS732" s="3"/>
      <c r="AY732" s="85"/>
      <c r="AZ732" s="84">
        <f t="shared" si="11"/>
        <v>4522</v>
      </c>
      <c r="BA732" s="3"/>
      <c r="BB732" s="3"/>
      <c r="BC732" s="3"/>
      <c r="BD732" s="3"/>
      <c r="BE732" s="136"/>
      <c r="BF732" s="203">
        <f t="shared" si="12"/>
        <v>4</v>
      </c>
      <c r="BG732" s="206">
        <f t="shared" si="13"/>
        <v>3.5714285714285712E-2</v>
      </c>
      <c r="BH732" s="207">
        <f t="shared" si="14"/>
        <v>1.7857142857142856E-2</v>
      </c>
      <c r="BI732" s="3"/>
      <c r="BJ732" s="3"/>
      <c r="BK732" s="3"/>
      <c r="BL732" s="3"/>
      <c r="BM732" s="3"/>
      <c r="BN732" s="3"/>
      <c r="BS732" s="203">
        <f t="shared" si="15"/>
        <v>4</v>
      </c>
      <c r="BT732" s="206">
        <f t="shared" si="16"/>
        <v>3.5714285714285712E-2</v>
      </c>
      <c r="BU732" s="207">
        <f t="shared" si="17"/>
        <v>1.7857142857142856E-2</v>
      </c>
      <c r="CC732" s="3"/>
      <c r="CE732" s="3"/>
      <c r="CF732" s="3"/>
      <c r="CG732" s="1319">
        <f t="shared" si="39"/>
        <v>1</v>
      </c>
      <c r="CH732" s="1321"/>
      <c r="CI732" s="1319">
        <f t="shared" si="40"/>
        <v>4</v>
      </c>
      <c r="CJ732" s="1321"/>
      <c r="CK732" s="1319">
        <f t="shared" si="18"/>
        <v>0</v>
      </c>
      <c r="CL732" s="1321"/>
      <c r="CM732" s="1319">
        <f t="shared" si="19"/>
        <v>0</v>
      </c>
      <c r="CN732" s="1321"/>
      <c r="CO732" s="3"/>
      <c r="CP732" s="1316">
        <f t="shared" si="20"/>
        <v>0</v>
      </c>
      <c r="CQ732" s="1317"/>
      <c r="CR732" s="1317"/>
      <c r="CS732" s="1317"/>
      <c r="CT732" s="1318"/>
      <c r="CU732" s="1332">
        <f t="shared" si="21"/>
        <v>0</v>
      </c>
      <c r="CV732" s="1332"/>
      <c r="CW732" s="1332"/>
      <c r="CX732" s="1332"/>
      <c r="CY732" s="1332"/>
      <c r="CZ732" s="1332">
        <f t="shared" si="22"/>
        <v>4</v>
      </c>
      <c r="DA732" s="1332"/>
      <c r="DB732" s="1332"/>
      <c r="DC732" s="1332"/>
      <c r="DD732" s="1332"/>
      <c r="DE732" s="1332">
        <f t="shared" si="23"/>
        <v>0</v>
      </c>
      <c r="DF732" s="1332"/>
      <c r="DG732" s="1332"/>
      <c r="DH732" s="1332"/>
      <c r="DI732" s="1332"/>
      <c r="DJ732" s="1332">
        <f t="shared" si="24"/>
        <v>0</v>
      </c>
      <c r="DK732" s="1332"/>
      <c r="DL732" s="1332"/>
      <c r="DM732" s="1332"/>
      <c r="DN732" s="1332"/>
      <c r="DO732" s="1332">
        <f t="shared" si="25"/>
        <v>0</v>
      </c>
      <c r="DP732" s="1332"/>
      <c r="DQ732" s="1332"/>
      <c r="DR732" s="1332"/>
      <c r="DS732" s="1332"/>
      <c r="DT732" s="257"/>
      <c r="DU732" s="1353">
        <f t="shared" si="26"/>
        <v>0</v>
      </c>
      <c r="DV732" s="1353"/>
      <c r="DW732" s="1353"/>
      <c r="DX732" s="1353"/>
      <c r="DY732" s="1353"/>
      <c r="DZ732" s="1353">
        <f t="shared" si="27"/>
        <v>0</v>
      </c>
      <c r="EA732" s="1353"/>
      <c r="EB732" s="1353"/>
      <c r="EC732" s="1353"/>
      <c r="ED732" s="1353"/>
      <c r="EE732" s="1353">
        <f t="shared" si="28"/>
        <v>0</v>
      </c>
      <c r="EF732" s="1353"/>
      <c r="EG732" s="1353"/>
      <c r="EH732" s="1353"/>
      <c r="EI732" s="1353"/>
      <c r="EJ732" s="1353">
        <f t="shared" si="29"/>
        <v>0</v>
      </c>
      <c r="EK732" s="1353"/>
      <c r="EL732" s="1353"/>
      <c r="EM732" s="1353"/>
      <c r="EN732" s="1353"/>
      <c r="EO732" s="1353">
        <f t="shared" si="30"/>
        <v>0</v>
      </c>
      <c r="EP732" s="1353"/>
      <c r="EQ732" s="1353"/>
      <c r="ER732" s="1353"/>
      <c r="ES732" s="1353"/>
      <c r="ET732" s="1353">
        <f t="shared" si="31"/>
        <v>0</v>
      </c>
      <c r="EU732" s="1353"/>
      <c r="EV732" s="1353"/>
      <c r="EW732" s="1353"/>
      <c r="EX732" s="1353"/>
      <c r="EZ732" s="1319" t="str">
        <f t="shared" si="32"/>
        <v/>
      </c>
      <c r="FA732" s="1320"/>
      <c r="FB732" s="1320"/>
      <c r="FC732" s="1320"/>
      <c r="FD732" s="1321"/>
      <c r="FE732" s="1319" t="str">
        <f t="shared" si="33"/>
        <v/>
      </c>
      <c r="FF732" s="1320"/>
      <c r="FG732" s="1320"/>
      <c r="FH732" s="1320"/>
      <c r="FI732" s="1321"/>
      <c r="FJ732" s="1319">
        <f t="shared" si="34"/>
        <v>2177</v>
      </c>
      <c r="FK732" s="1320"/>
      <c r="FL732" s="1320"/>
      <c r="FM732" s="1320"/>
      <c r="FN732" s="1321"/>
      <c r="FO732" s="1319" t="str">
        <f t="shared" si="35"/>
        <v/>
      </c>
      <c r="FP732" s="1320"/>
      <c r="FQ732" s="1320"/>
      <c r="FR732" s="1320"/>
      <c r="FS732" s="1321"/>
      <c r="FT732" s="1319" t="str">
        <f t="shared" si="36"/>
        <v/>
      </c>
      <c r="FU732" s="1320"/>
      <c r="FV732" s="1320"/>
      <c r="FW732" s="1320"/>
      <c r="FX732" s="1321"/>
      <c r="FY732" s="1319" t="str">
        <f t="shared" si="37"/>
        <v/>
      </c>
      <c r="FZ732" s="1320"/>
      <c r="GA732" s="1320"/>
      <c r="GB732" s="1320"/>
      <c r="GC732" s="1321"/>
    </row>
    <row r="733" spans="1:185" ht="13" customHeight="1">
      <c r="B733" s="1333" t="s">
        <v>848</v>
      </c>
      <c r="C733" s="1334"/>
      <c r="D733" s="1334"/>
      <c r="E733" s="1334"/>
      <c r="F733" s="1335"/>
      <c r="G733" s="1342">
        <v>4</v>
      </c>
      <c r="H733" s="1343"/>
      <c r="I733" s="1343"/>
      <c r="J733" s="1344"/>
      <c r="K733" s="1533">
        <v>788</v>
      </c>
      <c r="L733" s="1534"/>
      <c r="M733" s="1534"/>
      <c r="N733" s="1535"/>
      <c r="O733" s="1349">
        <v>1272</v>
      </c>
      <c r="P733" s="1350"/>
      <c r="Q733" s="1350"/>
      <c r="R733" s="1350"/>
      <c r="S733" s="1351"/>
      <c r="T733" s="1349">
        <v>84</v>
      </c>
      <c r="U733" s="1350"/>
      <c r="V733" s="1350"/>
      <c r="W733" s="1351"/>
      <c r="X733" s="1336">
        <f t="shared" si="10"/>
        <v>1356</v>
      </c>
      <c r="Y733" s="1337"/>
      <c r="Z733" s="1337"/>
      <c r="AA733" s="1337"/>
      <c r="AB733" s="1338"/>
      <c r="AC733" s="1346">
        <v>0.3</v>
      </c>
      <c r="AD733" s="1347"/>
      <c r="AE733" s="1347"/>
      <c r="AF733" s="1347"/>
      <c r="AG733" s="1348"/>
      <c r="AH733" s="1339">
        <f t="shared" si="38"/>
        <v>0.29986731534719152</v>
      </c>
      <c r="AI733" s="1340"/>
      <c r="AJ733" s="1341"/>
      <c r="AK733" s="1333" t="s">
        <v>826</v>
      </c>
      <c r="AL733" s="1334"/>
      <c r="AM733" s="1334"/>
      <c r="AN733" s="1334"/>
      <c r="AO733" s="1335"/>
      <c r="AP733" s="3"/>
      <c r="AQ733" s="3"/>
      <c r="AR733" s="3"/>
      <c r="AS733" s="3"/>
      <c r="AY733" s="852"/>
      <c r="AZ733" s="84">
        <f t="shared" si="11"/>
        <v>4522</v>
      </c>
      <c r="BA733" s="3"/>
      <c r="BB733" s="3"/>
      <c r="BC733" s="3"/>
      <c r="BD733" s="3"/>
      <c r="BE733" s="136"/>
      <c r="BF733" s="203">
        <f t="shared" si="12"/>
        <v>4</v>
      </c>
      <c r="BG733" s="206">
        <f t="shared" si="13"/>
        <v>3.5714285714285712E-2</v>
      </c>
      <c r="BH733" s="207">
        <f t="shared" si="14"/>
        <v>1.0714285714285713E-2</v>
      </c>
      <c r="BI733" s="3"/>
      <c r="BJ733" s="3"/>
      <c r="BK733" s="3"/>
      <c r="BL733" s="3"/>
      <c r="BM733" s="3"/>
      <c r="BN733" s="3"/>
      <c r="BS733" s="203">
        <f t="shared" si="15"/>
        <v>4</v>
      </c>
      <c r="BT733" s="206">
        <f t="shared" si="16"/>
        <v>3.5714285714285712E-2</v>
      </c>
      <c r="BU733" s="207">
        <f t="shared" si="17"/>
        <v>1.0709546976685412E-2</v>
      </c>
      <c r="BV733" s="1177"/>
      <c r="BW733" s="3"/>
      <c r="BX733" s="3"/>
      <c r="BY733" s="3"/>
      <c r="BZ733" s="3"/>
      <c r="CA733" s="3"/>
      <c r="CB733" s="3"/>
      <c r="CC733" s="3"/>
      <c r="CE733" s="3"/>
      <c r="CF733" s="3"/>
      <c r="CG733" s="1319">
        <f t="shared" si="39"/>
        <v>0</v>
      </c>
      <c r="CH733" s="1321"/>
      <c r="CI733" s="1319">
        <f t="shared" si="40"/>
        <v>0</v>
      </c>
      <c r="CJ733" s="1321"/>
      <c r="CK733" s="1319">
        <f t="shared" si="18"/>
        <v>1</v>
      </c>
      <c r="CL733" s="1321"/>
      <c r="CM733" s="1319">
        <f t="shared" si="19"/>
        <v>4</v>
      </c>
      <c r="CN733" s="1321"/>
      <c r="CO733" s="3"/>
      <c r="CP733" s="1316">
        <f t="shared" si="20"/>
        <v>0</v>
      </c>
      <c r="CQ733" s="1317"/>
      <c r="CR733" s="1317"/>
      <c r="CS733" s="1317"/>
      <c r="CT733" s="1318"/>
      <c r="CU733" s="1332">
        <f t="shared" si="21"/>
        <v>0</v>
      </c>
      <c r="CV733" s="1332"/>
      <c r="CW733" s="1332"/>
      <c r="CX733" s="1332"/>
      <c r="CY733" s="1332"/>
      <c r="CZ733" s="1332">
        <f t="shared" si="22"/>
        <v>4</v>
      </c>
      <c r="DA733" s="1332"/>
      <c r="DB733" s="1332"/>
      <c r="DC733" s="1332"/>
      <c r="DD733" s="1332"/>
      <c r="DE733" s="1332">
        <f t="shared" si="23"/>
        <v>0</v>
      </c>
      <c r="DF733" s="1332"/>
      <c r="DG733" s="1332"/>
      <c r="DH733" s="1332"/>
      <c r="DI733" s="1332"/>
      <c r="DJ733" s="1332">
        <f t="shared" si="24"/>
        <v>0</v>
      </c>
      <c r="DK733" s="1332"/>
      <c r="DL733" s="1332"/>
      <c r="DM733" s="1332"/>
      <c r="DN733" s="1332"/>
      <c r="DO733" s="1332">
        <f t="shared" si="25"/>
        <v>0</v>
      </c>
      <c r="DP733" s="1332"/>
      <c r="DQ733" s="1332"/>
      <c r="DR733" s="1332"/>
      <c r="DS733" s="1332"/>
      <c r="DT733" s="257"/>
      <c r="DU733" s="1353">
        <f t="shared" si="26"/>
        <v>0</v>
      </c>
      <c r="DV733" s="1353"/>
      <c r="DW733" s="1353"/>
      <c r="DX733" s="1353"/>
      <c r="DY733" s="1353"/>
      <c r="DZ733" s="1353">
        <f t="shared" si="27"/>
        <v>0</v>
      </c>
      <c r="EA733" s="1353"/>
      <c r="EB733" s="1353"/>
      <c r="EC733" s="1353"/>
      <c r="ED733" s="1353"/>
      <c r="EE733" s="1353">
        <f t="shared" si="28"/>
        <v>4</v>
      </c>
      <c r="EF733" s="1353"/>
      <c r="EG733" s="1353"/>
      <c r="EH733" s="1353"/>
      <c r="EI733" s="1353"/>
      <c r="EJ733" s="1353">
        <f t="shared" si="29"/>
        <v>0</v>
      </c>
      <c r="EK733" s="1353"/>
      <c r="EL733" s="1353"/>
      <c r="EM733" s="1353"/>
      <c r="EN733" s="1353"/>
      <c r="EO733" s="1353">
        <f t="shared" si="30"/>
        <v>0</v>
      </c>
      <c r="EP733" s="1353"/>
      <c r="EQ733" s="1353"/>
      <c r="ER733" s="1353"/>
      <c r="ES733" s="1353"/>
      <c r="ET733" s="1353">
        <f t="shared" si="31"/>
        <v>0</v>
      </c>
      <c r="EU733" s="1353"/>
      <c r="EV733" s="1353"/>
      <c r="EW733" s="1353"/>
      <c r="EX733" s="1353"/>
      <c r="EZ733" s="1319" t="str">
        <f t="shared" si="32"/>
        <v/>
      </c>
      <c r="FA733" s="1320"/>
      <c r="FB733" s="1320"/>
      <c r="FC733" s="1320"/>
      <c r="FD733" s="1321"/>
      <c r="FE733" s="1319" t="str">
        <f t="shared" si="33"/>
        <v/>
      </c>
      <c r="FF733" s="1320"/>
      <c r="FG733" s="1320"/>
      <c r="FH733" s="1320"/>
      <c r="FI733" s="1321"/>
      <c r="FJ733" s="1319">
        <f t="shared" si="34"/>
        <v>1272</v>
      </c>
      <c r="FK733" s="1320"/>
      <c r="FL733" s="1320"/>
      <c r="FM733" s="1320"/>
      <c r="FN733" s="1321"/>
      <c r="FO733" s="1319" t="str">
        <f t="shared" si="35"/>
        <v/>
      </c>
      <c r="FP733" s="1320"/>
      <c r="FQ733" s="1320"/>
      <c r="FR733" s="1320"/>
      <c r="FS733" s="1321"/>
      <c r="FT733" s="1319" t="str">
        <f t="shared" si="36"/>
        <v/>
      </c>
      <c r="FU733" s="1320"/>
      <c r="FV733" s="1320"/>
      <c r="FW733" s="1320"/>
      <c r="FX733" s="1321"/>
      <c r="FY733" s="1319" t="str">
        <f t="shared" si="37"/>
        <v/>
      </c>
      <c r="FZ733" s="1320"/>
      <c r="GA733" s="1320"/>
      <c r="GB733" s="1320"/>
      <c r="GC733" s="1321"/>
    </row>
    <row r="734" spans="1:185" ht="13" customHeight="1">
      <c r="B734" s="1333" t="s">
        <v>849</v>
      </c>
      <c r="C734" s="1334"/>
      <c r="D734" s="1334"/>
      <c r="E734" s="1334"/>
      <c r="F734" s="1335"/>
      <c r="G734" s="1342">
        <v>10</v>
      </c>
      <c r="H734" s="1343"/>
      <c r="I734" s="1343"/>
      <c r="J734" s="1344"/>
      <c r="K734" s="1533">
        <v>1031</v>
      </c>
      <c r="L734" s="1534"/>
      <c r="M734" s="1534"/>
      <c r="N734" s="1535"/>
      <c r="O734" s="1349">
        <v>3159</v>
      </c>
      <c r="P734" s="1350"/>
      <c r="Q734" s="1350"/>
      <c r="R734" s="1350"/>
      <c r="S734" s="1351"/>
      <c r="T734" s="1349">
        <v>107</v>
      </c>
      <c r="U734" s="1350"/>
      <c r="V734" s="1350"/>
      <c r="W734" s="1351"/>
      <c r="X734" s="1336">
        <f t="shared" si="10"/>
        <v>3266</v>
      </c>
      <c r="Y734" s="1337"/>
      <c r="Z734" s="1337"/>
      <c r="AA734" s="1337"/>
      <c r="AB734" s="1338"/>
      <c r="AC734" s="1346">
        <v>0.7</v>
      </c>
      <c r="AD734" s="1347"/>
      <c r="AE734" s="1347"/>
      <c r="AF734" s="1347"/>
      <c r="AG734" s="1348"/>
      <c r="AH734" s="1339">
        <f t="shared" si="38"/>
        <v>0.62543086939869785</v>
      </c>
      <c r="AI734" s="1340"/>
      <c r="AJ734" s="1341"/>
      <c r="AK734" s="1333" t="s">
        <v>826</v>
      </c>
      <c r="AL734" s="1334"/>
      <c r="AM734" s="1334"/>
      <c r="AN734" s="1334"/>
      <c r="AO734" s="1335"/>
      <c r="AP734" s="3"/>
      <c r="AQ734" s="3"/>
      <c r="AR734" s="3"/>
      <c r="AS734" s="3"/>
      <c r="AY734" s="852"/>
      <c r="AZ734" s="84">
        <f t="shared" si="11"/>
        <v>5222</v>
      </c>
      <c r="BA734" s="3"/>
      <c r="BB734" s="3"/>
      <c r="BC734" s="3"/>
      <c r="BD734" s="3"/>
      <c r="BE734" s="136"/>
      <c r="BF734" s="203">
        <f t="shared" si="12"/>
        <v>10</v>
      </c>
      <c r="BG734" s="206">
        <f t="shared" si="13"/>
        <v>8.9285714285714288E-2</v>
      </c>
      <c r="BH734" s="207">
        <f t="shared" si="14"/>
        <v>6.25E-2</v>
      </c>
      <c r="BI734" s="3"/>
      <c r="BJ734" s="3"/>
      <c r="BK734" s="3"/>
      <c r="BL734" s="3"/>
      <c r="BM734" s="3"/>
      <c r="BN734" s="3"/>
      <c r="BS734" s="203">
        <f t="shared" si="15"/>
        <v>10</v>
      </c>
      <c r="BT734" s="206">
        <f t="shared" si="16"/>
        <v>8.9285714285714288E-2</v>
      </c>
      <c r="BU734" s="207">
        <f t="shared" si="17"/>
        <v>5.5842041910598023E-2</v>
      </c>
      <c r="BV734" s="3"/>
      <c r="BW734" s="3"/>
      <c r="BX734" s="3"/>
      <c r="BY734" s="3"/>
      <c r="BZ734" s="3"/>
      <c r="CA734" s="3"/>
      <c r="CB734" s="3"/>
      <c r="CC734" s="3"/>
      <c r="CE734" s="3"/>
      <c r="CF734" s="3"/>
      <c r="CG734" s="1319">
        <f t="shared" si="39"/>
        <v>0</v>
      </c>
      <c r="CH734" s="1321"/>
      <c r="CI734" s="1319">
        <f t="shared" si="40"/>
        <v>0</v>
      </c>
      <c r="CJ734" s="1321"/>
      <c r="CK734" s="1319">
        <f t="shared" si="18"/>
        <v>0</v>
      </c>
      <c r="CL734" s="1321"/>
      <c r="CM734" s="1319">
        <f t="shared" si="19"/>
        <v>0</v>
      </c>
      <c r="CN734" s="1321"/>
      <c r="CO734" s="3"/>
      <c r="CP734" s="1316">
        <f t="shared" si="20"/>
        <v>0</v>
      </c>
      <c r="CQ734" s="1317"/>
      <c r="CR734" s="1317"/>
      <c r="CS734" s="1317"/>
      <c r="CT734" s="1318"/>
      <c r="CU734" s="1332">
        <f t="shared" si="21"/>
        <v>0</v>
      </c>
      <c r="CV734" s="1332"/>
      <c r="CW734" s="1332"/>
      <c r="CX734" s="1332"/>
      <c r="CY734" s="1332"/>
      <c r="CZ734" s="1332">
        <f t="shared" si="22"/>
        <v>0</v>
      </c>
      <c r="DA734" s="1332"/>
      <c r="DB734" s="1332"/>
      <c r="DC734" s="1332"/>
      <c r="DD734" s="1332"/>
      <c r="DE734" s="1332">
        <f t="shared" si="23"/>
        <v>10</v>
      </c>
      <c r="DF734" s="1332"/>
      <c r="DG734" s="1332"/>
      <c r="DH734" s="1332"/>
      <c r="DI734" s="1332"/>
      <c r="DJ734" s="1332">
        <f t="shared" si="24"/>
        <v>0</v>
      </c>
      <c r="DK734" s="1332"/>
      <c r="DL734" s="1332"/>
      <c r="DM734" s="1332"/>
      <c r="DN734" s="1332"/>
      <c r="DO734" s="1332">
        <f t="shared" si="25"/>
        <v>0</v>
      </c>
      <c r="DP734" s="1332"/>
      <c r="DQ734" s="1332"/>
      <c r="DR734" s="1332"/>
      <c r="DS734" s="1332"/>
      <c r="DT734" s="257"/>
      <c r="DU734" s="1353">
        <f t="shared" si="26"/>
        <v>0</v>
      </c>
      <c r="DV734" s="1353"/>
      <c r="DW734" s="1353"/>
      <c r="DX734" s="1353"/>
      <c r="DY734" s="1353"/>
      <c r="DZ734" s="1353">
        <f t="shared" si="27"/>
        <v>0</v>
      </c>
      <c r="EA734" s="1353"/>
      <c r="EB734" s="1353"/>
      <c r="EC734" s="1353"/>
      <c r="ED734" s="1353"/>
      <c r="EE734" s="1353">
        <f t="shared" si="28"/>
        <v>0</v>
      </c>
      <c r="EF734" s="1353"/>
      <c r="EG734" s="1353"/>
      <c r="EH734" s="1353"/>
      <c r="EI734" s="1353"/>
      <c r="EJ734" s="1353">
        <f t="shared" si="29"/>
        <v>0</v>
      </c>
      <c r="EK734" s="1353"/>
      <c r="EL734" s="1353"/>
      <c r="EM734" s="1353"/>
      <c r="EN734" s="1353"/>
      <c r="EO734" s="1353">
        <f t="shared" si="30"/>
        <v>0</v>
      </c>
      <c r="EP734" s="1353"/>
      <c r="EQ734" s="1353"/>
      <c r="ER734" s="1353"/>
      <c r="ES734" s="1353"/>
      <c r="ET734" s="1353">
        <f t="shared" si="31"/>
        <v>0</v>
      </c>
      <c r="EU734" s="1353"/>
      <c r="EV734" s="1353"/>
      <c r="EW734" s="1353"/>
      <c r="EX734" s="1353"/>
      <c r="EY734" s="3"/>
      <c r="EZ734" s="1319" t="str">
        <f t="shared" si="32"/>
        <v/>
      </c>
      <c r="FA734" s="1320"/>
      <c r="FB734" s="1320"/>
      <c r="FC734" s="1320"/>
      <c r="FD734" s="1321"/>
      <c r="FE734" s="1319" t="str">
        <f t="shared" si="33"/>
        <v/>
      </c>
      <c r="FF734" s="1320"/>
      <c r="FG734" s="1320"/>
      <c r="FH734" s="1320"/>
      <c r="FI734" s="1321"/>
      <c r="FJ734" s="1319" t="str">
        <f t="shared" si="34"/>
        <v/>
      </c>
      <c r="FK734" s="1320"/>
      <c r="FL734" s="1320"/>
      <c r="FM734" s="1320"/>
      <c r="FN734" s="1321"/>
      <c r="FO734" s="1319">
        <f t="shared" si="35"/>
        <v>3159</v>
      </c>
      <c r="FP734" s="1320"/>
      <c r="FQ734" s="1320"/>
      <c r="FR734" s="1320"/>
      <c r="FS734" s="1321"/>
      <c r="FT734" s="1319" t="str">
        <f t="shared" si="36"/>
        <v/>
      </c>
      <c r="FU734" s="1320"/>
      <c r="FV734" s="1320"/>
      <c r="FW734" s="1320"/>
      <c r="FX734" s="1321"/>
      <c r="FY734" s="1319" t="str">
        <f t="shared" si="37"/>
        <v/>
      </c>
      <c r="FZ734" s="1320"/>
      <c r="GA734" s="1320"/>
      <c r="GB734" s="1320"/>
      <c r="GC734" s="1321"/>
    </row>
    <row r="735" spans="1:185" ht="13" customHeight="1">
      <c r="A735" s="3"/>
      <c r="B735" s="1333" t="s">
        <v>849</v>
      </c>
      <c r="C735" s="1334"/>
      <c r="D735" s="1334"/>
      <c r="E735" s="1334"/>
      <c r="F735" s="1335"/>
      <c r="G735" s="1342">
        <v>31</v>
      </c>
      <c r="H735" s="1343"/>
      <c r="I735" s="1343"/>
      <c r="J735" s="1344"/>
      <c r="K735" s="1533">
        <v>1031</v>
      </c>
      <c r="L735" s="1534"/>
      <c r="M735" s="1534"/>
      <c r="N735" s="1535"/>
      <c r="O735" s="1349">
        <v>3026</v>
      </c>
      <c r="P735" s="1350"/>
      <c r="Q735" s="1350"/>
      <c r="R735" s="1350"/>
      <c r="S735" s="1351"/>
      <c r="T735" s="1349">
        <v>107</v>
      </c>
      <c r="U735" s="1350"/>
      <c r="V735" s="1350"/>
      <c r="W735" s="1351"/>
      <c r="X735" s="1336">
        <f t="shared" si="10"/>
        <v>3133</v>
      </c>
      <c r="Y735" s="1337"/>
      <c r="Z735" s="1337"/>
      <c r="AA735" s="1337"/>
      <c r="AB735" s="1338"/>
      <c r="AC735" s="1346">
        <v>0.6</v>
      </c>
      <c r="AD735" s="1347"/>
      <c r="AE735" s="1347"/>
      <c r="AF735" s="1347"/>
      <c r="AG735" s="1348"/>
      <c r="AH735" s="1339">
        <f t="shared" si="38"/>
        <v>0.59996170049789355</v>
      </c>
      <c r="AI735" s="1340"/>
      <c r="AJ735" s="1341"/>
      <c r="AK735" s="1333" t="s">
        <v>826</v>
      </c>
      <c r="AL735" s="1334"/>
      <c r="AM735" s="1334"/>
      <c r="AN735" s="1334"/>
      <c r="AO735" s="1335"/>
      <c r="AP735" s="3"/>
      <c r="AQ735" s="3"/>
      <c r="AR735" s="3"/>
      <c r="AS735" s="3"/>
      <c r="AY735" s="852"/>
      <c r="AZ735" s="84">
        <f t="shared" si="11"/>
        <v>5222</v>
      </c>
      <c r="BA735" s="3"/>
      <c r="BB735" s="3"/>
      <c r="BC735" s="3"/>
      <c r="BD735" s="3"/>
      <c r="BE735" s="136"/>
      <c r="BF735" s="203">
        <f t="shared" si="12"/>
        <v>31</v>
      </c>
      <c r="BG735" s="206">
        <f t="shared" si="13"/>
        <v>0.2767857142857143</v>
      </c>
      <c r="BH735" s="207">
        <f t="shared" si="14"/>
        <v>0.16607142857142856</v>
      </c>
      <c r="BI735" s="3"/>
      <c r="BJ735" s="3"/>
      <c r="BK735" s="3"/>
      <c r="BL735" s="3"/>
      <c r="BM735" s="3"/>
      <c r="BN735" s="3"/>
      <c r="BS735" s="203">
        <f t="shared" si="15"/>
        <v>31</v>
      </c>
      <c r="BT735" s="206">
        <f t="shared" si="16"/>
        <v>0.2767857142857143</v>
      </c>
      <c r="BU735" s="207">
        <f t="shared" si="17"/>
        <v>0.16606082781638126</v>
      </c>
      <c r="BV735" s="3"/>
      <c r="BW735" s="3"/>
      <c r="BX735" s="3"/>
      <c r="BY735" s="3"/>
      <c r="BZ735" s="3"/>
      <c r="CA735" s="3"/>
      <c r="CB735" s="3"/>
      <c r="CC735" s="3"/>
      <c r="CE735" s="3"/>
      <c r="CF735" s="3"/>
      <c r="CG735" s="1319">
        <f t="shared" si="39"/>
        <v>0</v>
      </c>
      <c r="CH735" s="1321"/>
      <c r="CI735" s="1319">
        <f t="shared" si="40"/>
        <v>0</v>
      </c>
      <c r="CJ735" s="1321"/>
      <c r="CK735" s="1319">
        <f t="shared" si="18"/>
        <v>0</v>
      </c>
      <c r="CL735" s="1321"/>
      <c r="CM735" s="1319">
        <f t="shared" si="19"/>
        <v>0</v>
      </c>
      <c r="CN735" s="1321"/>
      <c r="CO735" s="3"/>
      <c r="CP735" s="1316">
        <f t="shared" si="20"/>
        <v>0</v>
      </c>
      <c r="CQ735" s="1317"/>
      <c r="CR735" s="1317"/>
      <c r="CS735" s="1317"/>
      <c r="CT735" s="1318"/>
      <c r="CU735" s="1332">
        <f t="shared" si="21"/>
        <v>0</v>
      </c>
      <c r="CV735" s="1332"/>
      <c r="CW735" s="1332"/>
      <c r="CX735" s="1332"/>
      <c r="CY735" s="1332"/>
      <c r="CZ735" s="1332">
        <f t="shared" si="22"/>
        <v>0</v>
      </c>
      <c r="DA735" s="1332"/>
      <c r="DB735" s="1332"/>
      <c r="DC735" s="1332"/>
      <c r="DD735" s="1332"/>
      <c r="DE735" s="1332">
        <f t="shared" si="23"/>
        <v>31</v>
      </c>
      <c r="DF735" s="1332"/>
      <c r="DG735" s="1332"/>
      <c r="DH735" s="1332"/>
      <c r="DI735" s="1332"/>
      <c r="DJ735" s="1332">
        <f t="shared" si="24"/>
        <v>0</v>
      </c>
      <c r="DK735" s="1332"/>
      <c r="DL735" s="1332"/>
      <c r="DM735" s="1332"/>
      <c r="DN735" s="1332"/>
      <c r="DO735" s="1332">
        <f t="shared" si="25"/>
        <v>0</v>
      </c>
      <c r="DP735" s="1332"/>
      <c r="DQ735" s="1332"/>
      <c r="DR735" s="1332"/>
      <c r="DS735" s="1332"/>
      <c r="DT735" s="257"/>
      <c r="DU735" s="1353">
        <f t="shared" si="26"/>
        <v>0</v>
      </c>
      <c r="DV735" s="1353"/>
      <c r="DW735" s="1353"/>
      <c r="DX735" s="1353"/>
      <c r="DY735" s="1353"/>
      <c r="DZ735" s="1353">
        <f t="shared" si="27"/>
        <v>0</v>
      </c>
      <c r="EA735" s="1353"/>
      <c r="EB735" s="1353"/>
      <c r="EC735" s="1353"/>
      <c r="ED735" s="1353"/>
      <c r="EE735" s="1353">
        <f t="shared" si="28"/>
        <v>0</v>
      </c>
      <c r="EF735" s="1353"/>
      <c r="EG735" s="1353"/>
      <c r="EH735" s="1353"/>
      <c r="EI735" s="1353"/>
      <c r="EJ735" s="1353">
        <f t="shared" si="29"/>
        <v>0</v>
      </c>
      <c r="EK735" s="1353"/>
      <c r="EL735" s="1353"/>
      <c r="EM735" s="1353"/>
      <c r="EN735" s="1353"/>
      <c r="EO735" s="1353">
        <f t="shared" si="30"/>
        <v>0</v>
      </c>
      <c r="EP735" s="1353"/>
      <c r="EQ735" s="1353"/>
      <c r="ER735" s="1353"/>
      <c r="ES735" s="1353"/>
      <c r="ET735" s="1353">
        <f t="shared" si="31"/>
        <v>0</v>
      </c>
      <c r="EU735" s="1353"/>
      <c r="EV735" s="1353"/>
      <c r="EW735" s="1353"/>
      <c r="EX735" s="1353"/>
      <c r="EY735" s="3"/>
      <c r="EZ735" s="1319" t="str">
        <f t="shared" si="32"/>
        <v/>
      </c>
      <c r="FA735" s="1320"/>
      <c r="FB735" s="1320"/>
      <c r="FC735" s="1320"/>
      <c r="FD735" s="1321"/>
      <c r="FE735" s="1319" t="str">
        <f t="shared" si="33"/>
        <v/>
      </c>
      <c r="FF735" s="1320"/>
      <c r="FG735" s="1320"/>
      <c r="FH735" s="1320"/>
      <c r="FI735" s="1321"/>
      <c r="FJ735" s="1319" t="str">
        <f t="shared" si="34"/>
        <v/>
      </c>
      <c r="FK735" s="1320"/>
      <c r="FL735" s="1320"/>
      <c r="FM735" s="1320"/>
      <c r="FN735" s="1321"/>
      <c r="FO735" s="1319">
        <f t="shared" si="35"/>
        <v>3026</v>
      </c>
      <c r="FP735" s="1320"/>
      <c r="FQ735" s="1320"/>
      <c r="FR735" s="1320"/>
      <c r="FS735" s="1321"/>
      <c r="FT735" s="1319" t="str">
        <f t="shared" si="36"/>
        <v/>
      </c>
      <c r="FU735" s="1320"/>
      <c r="FV735" s="1320"/>
      <c r="FW735" s="1320"/>
      <c r="FX735" s="1321"/>
      <c r="FY735" s="1319" t="str">
        <f t="shared" si="37"/>
        <v/>
      </c>
      <c r="FZ735" s="1320"/>
      <c r="GA735" s="1320"/>
      <c r="GB735" s="1320"/>
      <c r="GC735" s="1321"/>
    </row>
    <row r="736" spans="1:185" ht="13" customHeight="1">
      <c r="A736" s="3"/>
      <c r="B736" s="1333" t="s">
        <v>849</v>
      </c>
      <c r="C736" s="1334"/>
      <c r="D736" s="1334"/>
      <c r="E736" s="1334"/>
      <c r="F736" s="1335"/>
      <c r="G736" s="1342">
        <v>6</v>
      </c>
      <c r="H736" s="1343"/>
      <c r="I736" s="1343"/>
      <c r="J736" s="1344"/>
      <c r="K736" s="1533">
        <v>1031</v>
      </c>
      <c r="L736" s="1534"/>
      <c r="M736" s="1534"/>
      <c r="N736" s="1535"/>
      <c r="O736" s="1349">
        <v>2504</v>
      </c>
      <c r="P736" s="1350"/>
      <c r="Q736" s="1350"/>
      <c r="R736" s="1350"/>
      <c r="S736" s="1351"/>
      <c r="T736" s="1349">
        <v>107</v>
      </c>
      <c r="U736" s="1350"/>
      <c r="V736" s="1350"/>
      <c r="W736" s="1351"/>
      <c r="X736" s="1336">
        <f t="shared" si="10"/>
        <v>2611</v>
      </c>
      <c r="Y736" s="1337"/>
      <c r="Z736" s="1337"/>
      <c r="AA736" s="1337"/>
      <c r="AB736" s="1338"/>
      <c r="AC736" s="1346">
        <v>0.5</v>
      </c>
      <c r="AD736" s="1347"/>
      <c r="AE736" s="1347"/>
      <c r="AF736" s="1347"/>
      <c r="AG736" s="1348"/>
      <c r="AH736" s="1339">
        <f t="shared" si="38"/>
        <v>0.5</v>
      </c>
      <c r="AI736" s="1340"/>
      <c r="AJ736" s="1341"/>
      <c r="AK736" s="1333" t="s">
        <v>826</v>
      </c>
      <c r="AL736" s="1334"/>
      <c r="AM736" s="1334"/>
      <c r="AN736" s="1334"/>
      <c r="AO736" s="1335"/>
      <c r="AP736" s="3"/>
      <c r="AQ736" s="3"/>
      <c r="AR736" s="3"/>
      <c r="AS736" s="3"/>
      <c r="AY736" s="852"/>
      <c r="AZ736" s="84">
        <f t="shared" si="11"/>
        <v>5222</v>
      </c>
      <c r="BA736" s="3"/>
      <c r="BB736" s="3"/>
      <c r="BC736" s="3"/>
      <c r="BD736" s="3"/>
      <c r="BE736" s="136"/>
      <c r="BF736" s="203">
        <f t="shared" si="12"/>
        <v>6</v>
      </c>
      <c r="BG736" s="206">
        <f t="shared" si="13"/>
        <v>5.3571428571428568E-2</v>
      </c>
      <c r="BH736" s="207">
        <f t="shared" si="14"/>
        <v>2.6785714285714284E-2</v>
      </c>
      <c r="BI736" s="3"/>
      <c r="BJ736" s="3"/>
      <c r="BK736" s="3"/>
      <c r="BL736" s="3"/>
      <c r="BM736" s="3"/>
      <c r="BN736" s="3"/>
      <c r="BS736" s="203">
        <f t="shared" si="15"/>
        <v>6</v>
      </c>
      <c r="BT736" s="206">
        <f t="shared" si="16"/>
        <v>5.3571428571428568E-2</v>
      </c>
      <c r="BU736" s="207">
        <f t="shared" si="17"/>
        <v>2.6785714285714284E-2</v>
      </c>
      <c r="BV736" s="3"/>
      <c r="BW736" s="3"/>
      <c r="BX736" s="3"/>
      <c r="BY736" s="3"/>
      <c r="BZ736" s="3"/>
      <c r="CA736" s="3"/>
      <c r="CB736" s="3"/>
      <c r="CC736" s="3"/>
      <c r="CE736" s="3"/>
      <c r="CF736" s="3"/>
      <c r="CG736" s="1319">
        <f t="shared" si="39"/>
        <v>1</v>
      </c>
      <c r="CH736" s="1321"/>
      <c r="CI736" s="1319">
        <f t="shared" si="40"/>
        <v>6</v>
      </c>
      <c r="CJ736" s="1321"/>
      <c r="CK736" s="1319">
        <f t="shared" si="18"/>
        <v>0</v>
      </c>
      <c r="CL736" s="1321"/>
      <c r="CM736" s="1319">
        <f t="shared" si="19"/>
        <v>0</v>
      </c>
      <c r="CN736" s="1321"/>
      <c r="CO736" s="3"/>
      <c r="CP736" s="1316">
        <f t="shared" si="20"/>
        <v>0</v>
      </c>
      <c r="CQ736" s="1317"/>
      <c r="CR736" s="1317"/>
      <c r="CS736" s="1317"/>
      <c r="CT736" s="1318"/>
      <c r="CU736" s="1332">
        <f t="shared" si="21"/>
        <v>0</v>
      </c>
      <c r="CV736" s="1332"/>
      <c r="CW736" s="1332"/>
      <c r="CX736" s="1332"/>
      <c r="CY736" s="1332"/>
      <c r="CZ736" s="1332">
        <f t="shared" si="22"/>
        <v>0</v>
      </c>
      <c r="DA736" s="1332"/>
      <c r="DB736" s="1332"/>
      <c r="DC736" s="1332"/>
      <c r="DD736" s="1332"/>
      <c r="DE736" s="1332">
        <f t="shared" si="23"/>
        <v>6</v>
      </c>
      <c r="DF736" s="1332"/>
      <c r="DG736" s="1332"/>
      <c r="DH736" s="1332"/>
      <c r="DI736" s="1332"/>
      <c r="DJ736" s="1332">
        <f t="shared" si="24"/>
        <v>0</v>
      </c>
      <c r="DK736" s="1332"/>
      <c r="DL736" s="1332"/>
      <c r="DM736" s="1332"/>
      <c r="DN736" s="1332"/>
      <c r="DO736" s="1332">
        <f t="shared" si="25"/>
        <v>0</v>
      </c>
      <c r="DP736" s="1332"/>
      <c r="DQ736" s="1332"/>
      <c r="DR736" s="1332"/>
      <c r="DS736" s="1332"/>
      <c r="DT736" s="257"/>
      <c r="DU736" s="1353">
        <f t="shared" si="26"/>
        <v>0</v>
      </c>
      <c r="DV736" s="1353"/>
      <c r="DW736" s="1353"/>
      <c r="DX736" s="1353"/>
      <c r="DY736" s="1353"/>
      <c r="DZ736" s="1353">
        <f t="shared" si="27"/>
        <v>0</v>
      </c>
      <c r="EA736" s="1353"/>
      <c r="EB736" s="1353"/>
      <c r="EC736" s="1353"/>
      <c r="ED736" s="1353"/>
      <c r="EE736" s="1353">
        <f t="shared" si="28"/>
        <v>0</v>
      </c>
      <c r="EF736" s="1353"/>
      <c r="EG736" s="1353"/>
      <c r="EH736" s="1353"/>
      <c r="EI736" s="1353"/>
      <c r="EJ736" s="1353">
        <f t="shared" si="29"/>
        <v>0</v>
      </c>
      <c r="EK736" s="1353"/>
      <c r="EL736" s="1353"/>
      <c r="EM736" s="1353"/>
      <c r="EN736" s="1353"/>
      <c r="EO736" s="1353">
        <f t="shared" si="30"/>
        <v>0</v>
      </c>
      <c r="EP736" s="1353"/>
      <c r="EQ736" s="1353"/>
      <c r="ER736" s="1353"/>
      <c r="ES736" s="1353"/>
      <c r="ET736" s="1353">
        <f t="shared" si="31"/>
        <v>0</v>
      </c>
      <c r="EU736" s="1353"/>
      <c r="EV736" s="1353"/>
      <c r="EW736" s="1353"/>
      <c r="EX736" s="1353"/>
      <c r="EY736" s="3"/>
      <c r="EZ736" s="1319" t="str">
        <f t="shared" si="32"/>
        <v/>
      </c>
      <c r="FA736" s="1320"/>
      <c r="FB736" s="1320"/>
      <c r="FC736" s="1320"/>
      <c r="FD736" s="1321"/>
      <c r="FE736" s="1319" t="str">
        <f t="shared" si="33"/>
        <v/>
      </c>
      <c r="FF736" s="1320"/>
      <c r="FG736" s="1320"/>
      <c r="FH736" s="1320"/>
      <c r="FI736" s="1321"/>
      <c r="FJ736" s="1319" t="str">
        <f t="shared" si="34"/>
        <v/>
      </c>
      <c r="FK736" s="1320"/>
      <c r="FL736" s="1320"/>
      <c r="FM736" s="1320"/>
      <c r="FN736" s="1321"/>
      <c r="FO736" s="1319">
        <f t="shared" si="35"/>
        <v>2504</v>
      </c>
      <c r="FP736" s="1320"/>
      <c r="FQ736" s="1320"/>
      <c r="FR736" s="1320"/>
      <c r="FS736" s="1321"/>
      <c r="FT736" s="1319" t="str">
        <f t="shared" si="36"/>
        <v/>
      </c>
      <c r="FU736" s="1320"/>
      <c r="FV736" s="1320"/>
      <c r="FW736" s="1320"/>
      <c r="FX736" s="1321"/>
      <c r="FY736" s="1319" t="str">
        <f t="shared" si="37"/>
        <v/>
      </c>
      <c r="FZ736" s="1320"/>
      <c r="GA736" s="1320"/>
      <c r="GB736" s="1320"/>
      <c r="GC736" s="1321"/>
    </row>
    <row r="737" spans="1:185" ht="13" customHeight="1">
      <c r="A737" s="3"/>
      <c r="B737" s="1333" t="s">
        <v>849</v>
      </c>
      <c r="C737" s="1334"/>
      <c r="D737" s="1334"/>
      <c r="E737" s="1334"/>
      <c r="F737" s="1335"/>
      <c r="G737" s="1342">
        <v>6</v>
      </c>
      <c r="H737" s="1343"/>
      <c r="I737" s="1343"/>
      <c r="J737" s="1344"/>
      <c r="K737" s="1533">
        <v>1031</v>
      </c>
      <c r="L737" s="1534"/>
      <c r="M737" s="1534"/>
      <c r="N737" s="1535"/>
      <c r="O737" s="1349">
        <v>1459</v>
      </c>
      <c r="P737" s="1350"/>
      <c r="Q737" s="1350"/>
      <c r="R737" s="1350"/>
      <c r="S737" s="1351"/>
      <c r="T737" s="1349">
        <v>107</v>
      </c>
      <c r="U737" s="1350"/>
      <c r="V737" s="1350"/>
      <c r="W737" s="1351"/>
      <c r="X737" s="1336">
        <f t="shared" si="10"/>
        <v>1566</v>
      </c>
      <c r="Y737" s="1337"/>
      <c r="Z737" s="1337"/>
      <c r="AA737" s="1337"/>
      <c r="AB737" s="1338"/>
      <c r="AC737" s="1346">
        <v>0.3</v>
      </c>
      <c r="AD737" s="1347"/>
      <c r="AE737" s="1347"/>
      <c r="AF737" s="1347"/>
      <c r="AG737" s="1348"/>
      <c r="AH737" s="1339">
        <f t="shared" si="38"/>
        <v>0.29988510149368058</v>
      </c>
      <c r="AI737" s="1340"/>
      <c r="AJ737" s="1341"/>
      <c r="AK737" s="1333" t="s">
        <v>826</v>
      </c>
      <c r="AL737" s="1334"/>
      <c r="AM737" s="1334"/>
      <c r="AN737" s="1334"/>
      <c r="AO737" s="1335"/>
      <c r="AP737" s="3"/>
      <c r="AQ737" s="3"/>
      <c r="AR737" s="3"/>
      <c r="AS737" s="3"/>
      <c r="AY737" s="852"/>
      <c r="AZ737" s="84">
        <f t="shared" si="11"/>
        <v>5222</v>
      </c>
      <c r="BA737" s="3"/>
      <c r="BB737" s="3"/>
      <c r="BC737" s="3"/>
      <c r="BD737" s="3"/>
      <c r="BE737" s="136"/>
      <c r="BF737" s="203">
        <f t="shared" si="12"/>
        <v>6</v>
      </c>
      <c r="BG737" s="206">
        <f t="shared" si="13"/>
        <v>5.3571428571428568E-2</v>
      </c>
      <c r="BH737" s="207">
        <f t="shared" si="14"/>
        <v>1.607142857142857E-2</v>
      </c>
      <c r="BI737" s="3"/>
      <c r="BJ737" s="3"/>
      <c r="BK737" s="3"/>
      <c r="BL737" s="3"/>
      <c r="BM737" s="3"/>
      <c r="BN737" s="3"/>
      <c r="BS737" s="203">
        <f t="shared" si="15"/>
        <v>6</v>
      </c>
      <c r="BT737" s="206">
        <f t="shared" si="16"/>
        <v>5.3571428571428568E-2</v>
      </c>
      <c r="BU737" s="207">
        <f t="shared" si="17"/>
        <v>1.6065273294304315E-2</v>
      </c>
      <c r="BV737" s="3"/>
      <c r="BW737" s="3"/>
      <c r="BX737" s="3"/>
      <c r="BY737" s="3"/>
      <c r="BZ737" s="3"/>
      <c r="CA737" s="3"/>
      <c r="CB737" s="3"/>
      <c r="CC737" s="3"/>
      <c r="CE737" s="3"/>
      <c r="CF737" s="3"/>
      <c r="CG737" s="1319">
        <f t="shared" si="39"/>
        <v>0</v>
      </c>
      <c r="CH737" s="1321"/>
      <c r="CI737" s="1319">
        <f t="shared" si="40"/>
        <v>0</v>
      </c>
      <c r="CJ737" s="1321"/>
      <c r="CK737" s="1319">
        <f t="shared" si="18"/>
        <v>1</v>
      </c>
      <c r="CL737" s="1321"/>
      <c r="CM737" s="1319">
        <f t="shared" si="19"/>
        <v>6</v>
      </c>
      <c r="CN737" s="1321"/>
      <c r="CO737" s="3"/>
      <c r="CP737" s="1316">
        <f t="shared" si="20"/>
        <v>0</v>
      </c>
      <c r="CQ737" s="1317"/>
      <c r="CR737" s="1317"/>
      <c r="CS737" s="1317"/>
      <c r="CT737" s="1318"/>
      <c r="CU737" s="1332">
        <f t="shared" si="21"/>
        <v>0</v>
      </c>
      <c r="CV737" s="1332"/>
      <c r="CW737" s="1332"/>
      <c r="CX737" s="1332"/>
      <c r="CY737" s="1332"/>
      <c r="CZ737" s="1332">
        <f t="shared" si="22"/>
        <v>0</v>
      </c>
      <c r="DA737" s="1332"/>
      <c r="DB737" s="1332"/>
      <c r="DC737" s="1332"/>
      <c r="DD737" s="1332"/>
      <c r="DE737" s="1332">
        <f t="shared" si="23"/>
        <v>6</v>
      </c>
      <c r="DF737" s="1332"/>
      <c r="DG737" s="1332"/>
      <c r="DH737" s="1332"/>
      <c r="DI737" s="1332"/>
      <c r="DJ737" s="1332">
        <f t="shared" si="24"/>
        <v>0</v>
      </c>
      <c r="DK737" s="1332"/>
      <c r="DL737" s="1332"/>
      <c r="DM737" s="1332"/>
      <c r="DN737" s="1332"/>
      <c r="DO737" s="1332">
        <f t="shared" si="25"/>
        <v>0</v>
      </c>
      <c r="DP737" s="1332"/>
      <c r="DQ737" s="1332"/>
      <c r="DR737" s="1332"/>
      <c r="DS737" s="1332"/>
      <c r="DT737" s="257"/>
      <c r="DU737" s="1353">
        <f t="shared" si="26"/>
        <v>0</v>
      </c>
      <c r="DV737" s="1353"/>
      <c r="DW737" s="1353"/>
      <c r="DX737" s="1353"/>
      <c r="DY737" s="1353"/>
      <c r="DZ737" s="1353">
        <f t="shared" si="27"/>
        <v>0</v>
      </c>
      <c r="EA737" s="1353"/>
      <c r="EB737" s="1353"/>
      <c r="EC737" s="1353"/>
      <c r="ED737" s="1353"/>
      <c r="EE737" s="1353">
        <f t="shared" si="28"/>
        <v>0</v>
      </c>
      <c r="EF737" s="1353"/>
      <c r="EG737" s="1353"/>
      <c r="EH737" s="1353"/>
      <c r="EI737" s="1353"/>
      <c r="EJ737" s="1353">
        <f t="shared" si="29"/>
        <v>6</v>
      </c>
      <c r="EK737" s="1353"/>
      <c r="EL737" s="1353"/>
      <c r="EM737" s="1353"/>
      <c r="EN737" s="1353"/>
      <c r="EO737" s="1353">
        <f t="shared" si="30"/>
        <v>0</v>
      </c>
      <c r="EP737" s="1353"/>
      <c r="EQ737" s="1353"/>
      <c r="ER737" s="1353"/>
      <c r="ES737" s="1353"/>
      <c r="ET737" s="1353">
        <f t="shared" si="31"/>
        <v>0</v>
      </c>
      <c r="EU737" s="1353"/>
      <c r="EV737" s="1353"/>
      <c r="EW737" s="1353"/>
      <c r="EX737" s="1353"/>
      <c r="EZ737" s="1319" t="str">
        <f t="shared" si="32"/>
        <v/>
      </c>
      <c r="FA737" s="1320"/>
      <c r="FB737" s="1320"/>
      <c r="FC737" s="1320"/>
      <c r="FD737" s="1321"/>
      <c r="FE737" s="1319" t="str">
        <f t="shared" si="33"/>
        <v/>
      </c>
      <c r="FF737" s="1320"/>
      <c r="FG737" s="1320"/>
      <c r="FH737" s="1320"/>
      <c r="FI737" s="1321"/>
      <c r="FJ737" s="1319" t="str">
        <f t="shared" si="34"/>
        <v/>
      </c>
      <c r="FK737" s="1320"/>
      <c r="FL737" s="1320"/>
      <c r="FM737" s="1320"/>
      <c r="FN737" s="1321"/>
      <c r="FO737" s="1319">
        <f t="shared" si="35"/>
        <v>1459</v>
      </c>
      <c r="FP737" s="1320"/>
      <c r="FQ737" s="1320"/>
      <c r="FR737" s="1320"/>
      <c r="FS737" s="1321"/>
      <c r="FT737" s="1319" t="str">
        <f t="shared" si="36"/>
        <v/>
      </c>
      <c r="FU737" s="1320"/>
      <c r="FV737" s="1320"/>
      <c r="FW737" s="1320"/>
      <c r="FX737" s="1321"/>
      <c r="FY737" s="1319" t="str">
        <f t="shared" si="37"/>
        <v/>
      </c>
      <c r="FZ737" s="1320"/>
      <c r="GA737" s="1320"/>
      <c r="GB737" s="1320"/>
      <c r="GC737" s="1321"/>
    </row>
    <row r="738" spans="1:185" ht="13" customHeight="1">
      <c r="B738" s="1333"/>
      <c r="C738" s="1334"/>
      <c r="D738" s="1334"/>
      <c r="E738" s="1334"/>
      <c r="F738" s="1335"/>
      <c r="G738" s="1342"/>
      <c r="H738" s="1343"/>
      <c r="I738" s="1343"/>
      <c r="J738" s="1344"/>
      <c r="K738" s="1533"/>
      <c r="L738" s="1534"/>
      <c r="M738" s="1534"/>
      <c r="N738" s="1535"/>
      <c r="O738" s="1349"/>
      <c r="P738" s="1350"/>
      <c r="Q738" s="1350"/>
      <c r="R738" s="1350"/>
      <c r="S738" s="1351"/>
      <c r="T738" s="1349"/>
      <c r="U738" s="1350"/>
      <c r="V738" s="1350"/>
      <c r="W738" s="1351"/>
      <c r="X738" s="1336">
        <f t="shared" si="10"/>
        <v>0</v>
      </c>
      <c r="Y738" s="1337"/>
      <c r="Z738" s="1337"/>
      <c r="AA738" s="1337"/>
      <c r="AB738" s="1338"/>
      <c r="AC738" s="1346"/>
      <c r="AD738" s="1347"/>
      <c r="AE738" s="1347"/>
      <c r="AF738" s="1347"/>
      <c r="AG738" s="1348"/>
      <c r="AH738" s="1339" t="str">
        <f t="shared" si="38"/>
        <v/>
      </c>
      <c r="AI738" s="1340"/>
      <c r="AJ738" s="1341"/>
      <c r="AK738" s="1333" t="s">
        <v>826</v>
      </c>
      <c r="AL738" s="1334"/>
      <c r="AM738" s="1334"/>
      <c r="AN738" s="1334"/>
      <c r="AO738" s="1335"/>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319">
        <f t="shared" si="39"/>
        <v>0</v>
      </c>
      <c r="CH738" s="1321"/>
      <c r="CI738" s="1319">
        <f t="shared" si="40"/>
        <v>0</v>
      </c>
      <c r="CJ738" s="1321"/>
      <c r="CK738" s="1319">
        <f t="shared" si="18"/>
        <v>0</v>
      </c>
      <c r="CL738" s="1321"/>
      <c r="CM738" s="1319">
        <f t="shared" si="19"/>
        <v>0</v>
      </c>
      <c r="CN738" s="1321"/>
      <c r="CO738" s="3"/>
      <c r="CP738" s="1316">
        <f t="shared" si="20"/>
        <v>0</v>
      </c>
      <c r="CQ738" s="1317"/>
      <c r="CR738" s="1317"/>
      <c r="CS738" s="1317"/>
      <c r="CT738" s="1318"/>
      <c r="CU738" s="1332">
        <f t="shared" si="21"/>
        <v>0</v>
      </c>
      <c r="CV738" s="1332"/>
      <c r="CW738" s="1332"/>
      <c r="CX738" s="1332"/>
      <c r="CY738" s="1332"/>
      <c r="CZ738" s="1332">
        <f t="shared" si="22"/>
        <v>0</v>
      </c>
      <c r="DA738" s="1332"/>
      <c r="DB738" s="1332"/>
      <c r="DC738" s="1332"/>
      <c r="DD738" s="1332"/>
      <c r="DE738" s="1332">
        <f t="shared" si="23"/>
        <v>0</v>
      </c>
      <c r="DF738" s="1332"/>
      <c r="DG738" s="1332"/>
      <c r="DH738" s="1332"/>
      <c r="DI738" s="1332"/>
      <c r="DJ738" s="1332">
        <f t="shared" si="24"/>
        <v>0</v>
      </c>
      <c r="DK738" s="1332"/>
      <c r="DL738" s="1332"/>
      <c r="DM738" s="1332"/>
      <c r="DN738" s="1332"/>
      <c r="DO738" s="1332">
        <f t="shared" si="25"/>
        <v>0</v>
      </c>
      <c r="DP738" s="1332"/>
      <c r="DQ738" s="1332"/>
      <c r="DR738" s="1332"/>
      <c r="DS738" s="1332"/>
      <c r="DT738" s="257"/>
      <c r="DU738" s="1353">
        <f t="shared" si="26"/>
        <v>0</v>
      </c>
      <c r="DV738" s="1353"/>
      <c r="DW738" s="1353"/>
      <c r="DX738" s="1353"/>
      <c r="DY738" s="1353"/>
      <c r="DZ738" s="1353">
        <f t="shared" si="27"/>
        <v>0</v>
      </c>
      <c r="EA738" s="1353"/>
      <c r="EB738" s="1353"/>
      <c r="EC738" s="1353"/>
      <c r="ED738" s="1353"/>
      <c r="EE738" s="1353">
        <f t="shared" si="28"/>
        <v>0</v>
      </c>
      <c r="EF738" s="1353"/>
      <c r="EG738" s="1353"/>
      <c r="EH738" s="1353"/>
      <c r="EI738" s="1353"/>
      <c r="EJ738" s="1353">
        <f t="shared" si="29"/>
        <v>0</v>
      </c>
      <c r="EK738" s="1353"/>
      <c r="EL738" s="1353"/>
      <c r="EM738" s="1353"/>
      <c r="EN738" s="1353"/>
      <c r="EO738" s="1353">
        <f t="shared" si="30"/>
        <v>0</v>
      </c>
      <c r="EP738" s="1353"/>
      <c r="EQ738" s="1353"/>
      <c r="ER738" s="1353"/>
      <c r="ES738" s="1353"/>
      <c r="ET738" s="1353">
        <f t="shared" si="31"/>
        <v>0</v>
      </c>
      <c r="EU738" s="1353"/>
      <c r="EV738" s="1353"/>
      <c r="EW738" s="1353"/>
      <c r="EX738" s="1353"/>
      <c r="EZ738" s="1319" t="str">
        <f t="shared" si="32"/>
        <v/>
      </c>
      <c r="FA738" s="1320"/>
      <c r="FB738" s="1320"/>
      <c r="FC738" s="1320"/>
      <c r="FD738" s="1321"/>
      <c r="FE738" s="1319" t="str">
        <f t="shared" si="33"/>
        <v/>
      </c>
      <c r="FF738" s="1320"/>
      <c r="FG738" s="1320"/>
      <c r="FH738" s="1320"/>
      <c r="FI738" s="1321"/>
      <c r="FJ738" s="1319" t="str">
        <f t="shared" si="34"/>
        <v/>
      </c>
      <c r="FK738" s="1320"/>
      <c r="FL738" s="1320"/>
      <c r="FM738" s="1320"/>
      <c r="FN738" s="1321"/>
      <c r="FO738" s="1319" t="str">
        <f t="shared" si="35"/>
        <v/>
      </c>
      <c r="FP738" s="1320"/>
      <c r="FQ738" s="1320"/>
      <c r="FR738" s="1320"/>
      <c r="FS738" s="1321"/>
      <c r="FT738" s="1319" t="str">
        <f t="shared" si="36"/>
        <v/>
      </c>
      <c r="FU738" s="1320"/>
      <c r="FV738" s="1320"/>
      <c r="FW738" s="1320"/>
      <c r="FX738" s="1321"/>
      <c r="FY738" s="1319" t="str">
        <f t="shared" si="37"/>
        <v/>
      </c>
      <c r="FZ738" s="1320"/>
      <c r="GA738" s="1320"/>
      <c r="GB738" s="1320"/>
      <c r="GC738" s="1321"/>
    </row>
    <row r="739" spans="1:185" ht="13" customHeight="1">
      <c r="B739" s="1333"/>
      <c r="C739" s="1334"/>
      <c r="D739" s="1334"/>
      <c r="E739" s="1334"/>
      <c r="F739" s="1335"/>
      <c r="G739" s="1342"/>
      <c r="H739" s="1343"/>
      <c r="I739" s="1343"/>
      <c r="J739" s="1344"/>
      <c r="K739" s="1533"/>
      <c r="L739" s="1534"/>
      <c r="M739" s="1534"/>
      <c r="N739" s="1535"/>
      <c r="O739" s="1349"/>
      <c r="P739" s="1350"/>
      <c r="Q739" s="1350"/>
      <c r="R739" s="1350"/>
      <c r="S739" s="1351"/>
      <c r="T739" s="1349"/>
      <c r="U739" s="1350"/>
      <c r="V739" s="1350"/>
      <c r="W739" s="1351"/>
      <c r="X739" s="1336">
        <f t="shared" si="10"/>
        <v>0</v>
      </c>
      <c r="Y739" s="1337"/>
      <c r="Z739" s="1337"/>
      <c r="AA739" s="1337"/>
      <c r="AB739" s="1338"/>
      <c r="AC739" s="1346"/>
      <c r="AD739" s="1347"/>
      <c r="AE739" s="1347"/>
      <c r="AF739" s="1347"/>
      <c r="AG739" s="1348"/>
      <c r="AH739" s="1339" t="str">
        <f t="shared" si="38"/>
        <v/>
      </c>
      <c r="AI739" s="1340"/>
      <c r="AJ739" s="1341"/>
      <c r="AK739" s="1333" t="s">
        <v>826</v>
      </c>
      <c r="AL739" s="1334"/>
      <c r="AM739" s="1334"/>
      <c r="AN739" s="1334"/>
      <c r="AO739" s="1335"/>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319">
        <f t="shared" si="39"/>
        <v>0</v>
      </c>
      <c r="CH739" s="1321"/>
      <c r="CI739" s="1319">
        <f t="shared" si="40"/>
        <v>0</v>
      </c>
      <c r="CJ739" s="1321"/>
      <c r="CK739" s="1319">
        <f t="shared" si="18"/>
        <v>0</v>
      </c>
      <c r="CL739" s="1321"/>
      <c r="CM739" s="1319">
        <f t="shared" si="19"/>
        <v>0</v>
      </c>
      <c r="CN739" s="1321"/>
      <c r="CO739" s="3"/>
      <c r="CP739" s="1316">
        <f t="shared" si="20"/>
        <v>0</v>
      </c>
      <c r="CQ739" s="1317"/>
      <c r="CR739" s="1317"/>
      <c r="CS739" s="1317"/>
      <c r="CT739" s="1318"/>
      <c r="CU739" s="1332">
        <f t="shared" si="21"/>
        <v>0</v>
      </c>
      <c r="CV739" s="1332"/>
      <c r="CW739" s="1332"/>
      <c r="CX739" s="1332"/>
      <c r="CY739" s="1332"/>
      <c r="CZ739" s="1332">
        <f t="shared" si="22"/>
        <v>0</v>
      </c>
      <c r="DA739" s="1332"/>
      <c r="DB739" s="1332"/>
      <c r="DC739" s="1332"/>
      <c r="DD739" s="1332"/>
      <c r="DE739" s="1332">
        <f t="shared" si="23"/>
        <v>0</v>
      </c>
      <c r="DF739" s="1332"/>
      <c r="DG739" s="1332"/>
      <c r="DH739" s="1332"/>
      <c r="DI739" s="1332"/>
      <c r="DJ739" s="1332">
        <f t="shared" si="24"/>
        <v>0</v>
      </c>
      <c r="DK739" s="1332"/>
      <c r="DL739" s="1332"/>
      <c r="DM739" s="1332"/>
      <c r="DN739" s="1332"/>
      <c r="DO739" s="1332">
        <f t="shared" si="25"/>
        <v>0</v>
      </c>
      <c r="DP739" s="1332"/>
      <c r="DQ739" s="1332"/>
      <c r="DR739" s="1332"/>
      <c r="DS739" s="1332"/>
      <c r="DT739" s="257"/>
      <c r="DU739" s="1353">
        <f t="shared" si="26"/>
        <v>0</v>
      </c>
      <c r="DV739" s="1353"/>
      <c r="DW739" s="1353"/>
      <c r="DX739" s="1353"/>
      <c r="DY739" s="1353"/>
      <c r="DZ739" s="1353">
        <f t="shared" si="27"/>
        <v>0</v>
      </c>
      <c r="EA739" s="1353"/>
      <c r="EB739" s="1353"/>
      <c r="EC739" s="1353"/>
      <c r="ED739" s="1353"/>
      <c r="EE739" s="1353">
        <f t="shared" si="28"/>
        <v>0</v>
      </c>
      <c r="EF739" s="1353"/>
      <c r="EG739" s="1353"/>
      <c r="EH739" s="1353"/>
      <c r="EI739" s="1353"/>
      <c r="EJ739" s="1353">
        <f t="shared" si="29"/>
        <v>0</v>
      </c>
      <c r="EK739" s="1353"/>
      <c r="EL739" s="1353"/>
      <c r="EM739" s="1353"/>
      <c r="EN739" s="1353"/>
      <c r="EO739" s="1353">
        <f t="shared" si="30"/>
        <v>0</v>
      </c>
      <c r="EP739" s="1353"/>
      <c r="EQ739" s="1353"/>
      <c r="ER739" s="1353"/>
      <c r="ES739" s="1353"/>
      <c r="ET739" s="1353">
        <f t="shared" si="31"/>
        <v>0</v>
      </c>
      <c r="EU739" s="1353"/>
      <c r="EV739" s="1353"/>
      <c r="EW739" s="1353"/>
      <c r="EX739" s="1353"/>
      <c r="EZ739" s="1319" t="str">
        <f t="shared" si="32"/>
        <v/>
      </c>
      <c r="FA739" s="1320"/>
      <c r="FB739" s="1320"/>
      <c r="FC739" s="1320"/>
      <c r="FD739" s="1321"/>
      <c r="FE739" s="1319" t="str">
        <f t="shared" si="33"/>
        <v/>
      </c>
      <c r="FF739" s="1320"/>
      <c r="FG739" s="1320"/>
      <c r="FH739" s="1320"/>
      <c r="FI739" s="1321"/>
      <c r="FJ739" s="1319" t="str">
        <f t="shared" si="34"/>
        <v/>
      </c>
      <c r="FK739" s="1320"/>
      <c r="FL739" s="1320"/>
      <c r="FM739" s="1320"/>
      <c r="FN739" s="1321"/>
      <c r="FO739" s="1319" t="str">
        <f t="shared" si="35"/>
        <v/>
      </c>
      <c r="FP739" s="1320"/>
      <c r="FQ739" s="1320"/>
      <c r="FR739" s="1320"/>
      <c r="FS739" s="1321"/>
      <c r="FT739" s="1319" t="str">
        <f t="shared" si="36"/>
        <v/>
      </c>
      <c r="FU739" s="1320"/>
      <c r="FV739" s="1320"/>
      <c r="FW739" s="1320"/>
      <c r="FX739" s="1321"/>
      <c r="FY739" s="1319" t="str">
        <f t="shared" si="37"/>
        <v/>
      </c>
      <c r="FZ739" s="1320"/>
      <c r="GA739" s="1320"/>
      <c r="GB739" s="1320"/>
      <c r="GC739" s="1321"/>
    </row>
    <row r="740" spans="1:185" ht="13" customHeight="1">
      <c r="B740" s="1333"/>
      <c r="C740" s="1334"/>
      <c r="D740" s="1334"/>
      <c r="E740" s="1334"/>
      <c r="F740" s="1335"/>
      <c r="G740" s="1342"/>
      <c r="H740" s="1343"/>
      <c r="I740" s="1343"/>
      <c r="J740" s="1344"/>
      <c r="K740" s="1533"/>
      <c r="L740" s="1534"/>
      <c r="M740" s="1534"/>
      <c r="N740" s="1535"/>
      <c r="O740" s="1349"/>
      <c r="P740" s="1350"/>
      <c r="Q740" s="1350"/>
      <c r="R740" s="1350"/>
      <c r="S740" s="1351"/>
      <c r="T740" s="1349"/>
      <c r="U740" s="1350"/>
      <c r="V740" s="1350"/>
      <c r="W740" s="1351"/>
      <c r="X740" s="1336">
        <f t="shared" si="10"/>
        <v>0</v>
      </c>
      <c r="Y740" s="1337"/>
      <c r="Z740" s="1337"/>
      <c r="AA740" s="1337"/>
      <c r="AB740" s="1338"/>
      <c r="AC740" s="1346"/>
      <c r="AD740" s="1347"/>
      <c r="AE740" s="1347"/>
      <c r="AF740" s="1347"/>
      <c r="AG740" s="1348"/>
      <c r="AH740" s="1339" t="str">
        <f t="shared" si="38"/>
        <v/>
      </c>
      <c r="AI740" s="1340"/>
      <c r="AJ740" s="1341"/>
      <c r="AK740" s="1333" t="s">
        <v>826</v>
      </c>
      <c r="AL740" s="1334"/>
      <c r="AM740" s="1334"/>
      <c r="AN740" s="1334"/>
      <c r="AO740" s="1335"/>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319">
        <f t="shared" si="39"/>
        <v>0</v>
      </c>
      <c r="CH740" s="1321"/>
      <c r="CI740" s="1319">
        <f t="shared" si="40"/>
        <v>0</v>
      </c>
      <c r="CJ740" s="1321"/>
      <c r="CK740" s="1319">
        <f t="shared" si="18"/>
        <v>0</v>
      </c>
      <c r="CL740" s="1321"/>
      <c r="CM740" s="1319">
        <f t="shared" si="19"/>
        <v>0</v>
      </c>
      <c r="CN740" s="1321"/>
      <c r="CO740" s="3"/>
      <c r="CP740" s="1316">
        <f t="shared" si="20"/>
        <v>0</v>
      </c>
      <c r="CQ740" s="1317"/>
      <c r="CR740" s="1317"/>
      <c r="CS740" s="1317"/>
      <c r="CT740" s="1318"/>
      <c r="CU740" s="1332">
        <f t="shared" si="21"/>
        <v>0</v>
      </c>
      <c r="CV740" s="1332"/>
      <c r="CW740" s="1332"/>
      <c r="CX740" s="1332"/>
      <c r="CY740" s="1332"/>
      <c r="CZ740" s="1332">
        <f t="shared" si="22"/>
        <v>0</v>
      </c>
      <c r="DA740" s="1332"/>
      <c r="DB740" s="1332"/>
      <c r="DC740" s="1332"/>
      <c r="DD740" s="1332"/>
      <c r="DE740" s="1332">
        <f t="shared" si="23"/>
        <v>0</v>
      </c>
      <c r="DF740" s="1332"/>
      <c r="DG740" s="1332"/>
      <c r="DH740" s="1332"/>
      <c r="DI740" s="1332"/>
      <c r="DJ740" s="1332">
        <f t="shared" si="24"/>
        <v>0</v>
      </c>
      <c r="DK740" s="1332"/>
      <c r="DL740" s="1332"/>
      <c r="DM740" s="1332"/>
      <c r="DN740" s="1332"/>
      <c r="DO740" s="1332">
        <f t="shared" si="25"/>
        <v>0</v>
      </c>
      <c r="DP740" s="1332"/>
      <c r="DQ740" s="1332"/>
      <c r="DR740" s="1332"/>
      <c r="DS740" s="1332"/>
      <c r="DT740" s="257"/>
      <c r="DU740" s="1353">
        <f t="shared" si="26"/>
        <v>0</v>
      </c>
      <c r="DV740" s="1353"/>
      <c r="DW740" s="1353"/>
      <c r="DX740" s="1353"/>
      <c r="DY740" s="1353"/>
      <c r="DZ740" s="1353">
        <f t="shared" si="27"/>
        <v>0</v>
      </c>
      <c r="EA740" s="1353"/>
      <c r="EB740" s="1353"/>
      <c r="EC740" s="1353"/>
      <c r="ED740" s="1353"/>
      <c r="EE740" s="1353">
        <f t="shared" si="28"/>
        <v>0</v>
      </c>
      <c r="EF740" s="1353"/>
      <c r="EG740" s="1353"/>
      <c r="EH740" s="1353"/>
      <c r="EI740" s="1353"/>
      <c r="EJ740" s="1353">
        <f t="shared" si="29"/>
        <v>0</v>
      </c>
      <c r="EK740" s="1353"/>
      <c r="EL740" s="1353"/>
      <c r="EM740" s="1353"/>
      <c r="EN740" s="1353"/>
      <c r="EO740" s="1353">
        <f t="shared" si="30"/>
        <v>0</v>
      </c>
      <c r="EP740" s="1353"/>
      <c r="EQ740" s="1353"/>
      <c r="ER740" s="1353"/>
      <c r="ES740" s="1353"/>
      <c r="ET740" s="1353">
        <f t="shared" si="31"/>
        <v>0</v>
      </c>
      <c r="EU740" s="1353"/>
      <c r="EV740" s="1353"/>
      <c r="EW740" s="1353"/>
      <c r="EX740" s="1353"/>
      <c r="EZ740" s="1319" t="str">
        <f t="shared" si="32"/>
        <v/>
      </c>
      <c r="FA740" s="1320"/>
      <c r="FB740" s="1320"/>
      <c r="FC740" s="1320"/>
      <c r="FD740" s="1321"/>
      <c r="FE740" s="1319" t="str">
        <f t="shared" si="33"/>
        <v/>
      </c>
      <c r="FF740" s="1320"/>
      <c r="FG740" s="1320"/>
      <c r="FH740" s="1320"/>
      <c r="FI740" s="1321"/>
      <c r="FJ740" s="1319" t="str">
        <f t="shared" si="34"/>
        <v/>
      </c>
      <c r="FK740" s="1320"/>
      <c r="FL740" s="1320"/>
      <c r="FM740" s="1320"/>
      <c r="FN740" s="1321"/>
      <c r="FO740" s="1319" t="str">
        <f t="shared" si="35"/>
        <v/>
      </c>
      <c r="FP740" s="1320"/>
      <c r="FQ740" s="1320"/>
      <c r="FR740" s="1320"/>
      <c r="FS740" s="1321"/>
      <c r="FT740" s="1319" t="str">
        <f t="shared" si="36"/>
        <v/>
      </c>
      <c r="FU740" s="1320"/>
      <c r="FV740" s="1320"/>
      <c r="FW740" s="1320"/>
      <c r="FX740" s="1321"/>
      <c r="FY740" s="1319" t="str">
        <f t="shared" si="37"/>
        <v/>
      </c>
      <c r="FZ740" s="1320"/>
      <c r="GA740" s="1320"/>
      <c r="GB740" s="1320"/>
      <c r="GC740" s="1321"/>
    </row>
    <row r="741" spans="1:185" ht="13" customHeight="1">
      <c r="B741" s="1333"/>
      <c r="C741" s="1334"/>
      <c r="D741" s="1334"/>
      <c r="E741" s="1334"/>
      <c r="F741" s="1335"/>
      <c r="G741" s="1342"/>
      <c r="H741" s="1343"/>
      <c r="I741" s="1343"/>
      <c r="J741" s="1344"/>
      <c r="K741" s="1533"/>
      <c r="L741" s="1534"/>
      <c r="M741" s="1534"/>
      <c r="N741" s="1535"/>
      <c r="O741" s="1349"/>
      <c r="P741" s="1350"/>
      <c r="Q741" s="1350"/>
      <c r="R741" s="1350"/>
      <c r="S741" s="1351"/>
      <c r="T741" s="1349"/>
      <c r="U741" s="1350"/>
      <c r="V741" s="1350"/>
      <c r="W741" s="1351"/>
      <c r="X741" s="1336">
        <f t="shared" si="10"/>
        <v>0</v>
      </c>
      <c r="Y741" s="1337"/>
      <c r="Z741" s="1337"/>
      <c r="AA741" s="1337"/>
      <c r="AB741" s="1338"/>
      <c r="AC741" s="1346"/>
      <c r="AD741" s="1347"/>
      <c r="AE741" s="1347"/>
      <c r="AF741" s="1347"/>
      <c r="AG741" s="1348"/>
      <c r="AH741" s="1339" t="str">
        <f t="shared" si="38"/>
        <v/>
      </c>
      <c r="AI741" s="1340"/>
      <c r="AJ741" s="1341"/>
      <c r="AK741" s="1333" t="s">
        <v>826</v>
      </c>
      <c r="AL741" s="1334"/>
      <c r="AM741" s="1334"/>
      <c r="AN741" s="1334"/>
      <c r="AO741" s="1335"/>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319">
        <f t="shared" si="39"/>
        <v>0</v>
      </c>
      <c r="CH741" s="1321"/>
      <c r="CI741" s="1319">
        <f t="shared" si="40"/>
        <v>0</v>
      </c>
      <c r="CJ741" s="1321"/>
      <c r="CK741" s="1319">
        <f t="shared" si="18"/>
        <v>0</v>
      </c>
      <c r="CL741" s="1321"/>
      <c r="CM741" s="1319">
        <f t="shared" si="19"/>
        <v>0</v>
      </c>
      <c r="CN741" s="1321"/>
      <c r="CO741" s="3"/>
      <c r="CP741" s="1316">
        <f t="shared" si="20"/>
        <v>0</v>
      </c>
      <c r="CQ741" s="1317"/>
      <c r="CR741" s="1317"/>
      <c r="CS741" s="1317"/>
      <c r="CT741" s="1318"/>
      <c r="CU741" s="1332">
        <f t="shared" si="21"/>
        <v>0</v>
      </c>
      <c r="CV741" s="1332"/>
      <c r="CW741" s="1332"/>
      <c r="CX741" s="1332"/>
      <c r="CY741" s="1332"/>
      <c r="CZ741" s="1332">
        <f t="shared" si="22"/>
        <v>0</v>
      </c>
      <c r="DA741" s="1332"/>
      <c r="DB741" s="1332"/>
      <c r="DC741" s="1332"/>
      <c r="DD741" s="1332"/>
      <c r="DE741" s="1332">
        <f t="shared" si="23"/>
        <v>0</v>
      </c>
      <c r="DF741" s="1332"/>
      <c r="DG741" s="1332"/>
      <c r="DH741" s="1332"/>
      <c r="DI741" s="1332"/>
      <c r="DJ741" s="1332">
        <f t="shared" si="24"/>
        <v>0</v>
      </c>
      <c r="DK741" s="1332"/>
      <c r="DL741" s="1332"/>
      <c r="DM741" s="1332"/>
      <c r="DN741" s="1332"/>
      <c r="DO741" s="1332">
        <f t="shared" si="25"/>
        <v>0</v>
      </c>
      <c r="DP741" s="1332"/>
      <c r="DQ741" s="1332"/>
      <c r="DR741" s="1332"/>
      <c r="DS741" s="1332"/>
      <c r="DT741" s="257"/>
      <c r="DU741" s="1353">
        <f t="shared" si="26"/>
        <v>0</v>
      </c>
      <c r="DV741" s="1353"/>
      <c r="DW741" s="1353"/>
      <c r="DX741" s="1353"/>
      <c r="DY741" s="1353"/>
      <c r="DZ741" s="1353">
        <f t="shared" si="27"/>
        <v>0</v>
      </c>
      <c r="EA741" s="1353"/>
      <c r="EB741" s="1353"/>
      <c r="EC741" s="1353"/>
      <c r="ED741" s="1353"/>
      <c r="EE741" s="1353">
        <f t="shared" si="28"/>
        <v>0</v>
      </c>
      <c r="EF741" s="1353"/>
      <c r="EG741" s="1353"/>
      <c r="EH741" s="1353"/>
      <c r="EI741" s="1353"/>
      <c r="EJ741" s="1353">
        <f t="shared" si="29"/>
        <v>0</v>
      </c>
      <c r="EK741" s="1353"/>
      <c r="EL741" s="1353"/>
      <c r="EM741" s="1353"/>
      <c r="EN741" s="1353"/>
      <c r="EO741" s="1353">
        <f t="shared" si="30"/>
        <v>0</v>
      </c>
      <c r="EP741" s="1353"/>
      <c r="EQ741" s="1353"/>
      <c r="ER741" s="1353"/>
      <c r="ES741" s="1353"/>
      <c r="ET741" s="1353">
        <f t="shared" si="31"/>
        <v>0</v>
      </c>
      <c r="EU741" s="1353"/>
      <c r="EV741" s="1353"/>
      <c r="EW741" s="1353"/>
      <c r="EX741" s="1353"/>
      <c r="EZ741" s="1319" t="str">
        <f t="shared" si="32"/>
        <v/>
      </c>
      <c r="FA741" s="1320"/>
      <c r="FB741" s="1320"/>
      <c r="FC741" s="1320"/>
      <c r="FD741" s="1321"/>
      <c r="FE741" s="1319" t="str">
        <f t="shared" si="33"/>
        <v/>
      </c>
      <c r="FF741" s="1320"/>
      <c r="FG741" s="1320"/>
      <c r="FH741" s="1320"/>
      <c r="FI741" s="1321"/>
      <c r="FJ741" s="1319" t="str">
        <f t="shared" si="34"/>
        <v/>
      </c>
      <c r="FK741" s="1320"/>
      <c r="FL741" s="1320"/>
      <c r="FM741" s="1320"/>
      <c r="FN741" s="1321"/>
      <c r="FO741" s="1319" t="str">
        <f t="shared" si="35"/>
        <v/>
      </c>
      <c r="FP741" s="1320"/>
      <c r="FQ741" s="1320"/>
      <c r="FR741" s="1320"/>
      <c r="FS741" s="1321"/>
      <c r="FT741" s="1319" t="str">
        <f t="shared" si="36"/>
        <v/>
      </c>
      <c r="FU741" s="1320"/>
      <c r="FV741" s="1320"/>
      <c r="FW741" s="1320"/>
      <c r="FX741" s="1321"/>
      <c r="FY741" s="1319" t="str">
        <f t="shared" si="37"/>
        <v/>
      </c>
      <c r="FZ741" s="1320"/>
      <c r="GA741" s="1320"/>
      <c r="GB741" s="1320"/>
      <c r="GC741" s="1321"/>
    </row>
    <row r="742" spans="1:185" ht="13" customHeight="1">
      <c r="B742" s="1333"/>
      <c r="C742" s="1334"/>
      <c r="D742" s="1334"/>
      <c r="E742" s="1334"/>
      <c r="F742" s="1335"/>
      <c r="G742" s="1342"/>
      <c r="H742" s="1343"/>
      <c r="I742" s="1343"/>
      <c r="J742" s="1344"/>
      <c r="K742" s="1533"/>
      <c r="L742" s="1534"/>
      <c r="M742" s="1534"/>
      <c r="N742" s="1535"/>
      <c r="O742" s="1349"/>
      <c r="P742" s="1350"/>
      <c r="Q742" s="1350"/>
      <c r="R742" s="1350"/>
      <c r="S742" s="1351"/>
      <c r="T742" s="1349"/>
      <c r="U742" s="1350"/>
      <c r="V742" s="1350"/>
      <c r="W742" s="1351"/>
      <c r="X742" s="1336">
        <f t="shared" si="10"/>
        <v>0</v>
      </c>
      <c r="Y742" s="1337"/>
      <c r="Z742" s="1337"/>
      <c r="AA742" s="1337"/>
      <c r="AB742" s="1338"/>
      <c r="AC742" s="1346"/>
      <c r="AD742" s="1347"/>
      <c r="AE742" s="1347"/>
      <c r="AF742" s="1347"/>
      <c r="AG742" s="1348"/>
      <c r="AH742" s="1339" t="str">
        <f t="shared" si="38"/>
        <v/>
      </c>
      <c r="AI742" s="1340"/>
      <c r="AJ742" s="1341"/>
      <c r="AK742" s="1333" t="s">
        <v>826</v>
      </c>
      <c r="AL742" s="1334"/>
      <c r="AM742" s="1334"/>
      <c r="AN742" s="1334"/>
      <c r="AO742" s="1335"/>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319">
        <f t="shared" si="39"/>
        <v>0</v>
      </c>
      <c r="CH742" s="1321"/>
      <c r="CI742" s="1319">
        <f t="shared" si="40"/>
        <v>0</v>
      </c>
      <c r="CJ742" s="1321"/>
      <c r="CK742" s="1319">
        <f t="shared" si="18"/>
        <v>0</v>
      </c>
      <c r="CL742" s="1321"/>
      <c r="CM742" s="1319">
        <f t="shared" si="19"/>
        <v>0</v>
      </c>
      <c r="CN742" s="1321"/>
      <c r="CO742" s="3"/>
      <c r="CP742" s="1316">
        <f t="shared" si="20"/>
        <v>0</v>
      </c>
      <c r="CQ742" s="1317"/>
      <c r="CR742" s="1317"/>
      <c r="CS742" s="1317"/>
      <c r="CT742" s="1318"/>
      <c r="CU742" s="1332">
        <f t="shared" si="21"/>
        <v>0</v>
      </c>
      <c r="CV742" s="1332"/>
      <c r="CW742" s="1332"/>
      <c r="CX742" s="1332"/>
      <c r="CY742" s="1332"/>
      <c r="CZ742" s="1332">
        <f t="shared" si="22"/>
        <v>0</v>
      </c>
      <c r="DA742" s="1332"/>
      <c r="DB742" s="1332"/>
      <c r="DC742" s="1332"/>
      <c r="DD742" s="1332"/>
      <c r="DE742" s="1332">
        <f t="shared" si="23"/>
        <v>0</v>
      </c>
      <c r="DF742" s="1332"/>
      <c r="DG742" s="1332"/>
      <c r="DH742" s="1332"/>
      <c r="DI742" s="1332"/>
      <c r="DJ742" s="1332">
        <f t="shared" si="24"/>
        <v>0</v>
      </c>
      <c r="DK742" s="1332"/>
      <c r="DL742" s="1332"/>
      <c r="DM742" s="1332"/>
      <c r="DN742" s="1332"/>
      <c r="DO742" s="1332">
        <f t="shared" si="25"/>
        <v>0</v>
      </c>
      <c r="DP742" s="1332"/>
      <c r="DQ742" s="1332"/>
      <c r="DR742" s="1332"/>
      <c r="DS742" s="1332"/>
      <c r="DT742" s="257"/>
      <c r="DU742" s="1353">
        <f t="shared" si="26"/>
        <v>0</v>
      </c>
      <c r="DV742" s="1353"/>
      <c r="DW742" s="1353"/>
      <c r="DX742" s="1353"/>
      <c r="DY742" s="1353"/>
      <c r="DZ742" s="1353">
        <f t="shared" si="27"/>
        <v>0</v>
      </c>
      <c r="EA742" s="1353"/>
      <c r="EB742" s="1353"/>
      <c r="EC742" s="1353"/>
      <c r="ED742" s="1353"/>
      <c r="EE742" s="1353">
        <f t="shared" si="28"/>
        <v>0</v>
      </c>
      <c r="EF742" s="1353"/>
      <c r="EG742" s="1353"/>
      <c r="EH742" s="1353"/>
      <c r="EI742" s="1353"/>
      <c r="EJ742" s="1353">
        <f t="shared" si="29"/>
        <v>0</v>
      </c>
      <c r="EK742" s="1353"/>
      <c r="EL742" s="1353"/>
      <c r="EM742" s="1353"/>
      <c r="EN742" s="1353"/>
      <c r="EO742" s="1353">
        <f t="shared" si="30"/>
        <v>0</v>
      </c>
      <c r="EP742" s="1353"/>
      <c r="EQ742" s="1353"/>
      <c r="ER742" s="1353"/>
      <c r="ES742" s="1353"/>
      <c r="ET742" s="1353">
        <f t="shared" si="31"/>
        <v>0</v>
      </c>
      <c r="EU742" s="1353"/>
      <c r="EV742" s="1353"/>
      <c r="EW742" s="1353"/>
      <c r="EX742" s="1353"/>
      <c r="EZ742" s="1319" t="str">
        <f t="shared" si="32"/>
        <v/>
      </c>
      <c r="FA742" s="1320"/>
      <c r="FB742" s="1320"/>
      <c r="FC742" s="1320"/>
      <c r="FD742" s="1321"/>
      <c r="FE742" s="1319" t="str">
        <f t="shared" si="33"/>
        <v/>
      </c>
      <c r="FF742" s="1320"/>
      <c r="FG742" s="1320"/>
      <c r="FH742" s="1320"/>
      <c r="FI742" s="1321"/>
      <c r="FJ742" s="1319" t="str">
        <f t="shared" si="34"/>
        <v/>
      </c>
      <c r="FK742" s="1320"/>
      <c r="FL742" s="1320"/>
      <c r="FM742" s="1320"/>
      <c r="FN742" s="1321"/>
      <c r="FO742" s="1319" t="str">
        <f t="shared" si="35"/>
        <v/>
      </c>
      <c r="FP742" s="1320"/>
      <c r="FQ742" s="1320"/>
      <c r="FR742" s="1320"/>
      <c r="FS742" s="1321"/>
      <c r="FT742" s="1319" t="str">
        <f t="shared" si="36"/>
        <v/>
      </c>
      <c r="FU742" s="1320"/>
      <c r="FV742" s="1320"/>
      <c r="FW742" s="1320"/>
      <c r="FX742" s="1321"/>
      <c r="FY742" s="1319" t="str">
        <f t="shared" si="37"/>
        <v/>
      </c>
      <c r="FZ742" s="1320"/>
      <c r="GA742" s="1320"/>
      <c r="GB742" s="1320"/>
      <c r="GC742" s="1321"/>
    </row>
    <row r="743" spans="1:185" ht="13" customHeight="1">
      <c r="B743" s="1333"/>
      <c r="C743" s="1334"/>
      <c r="D743" s="1334"/>
      <c r="E743" s="1334"/>
      <c r="F743" s="1335"/>
      <c r="G743" s="1342"/>
      <c r="H743" s="1343"/>
      <c r="I743" s="1343"/>
      <c r="J743" s="1344"/>
      <c r="K743" s="1533"/>
      <c r="L743" s="1534"/>
      <c r="M743" s="1534"/>
      <c r="N743" s="1535"/>
      <c r="O743" s="1349"/>
      <c r="P743" s="1350"/>
      <c r="Q743" s="1350"/>
      <c r="R743" s="1350"/>
      <c r="S743" s="1351"/>
      <c r="T743" s="1349"/>
      <c r="U743" s="1350"/>
      <c r="V743" s="1350"/>
      <c r="W743" s="1351"/>
      <c r="X743" s="1336">
        <f t="shared" si="10"/>
        <v>0</v>
      </c>
      <c r="Y743" s="1337"/>
      <c r="Z743" s="1337"/>
      <c r="AA743" s="1337"/>
      <c r="AB743" s="1338"/>
      <c r="AC743" s="1346"/>
      <c r="AD743" s="1347"/>
      <c r="AE743" s="1347"/>
      <c r="AF743" s="1347"/>
      <c r="AG743" s="1348"/>
      <c r="AH743" s="1339" t="str">
        <f t="shared" si="38"/>
        <v/>
      </c>
      <c r="AI743" s="1340"/>
      <c r="AJ743" s="1341"/>
      <c r="AK743" s="1333" t="s">
        <v>826</v>
      </c>
      <c r="AL743" s="1334"/>
      <c r="AM743" s="1334"/>
      <c r="AN743" s="1334"/>
      <c r="AO743" s="1335"/>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319">
        <f t="shared" si="39"/>
        <v>0</v>
      </c>
      <c r="CH743" s="1321"/>
      <c r="CI743" s="1319">
        <f t="shared" si="40"/>
        <v>0</v>
      </c>
      <c r="CJ743" s="1321"/>
      <c r="CK743" s="1319">
        <f t="shared" si="18"/>
        <v>0</v>
      </c>
      <c r="CL743" s="1321"/>
      <c r="CM743" s="1319">
        <f t="shared" si="19"/>
        <v>0</v>
      </c>
      <c r="CN743" s="1321"/>
      <c r="CO743" s="3"/>
      <c r="CP743" s="1316">
        <f t="shared" si="20"/>
        <v>0</v>
      </c>
      <c r="CQ743" s="1317"/>
      <c r="CR743" s="1317"/>
      <c r="CS743" s="1317"/>
      <c r="CT743" s="1318"/>
      <c r="CU743" s="1332">
        <f t="shared" si="21"/>
        <v>0</v>
      </c>
      <c r="CV743" s="1332"/>
      <c r="CW743" s="1332"/>
      <c r="CX743" s="1332"/>
      <c r="CY743" s="1332"/>
      <c r="CZ743" s="1332">
        <f t="shared" si="22"/>
        <v>0</v>
      </c>
      <c r="DA743" s="1332"/>
      <c r="DB743" s="1332"/>
      <c r="DC743" s="1332"/>
      <c r="DD743" s="1332"/>
      <c r="DE743" s="1332">
        <f t="shared" si="23"/>
        <v>0</v>
      </c>
      <c r="DF743" s="1332"/>
      <c r="DG743" s="1332"/>
      <c r="DH743" s="1332"/>
      <c r="DI743" s="1332"/>
      <c r="DJ743" s="1332">
        <f t="shared" si="24"/>
        <v>0</v>
      </c>
      <c r="DK743" s="1332"/>
      <c r="DL743" s="1332"/>
      <c r="DM743" s="1332"/>
      <c r="DN743" s="1332"/>
      <c r="DO743" s="1332">
        <f t="shared" si="25"/>
        <v>0</v>
      </c>
      <c r="DP743" s="1332"/>
      <c r="DQ743" s="1332"/>
      <c r="DR743" s="1332"/>
      <c r="DS743" s="1332"/>
      <c r="DT743" s="257"/>
      <c r="DU743" s="1353">
        <f t="shared" si="26"/>
        <v>0</v>
      </c>
      <c r="DV743" s="1353"/>
      <c r="DW743" s="1353"/>
      <c r="DX743" s="1353"/>
      <c r="DY743" s="1353"/>
      <c r="DZ743" s="1353">
        <f t="shared" si="27"/>
        <v>0</v>
      </c>
      <c r="EA743" s="1353"/>
      <c r="EB743" s="1353"/>
      <c r="EC743" s="1353"/>
      <c r="ED743" s="1353"/>
      <c r="EE743" s="1353">
        <f t="shared" si="28"/>
        <v>0</v>
      </c>
      <c r="EF743" s="1353"/>
      <c r="EG743" s="1353"/>
      <c r="EH743" s="1353"/>
      <c r="EI743" s="1353"/>
      <c r="EJ743" s="1353">
        <f t="shared" si="29"/>
        <v>0</v>
      </c>
      <c r="EK743" s="1353"/>
      <c r="EL743" s="1353"/>
      <c r="EM743" s="1353"/>
      <c r="EN743" s="1353"/>
      <c r="EO743" s="1353">
        <f t="shared" si="30"/>
        <v>0</v>
      </c>
      <c r="EP743" s="1353"/>
      <c r="EQ743" s="1353"/>
      <c r="ER743" s="1353"/>
      <c r="ES743" s="1353"/>
      <c r="ET743" s="1353">
        <f t="shared" si="31"/>
        <v>0</v>
      </c>
      <c r="EU743" s="1353"/>
      <c r="EV743" s="1353"/>
      <c r="EW743" s="1353"/>
      <c r="EX743" s="1353"/>
      <c r="EZ743" s="1319" t="str">
        <f t="shared" si="32"/>
        <v/>
      </c>
      <c r="FA743" s="1320"/>
      <c r="FB743" s="1320"/>
      <c r="FC743" s="1320"/>
      <c r="FD743" s="1321"/>
      <c r="FE743" s="1319" t="str">
        <f t="shared" si="33"/>
        <v/>
      </c>
      <c r="FF743" s="1320"/>
      <c r="FG743" s="1320"/>
      <c r="FH743" s="1320"/>
      <c r="FI743" s="1321"/>
      <c r="FJ743" s="1319" t="str">
        <f t="shared" si="34"/>
        <v/>
      </c>
      <c r="FK743" s="1320"/>
      <c r="FL743" s="1320"/>
      <c r="FM743" s="1320"/>
      <c r="FN743" s="1321"/>
      <c r="FO743" s="1319" t="str">
        <f t="shared" si="35"/>
        <v/>
      </c>
      <c r="FP743" s="1320"/>
      <c r="FQ743" s="1320"/>
      <c r="FR743" s="1320"/>
      <c r="FS743" s="1321"/>
      <c r="FT743" s="1319" t="str">
        <f t="shared" si="36"/>
        <v/>
      </c>
      <c r="FU743" s="1320"/>
      <c r="FV743" s="1320"/>
      <c r="FW743" s="1320"/>
      <c r="FX743" s="1321"/>
      <c r="FY743" s="1319" t="str">
        <f t="shared" si="37"/>
        <v/>
      </c>
      <c r="FZ743" s="1320"/>
      <c r="GA743" s="1320"/>
      <c r="GB743" s="1320"/>
      <c r="GC743" s="1321"/>
    </row>
    <row r="744" spans="1:185" ht="13" customHeight="1">
      <c r="B744" s="1333"/>
      <c r="C744" s="1334"/>
      <c r="D744" s="1334"/>
      <c r="E744" s="1334"/>
      <c r="F744" s="1335"/>
      <c r="G744" s="1342"/>
      <c r="H744" s="1343"/>
      <c r="I744" s="1343"/>
      <c r="J744" s="1344"/>
      <c r="K744" s="1533"/>
      <c r="L744" s="1534"/>
      <c r="M744" s="1534"/>
      <c r="N744" s="1535"/>
      <c r="O744" s="1349"/>
      <c r="P744" s="1350"/>
      <c r="Q744" s="1350"/>
      <c r="R744" s="1350"/>
      <c r="S744" s="1351"/>
      <c r="T744" s="1349"/>
      <c r="U744" s="1350"/>
      <c r="V744" s="1350"/>
      <c r="W744" s="1351"/>
      <c r="X744" s="1336">
        <f t="shared" si="10"/>
        <v>0</v>
      </c>
      <c r="Y744" s="1337"/>
      <c r="Z744" s="1337"/>
      <c r="AA744" s="1337"/>
      <c r="AB744" s="1338"/>
      <c r="AC744" s="1346"/>
      <c r="AD744" s="1347"/>
      <c r="AE744" s="1347"/>
      <c r="AF744" s="1347"/>
      <c r="AG744" s="1348"/>
      <c r="AH744" s="1339" t="str">
        <f t="shared" si="38"/>
        <v/>
      </c>
      <c r="AI744" s="1340"/>
      <c r="AJ744" s="1341"/>
      <c r="AK744" s="1333" t="s">
        <v>826</v>
      </c>
      <c r="AL744" s="1334"/>
      <c r="AM744" s="1334"/>
      <c r="AN744" s="1334"/>
      <c r="AO744" s="1335"/>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319">
        <f t="shared" si="39"/>
        <v>0</v>
      </c>
      <c r="CH744" s="1321"/>
      <c r="CI744" s="1319">
        <f t="shared" si="40"/>
        <v>0</v>
      </c>
      <c r="CJ744" s="1321"/>
      <c r="CK744" s="1319">
        <f t="shared" si="18"/>
        <v>0</v>
      </c>
      <c r="CL744" s="1321"/>
      <c r="CM744" s="1319">
        <f t="shared" si="19"/>
        <v>0</v>
      </c>
      <c r="CN744" s="1321"/>
      <c r="CO744" s="3"/>
      <c r="CP744" s="1316">
        <f t="shared" si="20"/>
        <v>0</v>
      </c>
      <c r="CQ744" s="1317"/>
      <c r="CR744" s="1317"/>
      <c r="CS744" s="1317"/>
      <c r="CT744" s="1318"/>
      <c r="CU744" s="1332">
        <f t="shared" si="21"/>
        <v>0</v>
      </c>
      <c r="CV744" s="1332"/>
      <c r="CW744" s="1332"/>
      <c r="CX744" s="1332"/>
      <c r="CY744" s="1332"/>
      <c r="CZ744" s="1332">
        <f t="shared" si="22"/>
        <v>0</v>
      </c>
      <c r="DA744" s="1332"/>
      <c r="DB744" s="1332"/>
      <c r="DC744" s="1332"/>
      <c r="DD744" s="1332"/>
      <c r="DE744" s="1332">
        <f t="shared" si="23"/>
        <v>0</v>
      </c>
      <c r="DF744" s="1332"/>
      <c r="DG744" s="1332"/>
      <c r="DH744" s="1332"/>
      <c r="DI744" s="1332"/>
      <c r="DJ744" s="1332">
        <f t="shared" si="24"/>
        <v>0</v>
      </c>
      <c r="DK744" s="1332"/>
      <c r="DL744" s="1332"/>
      <c r="DM744" s="1332"/>
      <c r="DN744" s="1332"/>
      <c r="DO744" s="1332">
        <f t="shared" si="25"/>
        <v>0</v>
      </c>
      <c r="DP744" s="1332"/>
      <c r="DQ744" s="1332"/>
      <c r="DR744" s="1332"/>
      <c r="DS744" s="1332"/>
      <c r="DT744" s="257"/>
      <c r="DU744" s="1353">
        <f t="shared" si="26"/>
        <v>0</v>
      </c>
      <c r="DV744" s="1353"/>
      <c r="DW744" s="1353"/>
      <c r="DX744" s="1353"/>
      <c r="DY744" s="1353"/>
      <c r="DZ744" s="1353">
        <f t="shared" si="27"/>
        <v>0</v>
      </c>
      <c r="EA744" s="1353"/>
      <c r="EB744" s="1353"/>
      <c r="EC744" s="1353"/>
      <c r="ED744" s="1353"/>
      <c r="EE744" s="1353">
        <f t="shared" si="28"/>
        <v>0</v>
      </c>
      <c r="EF744" s="1353"/>
      <c r="EG744" s="1353"/>
      <c r="EH744" s="1353"/>
      <c r="EI744" s="1353"/>
      <c r="EJ744" s="1353">
        <f t="shared" si="29"/>
        <v>0</v>
      </c>
      <c r="EK744" s="1353"/>
      <c r="EL744" s="1353"/>
      <c r="EM744" s="1353"/>
      <c r="EN744" s="1353"/>
      <c r="EO744" s="1353">
        <f t="shared" si="30"/>
        <v>0</v>
      </c>
      <c r="EP744" s="1353"/>
      <c r="EQ744" s="1353"/>
      <c r="ER744" s="1353"/>
      <c r="ES744" s="1353"/>
      <c r="ET744" s="1353">
        <f t="shared" si="31"/>
        <v>0</v>
      </c>
      <c r="EU744" s="1353"/>
      <c r="EV744" s="1353"/>
      <c r="EW744" s="1353"/>
      <c r="EX744" s="1353"/>
      <c r="EZ744" s="1319" t="str">
        <f t="shared" si="32"/>
        <v/>
      </c>
      <c r="FA744" s="1320"/>
      <c r="FB744" s="1320"/>
      <c r="FC744" s="1320"/>
      <c r="FD744" s="1321"/>
      <c r="FE744" s="1319" t="str">
        <f t="shared" si="33"/>
        <v/>
      </c>
      <c r="FF744" s="1320"/>
      <c r="FG744" s="1320"/>
      <c r="FH744" s="1320"/>
      <c r="FI744" s="1321"/>
      <c r="FJ744" s="1319" t="str">
        <f t="shared" si="34"/>
        <v/>
      </c>
      <c r="FK744" s="1320"/>
      <c r="FL744" s="1320"/>
      <c r="FM744" s="1320"/>
      <c r="FN744" s="1321"/>
      <c r="FO744" s="1319" t="str">
        <f t="shared" si="35"/>
        <v/>
      </c>
      <c r="FP744" s="1320"/>
      <c r="FQ744" s="1320"/>
      <c r="FR744" s="1320"/>
      <c r="FS744" s="1321"/>
      <c r="FT744" s="1319" t="str">
        <f t="shared" si="36"/>
        <v/>
      </c>
      <c r="FU744" s="1320"/>
      <c r="FV744" s="1320"/>
      <c r="FW744" s="1320"/>
      <c r="FX744" s="1321"/>
      <c r="FY744" s="1319" t="str">
        <f t="shared" si="37"/>
        <v/>
      </c>
      <c r="FZ744" s="1320"/>
      <c r="GA744" s="1320"/>
      <c r="GB744" s="1320"/>
      <c r="GC744" s="1321"/>
    </row>
    <row r="745" spans="1:185" ht="13" customHeight="1">
      <c r="B745" s="1333"/>
      <c r="C745" s="1334"/>
      <c r="D745" s="1334"/>
      <c r="E745" s="1334"/>
      <c r="F745" s="1335"/>
      <c r="G745" s="1342"/>
      <c r="H745" s="1343"/>
      <c r="I745" s="1343"/>
      <c r="J745" s="1344"/>
      <c r="K745" s="1533"/>
      <c r="L745" s="1534"/>
      <c r="M745" s="1534"/>
      <c r="N745" s="1535"/>
      <c r="O745" s="1349"/>
      <c r="P745" s="1350"/>
      <c r="Q745" s="1350"/>
      <c r="R745" s="1350"/>
      <c r="S745" s="1351"/>
      <c r="T745" s="1349"/>
      <c r="U745" s="1350"/>
      <c r="V745" s="1350"/>
      <c r="W745" s="1351"/>
      <c r="X745" s="1336">
        <f t="shared" si="10"/>
        <v>0</v>
      </c>
      <c r="Y745" s="1337"/>
      <c r="Z745" s="1337"/>
      <c r="AA745" s="1337"/>
      <c r="AB745" s="1338"/>
      <c r="AC745" s="1346"/>
      <c r="AD745" s="1347"/>
      <c r="AE745" s="1347"/>
      <c r="AF745" s="1347"/>
      <c r="AG745" s="1348"/>
      <c r="AH745" s="1339" t="str">
        <f t="shared" si="38"/>
        <v/>
      </c>
      <c r="AI745" s="1340"/>
      <c r="AJ745" s="1341"/>
      <c r="AK745" s="1333" t="s">
        <v>826</v>
      </c>
      <c r="AL745" s="1334"/>
      <c r="AM745" s="1334"/>
      <c r="AN745" s="1334"/>
      <c r="AO745" s="1335"/>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319">
        <f t="shared" si="39"/>
        <v>0</v>
      </c>
      <c r="CH745" s="1321"/>
      <c r="CI745" s="1319">
        <f t="shared" si="40"/>
        <v>0</v>
      </c>
      <c r="CJ745" s="1321"/>
      <c r="CK745" s="1319">
        <f t="shared" si="18"/>
        <v>0</v>
      </c>
      <c r="CL745" s="1321"/>
      <c r="CM745" s="1319">
        <f t="shared" si="19"/>
        <v>0</v>
      </c>
      <c r="CN745" s="1321"/>
      <c r="CO745" s="3"/>
      <c r="CP745" s="1316">
        <f t="shared" si="20"/>
        <v>0</v>
      </c>
      <c r="CQ745" s="1317"/>
      <c r="CR745" s="1317"/>
      <c r="CS745" s="1317"/>
      <c r="CT745" s="1318"/>
      <c r="CU745" s="1332">
        <f t="shared" si="21"/>
        <v>0</v>
      </c>
      <c r="CV745" s="1332"/>
      <c r="CW745" s="1332"/>
      <c r="CX745" s="1332"/>
      <c r="CY745" s="1332"/>
      <c r="CZ745" s="1332">
        <f t="shared" si="22"/>
        <v>0</v>
      </c>
      <c r="DA745" s="1332"/>
      <c r="DB745" s="1332"/>
      <c r="DC745" s="1332"/>
      <c r="DD745" s="1332"/>
      <c r="DE745" s="1332">
        <f t="shared" si="23"/>
        <v>0</v>
      </c>
      <c r="DF745" s="1332"/>
      <c r="DG745" s="1332"/>
      <c r="DH745" s="1332"/>
      <c r="DI745" s="1332"/>
      <c r="DJ745" s="1332">
        <f t="shared" si="24"/>
        <v>0</v>
      </c>
      <c r="DK745" s="1332"/>
      <c r="DL745" s="1332"/>
      <c r="DM745" s="1332"/>
      <c r="DN745" s="1332"/>
      <c r="DO745" s="1332">
        <f t="shared" si="25"/>
        <v>0</v>
      </c>
      <c r="DP745" s="1332"/>
      <c r="DQ745" s="1332"/>
      <c r="DR745" s="1332"/>
      <c r="DS745" s="1332"/>
      <c r="DT745" s="257"/>
      <c r="DU745" s="1353">
        <f t="shared" si="26"/>
        <v>0</v>
      </c>
      <c r="DV745" s="1353"/>
      <c r="DW745" s="1353"/>
      <c r="DX745" s="1353"/>
      <c r="DY745" s="1353"/>
      <c r="DZ745" s="1353">
        <f t="shared" si="27"/>
        <v>0</v>
      </c>
      <c r="EA745" s="1353"/>
      <c r="EB745" s="1353"/>
      <c r="EC745" s="1353"/>
      <c r="ED745" s="1353"/>
      <c r="EE745" s="1353">
        <f t="shared" si="28"/>
        <v>0</v>
      </c>
      <c r="EF745" s="1353"/>
      <c r="EG745" s="1353"/>
      <c r="EH745" s="1353"/>
      <c r="EI745" s="1353"/>
      <c r="EJ745" s="1353">
        <f t="shared" si="29"/>
        <v>0</v>
      </c>
      <c r="EK745" s="1353"/>
      <c r="EL745" s="1353"/>
      <c r="EM745" s="1353"/>
      <c r="EN745" s="1353"/>
      <c r="EO745" s="1353">
        <f t="shared" si="30"/>
        <v>0</v>
      </c>
      <c r="EP745" s="1353"/>
      <c r="EQ745" s="1353"/>
      <c r="ER745" s="1353"/>
      <c r="ES745" s="1353"/>
      <c r="ET745" s="1353">
        <f t="shared" si="31"/>
        <v>0</v>
      </c>
      <c r="EU745" s="1353"/>
      <c r="EV745" s="1353"/>
      <c r="EW745" s="1353"/>
      <c r="EX745" s="1353"/>
      <c r="EZ745" s="1319" t="str">
        <f t="shared" si="32"/>
        <v/>
      </c>
      <c r="FA745" s="1320"/>
      <c r="FB745" s="1320"/>
      <c r="FC745" s="1320"/>
      <c r="FD745" s="1321"/>
      <c r="FE745" s="1319" t="str">
        <f t="shared" si="33"/>
        <v/>
      </c>
      <c r="FF745" s="1320"/>
      <c r="FG745" s="1320"/>
      <c r="FH745" s="1320"/>
      <c r="FI745" s="1321"/>
      <c r="FJ745" s="1319" t="str">
        <f t="shared" si="34"/>
        <v/>
      </c>
      <c r="FK745" s="1320"/>
      <c r="FL745" s="1320"/>
      <c r="FM745" s="1320"/>
      <c r="FN745" s="1321"/>
      <c r="FO745" s="1319" t="str">
        <f t="shared" si="35"/>
        <v/>
      </c>
      <c r="FP745" s="1320"/>
      <c r="FQ745" s="1320"/>
      <c r="FR745" s="1320"/>
      <c r="FS745" s="1321"/>
      <c r="FT745" s="1319" t="str">
        <f t="shared" si="36"/>
        <v/>
      </c>
      <c r="FU745" s="1320"/>
      <c r="FV745" s="1320"/>
      <c r="FW745" s="1320"/>
      <c r="FX745" s="1321"/>
      <c r="FY745" s="1319" t="str">
        <f t="shared" si="37"/>
        <v/>
      </c>
      <c r="FZ745" s="1320"/>
      <c r="GA745" s="1320"/>
      <c r="GB745" s="1320"/>
      <c r="GC745" s="1321"/>
    </row>
    <row r="746" spans="1:185" ht="13" customHeight="1">
      <c r="B746" s="1333"/>
      <c r="C746" s="1334"/>
      <c r="D746" s="1334"/>
      <c r="E746" s="1334"/>
      <c r="F746" s="1335"/>
      <c r="G746" s="1342"/>
      <c r="H746" s="1343"/>
      <c r="I746" s="1343"/>
      <c r="J746" s="1344"/>
      <c r="K746" s="1533"/>
      <c r="L746" s="1534"/>
      <c r="M746" s="1534"/>
      <c r="N746" s="1535"/>
      <c r="O746" s="1349"/>
      <c r="P746" s="1350"/>
      <c r="Q746" s="1350"/>
      <c r="R746" s="1350"/>
      <c r="S746" s="1351"/>
      <c r="T746" s="1349"/>
      <c r="U746" s="1350"/>
      <c r="V746" s="1350"/>
      <c r="W746" s="1351"/>
      <c r="X746" s="1336">
        <f t="shared" si="10"/>
        <v>0</v>
      </c>
      <c r="Y746" s="1337"/>
      <c r="Z746" s="1337"/>
      <c r="AA746" s="1337"/>
      <c r="AB746" s="1338"/>
      <c r="AC746" s="1346"/>
      <c r="AD746" s="1347"/>
      <c r="AE746" s="1347"/>
      <c r="AF746" s="1347"/>
      <c r="AG746" s="1348"/>
      <c r="AH746" s="1339" t="str">
        <f t="shared" si="38"/>
        <v/>
      </c>
      <c r="AI746" s="1340"/>
      <c r="AJ746" s="1341"/>
      <c r="AK746" s="1333" t="s">
        <v>826</v>
      </c>
      <c r="AL746" s="1334"/>
      <c r="AM746" s="1334"/>
      <c r="AN746" s="1334"/>
      <c r="AO746" s="1335"/>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319">
        <f t="shared" si="39"/>
        <v>0</v>
      </c>
      <c r="CH746" s="1321"/>
      <c r="CI746" s="1319">
        <f t="shared" si="40"/>
        <v>0</v>
      </c>
      <c r="CJ746" s="1321"/>
      <c r="CK746" s="1319">
        <f t="shared" si="18"/>
        <v>0</v>
      </c>
      <c r="CL746" s="1321"/>
      <c r="CM746" s="1319">
        <f t="shared" si="19"/>
        <v>0</v>
      </c>
      <c r="CN746" s="1321"/>
      <c r="CO746" s="3"/>
      <c r="CP746" s="1316">
        <f t="shared" si="20"/>
        <v>0</v>
      </c>
      <c r="CQ746" s="1317"/>
      <c r="CR746" s="1317"/>
      <c r="CS746" s="1317"/>
      <c r="CT746" s="1318"/>
      <c r="CU746" s="1332">
        <f t="shared" si="21"/>
        <v>0</v>
      </c>
      <c r="CV746" s="1332"/>
      <c r="CW746" s="1332"/>
      <c r="CX746" s="1332"/>
      <c r="CY746" s="1332"/>
      <c r="CZ746" s="1332">
        <f t="shared" si="22"/>
        <v>0</v>
      </c>
      <c r="DA746" s="1332"/>
      <c r="DB746" s="1332"/>
      <c r="DC746" s="1332"/>
      <c r="DD746" s="1332"/>
      <c r="DE746" s="1332">
        <f t="shared" si="23"/>
        <v>0</v>
      </c>
      <c r="DF746" s="1332"/>
      <c r="DG746" s="1332"/>
      <c r="DH746" s="1332"/>
      <c r="DI746" s="1332"/>
      <c r="DJ746" s="1332">
        <f t="shared" si="24"/>
        <v>0</v>
      </c>
      <c r="DK746" s="1332"/>
      <c r="DL746" s="1332"/>
      <c r="DM746" s="1332"/>
      <c r="DN746" s="1332"/>
      <c r="DO746" s="1332">
        <f t="shared" si="25"/>
        <v>0</v>
      </c>
      <c r="DP746" s="1332"/>
      <c r="DQ746" s="1332"/>
      <c r="DR746" s="1332"/>
      <c r="DS746" s="1332"/>
      <c r="DT746" s="257"/>
      <c r="DU746" s="1353">
        <f t="shared" si="26"/>
        <v>0</v>
      </c>
      <c r="DV746" s="1353"/>
      <c r="DW746" s="1353"/>
      <c r="DX746" s="1353"/>
      <c r="DY746" s="1353"/>
      <c r="DZ746" s="1353">
        <f t="shared" si="27"/>
        <v>0</v>
      </c>
      <c r="EA746" s="1353"/>
      <c r="EB746" s="1353"/>
      <c r="EC746" s="1353"/>
      <c r="ED746" s="1353"/>
      <c r="EE746" s="1353">
        <f t="shared" si="28"/>
        <v>0</v>
      </c>
      <c r="EF746" s="1353"/>
      <c r="EG746" s="1353"/>
      <c r="EH746" s="1353"/>
      <c r="EI746" s="1353"/>
      <c r="EJ746" s="1353">
        <f t="shared" si="29"/>
        <v>0</v>
      </c>
      <c r="EK746" s="1353"/>
      <c r="EL746" s="1353"/>
      <c r="EM746" s="1353"/>
      <c r="EN746" s="1353"/>
      <c r="EO746" s="1353">
        <f t="shared" si="30"/>
        <v>0</v>
      </c>
      <c r="EP746" s="1353"/>
      <c r="EQ746" s="1353"/>
      <c r="ER746" s="1353"/>
      <c r="ES746" s="1353"/>
      <c r="ET746" s="1353">
        <f t="shared" si="31"/>
        <v>0</v>
      </c>
      <c r="EU746" s="1353"/>
      <c r="EV746" s="1353"/>
      <c r="EW746" s="1353"/>
      <c r="EX746" s="1353"/>
      <c r="EZ746" s="1319" t="str">
        <f t="shared" si="32"/>
        <v/>
      </c>
      <c r="FA746" s="1320"/>
      <c r="FB746" s="1320"/>
      <c r="FC746" s="1320"/>
      <c r="FD746" s="1321"/>
      <c r="FE746" s="1319" t="str">
        <f t="shared" si="33"/>
        <v/>
      </c>
      <c r="FF746" s="1320"/>
      <c r="FG746" s="1320"/>
      <c r="FH746" s="1320"/>
      <c r="FI746" s="1321"/>
      <c r="FJ746" s="1319" t="str">
        <f t="shared" si="34"/>
        <v/>
      </c>
      <c r="FK746" s="1320"/>
      <c r="FL746" s="1320"/>
      <c r="FM746" s="1320"/>
      <c r="FN746" s="1321"/>
      <c r="FO746" s="1319" t="str">
        <f t="shared" si="35"/>
        <v/>
      </c>
      <c r="FP746" s="1320"/>
      <c r="FQ746" s="1320"/>
      <c r="FR746" s="1320"/>
      <c r="FS746" s="1321"/>
      <c r="FT746" s="1319" t="str">
        <f t="shared" si="36"/>
        <v/>
      </c>
      <c r="FU746" s="1320"/>
      <c r="FV746" s="1320"/>
      <c r="FW746" s="1320"/>
      <c r="FX746" s="1321"/>
      <c r="FY746" s="1319" t="str">
        <f t="shared" si="37"/>
        <v/>
      </c>
      <c r="FZ746" s="1320"/>
      <c r="GA746" s="1320"/>
      <c r="GB746" s="1320"/>
      <c r="GC746" s="1321"/>
    </row>
    <row r="747" spans="1:185" ht="13" customHeight="1">
      <c r="B747" s="1333"/>
      <c r="C747" s="1334"/>
      <c r="D747" s="1334"/>
      <c r="E747" s="1334"/>
      <c r="F747" s="1335"/>
      <c r="G747" s="1342"/>
      <c r="H747" s="1343"/>
      <c r="I747" s="1343"/>
      <c r="J747" s="1344"/>
      <c r="K747" s="1533"/>
      <c r="L747" s="1534"/>
      <c r="M747" s="1534"/>
      <c r="N747" s="1535"/>
      <c r="O747" s="1349"/>
      <c r="P747" s="1350"/>
      <c r="Q747" s="1350"/>
      <c r="R747" s="1350"/>
      <c r="S747" s="1351"/>
      <c r="T747" s="1349"/>
      <c r="U747" s="1350"/>
      <c r="V747" s="1350"/>
      <c r="W747" s="1351"/>
      <c r="X747" s="1336">
        <f t="shared" si="10"/>
        <v>0</v>
      </c>
      <c r="Y747" s="1337"/>
      <c r="Z747" s="1337"/>
      <c r="AA747" s="1337"/>
      <c r="AB747" s="1338"/>
      <c r="AC747" s="1346"/>
      <c r="AD747" s="1347"/>
      <c r="AE747" s="1347"/>
      <c r="AF747" s="1347"/>
      <c r="AG747" s="1348"/>
      <c r="AH747" s="1339" t="str">
        <f t="shared" si="38"/>
        <v/>
      </c>
      <c r="AI747" s="1340"/>
      <c r="AJ747" s="1341"/>
      <c r="AK747" s="1333" t="s">
        <v>826</v>
      </c>
      <c r="AL747" s="1334"/>
      <c r="AM747" s="1334"/>
      <c r="AN747" s="1334"/>
      <c r="AO747" s="1335"/>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319">
        <f t="shared" si="39"/>
        <v>0</v>
      </c>
      <c r="CH747" s="1321"/>
      <c r="CI747" s="1319">
        <f t="shared" si="40"/>
        <v>0</v>
      </c>
      <c r="CJ747" s="1321"/>
      <c r="CK747" s="1319">
        <f t="shared" si="18"/>
        <v>0</v>
      </c>
      <c r="CL747" s="1321"/>
      <c r="CM747" s="1319">
        <f t="shared" si="19"/>
        <v>0</v>
      </c>
      <c r="CN747" s="1321"/>
      <c r="CO747" s="3"/>
      <c r="CP747" s="1316">
        <f t="shared" si="20"/>
        <v>0</v>
      </c>
      <c r="CQ747" s="1317"/>
      <c r="CR747" s="1317"/>
      <c r="CS747" s="1317"/>
      <c r="CT747" s="1318"/>
      <c r="CU747" s="1332">
        <f t="shared" si="21"/>
        <v>0</v>
      </c>
      <c r="CV747" s="1332"/>
      <c r="CW747" s="1332"/>
      <c r="CX747" s="1332"/>
      <c r="CY747" s="1332"/>
      <c r="CZ747" s="1332">
        <f t="shared" si="22"/>
        <v>0</v>
      </c>
      <c r="DA747" s="1332"/>
      <c r="DB747" s="1332"/>
      <c r="DC747" s="1332"/>
      <c r="DD747" s="1332"/>
      <c r="DE747" s="1332">
        <f t="shared" si="23"/>
        <v>0</v>
      </c>
      <c r="DF747" s="1332"/>
      <c r="DG747" s="1332"/>
      <c r="DH747" s="1332"/>
      <c r="DI747" s="1332"/>
      <c r="DJ747" s="1332">
        <f t="shared" si="24"/>
        <v>0</v>
      </c>
      <c r="DK747" s="1332"/>
      <c r="DL747" s="1332"/>
      <c r="DM747" s="1332"/>
      <c r="DN747" s="1332"/>
      <c r="DO747" s="1332">
        <f t="shared" si="25"/>
        <v>0</v>
      </c>
      <c r="DP747" s="1332"/>
      <c r="DQ747" s="1332"/>
      <c r="DR747" s="1332"/>
      <c r="DS747" s="1332"/>
      <c r="DT747" s="257"/>
      <c r="DU747" s="1353">
        <f t="shared" si="26"/>
        <v>0</v>
      </c>
      <c r="DV747" s="1353"/>
      <c r="DW747" s="1353"/>
      <c r="DX747" s="1353"/>
      <c r="DY747" s="1353"/>
      <c r="DZ747" s="1353">
        <f t="shared" si="27"/>
        <v>0</v>
      </c>
      <c r="EA747" s="1353"/>
      <c r="EB747" s="1353"/>
      <c r="EC747" s="1353"/>
      <c r="ED747" s="1353"/>
      <c r="EE747" s="1353">
        <f t="shared" si="28"/>
        <v>0</v>
      </c>
      <c r="EF747" s="1353"/>
      <c r="EG747" s="1353"/>
      <c r="EH747" s="1353"/>
      <c r="EI747" s="1353"/>
      <c r="EJ747" s="1353">
        <f t="shared" si="29"/>
        <v>0</v>
      </c>
      <c r="EK747" s="1353"/>
      <c r="EL747" s="1353"/>
      <c r="EM747" s="1353"/>
      <c r="EN747" s="1353"/>
      <c r="EO747" s="1353">
        <f t="shared" si="30"/>
        <v>0</v>
      </c>
      <c r="EP747" s="1353"/>
      <c r="EQ747" s="1353"/>
      <c r="ER747" s="1353"/>
      <c r="ES747" s="1353"/>
      <c r="ET747" s="1353">
        <f t="shared" si="31"/>
        <v>0</v>
      </c>
      <c r="EU747" s="1353"/>
      <c r="EV747" s="1353"/>
      <c r="EW747" s="1353"/>
      <c r="EX747" s="1353"/>
      <c r="EZ747" s="1319" t="str">
        <f t="shared" si="32"/>
        <v/>
      </c>
      <c r="FA747" s="1320"/>
      <c r="FB747" s="1320"/>
      <c r="FC747" s="1320"/>
      <c r="FD747" s="1321"/>
      <c r="FE747" s="1319" t="str">
        <f t="shared" si="33"/>
        <v/>
      </c>
      <c r="FF747" s="1320"/>
      <c r="FG747" s="1320"/>
      <c r="FH747" s="1320"/>
      <c r="FI747" s="1321"/>
      <c r="FJ747" s="1319" t="str">
        <f t="shared" si="34"/>
        <v/>
      </c>
      <c r="FK747" s="1320"/>
      <c r="FL747" s="1320"/>
      <c r="FM747" s="1320"/>
      <c r="FN747" s="1321"/>
      <c r="FO747" s="1319" t="str">
        <f t="shared" si="35"/>
        <v/>
      </c>
      <c r="FP747" s="1320"/>
      <c r="FQ747" s="1320"/>
      <c r="FR747" s="1320"/>
      <c r="FS747" s="1321"/>
      <c r="FT747" s="1319" t="str">
        <f t="shared" si="36"/>
        <v/>
      </c>
      <c r="FU747" s="1320"/>
      <c r="FV747" s="1320"/>
      <c r="FW747" s="1320"/>
      <c r="FX747" s="1321"/>
      <c r="FY747" s="1319" t="str">
        <f t="shared" si="37"/>
        <v/>
      </c>
      <c r="FZ747" s="1320"/>
      <c r="GA747" s="1320"/>
      <c r="GB747" s="1320"/>
      <c r="GC747" s="1321"/>
    </row>
    <row r="748" spans="1:185" ht="13" customHeight="1">
      <c r="B748" s="1333"/>
      <c r="C748" s="1334"/>
      <c r="D748" s="1334"/>
      <c r="E748" s="1334"/>
      <c r="F748" s="1335"/>
      <c r="G748" s="1342"/>
      <c r="H748" s="1343"/>
      <c r="I748" s="1343"/>
      <c r="J748" s="1344"/>
      <c r="K748" s="1533"/>
      <c r="L748" s="1534"/>
      <c r="M748" s="1534"/>
      <c r="N748" s="1535"/>
      <c r="O748" s="1349"/>
      <c r="P748" s="1350"/>
      <c r="Q748" s="1350"/>
      <c r="R748" s="1350"/>
      <c r="S748" s="1351"/>
      <c r="T748" s="1349"/>
      <c r="U748" s="1350"/>
      <c r="V748" s="1350"/>
      <c r="W748" s="1351"/>
      <c r="X748" s="1336">
        <f t="shared" si="10"/>
        <v>0</v>
      </c>
      <c r="Y748" s="1337"/>
      <c r="Z748" s="1337"/>
      <c r="AA748" s="1337"/>
      <c r="AB748" s="1338"/>
      <c r="AC748" s="1346"/>
      <c r="AD748" s="1347"/>
      <c r="AE748" s="1347"/>
      <c r="AF748" s="1347"/>
      <c r="AG748" s="1348"/>
      <c r="AH748" s="1339" t="str">
        <f t="shared" si="38"/>
        <v/>
      </c>
      <c r="AI748" s="1340"/>
      <c r="AJ748" s="1341"/>
      <c r="AK748" s="1333" t="s">
        <v>826</v>
      </c>
      <c r="AL748" s="1334"/>
      <c r="AM748" s="1334"/>
      <c r="AN748" s="1334"/>
      <c r="AO748" s="1335"/>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319">
        <f t="shared" si="39"/>
        <v>0</v>
      </c>
      <c r="CH748" s="1321"/>
      <c r="CI748" s="1319">
        <f t="shared" si="40"/>
        <v>0</v>
      </c>
      <c r="CJ748" s="1321"/>
      <c r="CK748" s="1319">
        <f t="shared" si="18"/>
        <v>0</v>
      </c>
      <c r="CL748" s="1321"/>
      <c r="CM748" s="1319">
        <f t="shared" si="19"/>
        <v>0</v>
      </c>
      <c r="CN748" s="1321"/>
      <c r="CO748" s="3"/>
      <c r="CP748" s="1316">
        <f t="shared" si="20"/>
        <v>0</v>
      </c>
      <c r="CQ748" s="1317"/>
      <c r="CR748" s="1317"/>
      <c r="CS748" s="1317"/>
      <c r="CT748" s="1318"/>
      <c r="CU748" s="1332">
        <f t="shared" si="21"/>
        <v>0</v>
      </c>
      <c r="CV748" s="1332"/>
      <c r="CW748" s="1332"/>
      <c r="CX748" s="1332"/>
      <c r="CY748" s="1332"/>
      <c r="CZ748" s="1332">
        <f t="shared" si="22"/>
        <v>0</v>
      </c>
      <c r="DA748" s="1332"/>
      <c r="DB748" s="1332"/>
      <c r="DC748" s="1332"/>
      <c r="DD748" s="1332"/>
      <c r="DE748" s="1332">
        <f t="shared" si="23"/>
        <v>0</v>
      </c>
      <c r="DF748" s="1332"/>
      <c r="DG748" s="1332"/>
      <c r="DH748" s="1332"/>
      <c r="DI748" s="1332"/>
      <c r="DJ748" s="1332">
        <f t="shared" si="24"/>
        <v>0</v>
      </c>
      <c r="DK748" s="1332"/>
      <c r="DL748" s="1332"/>
      <c r="DM748" s="1332"/>
      <c r="DN748" s="1332"/>
      <c r="DO748" s="1332">
        <f t="shared" si="25"/>
        <v>0</v>
      </c>
      <c r="DP748" s="1332"/>
      <c r="DQ748" s="1332"/>
      <c r="DR748" s="1332"/>
      <c r="DS748" s="1332"/>
      <c r="DT748" s="257"/>
      <c r="DU748" s="1353">
        <f t="shared" si="26"/>
        <v>0</v>
      </c>
      <c r="DV748" s="1353"/>
      <c r="DW748" s="1353"/>
      <c r="DX748" s="1353"/>
      <c r="DY748" s="1353"/>
      <c r="DZ748" s="1353">
        <f t="shared" si="27"/>
        <v>0</v>
      </c>
      <c r="EA748" s="1353"/>
      <c r="EB748" s="1353"/>
      <c r="EC748" s="1353"/>
      <c r="ED748" s="1353"/>
      <c r="EE748" s="1353">
        <f t="shared" si="28"/>
        <v>0</v>
      </c>
      <c r="EF748" s="1353"/>
      <c r="EG748" s="1353"/>
      <c r="EH748" s="1353"/>
      <c r="EI748" s="1353"/>
      <c r="EJ748" s="1353">
        <f t="shared" si="29"/>
        <v>0</v>
      </c>
      <c r="EK748" s="1353"/>
      <c r="EL748" s="1353"/>
      <c r="EM748" s="1353"/>
      <c r="EN748" s="1353"/>
      <c r="EO748" s="1353">
        <f t="shared" si="30"/>
        <v>0</v>
      </c>
      <c r="EP748" s="1353"/>
      <c r="EQ748" s="1353"/>
      <c r="ER748" s="1353"/>
      <c r="ES748" s="1353"/>
      <c r="ET748" s="1353">
        <f t="shared" si="31"/>
        <v>0</v>
      </c>
      <c r="EU748" s="1353"/>
      <c r="EV748" s="1353"/>
      <c r="EW748" s="1353"/>
      <c r="EX748" s="1353"/>
      <c r="EZ748" s="1319" t="str">
        <f t="shared" si="32"/>
        <v/>
      </c>
      <c r="FA748" s="1320"/>
      <c r="FB748" s="1320"/>
      <c r="FC748" s="1320"/>
      <c r="FD748" s="1321"/>
      <c r="FE748" s="1319" t="str">
        <f t="shared" si="33"/>
        <v/>
      </c>
      <c r="FF748" s="1320"/>
      <c r="FG748" s="1320"/>
      <c r="FH748" s="1320"/>
      <c r="FI748" s="1321"/>
      <c r="FJ748" s="1319" t="str">
        <f t="shared" si="34"/>
        <v/>
      </c>
      <c r="FK748" s="1320"/>
      <c r="FL748" s="1320"/>
      <c r="FM748" s="1320"/>
      <c r="FN748" s="1321"/>
      <c r="FO748" s="1319" t="str">
        <f t="shared" si="35"/>
        <v/>
      </c>
      <c r="FP748" s="1320"/>
      <c r="FQ748" s="1320"/>
      <c r="FR748" s="1320"/>
      <c r="FS748" s="1321"/>
      <c r="FT748" s="1319" t="str">
        <f t="shared" si="36"/>
        <v/>
      </c>
      <c r="FU748" s="1320"/>
      <c r="FV748" s="1320"/>
      <c r="FW748" s="1320"/>
      <c r="FX748" s="1321"/>
      <c r="FY748" s="1319" t="str">
        <f t="shared" si="37"/>
        <v/>
      </c>
      <c r="FZ748" s="1320"/>
      <c r="GA748" s="1320"/>
      <c r="GB748" s="1320"/>
      <c r="GC748" s="1321"/>
    </row>
    <row r="749" spans="1:185" ht="13" customHeight="1">
      <c r="B749" s="1333"/>
      <c r="C749" s="1334"/>
      <c r="D749" s="1334"/>
      <c r="E749" s="1334"/>
      <c r="F749" s="1335"/>
      <c r="G749" s="1342"/>
      <c r="H749" s="1343"/>
      <c r="I749" s="1343"/>
      <c r="J749" s="1344"/>
      <c r="K749" s="1533"/>
      <c r="L749" s="1534"/>
      <c r="M749" s="1534"/>
      <c r="N749" s="1535"/>
      <c r="O749" s="1349"/>
      <c r="P749" s="1350"/>
      <c r="Q749" s="1350"/>
      <c r="R749" s="1350"/>
      <c r="S749" s="1351"/>
      <c r="T749" s="1349"/>
      <c r="U749" s="1350"/>
      <c r="V749" s="1350"/>
      <c r="W749" s="1351"/>
      <c r="X749" s="1336">
        <f t="shared" si="10"/>
        <v>0</v>
      </c>
      <c r="Y749" s="1337"/>
      <c r="Z749" s="1337"/>
      <c r="AA749" s="1337"/>
      <c r="AB749" s="1338"/>
      <c r="AC749" s="1346"/>
      <c r="AD749" s="1347"/>
      <c r="AE749" s="1347"/>
      <c r="AF749" s="1347"/>
      <c r="AG749" s="1348"/>
      <c r="AH749" s="1339" t="str">
        <f t="shared" si="38"/>
        <v/>
      </c>
      <c r="AI749" s="1340"/>
      <c r="AJ749" s="1341"/>
      <c r="AK749" s="1333" t="s">
        <v>826</v>
      </c>
      <c r="AL749" s="1334"/>
      <c r="AM749" s="1334"/>
      <c r="AN749" s="1334"/>
      <c r="AO749" s="1335"/>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319">
        <f t="shared" si="39"/>
        <v>0</v>
      </c>
      <c r="CH749" s="1321"/>
      <c r="CI749" s="1319">
        <f t="shared" si="40"/>
        <v>0</v>
      </c>
      <c r="CJ749" s="1321"/>
      <c r="CK749" s="1319">
        <f t="shared" si="18"/>
        <v>0</v>
      </c>
      <c r="CL749" s="1321"/>
      <c r="CM749" s="1319">
        <f t="shared" si="19"/>
        <v>0</v>
      </c>
      <c r="CN749" s="1321"/>
      <c r="CO749" s="3"/>
      <c r="CP749" s="1316">
        <f t="shared" si="20"/>
        <v>0</v>
      </c>
      <c r="CQ749" s="1317"/>
      <c r="CR749" s="1317"/>
      <c r="CS749" s="1317"/>
      <c r="CT749" s="1318"/>
      <c r="CU749" s="1332">
        <f t="shared" si="21"/>
        <v>0</v>
      </c>
      <c r="CV749" s="1332"/>
      <c r="CW749" s="1332"/>
      <c r="CX749" s="1332"/>
      <c r="CY749" s="1332"/>
      <c r="CZ749" s="1332">
        <f t="shared" si="22"/>
        <v>0</v>
      </c>
      <c r="DA749" s="1332"/>
      <c r="DB749" s="1332"/>
      <c r="DC749" s="1332"/>
      <c r="DD749" s="1332"/>
      <c r="DE749" s="1332">
        <f t="shared" si="23"/>
        <v>0</v>
      </c>
      <c r="DF749" s="1332"/>
      <c r="DG749" s="1332"/>
      <c r="DH749" s="1332"/>
      <c r="DI749" s="1332"/>
      <c r="DJ749" s="1332">
        <f t="shared" si="24"/>
        <v>0</v>
      </c>
      <c r="DK749" s="1332"/>
      <c r="DL749" s="1332"/>
      <c r="DM749" s="1332"/>
      <c r="DN749" s="1332"/>
      <c r="DO749" s="1332">
        <f t="shared" si="25"/>
        <v>0</v>
      </c>
      <c r="DP749" s="1332"/>
      <c r="DQ749" s="1332"/>
      <c r="DR749" s="1332"/>
      <c r="DS749" s="1332"/>
      <c r="DT749" s="257"/>
      <c r="DU749" s="1353">
        <f t="shared" si="26"/>
        <v>0</v>
      </c>
      <c r="DV749" s="1353"/>
      <c r="DW749" s="1353"/>
      <c r="DX749" s="1353"/>
      <c r="DY749" s="1353"/>
      <c r="DZ749" s="1353">
        <f t="shared" si="27"/>
        <v>0</v>
      </c>
      <c r="EA749" s="1353"/>
      <c r="EB749" s="1353"/>
      <c r="EC749" s="1353"/>
      <c r="ED749" s="1353"/>
      <c r="EE749" s="1353">
        <f t="shared" si="28"/>
        <v>0</v>
      </c>
      <c r="EF749" s="1353"/>
      <c r="EG749" s="1353"/>
      <c r="EH749" s="1353"/>
      <c r="EI749" s="1353"/>
      <c r="EJ749" s="1353">
        <f t="shared" si="29"/>
        <v>0</v>
      </c>
      <c r="EK749" s="1353"/>
      <c r="EL749" s="1353"/>
      <c r="EM749" s="1353"/>
      <c r="EN749" s="1353"/>
      <c r="EO749" s="1353">
        <f t="shared" si="30"/>
        <v>0</v>
      </c>
      <c r="EP749" s="1353"/>
      <c r="EQ749" s="1353"/>
      <c r="ER749" s="1353"/>
      <c r="ES749" s="1353"/>
      <c r="ET749" s="1353">
        <f t="shared" si="31"/>
        <v>0</v>
      </c>
      <c r="EU749" s="1353"/>
      <c r="EV749" s="1353"/>
      <c r="EW749" s="1353"/>
      <c r="EX749" s="1353"/>
      <c r="EZ749" s="1319" t="str">
        <f t="shared" si="32"/>
        <v/>
      </c>
      <c r="FA749" s="1320"/>
      <c r="FB749" s="1320"/>
      <c r="FC749" s="1320"/>
      <c r="FD749" s="1321"/>
      <c r="FE749" s="1319" t="str">
        <f t="shared" si="33"/>
        <v/>
      </c>
      <c r="FF749" s="1320"/>
      <c r="FG749" s="1320"/>
      <c r="FH749" s="1320"/>
      <c r="FI749" s="1321"/>
      <c r="FJ749" s="1319" t="str">
        <f t="shared" si="34"/>
        <v/>
      </c>
      <c r="FK749" s="1320"/>
      <c r="FL749" s="1320"/>
      <c r="FM749" s="1320"/>
      <c r="FN749" s="1321"/>
      <c r="FO749" s="1319" t="str">
        <f t="shared" si="35"/>
        <v/>
      </c>
      <c r="FP749" s="1320"/>
      <c r="FQ749" s="1320"/>
      <c r="FR749" s="1320"/>
      <c r="FS749" s="1321"/>
      <c r="FT749" s="1319" t="str">
        <f t="shared" si="36"/>
        <v/>
      </c>
      <c r="FU749" s="1320"/>
      <c r="FV749" s="1320"/>
      <c r="FW749" s="1320"/>
      <c r="FX749" s="1321"/>
      <c r="FY749" s="1319" t="str">
        <f t="shared" si="37"/>
        <v/>
      </c>
      <c r="FZ749" s="1320"/>
      <c r="GA749" s="1320"/>
      <c r="GB749" s="1320"/>
      <c r="GC749" s="1321"/>
    </row>
    <row r="750" spans="1:185" ht="13" customHeight="1">
      <c r="B750" s="1333"/>
      <c r="C750" s="1334"/>
      <c r="D750" s="1334"/>
      <c r="E750" s="1334"/>
      <c r="F750" s="1335"/>
      <c r="G750" s="1342"/>
      <c r="H750" s="1343"/>
      <c r="I750" s="1343"/>
      <c r="J750" s="1344"/>
      <c r="K750" s="1533"/>
      <c r="L750" s="1534"/>
      <c r="M750" s="1534"/>
      <c r="N750" s="1535"/>
      <c r="O750" s="1349"/>
      <c r="P750" s="1350"/>
      <c r="Q750" s="1350"/>
      <c r="R750" s="1350"/>
      <c r="S750" s="1351"/>
      <c r="T750" s="1349"/>
      <c r="U750" s="1350"/>
      <c r="V750" s="1350"/>
      <c r="W750" s="1351"/>
      <c r="X750" s="1336">
        <f t="shared" ref="X750:X759" si="41">O750+T750</f>
        <v>0</v>
      </c>
      <c r="Y750" s="1337"/>
      <c r="Z750" s="1337"/>
      <c r="AA750" s="1337"/>
      <c r="AB750" s="1338"/>
      <c r="AC750" s="1346"/>
      <c r="AD750" s="1347"/>
      <c r="AE750" s="1347"/>
      <c r="AF750" s="1347"/>
      <c r="AG750" s="1348"/>
      <c r="AH750" s="1339" t="str">
        <f t="shared" si="38"/>
        <v/>
      </c>
      <c r="AI750" s="1340"/>
      <c r="AJ750" s="1341"/>
      <c r="AK750" s="1333" t="s">
        <v>826</v>
      </c>
      <c r="AL750" s="1334"/>
      <c r="AM750" s="1334"/>
      <c r="AN750" s="1334"/>
      <c r="AO750" s="1335"/>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319">
        <f t="shared" si="39"/>
        <v>0</v>
      </c>
      <c r="CH750" s="1321"/>
      <c r="CI750" s="1319">
        <f t="shared" si="40"/>
        <v>0</v>
      </c>
      <c r="CJ750" s="1321"/>
      <c r="CK750" s="1319">
        <f t="shared" si="18"/>
        <v>0</v>
      </c>
      <c r="CL750" s="1321"/>
      <c r="CM750" s="1319">
        <f t="shared" si="19"/>
        <v>0</v>
      </c>
      <c r="CN750" s="1321"/>
      <c r="CO750" s="3"/>
      <c r="CP750" s="1316">
        <f t="shared" si="20"/>
        <v>0</v>
      </c>
      <c r="CQ750" s="1317"/>
      <c r="CR750" s="1317"/>
      <c r="CS750" s="1317"/>
      <c r="CT750" s="1318"/>
      <c r="CU750" s="1332">
        <f t="shared" si="21"/>
        <v>0</v>
      </c>
      <c r="CV750" s="1332"/>
      <c r="CW750" s="1332"/>
      <c r="CX750" s="1332"/>
      <c r="CY750" s="1332"/>
      <c r="CZ750" s="1332">
        <f t="shared" si="22"/>
        <v>0</v>
      </c>
      <c r="DA750" s="1332"/>
      <c r="DB750" s="1332"/>
      <c r="DC750" s="1332"/>
      <c r="DD750" s="1332"/>
      <c r="DE750" s="1332">
        <f t="shared" si="23"/>
        <v>0</v>
      </c>
      <c r="DF750" s="1332"/>
      <c r="DG750" s="1332"/>
      <c r="DH750" s="1332"/>
      <c r="DI750" s="1332"/>
      <c r="DJ750" s="1332">
        <f t="shared" si="24"/>
        <v>0</v>
      </c>
      <c r="DK750" s="1332"/>
      <c r="DL750" s="1332"/>
      <c r="DM750" s="1332"/>
      <c r="DN750" s="1332"/>
      <c r="DO750" s="1332">
        <f t="shared" si="25"/>
        <v>0</v>
      </c>
      <c r="DP750" s="1332"/>
      <c r="DQ750" s="1332"/>
      <c r="DR750" s="1332"/>
      <c r="DS750" s="1332"/>
      <c r="DT750" s="257"/>
      <c r="DU750" s="1353">
        <f t="shared" si="26"/>
        <v>0</v>
      </c>
      <c r="DV750" s="1353"/>
      <c r="DW750" s="1353"/>
      <c r="DX750" s="1353"/>
      <c r="DY750" s="1353"/>
      <c r="DZ750" s="1353">
        <f t="shared" si="27"/>
        <v>0</v>
      </c>
      <c r="EA750" s="1353"/>
      <c r="EB750" s="1353"/>
      <c r="EC750" s="1353"/>
      <c r="ED750" s="1353"/>
      <c r="EE750" s="1353">
        <f t="shared" si="28"/>
        <v>0</v>
      </c>
      <c r="EF750" s="1353"/>
      <c r="EG750" s="1353"/>
      <c r="EH750" s="1353"/>
      <c r="EI750" s="1353"/>
      <c r="EJ750" s="1353">
        <f t="shared" si="29"/>
        <v>0</v>
      </c>
      <c r="EK750" s="1353"/>
      <c r="EL750" s="1353"/>
      <c r="EM750" s="1353"/>
      <c r="EN750" s="1353"/>
      <c r="EO750" s="1353">
        <f t="shared" si="30"/>
        <v>0</v>
      </c>
      <c r="EP750" s="1353"/>
      <c r="EQ750" s="1353"/>
      <c r="ER750" s="1353"/>
      <c r="ES750" s="1353"/>
      <c r="ET750" s="1353">
        <f t="shared" si="31"/>
        <v>0</v>
      </c>
      <c r="EU750" s="1353"/>
      <c r="EV750" s="1353"/>
      <c r="EW750" s="1353"/>
      <c r="EX750" s="1353"/>
      <c r="EZ750" s="1319" t="str">
        <f t="shared" si="32"/>
        <v/>
      </c>
      <c r="FA750" s="1320"/>
      <c r="FB750" s="1320"/>
      <c r="FC750" s="1320"/>
      <c r="FD750" s="1321"/>
      <c r="FE750" s="1319" t="str">
        <f t="shared" si="33"/>
        <v/>
      </c>
      <c r="FF750" s="1320"/>
      <c r="FG750" s="1320"/>
      <c r="FH750" s="1320"/>
      <c r="FI750" s="1321"/>
      <c r="FJ750" s="1319" t="str">
        <f t="shared" si="34"/>
        <v/>
      </c>
      <c r="FK750" s="1320"/>
      <c r="FL750" s="1320"/>
      <c r="FM750" s="1320"/>
      <c r="FN750" s="1321"/>
      <c r="FO750" s="1319" t="str">
        <f t="shared" si="35"/>
        <v/>
      </c>
      <c r="FP750" s="1320"/>
      <c r="FQ750" s="1320"/>
      <c r="FR750" s="1320"/>
      <c r="FS750" s="1321"/>
      <c r="FT750" s="1319" t="str">
        <f t="shared" si="36"/>
        <v/>
      </c>
      <c r="FU750" s="1320"/>
      <c r="FV750" s="1320"/>
      <c r="FW750" s="1320"/>
      <c r="FX750" s="1321"/>
      <c r="FY750" s="1319" t="str">
        <f t="shared" si="37"/>
        <v/>
      </c>
      <c r="FZ750" s="1320"/>
      <c r="GA750" s="1320"/>
      <c r="GB750" s="1320"/>
      <c r="GC750" s="1321"/>
    </row>
    <row r="751" spans="1:185" s="3" customFormat="1" ht="13" customHeight="1">
      <c r="A751"/>
      <c r="B751" s="1333"/>
      <c r="C751" s="1334"/>
      <c r="D751" s="1334"/>
      <c r="E751" s="1334"/>
      <c r="F751" s="1335"/>
      <c r="G751" s="1342"/>
      <c r="H751" s="1343"/>
      <c r="I751" s="1343"/>
      <c r="J751" s="1344"/>
      <c r="K751" s="1533"/>
      <c r="L751" s="1534"/>
      <c r="M751" s="1534"/>
      <c r="N751" s="1535"/>
      <c r="O751" s="1349"/>
      <c r="P751" s="1350"/>
      <c r="Q751" s="1350"/>
      <c r="R751" s="1350"/>
      <c r="S751" s="1351"/>
      <c r="T751" s="1349"/>
      <c r="U751" s="1350"/>
      <c r="V751" s="1350"/>
      <c r="W751" s="1351"/>
      <c r="X751" s="1336">
        <f t="shared" si="41"/>
        <v>0</v>
      </c>
      <c r="Y751" s="1337"/>
      <c r="Z751" s="1337"/>
      <c r="AA751" s="1337"/>
      <c r="AB751" s="1338"/>
      <c r="AC751" s="1346"/>
      <c r="AD751" s="1347"/>
      <c r="AE751" s="1347"/>
      <c r="AF751" s="1347"/>
      <c r="AG751" s="1348"/>
      <c r="AH751" s="1339" t="str">
        <f t="shared" si="38"/>
        <v/>
      </c>
      <c r="AI751" s="1340"/>
      <c r="AJ751" s="1341"/>
      <c r="AK751" s="1333" t="s">
        <v>826</v>
      </c>
      <c r="AL751" s="1334"/>
      <c r="AM751" s="1334"/>
      <c r="AN751" s="1334"/>
      <c r="AO751" s="1335"/>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319">
        <f t="shared" si="39"/>
        <v>0</v>
      </c>
      <c r="CH751" s="1321"/>
      <c r="CI751" s="1319">
        <f t="shared" si="40"/>
        <v>0</v>
      </c>
      <c r="CJ751" s="1321"/>
      <c r="CK751" s="1319">
        <f t="shared" si="18"/>
        <v>0</v>
      </c>
      <c r="CL751" s="1321"/>
      <c r="CM751" s="1319">
        <f t="shared" si="19"/>
        <v>0</v>
      </c>
      <c r="CN751" s="1321"/>
      <c r="CP751" s="1316">
        <f t="shared" si="20"/>
        <v>0</v>
      </c>
      <c r="CQ751" s="1317"/>
      <c r="CR751" s="1317"/>
      <c r="CS751" s="1317"/>
      <c r="CT751" s="1318"/>
      <c r="CU751" s="1332">
        <f t="shared" si="21"/>
        <v>0</v>
      </c>
      <c r="CV751" s="1332"/>
      <c r="CW751" s="1332"/>
      <c r="CX751" s="1332"/>
      <c r="CY751" s="1332"/>
      <c r="CZ751" s="1332">
        <f t="shared" si="22"/>
        <v>0</v>
      </c>
      <c r="DA751" s="1332"/>
      <c r="DB751" s="1332"/>
      <c r="DC751" s="1332"/>
      <c r="DD751" s="1332"/>
      <c r="DE751" s="1332">
        <f t="shared" si="23"/>
        <v>0</v>
      </c>
      <c r="DF751" s="1332"/>
      <c r="DG751" s="1332"/>
      <c r="DH751" s="1332"/>
      <c r="DI751" s="1332"/>
      <c r="DJ751" s="1332">
        <f t="shared" si="24"/>
        <v>0</v>
      </c>
      <c r="DK751" s="1332"/>
      <c r="DL751" s="1332"/>
      <c r="DM751" s="1332"/>
      <c r="DN751" s="1332"/>
      <c r="DO751" s="1332">
        <f t="shared" si="25"/>
        <v>0</v>
      </c>
      <c r="DP751" s="1332"/>
      <c r="DQ751" s="1332"/>
      <c r="DR751" s="1332"/>
      <c r="DS751" s="1332"/>
      <c r="DT751" s="257"/>
      <c r="DU751" s="1353">
        <f t="shared" si="26"/>
        <v>0</v>
      </c>
      <c r="DV751" s="1353"/>
      <c r="DW751" s="1353"/>
      <c r="DX751" s="1353"/>
      <c r="DY751" s="1353"/>
      <c r="DZ751" s="1353">
        <f t="shared" si="27"/>
        <v>0</v>
      </c>
      <c r="EA751" s="1353"/>
      <c r="EB751" s="1353"/>
      <c r="EC751" s="1353"/>
      <c r="ED751" s="1353"/>
      <c r="EE751" s="1353">
        <f t="shared" si="28"/>
        <v>0</v>
      </c>
      <c r="EF751" s="1353"/>
      <c r="EG751" s="1353"/>
      <c r="EH751" s="1353"/>
      <c r="EI751" s="1353"/>
      <c r="EJ751" s="1353">
        <f t="shared" si="29"/>
        <v>0</v>
      </c>
      <c r="EK751" s="1353"/>
      <c r="EL751" s="1353"/>
      <c r="EM751" s="1353"/>
      <c r="EN751" s="1353"/>
      <c r="EO751" s="1353">
        <f t="shared" si="30"/>
        <v>0</v>
      </c>
      <c r="EP751" s="1353"/>
      <c r="EQ751" s="1353"/>
      <c r="ER751" s="1353"/>
      <c r="ES751" s="1353"/>
      <c r="ET751" s="1353">
        <f t="shared" si="31"/>
        <v>0</v>
      </c>
      <c r="EU751" s="1353"/>
      <c r="EV751" s="1353"/>
      <c r="EW751" s="1353"/>
      <c r="EX751" s="1353"/>
      <c r="EY751"/>
      <c r="EZ751" s="1319" t="str">
        <f t="shared" si="32"/>
        <v/>
      </c>
      <c r="FA751" s="1320"/>
      <c r="FB751" s="1320"/>
      <c r="FC751" s="1320"/>
      <c r="FD751" s="1321"/>
      <c r="FE751" s="1319" t="str">
        <f t="shared" si="33"/>
        <v/>
      </c>
      <c r="FF751" s="1320"/>
      <c r="FG751" s="1320"/>
      <c r="FH751" s="1320"/>
      <c r="FI751" s="1321"/>
      <c r="FJ751" s="1319" t="str">
        <f t="shared" si="34"/>
        <v/>
      </c>
      <c r="FK751" s="1320"/>
      <c r="FL751" s="1320"/>
      <c r="FM751" s="1320"/>
      <c r="FN751" s="1321"/>
      <c r="FO751" s="1319" t="str">
        <f t="shared" si="35"/>
        <v/>
      </c>
      <c r="FP751" s="1320"/>
      <c r="FQ751" s="1320"/>
      <c r="FR751" s="1320"/>
      <c r="FS751" s="1321"/>
      <c r="FT751" s="1319" t="str">
        <f t="shared" si="36"/>
        <v/>
      </c>
      <c r="FU751" s="1320"/>
      <c r="FV751" s="1320"/>
      <c r="FW751" s="1320"/>
      <c r="FX751" s="1321"/>
      <c r="FY751" s="1319" t="str">
        <f t="shared" si="37"/>
        <v/>
      </c>
      <c r="FZ751" s="1320"/>
      <c r="GA751" s="1320"/>
      <c r="GB751" s="1320"/>
      <c r="GC751" s="1321"/>
    </row>
    <row r="752" spans="1:185" ht="13" customHeight="1">
      <c r="B752" s="1333"/>
      <c r="C752" s="1334"/>
      <c r="D752" s="1334"/>
      <c r="E752" s="1334"/>
      <c r="F752" s="1335"/>
      <c r="G752" s="1342"/>
      <c r="H752" s="1343"/>
      <c r="I752" s="1343"/>
      <c r="J752" s="1344"/>
      <c r="K752" s="1533"/>
      <c r="L752" s="1534"/>
      <c r="M752" s="1534"/>
      <c r="N752" s="1535"/>
      <c r="O752" s="1349"/>
      <c r="P752" s="1350"/>
      <c r="Q752" s="1350"/>
      <c r="R752" s="1350"/>
      <c r="S752" s="1351"/>
      <c r="T752" s="1349"/>
      <c r="U752" s="1350"/>
      <c r="V752" s="1350"/>
      <c r="W752" s="1351"/>
      <c r="X752" s="1336">
        <f t="shared" si="41"/>
        <v>0</v>
      </c>
      <c r="Y752" s="1337"/>
      <c r="Z752" s="1337"/>
      <c r="AA752" s="1337"/>
      <c r="AB752" s="1338"/>
      <c r="AC752" s="1346"/>
      <c r="AD752" s="1347"/>
      <c r="AE752" s="1347"/>
      <c r="AF752" s="1347"/>
      <c r="AG752" s="1348"/>
      <c r="AH752" s="1339" t="str">
        <f t="shared" si="38"/>
        <v/>
      </c>
      <c r="AI752" s="1340"/>
      <c r="AJ752" s="1341"/>
      <c r="AK752" s="1333" t="s">
        <v>826</v>
      </c>
      <c r="AL752" s="1334"/>
      <c r="AM752" s="1334"/>
      <c r="AN752" s="1334"/>
      <c r="AO752" s="1335"/>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319">
        <f t="shared" si="39"/>
        <v>0</v>
      </c>
      <c r="CH752" s="1321"/>
      <c r="CI752" s="1319">
        <f t="shared" si="40"/>
        <v>0</v>
      </c>
      <c r="CJ752" s="1321"/>
      <c r="CK752" s="1319">
        <f t="shared" si="18"/>
        <v>0</v>
      </c>
      <c r="CL752" s="1321"/>
      <c r="CM752" s="1319">
        <f t="shared" si="19"/>
        <v>0</v>
      </c>
      <c r="CN752" s="1321"/>
      <c r="CO752" s="3"/>
      <c r="CP752" s="1316">
        <f t="shared" si="20"/>
        <v>0</v>
      </c>
      <c r="CQ752" s="1317"/>
      <c r="CR752" s="1317"/>
      <c r="CS752" s="1317"/>
      <c r="CT752" s="1318"/>
      <c r="CU752" s="1332">
        <f t="shared" si="21"/>
        <v>0</v>
      </c>
      <c r="CV752" s="1332"/>
      <c r="CW752" s="1332"/>
      <c r="CX752" s="1332"/>
      <c r="CY752" s="1332"/>
      <c r="CZ752" s="1332">
        <f t="shared" si="22"/>
        <v>0</v>
      </c>
      <c r="DA752" s="1332"/>
      <c r="DB752" s="1332"/>
      <c r="DC752" s="1332"/>
      <c r="DD752" s="1332"/>
      <c r="DE752" s="1332">
        <f t="shared" si="23"/>
        <v>0</v>
      </c>
      <c r="DF752" s="1332"/>
      <c r="DG752" s="1332"/>
      <c r="DH752" s="1332"/>
      <c r="DI752" s="1332"/>
      <c r="DJ752" s="1332">
        <f t="shared" si="24"/>
        <v>0</v>
      </c>
      <c r="DK752" s="1332"/>
      <c r="DL752" s="1332"/>
      <c r="DM752" s="1332"/>
      <c r="DN752" s="1332"/>
      <c r="DO752" s="1332">
        <f t="shared" si="25"/>
        <v>0</v>
      </c>
      <c r="DP752" s="1332"/>
      <c r="DQ752" s="1332"/>
      <c r="DR752" s="1332"/>
      <c r="DS752" s="1332"/>
      <c r="DT752" s="257"/>
      <c r="DU752" s="1353">
        <f t="shared" si="26"/>
        <v>0</v>
      </c>
      <c r="DV752" s="1353"/>
      <c r="DW752" s="1353"/>
      <c r="DX752" s="1353"/>
      <c r="DY752" s="1353"/>
      <c r="DZ752" s="1353">
        <f t="shared" si="27"/>
        <v>0</v>
      </c>
      <c r="EA752" s="1353"/>
      <c r="EB752" s="1353"/>
      <c r="EC752" s="1353"/>
      <c r="ED752" s="1353"/>
      <c r="EE752" s="1353">
        <f t="shared" si="28"/>
        <v>0</v>
      </c>
      <c r="EF752" s="1353"/>
      <c r="EG752" s="1353"/>
      <c r="EH752" s="1353"/>
      <c r="EI752" s="1353"/>
      <c r="EJ752" s="1353">
        <f t="shared" si="29"/>
        <v>0</v>
      </c>
      <c r="EK752" s="1353"/>
      <c r="EL752" s="1353"/>
      <c r="EM752" s="1353"/>
      <c r="EN752" s="1353"/>
      <c r="EO752" s="1353">
        <f t="shared" si="30"/>
        <v>0</v>
      </c>
      <c r="EP752" s="1353"/>
      <c r="EQ752" s="1353"/>
      <c r="ER752" s="1353"/>
      <c r="ES752" s="1353"/>
      <c r="ET752" s="1353">
        <f t="shared" si="31"/>
        <v>0</v>
      </c>
      <c r="EU752" s="1353"/>
      <c r="EV752" s="1353"/>
      <c r="EW752" s="1353"/>
      <c r="EX752" s="1353"/>
      <c r="EZ752" s="1319" t="str">
        <f t="shared" si="32"/>
        <v/>
      </c>
      <c r="FA752" s="1320"/>
      <c r="FB752" s="1320"/>
      <c r="FC752" s="1320"/>
      <c r="FD752" s="1321"/>
      <c r="FE752" s="1319" t="str">
        <f t="shared" si="33"/>
        <v/>
      </c>
      <c r="FF752" s="1320"/>
      <c r="FG752" s="1320"/>
      <c r="FH752" s="1320"/>
      <c r="FI752" s="1321"/>
      <c r="FJ752" s="1319" t="str">
        <f t="shared" si="34"/>
        <v/>
      </c>
      <c r="FK752" s="1320"/>
      <c r="FL752" s="1320"/>
      <c r="FM752" s="1320"/>
      <c r="FN752" s="1321"/>
      <c r="FO752" s="1319" t="str">
        <f t="shared" si="35"/>
        <v/>
      </c>
      <c r="FP752" s="1320"/>
      <c r="FQ752" s="1320"/>
      <c r="FR752" s="1320"/>
      <c r="FS752" s="1321"/>
      <c r="FT752" s="1319" t="str">
        <f t="shared" si="36"/>
        <v/>
      </c>
      <c r="FU752" s="1320"/>
      <c r="FV752" s="1320"/>
      <c r="FW752" s="1320"/>
      <c r="FX752" s="1321"/>
      <c r="FY752" s="1319" t="str">
        <f t="shared" si="37"/>
        <v/>
      </c>
      <c r="FZ752" s="1320"/>
      <c r="GA752" s="1320"/>
      <c r="GB752" s="1320"/>
      <c r="GC752" s="1321"/>
    </row>
    <row r="753" spans="1:185" ht="13" customHeight="1">
      <c r="B753" s="1333"/>
      <c r="C753" s="1334"/>
      <c r="D753" s="1334"/>
      <c r="E753" s="1334"/>
      <c r="F753" s="1335"/>
      <c r="G753" s="1342"/>
      <c r="H753" s="1343"/>
      <c r="I753" s="1343"/>
      <c r="J753" s="1344"/>
      <c r="K753" s="1533"/>
      <c r="L753" s="1534"/>
      <c r="M753" s="1534"/>
      <c r="N753" s="1535"/>
      <c r="O753" s="1349"/>
      <c r="P753" s="1350"/>
      <c r="Q753" s="1350"/>
      <c r="R753" s="1350"/>
      <c r="S753" s="1351"/>
      <c r="T753" s="1349"/>
      <c r="U753" s="1350"/>
      <c r="V753" s="1350"/>
      <c r="W753" s="1351"/>
      <c r="X753" s="1336">
        <f t="shared" si="41"/>
        <v>0</v>
      </c>
      <c r="Y753" s="1337"/>
      <c r="Z753" s="1337"/>
      <c r="AA753" s="1337"/>
      <c r="AB753" s="1338"/>
      <c r="AC753" s="1346"/>
      <c r="AD753" s="1347"/>
      <c r="AE753" s="1347"/>
      <c r="AF753" s="1347"/>
      <c r="AG753" s="1348"/>
      <c r="AH753" s="1339" t="str">
        <f t="shared" si="38"/>
        <v/>
      </c>
      <c r="AI753" s="1340"/>
      <c r="AJ753" s="1341"/>
      <c r="AK753" s="1333" t="s">
        <v>826</v>
      </c>
      <c r="AL753" s="1334"/>
      <c r="AM753" s="1334"/>
      <c r="AN753" s="1334"/>
      <c r="AO753" s="1335"/>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319">
        <f t="shared" si="39"/>
        <v>0</v>
      </c>
      <c r="CH753" s="1321"/>
      <c r="CI753" s="1319">
        <f t="shared" si="40"/>
        <v>0</v>
      </c>
      <c r="CJ753" s="1321"/>
      <c r="CK753" s="1319">
        <f t="shared" si="18"/>
        <v>0</v>
      </c>
      <c r="CL753" s="1321"/>
      <c r="CM753" s="1319">
        <f t="shared" si="19"/>
        <v>0</v>
      </c>
      <c r="CN753" s="1321"/>
      <c r="CO753" s="3"/>
      <c r="CP753" s="1316">
        <f t="shared" si="20"/>
        <v>0</v>
      </c>
      <c r="CQ753" s="1317"/>
      <c r="CR753" s="1317"/>
      <c r="CS753" s="1317"/>
      <c r="CT753" s="1318"/>
      <c r="CU753" s="1332">
        <f t="shared" si="21"/>
        <v>0</v>
      </c>
      <c r="CV753" s="1332"/>
      <c r="CW753" s="1332"/>
      <c r="CX753" s="1332"/>
      <c r="CY753" s="1332"/>
      <c r="CZ753" s="1332">
        <f t="shared" si="22"/>
        <v>0</v>
      </c>
      <c r="DA753" s="1332"/>
      <c r="DB753" s="1332"/>
      <c r="DC753" s="1332"/>
      <c r="DD753" s="1332"/>
      <c r="DE753" s="1332">
        <f t="shared" si="23"/>
        <v>0</v>
      </c>
      <c r="DF753" s="1332"/>
      <c r="DG753" s="1332"/>
      <c r="DH753" s="1332"/>
      <c r="DI753" s="1332"/>
      <c r="DJ753" s="1332">
        <f t="shared" si="24"/>
        <v>0</v>
      </c>
      <c r="DK753" s="1332"/>
      <c r="DL753" s="1332"/>
      <c r="DM753" s="1332"/>
      <c r="DN753" s="1332"/>
      <c r="DO753" s="1332">
        <f t="shared" si="25"/>
        <v>0</v>
      </c>
      <c r="DP753" s="1332"/>
      <c r="DQ753" s="1332"/>
      <c r="DR753" s="1332"/>
      <c r="DS753" s="1332"/>
      <c r="DT753" s="257"/>
      <c r="DU753" s="1353">
        <f t="shared" si="26"/>
        <v>0</v>
      </c>
      <c r="DV753" s="1353"/>
      <c r="DW753" s="1353"/>
      <c r="DX753" s="1353"/>
      <c r="DY753" s="1353"/>
      <c r="DZ753" s="1353">
        <f t="shared" si="27"/>
        <v>0</v>
      </c>
      <c r="EA753" s="1353"/>
      <c r="EB753" s="1353"/>
      <c r="EC753" s="1353"/>
      <c r="ED753" s="1353"/>
      <c r="EE753" s="1353">
        <f t="shared" si="28"/>
        <v>0</v>
      </c>
      <c r="EF753" s="1353"/>
      <c r="EG753" s="1353"/>
      <c r="EH753" s="1353"/>
      <c r="EI753" s="1353"/>
      <c r="EJ753" s="1353">
        <f t="shared" si="29"/>
        <v>0</v>
      </c>
      <c r="EK753" s="1353"/>
      <c r="EL753" s="1353"/>
      <c r="EM753" s="1353"/>
      <c r="EN753" s="1353"/>
      <c r="EO753" s="1353">
        <f t="shared" si="30"/>
        <v>0</v>
      </c>
      <c r="EP753" s="1353"/>
      <c r="EQ753" s="1353"/>
      <c r="ER753" s="1353"/>
      <c r="ES753" s="1353"/>
      <c r="ET753" s="1353">
        <f t="shared" si="31"/>
        <v>0</v>
      </c>
      <c r="EU753" s="1353"/>
      <c r="EV753" s="1353"/>
      <c r="EW753" s="1353"/>
      <c r="EX753" s="1353"/>
      <c r="EZ753" s="1319" t="str">
        <f t="shared" si="32"/>
        <v/>
      </c>
      <c r="FA753" s="1320"/>
      <c r="FB753" s="1320"/>
      <c r="FC753" s="1320"/>
      <c r="FD753" s="1321"/>
      <c r="FE753" s="1319" t="str">
        <f t="shared" si="33"/>
        <v/>
      </c>
      <c r="FF753" s="1320"/>
      <c r="FG753" s="1320"/>
      <c r="FH753" s="1320"/>
      <c r="FI753" s="1321"/>
      <c r="FJ753" s="1319" t="str">
        <f t="shared" si="34"/>
        <v/>
      </c>
      <c r="FK753" s="1320"/>
      <c r="FL753" s="1320"/>
      <c r="FM753" s="1320"/>
      <c r="FN753" s="1321"/>
      <c r="FO753" s="1319" t="str">
        <f t="shared" si="35"/>
        <v/>
      </c>
      <c r="FP753" s="1320"/>
      <c r="FQ753" s="1320"/>
      <c r="FR753" s="1320"/>
      <c r="FS753" s="1321"/>
      <c r="FT753" s="1319" t="str">
        <f t="shared" si="36"/>
        <v/>
      </c>
      <c r="FU753" s="1320"/>
      <c r="FV753" s="1320"/>
      <c r="FW753" s="1320"/>
      <c r="FX753" s="1321"/>
      <c r="FY753" s="1319" t="str">
        <f t="shared" si="37"/>
        <v/>
      </c>
      <c r="FZ753" s="1320"/>
      <c r="GA753" s="1320"/>
      <c r="GB753" s="1320"/>
      <c r="GC753" s="1321"/>
    </row>
    <row r="754" spans="1:185" ht="13" customHeight="1">
      <c r="B754" s="1333"/>
      <c r="C754" s="1334"/>
      <c r="D754" s="1334"/>
      <c r="E754" s="1334"/>
      <c r="F754" s="1335"/>
      <c r="G754" s="1342"/>
      <c r="H754" s="1343"/>
      <c r="I754" s="1343"/>
      <c r="J754" s="1344"/>
      <c r="K754" s="1533"/>
      <c r="L754" s="1534"/>
      <c r="M754" s="1534"/>
      <c r="N754" s="1535"/>
      <c r="O754" s="1349"/>
      <c r="P754" s="1350"/>
      <c r="Q754" s="1350"/>
      <c r="R754" s="1350"/>
      <c r="S754" s="1351"/>
      <c r="T754" s="1349"/>
      <c r="U754" s="1350"/>
      <c r="V754" s="1350"/>
      <c r="W754" s="1351"/>
      <c r="X754" s="1336">
        <f t="shared" si="41"/>
        <v>0</v>
      </c>
      <c r="Y754" s="1337"/>
      <c r="Z754" s="1337"/>
      <c r="AA754" s="1337"/>
      <c r="AB754" s="1338"/>
      <c r="AC754" s="1346"/>
      <c r="AD754" s="1347"/>
      <c r="AE754" s="1347"/>
      <c r="AF754" s="1347"/>
      <c r="AG754" s="1348"/>
      <c r="AH754" s="1339" t="str">
        <f t="shared" si="38"/>
        <v/>
      </c>
      <c r="AI754" s="1340"/>
      <c r="AJ754" s="1341"/>
      <c r="AK754" s="1333" t="s">
        <v>826</v>
      </c>
      <c r="AL754" s="1334"/>
      <c r="AM754" s="1334"/>
      <c r="AN754" s="1334"/>
      <c r="AO754" s="1335"/>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319">
        <f t="shared" si="39"/>
        <v>0</v>
      </c>
      <c r="CH754" s="1321"/>
      <c r="CI754" s="1319">
        <f t="shared" si="40"/>
        <v>0</v>
      </c>
      <c r="CJ754" s="1321"/>
      <c r="CK754" s="1319">
        <f t="shared" si="18"/>
        <v>0</v>
      </c>
      <c r="CL754" s="1321"/>
      <c r="CM754" s="1319">
        <f t="shared" si="19"/>
        <v>0</v>
      </c>
      <c r="CN754" s="1321"/>
      <c r="CO754" s="3"/>
      <c r="CP754" s="1316">
        <f t="shared" si="20"/>
        <v>0</v>
      </c>
      <c r="CQ754" s="1317"/>
      <c r="CR754" s="1317"/>
      <c r="CS754" s="1317"/>
      <c r="CT754" s="1318"/>
      <c r="CU754" s="1332">
        <f t="shared" si="21"/>
        <v>0</v>
      </c>
      <c r="CV754" s="1332"/>
      <c r="CW754" s="1332"/>
      <c r="CX754" s="1332"/>
      <c r="CY754" s="1332"/>
      <c r="CZ754" s="1332">
        <f t="shared" si="22"/>
        <v>0</v>
      </c>
      <c r="DA754" s="1332"/>
      <c r="DB754" s="1332"/>
      <c r="DC754" s="1332"/>
      <c r="DD754" s="1332"/>
      <c r="DE754" s="1332">
        <f t="shared" si="23"/>
        <v>0</v>
      </c>
      <c r="DF754" s="1332"/>
      <c r="DG754" s="1332"/>
      <c r="DH754" s="1332"/>
      <c r="DI754" s="1332"/>
      <c r="DJ754" s="1332">
        <f t="shared" si="24"/>
        <v>0</v>
      </c>
      <c r="DK754" s="1332"/>
      <c r="DL754" s="1332"/>
      <c r="DM754" s="1332"/>
      <c r="DN754" s="1332"/>
      <c r="DO754" s="1332">
        <f t="shared" si="25"/>
        <v>0</v>
      </c>
      <c r="DP754" s="1332"/>
      <c r="DQ754" s="1332"/>
      <c r="DR754" s="1332"/>
      <c r="DS754" s="1332"/>
      <c r="DT754" s="257"/>
      <c r="DU754" s="1353">
        <f t="shared" si="26"/>
        <v>0</v>
      </c>
      <c r="DV754" s="1353"/>
      <c r="DW754" s="1353"/>
      <c r="DX754" s="1353"/>
      <c r="DY754" s="1353"/>
      <c r="DZ754" s="1353">
        <f t="shared" si="27"/>
        <v>0</v>
      </c>
      <c r="EA754" s="1353"/>
      <c r="EB754" s="1353"/>
      <c r="EC754" s="1353"/>
      <c r="ED754" s="1353"/>
      <c r="EE754" s="1353">
        <f t="shared" si="28"/>
        <v>0</v>
      </c>
      <c r="EF754" s="1353"/>
      <c r="EG754" s="1353"/>
      <c r="EH754" s="1353"/>
      <c r="EI754" s="1353"/>
      <c r="EJ754" s="1353">
        <f t="shared" si="29"/>
        <v>0</v>
      </c>
      <c r="EK754" s="1353"/>
      <c r="EL754" s="1353"/>
      <c r="EM754" s="1353"/>
      <c r="EN754" s="1353"/>
      <c r="EO754" s="1353">
        <f t="shared" si="30"/>
        <v>0</v>
      </c>
      <c r="EP754" s="1353"/>
      <c r="EQ754" s="1353"/>
      <c r="ER754" s="1353"/>
      <c r="ES754" s="1353"/>
      <c r="ET754" s="1353">
        <f t="shared" si="31"/>
        <v>0</v>
      </c>
      <c r="EU754" s="1353"/>
      <c r="EV754" s="1353"/>
      <c r="EW754" s="1353"/>
      <c r="EX754" s="1353"/>
      <c r="EZ754" s="1319" t="str">
        <f t="shared" si="32"/>
        <v/>
      </c>
      <c r="FA754" s="1320"/>
      <c r="FB754" s="1320"/>
      <c r="FC754" s="1320"/>
      <c r="FD754" s="1321"/>
      <c r="FE754" s="1319" t="str">
        <f t="shared" si="33"/>
        <v/>
      </c>
      <c r="FF754" s="1320"/>
      <c r="FG754" s="1320"/>
      <c r="FH754" s="1320"/>
      <c r="FI754" s="1321"/>
      <c r="FJ754" s="1319" t="str">
        <f t="shared" si="34"/>
        <v/>
      </c>
      <c r="FK754" s="1320"/>
      <c r="FL754" s="1320"/>
      <c r="FM754" s="1320"/>
      <c r="FN754" s="1321"/>
      <c r="FO754" s="1319" t="str">
        <f t="shared" si="35"/>
        <v/>
      </c>
      <c r="FP754" s="1320"/>
      <c r="FQ754" s="1320"/>
      <c r="FR754" s="1320"/>
      <c r="FS754" s="1321"/>
      <c r="FT754" s="1319" t="str">
        <f t="shared" si="36"/>
        <v/>
      </c>
      <c r="FU754" s="1320"/>
      <c r="FV754" s="1320"/>
      <c r="FW754" s="1320"/>
      <c r="FX754" s="1321"/>
      <c r="FY754" s="1319" t="str">
        <f t="shared" si="37"/>
        <v/>
      </c>
      <c r="FZ754" s="1320"/>
      <c r="GA754" s="1320"/>
      <c r="GB754" s="1320"/>
      <c r="GC754" s="1321"/>
    </row>
    <row r="755" spans="1:185" ht="13" customHeight="1">
      <c r="B755" s="1333"/>
      <c r="C755" s="1334"/>
      <c r="D755" s="1334"/>
      <c r="E755" s="1334"/>
      <c r="F755" s="1335"/>
      <c r="G755" s="1342"/>
      <c r="H755" s="1343"/>
      <c r="I755" s="1343"/>
      <c r="J755" s="1344"/>
      <c r="K755" s="1533"/>
      <c r="L755" s="1534"/>
      <c r="M755" s="1534"/>
      <c r="N755" s="1535"/>
      <c r="O755" s="1349"/>
      <c r="P755" s="1350"/>
      <c r="Q755" s="1350"/>
      <c r="R755" s="1350"/>
      <c r="S755" s="1351"/>
      <c r="T755" s="1349"/>
      <c r="U755" s="1350"/>
      <c r="V755" s="1350"/>
      <c r="W755" s="1351"/>
      <c r="X755" s="1336">
        <f t="shared" si="41"/>
        <v>0</v>
      </c>
      <c r="Y755" s="1337"/>
      <c r="Z755" s="1337"/>
      <c r="AA755" s="1337"/>
      <c r="AB755" s="1338"/>
      <c r="AC755" s="1346"/>
      <c r="AD755" s="1347"/>
      <c r="AE755" s="1347"/>
      <c r="AF755" s="1347"/>
      <c r="AG755" s="1348"/>
      <c r="AH755" s="1339" t="str">
        <f t="shared" si="38"/>
        <v/>
      </c>
      <c r="AI755" s="1340"/>
      <c r="AJ755" s="1341"/>
      <c r="AK755" s="1333" t="s">
        <v>826</v>
      </c>
      <c r="AL755" s="1334"/>
      <c r="AM755" s="1334"/>
      <c r="AN755" s="1334"/>
      <c r="AO755" s="1335"/>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319">
        <f t="shared" si="39"/>
        <v>0</v>
      </c>
      <c r="CH755" s="1321"/>
      <c r="CI755" s="1319">
        <f t="shared" si="40"/>
        <v>0</v>
      </c>
      <c r="CJ755" s="1321"/>
      <c r="CK755" s="1319">
        <f t="shared" si="18"/>
        <v>0</v>
      </c>
      <c r="CL755" s="1321"/>
      <c r="CM755" s="1319">
        <f t="shared" si="19"/>
        <v>0</v>
      </c>
      <c r="CN755" s="1321"/>
      <c r="CO755" s="3"/>
      <c r="CP755" s="1316">
        <f t="shared" si="20"/>
        <v>0</v>
      </c>
      <c r="CQ755" s="1317"/>
      <c r="CR755" s="1317"/>
      <c r="CS755" s="1317"/>
      <c r="CT755" s="1318"/>
      <c r="CU755" s="1332">
        <f t="shared" si="21"/>
        <v>0</v>
      </c>
      <c r="CV755" s="1332"/>
      <c r="CW755" s="1332"/>
      <c r="CX755" s="1332"/>
      <c r="CY755" s="1332"/>
      <c r="CZ755" s="1332">
        <f t="shared" si="22"/>
        <v>0</v>
      </c>
      <c r="DA755" s="1332"/>
      <c r="DB755" s="1332"/>
      <c r="DC755" s="1332"/>
      <c r="DD755" s="1332"/>
      <c r="DE755" s="1332">
        <f t="shared" si="23"/>
        <v>0</v>
      </c>
      <c r="DF755" s="1332"/>
      <c r="DG755" s="1332"/>
      <c r="DH755" s="1332"/>
      <c r="DI755" s="1332"/>
      <c r="DJ755" s="1332">
        <f t="shared" si="24"/>
        <v>0</v>
      </c>
      <c r="DK755" s="1332"/>
      <c r="DL755" s="1332"/>
      <c r="DM755" s="1332"/>
      <c r="DN755" s="1332"/>
      <c r="DO755" s="1332">
        <f t="shared" si="25"/>
        <v>0</v>
      </c>
      <c r="DP755" s="1332"/>
      <c r="DQ755" s="1332"/>
      <c r="DR755" s="1332"/>
      <c r="DS755" s="1332"/>
      <c r="DT755" s="257"/>
      <c r="DU755" s="1353">
        <f t="shared" si="26"/>
        <v>0</v>
      </c>
      <c r="DV755" s="1353"/>
      <c r="DW755" s="1353"/>
      <c r="DX755" s="1353"/>
      <c r="DY755" s="1353"/>
      <c r="DZ755" s="1353">
        <f t="shared" si="27"/>
        <v>0</v>
      </c>
      <c r="EA755" s="1353"/>
      <c r="EB755" s="1353"/>
      <c r="EC755" s="1353"/>
      <c r="ED755" s="1353"/>
      <c r="EE755" s="1353">
        <f t="shared" si="28"/>
        <v>0</v>
      </c>
      <c r="EF755" s="1353"/>
      <c r="EG755" s="1353"/>
      <c r="EH755" s="1353"/>
      <c r="EI755" s="1353"/>
      <c r="EJ755" s="1353">
        <f t="shared" si="29"/>
        <v>0</v>
      </c>
      <c r="EK755" s="1353"/>
      <c r="EL755" s="1353"/>
      <c r="EM755" s="1353"/>
      <c r="EN755" s="1353"/>
      <c r="EO755" s="1353">
        <f t="shared" si="30"/>
        <v>0</v>
      </c>
      <c r="EP755" s="1353"/>
      <c r="EQ755" s="1353"/>
      <c r="ER755" s="1353"/>
      <c r="ES755" s="1353"/>
      <c r="ET755" s="1353">
        <f t="shared" si="31"/>
        <v>0</v>
      </c>
      <c r="EU755" s="1353"/>
      <c r="EV755" s="1353"/>
      <c r="EW755" s="1353"/>
      <c r="EX755" s="1353"/>
      <c r="EZ755" s="1319" t="str">
        <f t="shared" si="32"/>
        <v/>
      </c>
      <c r="FA755" s="1320"/>
      <c r="FB755" s="1320"/>
      <c r="FC755" s="1320"/>
      <c r="FD755" s="1321"/>
      <c r="FE755" s="1319" t="str">
        <f t="shared" si="33"/>
        <v/>
      </c>
      <c r="FF755" s="1320"/>
      <c r="FG755" s="1320"/>
      <c r="FH755" s="1320"/>
      <c r="FI755" s="1321"/>
      <c r="FJ755" s="1319" t="str">
        <f t="shared" si="34"/>
        <v/>
      </c>
      <c r="FK755" s="1320"/>
      <c r="FL755" s="1320"/>
      <c r="FM755" s="1320"/>
      <c r="FN755" s="1321"/>
      <c r="FO755" s="1319" t="str">
        <f t="shared" si="35"/>
        <v/>
      </c>
      <c r="FP755" s="1320"/>
      <c r="FQ755" s="1320"/>
      <c r="FR755" s="1320"/>
      <c r="FS755" s="1321"/>
      <c r="FT755" s="1319" t="str">
        <f t="shared" si="36"/>
        <v/>
      </c>
      <c r="FU755" s="1320"/>
      <c r="FV755" s="1320"/>
      <c r="FW755" s="1320"/>
      <c r="FX755" s="1321"/>
      <c r="FY755" s="1319" t="str">
        <f t="shared" si="37"/>
        <v/>
      </c>
      <c r="FZ755" s="1320"/>
      <c r="GA755" s="1320"/>
      <c r="GB755" s="1320"/>
      <c r="GC755" s="1321"/>
    </row>
    <row r="756" spans="1:185" s="3" customFormat="1" ht="13" customHeight="1">
      <c r="A756"/>
      <c r="B756" s="1333"/>
      <c r="C756" s="1334"/>
      <c r="D756" s="1334"/>
      <c r="E756" s="1334"/>
      <c r="F756" s="1335"/>
      <c r="G756" s="1342"/>
      <c r="H756" s="1343"/>
      <c r="I756" s="1343"/>
      <c r="J756" s="1344"/>
      <c r="K756" s="1533"/>
      <c r="L756" s="1534"/>
      <c r="M756" s="1534"/>
      <c r="N756" s="1535"/>
      <c r="O756" s="1349"/>
      <c r="P756" s="1350"/>
      <c r="Q756" s="1350"/>
      <c r="R756" s="1350"/>
      <c r="S756" s="1351"/>
      <c r="T756" s="1349"/>
      <c r="U756" s="1350"/>
      <c r="V756" s="1350"/>
      <c r="W756" s="1351"/>
      <c r="X756" s="1336">
        <f t="shared" si="41"/>
        <v>0</v>
      </c>
      <c r="Y756" s="1337"/>
      <c r="Z756" s="1337"/>
      <c r="AA756" s="1337"/>
      <c r="AB756" s="1338"/>
      <c r="AC756" s="1346"/>
      <c r="AD756" s="1347"/>
      <c r="AE756" s="1347"/>
      <c r="AF756" s="1347"/>
      <c r="AG756" s="1348"/>
      <c r="AH756" s="1339" t="str">
        <f t="shared" si="38"/>
        <v/>
      </c>
      <c r="AI756" s="1340"/>
      <c r="AJ756" s="1341"/>
      <c r="AK756" s="1333" t="s">
        <v>826</v>
      </c>
      <c r="AL756" s="1334"/>
      <c r="AM756" s="1334"/>
      <c r="AN756" s="1334"/>
      <c r="AO756" s="1335"/>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319">
        <f t="shared" si="39"/>
        <v>0</v>
      </c>
      <c r="CH756" s="1321"/>
      <c r="CI756" s="1319">
        <f t="shared" si="40"/>
        <v>0</v>
      </c>
      <c r="CJ756" s="1321"/>
      <c r="CK756" s="1319">
        <f t="shared" si="18"/>
        <v>0</v>
      </c>
      <c r="CL756" s="1321"/>
      <c r="CM756" s="1319">
        <f t="shared" si="19"/>
        <v>0</v>
      </c>
      <c r="CN756" s="1321"/>
      <c r="CP756" s="1316">
        <f t="shared" si="20"/>
        <v>0</v>
      </c>
      <c r="CQ756" s="1317"/>
      <c r="CR756" s="1317"/>
      <c r="CS756" s="1317"/>
      <c r="CT756" s="1318"/>
      <c r="CU756" s="1332">
        <f t="shared" si="21"/>
        <v>0</v>
      </c>
      <c r="CV756" s="1332"/>
      <c r="CW756" s="1332"/>
      <c r="CX756" s="1332"/>
      <c r="CY756" s="1332"/>
      <c r="CZ756" s="1332">
        <f t="shared" si="22"/>
        <v>0</v>
      </c>
      <c r="DA756" s="1332"/>
      <c r="DB756" s="1332"/>
      <c r="DC756" s="1332"/>
      <c r="DD756" s="1332"/>
      <c r="DE756" s="1332">
        <f t="shared" si="23"/>
        <v>0</v>
      </c>
      <c r="DF756" s="1332"/>
      <c r="DG756" s="1332"/>
      <c r="DH756" s="1332"/>
      <c r="DI756" s="1332"/>
      <c r="DJ756" s="1332">
        <f t="shared" si="24"/>
        <v>0</v>
      </c>
      <c r="DK756" s="1332"/>
      <c r="DL756" s="1332"/>
      <c r="DM756" s="1332"/>
      <c r="DN756" s="1332"/>
      <c r="DO756" s="1332">
        <f t="shared" si="25"/>
        <v>0</v>
      </c>
      <c r="DP756" s="1332"/>
      <c r="DQ756" s="1332"/>
      <c r="DR756" s="1332"/>
      <c r="DS756" s="1332"/>
      <c r="DT756" s="257"/>
      <c r="DU756" s="1353">
        <f t="shared" si="26"/>
        <v>0</v>
      </c>
      <c r="DV756" s="1353"/>
      <c r="DW756" s="1353"/>
      <c r="DX756" s="1353"/>
      <c r="DY756" s="1353"/>
      <c r="DZ756" s="1353">
        <f t="shared" si="27"/>
        <v>0</v>
      </c>
      <c r="EA756" s="1353"/>
      <c r="EB756" s="1353"/>
      <c r="EC756" s="1353"/>
      <c r="ED756" s="1353"/>
      <c r="EE756" s="1353">
        <f t="shared" si="28"/>
        <v>0</v>
      </c>
      <c r="EF756" s="1353"/>
      <c r="EG756" s="1353"/>
      <c r="EH756" s="1353"/>
      <c r="EI756" s="1353"/>
      <c r="EJ756" s="1353">
        <f t="shared" si="29"/>
        <v>0</v>
      </c>
      <c r="EK756" s="1353"/>
      <c r="EL756" s="1353"/>
      <c r="EM756" s="1353"/>
      <c r="EN756" s="1353"/>
      <c r="EO756" s="1353">
        <f t="shared" si="30"/>
        <v>0</v>
      </c>
      <c r="EP756" s="1353"/>
      <c r="EQ756" s="1353"/>
      <c r="ER756" s="1353"/>
      <c r="ES756" s="1353"/>
      <c r="ET756" s="1353">
        <f t="shared" si="31"/>
        <v>0</v>
      </c>
      <c r="EU756" s="1353"/>
      <c r="EV756" s="1353"/>
      <c r="EW756" s="1353"/>
      <c r="EX756" s="1353"/>
      <c r="EY756"/>
      <c r="EZ756" s="1319" t="str">
        <f t="shared" si="32"/>
        <v/>
      </c>
      <c r="FA756" s="1320"/>
      <c r="FB756" s="1320"/>
      <c r="FC756" s="1320"/>
      <c r="FD756" s="1321"/>
      <c r="FE756" s="1319" t="str">
        <f t="shared" si="33"/>
        <v/>
      </c>
      <c r="FF756" s="1320"/>
      <c r="FG756" s="1320"/>
      <c r="FH756" s="1320"/>
      <c r="FI756" s="1321"/>
      <c r="FJ756" s="1319" t="str">
        <f t="shared" si="34"/>
        <v/>
      </c>
      <c r="FK756" s="1320"/>
      <c r="FL756" s="1320"/>
      <c r="FM756" s="1320"/>
      <c r="FN756" s="1321"/>
      <c r="FO756" s="1319" t="str">
        <f t="shared" si="35"/>
        <v/>
      </c>
      <c r="FP756" s="1320"/>
      <c r="FQ756" s="1320"/>
      <c r="FR756" s="1320"/>
      <c r="FS756" s="1321"/>
      <c r="FT756" s="1319" t="str">
        <f t="shared" si="36"/>
        <v/>
      </c>
      <c r="FU756" s="1320"/>
      <c r="FV756" s="1320"/>
      <c r="FW756" s="1320"/>
      <c r="FX756" s="1321"/>
      <c r="FY756" s="1319" t="str">
        <f t="shared" si="37"/>
        <v/>
      </c>
      <c r="FZ756" s="1320"/>
      <c r="GA756" s="1320"/>
      <c r="GB756" s="1320"/>
      <c r="GC756" s="1321"/>
    </row>
    <row r="757" spans="1:185" s="3" customFormat="1" ht="13" customHeight="1">
      <c r="A757"/>
      <c r="B757" s="1333"/>
      <c r="C757" s="1334"/>
      <c r="D757" s="1334"/>
      <c r="E757" s="1334"/>
      <c r="F757" s="1335"/>
      <c r="G757" s="1342"/>
      <c r="H757" s="1343"/>
      <c r="I757" s="1343"/>
      <c r="J757" s="1344"/>
      <c r="K757" s="1533"/>
      <c r="L757" s="1534"/>
      <c r="M757" s="1534"/>
      <c r="N757" s="1535"/>
      <c r="O757" s="1349"/>
      <c r="P757" s="1350"/>
      <c r="Q757" s="1350"/>
      <c r="R757" s="1350"/>
      <c r="S757" s="1351"/>
      <c r="T757" s="1349"/>
      <c r="U757" s="1350"/>
      <c r="V757" s="1350"/>
      <c r="W757" s="1351"/>
      <c r="X757" s="1336">
        <f t="shared" si="41"/>
        <v>0</v>
      </c>
      <c r="Y757" s="1337"/>
      <c r="Z757" s="1337"/>
      <c r="AA757" s="1337"/>
      <c r="AB757" s="1338"/>
      <c r="AC757" s="1346"/>
      <c r="AD757" s="1347"/>
      <c r="AE757" s="1347"/>
      <c r="AF757" s="1347"/>
      <c r="AG757" s="1348"/>
      <c r="AH757" s="1339" t="str">
        <f t="shared" si="38"/>
        <v/>
      </c>
      <c r="AI757" s="1340"/>
      <c r="AJ757" s="1341"/>
      <c r="AK757" s="1333" t="s">
        <v>826</v>
      </c>
      <c r="AL757" s="1334"/>
      <c r="AM757" s="1334"/>
      <c r="AN757" s="1334"/>
      <c r="AO757" s="1335"/>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319">
        <f t="shared" si="39"/>
        <v>0</v>
      </c>
      <c r="CH757" s="1321"/>
      <c r="CI757" s="1319">
        <f t="shared" si="40"/>
        <v>0</v>
      </c>
      <c r="CJ757" s="1321"/>
      <c r="CK757" s="1319">
        <f t="shared" si="18"/>
        <v>0</v>
      </c>
      <c r="CL757" s="1321"/>
      <c r="CM757" s="1319">
        <f t="shared" si="19"/>
        <v>0</v>
      </c>
      <c r="CN757" s="1321"/>
      <c r="CP757" s="1316">
        <f t="shared" si="20"/>
        <v>0</v>
      </c>
      <c r="CQ757" s="1317"/>
      <c r="CR757" s="1317"/>
      <c r="CS757" s="1317"/>
      <c r="CT757" s="1318"/>
      <c r="CU757" s="1332">
        <f t="shared" si="21"/>
        <v>0</v>
      </c>
      <c r="CV757" s="1332"/>
      <c r="CW757" s="1332"/>
      <c r="CX757" s="1332"/>
      <c r="CY757" s="1332"/>
      <c r="CZ757" s="1332">
        <f t="shared" si="22"/>
        <v>0</v>
      </c>
      <c r="DA757" s="1332"/>
      <c r="DB757" s="1332"/>
      <c r="DC757" s="1332"/>
      <c r="DD757" s="1332"/>
      <c r="DE757" s="1332">
        <f t="shared" si="23"/>
        <v>0</v>
      </c>
      <c r="DF757" s="1332"/>
      <c r="DG757" s="1332"/>
      <c r="DH757" s="1332"/>
      <c r="DI757" s="1332"/>
      <c r="DJ757" s="1332">
        <f t="shared" si="24"/>
        <v>0</v>
      </c>
      <c r="DK757" s="1332"/>
      <c r="DL757" s="1332"/>
      <c r="DM757" s="1332"/>
      <c r="DN757" s="1332"/>
      <c r="DO757" s="1332">
        <f t="shared" si="25"/>
        <v>0</v>
      </c>
      <c r="DP757" s="1332"/>
      <c r="DQ757" s="1332"/>
      <c r="DR757" s="1332"/>
      <c r="DS757" s="1332"/>
      <c r="DT757" s="257"/>
      <c r="DU757" s="1353">
        <f t="shared" si="26"/>
        <v>0</v>
      </c>
      <c r="DV757" s="1353"/>
      <c r="DW757" s="1353"/>
      <c r="DX757" s="1353"/>
      <c r="DY757" s="1353"/>
      <c r="DZ757" s="1353">
        <f t="shared" si="27"/>
        <v>0</v>
      </c>
      <c r="EA757" s="1353"/>
      <c r="EB757" s="1353"/>
      <c r="EC757" s="1353"/>
      <c r="ED757" s="1353"/>
      <c r="EE757" s="1353">
        <f t="shared" si="28"/>
        <v>0</v>
      </c>
      <c r="EF757" s="1353"/>
      <c r="EG757" s="1353"/>
      <c r="EH757" s="1353"/>
      <c r="EI757" s="1353"/>
      <c r="EJ757" s="1353">
        <f t="shared" si="29"/>
        <v>0</v>
      </c>
      <c r="EK757" s="1353"/>
      <c r="EL757" s="1353"/>
      <c r="EM757" s="1353"/>
      <c r="EN757" s="1353"/>
      <c r="EO757" s="1353">
        <f t="shared" si="30"/>
        <v>0</v>
      </c>
      <c r="EP757" s="1353"/>
      <c r="EQ757" s="1353"/>
      <c r="ER757" s="1353"/>
      <c r="ES757" s="1353"/>
      <c r="ET757" s="1353">
        <f t="shared" si="31"/>
        <v>0</v>
      </c>
      <c r="EU757" s="1353"/>
      <c r="EV757" s="1353"/>
      <c r="EW757" s="1353"/>
      <c r="EX757" s="1353"/>
      <c r="EY757"/>
      <c r="EZ757" s="1319" t="str">
        <f t="shared" si="32"/>
        <v/>
      </c>
      <c r="FA757" s="1320"/>
      <c r="FB757" s="1320"/>
      <c r="FC757" s="1320"/>
      <c r="FD757" s="1321"/>
      <c r="FE757" s="1319" t="str">
        <f t="shared" si="33"/>
        <v/>
      </c>
      <c r="FF757" s="1320"/>
      <c r="FG757" s="1320"/>
      <c r="FH757" s="1320"/>
      <c r="FI757" s="1321"/>
      <c r="FJ757" s="1319" t="str">
        <f t="shared" si="34"/>
        <v/>
      </c>
      <c r="FK757" s="1320"/>
      <c r="FL757" s="1320"/>
      <c r="FM757" s="1320"/>
      <c r="FN757" s="1321"/>
      <c r="FO757" s="1319" t="str">
        <f t="shared" si="35"/>
        <v/>
      </c>
      <c r="FP757" s="1320"/>
      <c r="FQ757" s="1320"/>
      <c r="FR757" s="1320"/>
      <c r="FS757" s="1321"/>
      <c r="FT757" s="1319" t="str">
        <f t="shared" si="36"/>
        <v/>
      </c>
      <c r="FU757" s="1320"/>
      <c r="FV757" s="1320"/>
      <c r="FW757" s="1320"/>
      <c r="FX757" s="1321"/>
      <c r="FY757" s="1319" t="str">
        <f t="shared" si="37"/>
        <v/>
      </c>
      <c r="FZ757" s="1320"/>
      <c r="GA757" s="1320"/>
      <c r="GB757" s="1320"/>
      <c r="GC757" s="1321"/>
    </row>
    <row r="758" spans="1:185" s="3" customFormat="1" ht="13" customHeight="1">
      <c r="A758"/>
      <c r="B758" s="1333"/>
      <c r="C758" s="1334"/>
      <c r="D758" s="1334"/>
      <c r="E758" s="1334"/>
      <c r="F758" s="1335"/>
      <c r="G758" s="1342"/>
      <c r="H758" s="1343"/>
      <c r="I758" s="1343"/>
      <c r="J758" s="1344"/>
      <c r="K758" s="1533"/>
      <c r="L758" s="1534"/>
      <c r="M758" s="1534"/>
      <c r="N758" s="1535"/>
      <c r="O758" s="1349"/>
      <c r="P758" s="1350"/>
      <c r="Q758" s="1350"/>
      <c r="R758" s="1350"/>
      <c r="S758" s="1351"/>
      <c r="T758" s="1349"/>
      <c r="U758" s="1350"/>
      <c r="V758" s="1350"/>
      <c r="W758" s="1351"/>
      <c r="X758" s="1336">
        <f t="shared" si="41"/>
        <v>0</v>
      </c>
      <c r="Y758" s="1337"/>
      <c r="Z758" s="1337"/>
      <c r="AA758" s="1337"/>
      <c r="AB758" s="1338"/>
      <c r="AC758" s="1346"/>
      <c r="AD758" s="1347"/>
      <c r="AE758" s="1347"/>
      <c r="AF758" s="1347"/>
      <c r="AG758" s="1348"/>
      <c r="AH758" s="1339" t="str">
        <f t="shared" si="38"/>
        <v/>
      </c>
      <c r="AI758" s="1340"/>
      <c r="AJ758" s="1341"/>
      <c r="AK758" s="1333" t="s">
        <v>826</v>
      </c>
      <c r="AL758" s="1334"/>
      <c r="AM758" s="1334"/>
      <c r="AN758" s="1334"/>
      <c r="AO758" s="1335"/>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319">
        <f t="shared" si="39"/>
        <v>0</v>
      </c>
      <c r="CH758" s="1321"/>
      <c r="CI758" s="1319">
        <f t="shared" si="40"/>
        <v>0</v>
      </c>
      <c r="CJ758" s="1321"/>
      <c r="CK758" s="1319">
        <f t="shared" si="18"/>
        <v>0</v>
      </c>
      <c r="CL758" s="1321"/>
      <c r="CM758" s="1319">
        <f t="shared" si="19"/>
        <v>0</v>
      </c>
      <c r="CN758" s="1321"/>
      <c r="CP758" s="1316">
        <f t="shared" si="20"/>
        <v>0</v>
      </c>
      <c r="CQ758" s="1317"/>
      <c r="CR758" s="1317"/>
      <c r="CS758" s="1317"/>
      <c r="CT758" s="1318"/>
      <c r="CU758" s="1332">
        <f t="shared" si="21"/>
        <v>0</v>
      </c>
      <c r="CV758" s="1332"/>
      <c r="CW758" s="1332"/>
      <c r="CX758" s="1332"/>
      <c r="CY758" s="1332"/>
      <c r="CZ758" s="1332">
        <f t="shared" si="22"/>
        <v>0</v>
      </c>
      <c r="DA758" s="1332"/>
      <c r="DB758" s="1332"/>
      <c r="DC758" s="1332"/>
      <c r="DD758" s="1332"/>
      <c r="DE758" s="1332">
        <f t="shared" si="23"/>
        <v>0</v>
      </c>
      <c r="DF758" s="1332"/>
      <c r="DG758" s="1332"/>
      <c r="DH758" s="1332"/>
      <c r="DI758" s="1332"/>
      <c r="DJ758" s="1332">
        <f t="shared" si="24"/>
        <v>0</v>
      </c>
      <c r="DK758" s="1332"/>
      <c r="DL758" s="1332"/>
      <c r="DM758" s="1332"/>
      <c r="DN758" s="1332"/>
      <c r="DO758" s="1332">
        <f t="shared" si="25"/>
        <v>0</v>
      </c>
      <c r="DP758" s="1332"/>
      <c r="DQ758" s="1332"/>
      <c r="DR758" s="1332"/>
      <c r="DS758" s="1332"/>
      <c r="DT758" s="257"/>
      <c r="DU758" s="1353">
        <f t="shared" si="26"/>
        <v>0</v>
      </c>
      <c r="DV758" s="1353"/>
      <c r="DW758" s="1353"/>
      <c r="DX758" s="1353"/>
      <c r="DY758" s="1353"/>
      <c r="DZ758" s="1353">
        <f t="shared" si="27"/>
        <v>0</v>
      </c>
      <c r="EA758" s="1353"/>
      <c r="EB758" s="1353"/>
      <c r="EC758" s="1353"/>
      <c r="ED758" s="1353"/>
      <c r="EE758" s="1353">
        <f t="shared" si="28"/>
        <v>0</v>
      </c>
      <c r="EF758" s="1353"/>
      <c r="EG758" s="1353"/>
      <c r="EH758" s="1353"/>
      <c r="EI758" s="1353"/>
      <c r="EJ758" s="1353">
        <f t="shared" si="29"/>
        <v>0</v>
      </c>
      <c r="EK758" s="1353"/>
      <c r="EL758" s="1353"/>
      <c r="EM758" s="1353"/>
      <c r="EN758" s="1353"/>
      <c r="EO758" s="1353">
        <f t="shared" si="30"/>
        <v>0</v>
      </c>
      <c r="EP758" s="1353"/>
      <c r="EQ758" s="1353"/>
      <c r="ER758" s="1353"/>
      <c r="ES758" s="1353"/>
      <c r="ET758" s="1353">
        <f t="shared" si="31"/>
        <v>0</v>
      </c>
      <c r="EU758" s="1353"/>
      <c r="EV758" s="1353"/>
      <c r="EW758" s="1353"/>
      <c r="EX758" s="1353"/>
      <c r="EY758"/>
      <c r="EZ758" s="1319" t="str">
        <f t="shared" si="32"/>
        <v/>
      </c>
      <c r="FA758" s="1320"/>
      <c r="FB758" s="1320"/>
      <c r="FC758" s="1320"/>
      <c r="FD758" s="1321"/>
      <c r="FE758" s="1319" t="str">
        <f t="shared" si="33"/>
        <v/>
      </c>
      <c r="FF758" s="1320"/>
      <c r="FG758" s="1320"/>
      <c r="FH758" s="1320"/>
      <c r="FI758" s="1321"/>
      <c r="FJ758" s="1319" t="str">
        <f t="shared" si="34"/>
        <v/>
      </c>
      <c r="FK758" s="1320"/>
      <c r="FL758" s="1320"/>
      <c r="FM758" s="1320"/>
      <c r="FN758" s="1321"/>
      <c r="FO758" s="1319" t="str">
        <f t="shared" si="35"/>
        <v/>
      </c>
      <c r="FP758" s="1320"/>
      <c r="FQ758" s="1320"/>
      <c r="FR758" s="1320"/>
      <c r="FS758" s="1321"/>
      <c r="FT758" s="1319" t="str">
        <f t="shared" si="36"/>
        <v/>
      </c>
      <c r="FU758" s="1320"/>
      <c r="FV758" s="1320"/>
      <c r="FW758" s="1320"/>
      <c r="FX758" s="1321"/>
      <c r="FY758" s="1319" t="str">
        <f t="shared" si="37"/>
        <v/>
      </c>
      <c r="FZ758" s="1320"/>
      <c r="GA758" s="1320"/>
      <c r="GB758" s="1320"/>
      <c r="GC758" s="1321"/>
    </row>
    <row r="759" spans="1:185" s="3" customFormat="1" ht="13" customHeight="1">
      <c r="A759"/>
      <c r="B759" s="1333"/>
      <c r="C759" s="1334"/>
      <c r="D759" s="1334"/>
      <c r="E759" s="1334"/>
      <c r="F759" s="1335"/>
      <c r="G759" s="1342"/>
      <c r="H759" s="1343"/>
      <c r="I759" s="1343"/>
      <c r="J759" s="1344"/>
      <c r="K759" s="1533"/>
      <c r="L759" s="1534"/>
      <c r="M759" s="1534"/>
      <c r="N759" s="1535"/>
      <c r="O759" s="1349"/>
      <c r="P759" s="1350"/>
      <c r="Q759" s="1350"/>
      <c r="R759" s="1350"/>
      <c r="S759" s="1351"/>
      <c r="T759" s="1349"/>
      <c r="U759" s="1350"/>
      <c r="V759" s="1350"/>
      <c r="W759" s="1351"/>
      <c r="X759" s="1336">
        <f t="shared" si="41"/>
        <v>0</v>
      </c>
      <c r="Y759" s="1337"/>
      <c r="Z759" s="1337"/>
      <c r="AA759" s="1337"/>
      <c r="AB759" s="1338"/>
      <c r="AC759" s="1346"/>
      <c r="AD759" s="1347"/>
      <c r="AE759" s="1347"/>
      <c r="AF759" s="1347"/>
      <c r="AG759" s="1348"/>
      <c r="AH759" s="1339" t="str">
        <f t="shared" si="38"/>
        <v/>
      </c>
      <c r="AI759" s="1340"/>
      <c r="AJ759" s="1341"/>
      <c r="AK759" s="1333" t="s">
        <v>826</v>
      </c>
      <c r="AL759" s="1334"/>
      <c r="AM759" s="1334"/>
      <c r="AN759" s="1334"/>
      <c r="AO759" s="1335"/>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319">
        <f t="shared" si="39"/>
        <v>0</v>
      </c>
      <c r="CH759" s="1321"/>
      <c r="CI759" s="1319">
        <f t="shared" si="40"/>
        <v>0</v>
      </c>
      <c r="CJ759" s="1321"/>
      <c r="CK759" s="1319">
        <f t="shared" si="18"/>
        <v>0</v>
      </c>
      <c r="CL759" s="1321"/>
      <c r="CM759" s="1319">
        <f t="shared" si="19"/>
        <v>0</v>
      </c>
      <c r="CN759" s="1321"/>
      <c r="CP759" s="1316">
        <f t="shared" si="20"/>
        <v>0</v>
      </c>
      <c r="CQ759" s="1317"/>
      <c r="CR759" s="1317"/>
      <c r="CS759" s="1317"/>
      <c r="CT759" s="1318"/>
      <c r="CU759" s="1332">
        <f t="shared" si="21"/>
        <v>0</v>
      </c>
      <c r="CV759" s="1332"/>
      <c r="CW759" s="1332"/>
      <c r="CX759" s="1332"/>
      <c r="CY759" s="1332"/>
      <c r="CZ759" s="1332">
        <f t="shared" si="22"/>
        <v>0</v>
      </c>
      <c r="DA759" s="1332"/>
      <c r="DB759" s="1332"/>
      <c r="DC759" s="1332"/>
      <c r="DD759" s="1332"/>
      <c r="DE759" s="1332">
        <f t="shared" si="23"/>
        <v>0</v>
      </c>
      <c r="DF759" s="1332"/>
      <c r="DG759" s="1332"/>
      <c r="DH759" s="1332"/>
      <c r="DI759" s="1332"/>
      <c r="DJ759" s="1332">
        <f t="shared" si="24"/>
        <v>0</v>
      </c>
      <c r="DK759" s="1332"/>
      <c r="DL759" s="1332"/>
      <c r="DM759" s="1332"/>
      <c r="DN759" s="1332"/>
      <c r="DO759" s="1332">
        <f t="shared" si="25"/>
        <v>0</v>
      </c>
      <c r="DP759" s="1332"/>
      <c r="DQ759" s="1332"/>
      <c r="DR759" s="1332"/>
      <c r="DS759" s="1332"/>
      <c r="DT759" s="257"/>
      <c r="DU759" s="1353">
        <f t="shared" si="26"/>
        <v>0</v>
      </c>
      <c r="DV759" s="1353"/>
      <c r="DW759" s="1353"/>
      <c r="DX759" s="1353"/>
      <c r="DY759" s="1353"/>
      <c r="DZ759" s="1353">
        <f t="shared" si="27"/>
        <v>0</v>
      </c>
      <c r="EA759" s="1353"/>
      <c r="EB759" s="1353"/>
      <c r="EC759" s="1353"/>
      <c r="ED759" s="1353"/>
      <c r="EE759" s="1353">
        <f t="shared" si="28"/>
        <v>0</v>
      </c>
      <c r="EF759" s="1353"/>
      <c r="EG759" s="1353"/>
      <c r="EH759" s="1353"/>
      <c r="EI759" s="1353"/>
      <c r="EJ759" s="1353">
        <f t="shared" si="29"/>
        <v>0</v>
      </c>
      <c r="EK759" s="1353"/>
      <c r="EL759" s="1353"/>
      <c r="EM759" s="1353"/>
      <c r="EN759" s="1353"/>
      <c r="EO759" s="1353">
        <f t="shared" si="30"/>
        <v>0</v>
      </c>
      <c r="EP759" s="1353"/>
      <c r="EQ759" s="1353"/>
      <c r="ER759" s="1353"/>
      <c r="ES759" s="1353"/>
      <c r="ET759" s="1353">
        <f t="shared" si="31"/>
        <v>0</v>
      </c>
      <c r="EU759" s="1353"/>
      <c r="EV759" s="1353"/>
      <c r="EW759" s="1353"/>
      <c r="EX759" s="1353"/>
      <c r="EY759"/>
      <c r="EZ759" s="1319" t="str">
        <f t="shared" si="32"/>
        <v/>
      </c>
      <c r="FA759" s="1320"/>
      <c r="FB759" s="1320"/>
      <c r="FC759" s="1320"/>
      <c r="FD759" s="1321"/>
      <c r="FE759" s="1319" t="str">
        <f t="shared" si="33"/>
        <v/>
      </c>
      <c r="FF759" s="1320"/>
      <c r="FG759" s="1320"/>
      <c r="FH759" s="1320"/>
      <c r="FI759" s="1321"/>
      <c r="FJ759" s="1319" t="str">
        <f t="shared" si="34"/>
        <v/>
      </c>
      <c r="FK759" s="1320"/>
      <c r="FL759" s="1320"/>
      <c r="FM759" s="1320"/>
      <c r="FN759" s="1321"/>
      <c r="FO759" s="1319" t="str">
        <f t="shared" si="35"/>
        <v/>
      </c>
      <c r="FP759" s="1320"/>
      <c r="FQ759" s="1320"/>
      <c r="FR759" s="1320"/>
      <c r="FS759" s="1321"/>
      <c r="FT759" s="1319" t="str">
        <f t="shared" si="36"/>
        <v/>
      </c>
      <c r="FU759" s="1320"/>
      <c r="FV759" s="1320"/>
      <c r="FW759" s="1320"/>
      <c r="FX759" s="1321"/>
      <c r="FY759" s="1319" t="str">
        <f t="shared" si="37"/>
        <v/>
      </c>
      <c r="FZ759" s="1320"/>
      <c r="GA759" s="1320"/>
      <c r="GB759" s="1320"/>
      <c r="GC759" s="1321"/>
    </row>
    <row r="760" spans="1:185" s="3" customFormat="1" ht="13" customHeight="1">
      <c r="A760"/>
      <c r="B760" s="1333"/>
      <c r="C760" s="1334"/>
      <c r="D760" s="1334"/>
      <c r="E760" s="1334"/>
      <c r="F760" s="1335"/>
      <c r="G760" s="1342"/>
      <c r="H760" s="1343"/>
      <c r="I760" s="1343"/>
      <c r="J760" s="1344"/>
      <c r="K760" s="1533"/>
      <c r="L760" s="1534"/>
      <c r="M760" s="1534"/>
      <c r="N760" s="1535"/>
      <c r="O760" s="1349"/>
      <c r="P760" s="1350"/>
      <c r="Q760" s="1350"/>
      <c r="R760" s="1350"/>
      <c r="S760" s="1351"/>
      <c r="T760" s="1349"/>
      <c r="U760" s="1350"/>
      <c r="V760" s="1350"/>
      <c r="W760" s="1351"/>
      <c r="X760" s="1336">
        <f>O760+T760</f>
        <v>0</v>
      </c>
      <c r="Y760" s="1337"/>
      <c r="Z760" s="1337"/>
      <c r="AA760" s="1337"/>
      <c r="AB760" s="1338"/>
      <c r="AC760" s="1346"/>
      <c r="AD760" s="1347"/>
      <c r="AE760" s="1347"/>
      <c r="AF760" s="1347"/>
      <c r="AG760" s="1348"/>
      <c r="AH760" s="1339" t="str">
        <f t="shared" si="38"/>
        <v/>
      </c>
      <c r="AI760" s="1340"/>
      <c r="AJ760" s="1341"/>
      <c r="AK760" s="1333" t="s">
        <v>826</v>
      </c>
      <c r="AL760" s="1334"/>
      <c r="AM760" s="1334"/>
      <c r="AN760" s="1334"/>
      <c r="AO760" s="1335"/>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319">
        <f t="shared" si="39"/>
        <v>0</v>
      </c>
      <c r="CH760" s="1321"/>
      <c r="CI760" s="1319">
        <f t="shared" si="40"/>
        <v>0</v>
      </c>
      <c r="CJ760" s="1321"/>
      <c r="CK760" s="1319">
        <f t="shared" si="18"/>
        <v>0</v>
      </c>
      <c r="CL760" s="1321"/>
      <c r="CM760" s="1319">
        <f t="shared" si="19"/>
        <v>0</v>
      </c>
      <c r="CN760" s="1321"/>
      <c r="CP760" s="1316">
        <f t="shared" si="20"/>
        <v>0</v>
      </c>
      <c r="CQ760" s="1317"/>
      <c r="CR760" s="1317"/>
      <c r="CS760" s="1317"/>
      <c r="CT760" s="1318"/>
      <c r="CU760" s="1332">
        <f t="shared" si="21"/>
        <v>0</v>
      </c>
      <c r="CV760" s="1332"/>
      <c r="CW760" s="1332"/>
      <c r="CX760" s="1332"/>
      <c r="CY760" s="1332"/>
      <c r="CZ760" s="1332">
        <f t="shared" si="22"/>
        <v>0</v>
      </c>
      <c r="DA760" s="1332"/>
      <c r="DB760" s="1332"/>
      <c r="DC760" s="1332"/>
      <c r="DD760" s="1332"/>
      <c r="DE760" s="1332">
        <f t="shared" si="23"/>
        <v>0</v>
      </c>
      <c r="DF760" s="1332"/>
      <c r="DG760" s="1332"/>
      <c r="DH760" s="1332"/>
      <c r="DI760" s="1332"/>
      <c r="DJ760" s="1332">
        <f t="shared" si="24"/>
        <v>0</v>
      </c>
      <c r="DK760" s="1332"/>
      <c r="DL760" s="1332"/>
      <c r="DM760" s="1332"/>
      <c r="DN760" s="1332"/>
      <c r="DO760" s="1332">
        <f t="shared" si="25"/>
        <v>0</v>
      </c>
      <c r="DP760" s="1332"/>
      <c r="DQ760" s="1332"/>
      <c r="DR760" s="1332"/>
      <c r="DS760" s="1332"/>
      <c r="DT760" s="257"/>
      <c r="DU760" s="1353">
        <f t="shared" si="26"/>
        <v>0</v>
      </c>
      <c r="DV760" s="1353"/>
      <c r="DW760" s="1353"/>
      <c r="DX760" s="1353"/>
      <c r="DY760" s="1353"/>
      <c r="DZ760" s="1353">
        <f t="shared" si="27"/>
        <v>0</v>
      </c>
      <c r="EA760" s="1353"/>
      <c r="EB760" s="1353"/>
      <c r="EC760" s="1353"/>
      <c r="ED760" s="1353"/>
      <c r="EE760" s="1353">
        <f t="shared" si="28"/>
        <v>0</v>
      </c>
      <c r="EF760" s="1353"/>
      <c r="EG760" s="1353"/>
      <c r="EH760" s="1353"/>
      <c r="EI760" s="1353"/>
      <c r="EJ760" s="1353">
        <f t="shared" si="29"/>
        <v>0</v>
      </c>
      <c r="EK760" s="1353"/>
      <c r="EL760" s="1353"/>
      <c r="EM760" s="1353"/>
      <c r="EN760" s="1353"/>
      <c r="EO760" s="1353">
        <f t="shared" si="30"/>
        <v>0</v>
      </c>
      <c r="EP760" s="1353"/>
      <c r="EQ760" s="1353"/>
      <c r="ER760" s="1353"/>
      <c r="ES760" s="1353"/>
      <c r="ET760" s="1353">
        <f t="shared" si="31"/>
        <v>0</v>
      </c>
      <c r="EU760" s="1353"/>
      <c r="EV760" s="1353"/>
      <c r="EW760" s="1353"/>
      <c r="EX760" s="1353"/>
      <c r="EY760"/>
      <c r="EZ760" s="1319" t="str">
        <f t="shared" si="32"/>
        <v/>
      </c>
      <c r="FA760" s="1320"/>
      <c r="FB760" s="1320"/>
      <c r="FC760" s="1320"/>
      <c r="FD760" s="1321"/>
      <c r="FE760" s="1319" t="str">
        <f t="shared" si="33"/>
        <v/>
      </c>
      <c r="FF760" s="1320"/>
      <c r="FG760" s="1320"/>
      <c r="FH760" s="1320"/>
      <c r="FI760" s="1321"/>
      <c r="FJ760" s="1319" t="str">
        <f t="shared" si="34"/>
        <v/>
      </c>
      <c r="FK760" s="1320"/>
      <c r="FL760" s="1320"/>
      <c r="FM760" s="1320"/>
      <c r="FN760" s="1321"/>
      <c r="FO760" s="1319" t="str">
        <f t="shared" si="35"/>
        <v/>
      </c>
      <c r="FP760" s="1320"/>
      <c r="FQ760" s="1320"/>
      <c r="FR760" s="1320"/>
      <c r="FS760" s="1321"/>
      <c r="FT760" s="1319" t="str">
        <f t="shared" si="36"/>
        <v/>
      </c>
      <c r="FU760" s="1320"/>
      <c r="FV760" s="1320"/>
      <c r="FW760" s="1320"/>
      <c r="FX760" s="1321"/>
      <c r="FY760" s="1319" t="str">
        <f t="shared" si="37"/>
        <v/>
      </c>
      <c r="FZ760" s="1320"/>
      <c r="GA760" s="1320"/>
      <c r="GB760" s="1320"/>
      <c r="GC760" s="1321"/>
    </row>
    <row r="761" spans="1:185" s="3" customFormat="1" ht="13" customHeight="1">
      <c r="A761"/>
      <c r="B761" s="1380" t="s">
        <v>1500</v>
      </c>
      <c r="C761" s="1381"/>
      <c r="D761" s="1381"/>
      <c r="E761" s="1381"/>
      <c r="F761" s="1383"/>
      <c r="G761" s="1676">
        <f>SUM(G726:G760)</f>
        <v>112</v>
      </c>
      <c r="H761" s="1677"/>
      <c r="I761" s="1677"/>
      <c r="J761" s="1678"/>
      <c r="K761" s="794" t="s">
        <v>1501</v>
      </c>
      <c r="L761" s="5"/>
      <c r="M761" s="5"/>
      <c r="N761" s="38"/>
      <c r="O761" s="1336">
        <f>SUMPRODUCT(G726:G760,O726:O760)</f>
        <v>287776</v>
      </c>
      <c r="P761" s="1337"/>
      <c r="Q761" s="1337"/>
      <c r="R761" s="1337"/>
      <c r="S761" s="1338"/>
      <c r="T761"/>
      <c r="U761"/>
      <c r="V761"/>
      <c r="W761"/>
      <c r="X761" s="796" t="s">
        <v>1502</v>
      </c>
      <c r="Y761" s="795"/>
      <c r="Z761" s="795"/>
      <c r="AA761" s="795"/>
      <c r="AB761" s="797"/>
      <c r="AC761" s="1569">
        <f>BH761</f>
        <v>0.57589285714285721</v>
      </c>
      <c r="AD761" s="1570"/>
      <c r="AE761" s="1570"/>
      <c r="AF761" s="1570"/>
      <c r="AG761" s="1571"/>
      <c r="AH761" s="1569">
        <f>IFERROR(BU761,"")</f>
        <v>0.55967246169142693</v>
      </c>
      <c r="AI761" s="1570"/>
      <c r="AJ761" s="1571"/>
      <c r="AK761"/>
      <c r="AL761"/>
      <c r="AM761"/>
      <c r="AN761"/>
      <c r="AO761"/>
      <c r="AP761" s="137"/>
      <c r="AQ761" s="137"/>
      <c r="AR761" s="137"/>
      <c r="AS761" s="137"/>
      <c r="AT761"/>
      <c r="AU761"/>
      <c r="AV761"/>
      <c r="AW761"/>
      <c r="AX761"/>
      <c r="AY761"/>
      <c r="BE761" s="200" t="s">
        <v>1503</v>
      </c>
      <c r="BF761" s="208">
        <f>SUM(BF726:BF760)</f>
        <v>112</v>
      </c>
      <c r="BG761" s="209">
        <f>SUM(BG726:BG760)</f>
        <v>1</v>
      </c>
      <c r="BH761" s="209">
        <f>SUM(BH726:BH760)</f>
        <v>0.57589285714285721</v>
      </c>
      <c r="BI761"/>
      <c r="BJ761"/>
      <c r="BK761"/>
      <c r="BL761"/>
      <c r="BO761"/>
      <c r="BP761"/>
      <c r="BQ761"/>
      <c r="BR761"/>
      <c r="BS761" s="754">
        <f>SUM(BS726:BS760)</f>
        <v>112</v>
      </c>
      <c r="BT761" s="209">
        <f>SUM(BT726:BT760)</f>
        <v>1</v>
      </c>
      <c r="BU761" s="209">
        <f>SUM(BU726:BU760)</f>
        <v>0.55967246169142693</v>
      </c>
      <c r="CI761" s="1319">
        <f>SUM(CI726:CJ760)</f>
        <v>13</v>
      </c>
      <c r="CJ761" s="1321"/>
      <c r="CM761" s="1319">
        <f>SUM(CM726:CN760)</f>
        <v>13</v>
      </c>
      <c r="CN761" s="1321"/>
      <c r="CP761" s="1319">
        <f>SUM(CP726:CT760)</f>
        <v>0</v>
      </c>
      <c r="CQ761" s="1320"/>
      <c r="CR761" s="1320"/>
      <c r="CS761" s="1320"/>
      <c r="CT761" s="1321"/>
      <c r="CU761" s="1352">
        <f>SUM(CU726:CY760)</f>
        <v>15</v>
      </c>
      <c r="CV761" s="1352"/>
      <c r="CW761" s="1352"/>
      <c r="CX761" s="1352"/>
      <c r="CY761" s="1352"/>
      <c r="CZ761" s="1352">
        <f>SUM(CZ726:DD760)</f>
        <v>44</v>
      </c>
      <c r="DA761" s="1352"/>
      <c r="DB761" s="1352"/>
      <c r="DC761" s="1352"/>
      <c r="DD761" s="1352"/>
      <c r="DE761" s="1352">
        <f>SUM(DE726:DI760)</f>
        <v>53</v>
      </c>
      <c r="DF761" s="1352"/>
      <c r="DG761" s="1352"/>
      <c r="DH761" s="1352"/>
      <c r="DI761" s="1352"/>
      <c r="DJ761" s="1352">
        <f>SUM(DJ726:DN760)</f>
        <v>0</v>
      </c>
      <c r="DK761" s="1352"/>
      <c r="DL761" s="1352"/>
      <c r="DM761" s="1352"/>
      <c r="DN761" s="1352"/>
      <c r="DO761" s="1352">
        <f>SUM(DO726:DS760)</f>
        <v>0</v>
      </c>
      <c r="DP761" s="1352"/>
      <c r="DQ761" s="1352"/>
      <c r="DR761" s="1352"/>
      <c r="DS761" s="1352"/>
      <c r="DT761" s="257"/>
      <c r="DU761" s="1352">
        <f>SUM(DU726:DY760)</f>
        <v>0</v>
      </c>
      <c r="DV761" s="1352"/>
      <c r="DW761" s="1352"/>
      <c r="DX761" s="1352"/>
      <c r="DY761" s="1352"/>
      <c r="DZ761" s="1352">
        <f>SUM(DZ726:ED760)</f>
        <v>3</v>
      </c>
      <c r="EA761" s="1352"/>
      <c r="EB761" s="1352"/>
      <c r="EC761" s="1352"/>
      <c r="ED761" s="1352"/>
      <c r="EE761" s="1352">
        <f>SUM(EE726:EI760)</f>
        <v>4</v>
      </c>
      <c r="EF761" s="1352"/>
      <c r="EG761" s="1352"/>
      <c r="EH761" s="1352"/>
      <c r="EI761" s="1352"/>
      <c r="EJ761" s="1352">
        <f>SUM(EJ726:EN760)</f>
        <v>6</v>
      </c>
      <c r="EK761" s="1352"/>
      <c r="EL761" s="1352"/>
      <c r="EM761" s="1352"/>
      <c r="EN761" s="1352"/>
      <c r="EO761" s="1352">
        <f>SUM(EO726:ES760)</f>
        <v>0</v>
      </c>
      <c r="EP761" s="1352"/>
      <c r="EQ761" s="1352"/>
      <c r="ER761" s="1352"/>
      <c r="ES761" s="1352"/>
      <c r="ET761" s="1352">
        <f>SUM(ET726:EX760)</f>
        <v>0</v>
      </c>
      <c r="EU761" s="1352"/>
      <c r="EV761" s="1352"/>
      <c r="EW761" s="1352"/>
      <c r="EX761" s="1352"/>
      <c r="EY761"/>
      <c r="EZ761" s="1352">
        <f>SUM(EZ726:FD760)</f>
        <v>0</v>
      </c>
      <c r="FA761" s="1352"/>
      <c r="FB761" s="1352"/>
      <c r="FC761" s="1352"/>
      <c r="FD761" s="1352"/>
      <c r="FE761" s="1352">
        <f>SUM(FE726:FI760)</f>
        <v>7544</v>
      </c>
      <c r="FF761" s="1352"/>
      <c r="FG761" s="1352"/>
      <c r="FH761" s="1352"/>
      <c r="FI761" s="1352"/>
      <c r="FJ761" s="1352">
        <f>SUM(FJ726:FN760)</f>
        <v>8749</v>
      </c>
      <c r="FK761" s="1352"/>
      <c r="FL761" s="1352"/>
      <c r="FM761" s="1352"/>
      <c r="FN761" s="1352"/>
      <c r="FO761" s="1352">
        <f>SUM(FO726:FS760)</f>
        <v>10148</v>
      </c>
      <c r="FP761" s="1352"/>
      <c r="FQ761" s="1352"/>
      <c r="FR761" s="1352"/>
      <c r="FS761" s="1352"/>
      <c r="FT761" s="1352">
        <f>SUM(FT726:FX760)</f>
        <v>0</v>
      </c>
      <c r="FU761" s="1352"/>
      <c r="FV761" s="1352"/>
      <c r="FW761" s="1352"/>
      <c r="FX761" s="1352"/>
      <c r="FY761" s="1352">
        <f>SUM(FY726:GC760)</f>
        <v>0</v>
      </c>
      <c r="FZ761" s="1352"/>
      <c r="GA761" s="1352"/>
      <c r="GB761" s="1352"/>
      <c r="GC761" s="1352"/>
    </row>
    <row r="762" spans="1:185" s="3" customFormat="1" ht="13" customHeight="1">
      <c r="A762"/>
      <c r="B762" s="1601" t="s">
        <v>1504</v>
      </c>
      <c r="C762" s="1601"/>
      <c r="D762" s="1601"/>
      <c r="E762" s="1601"/>
      <c r="F762" s="1601"/>
      <c r="G762" s="1601"/>
      <c r="H762" s="1601"/>
      <c r="I762" s="1601"/>
      <c r="J762" s="1601"/>
      <c r="K762" s="1601"/>
      <c r="L762" s="1601"/>
      <c r="M762" s="1601"/>
      <c r="N762" s="1601"/>
      <c r="O762" s="1601"/>
      <c r="P762" s="1601"/>
      <c r="Q762" s="1601"/>
      <c r="R762" s="1601"/>
      <c r="S762" s="1601"/>
      <c r="T762" s="1601"/>
      <c r="U762" s="1601"/>
      <c r="V762" s="1601"/>
      <c r="W762" s="1601"/>
      <c r="X762" s="1601"/>
      <c r="Y762" s="1601"/>
      <c r="Z762" s="1601"/>
      <c r="AA762" s="1601"/>
      <c r="AB762" s="1601"/>
      <c r="AC762" s="1601"/>
      <c r="AD762" s="1601"/>
      <c r="AE762" s="1601"/>
      <c r="AF762" s="1601"/>
      <c r="AG762" s="1601"/>
      <c r="AH762" s="1601"/>
      <c r="AI762"/>
      <c r="AJ762"/>
      <c r="AK762"/>
      <c r="AT762"/>
      <c r="AU762"/>
      <c r="AV762"/>
      <c r="AW762"/>
      <c r="AX762"/>
      <c r="AY762"/>
      <c r="CD762"/>
      <c r="DN762" s="48" t="s">
        <v>1505</v>
      </c>
      <c r="DO762" s="1319">
        <f>CP761+CU761+CZ761+DE761+DJ761+DO761</f>
        <v>112</v>
      </c>
      <c r="DP762" s="1320"/>
      <c r="DQ762" s="1320"/>
      <c r="DR762" s="1320"/>
      <c r="DS762" s="1321"/>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01"/>
      <c r="C763" s="1601"/>
      <c r="D763" s="1601"/>
      <c r="E763" s="1601"/>
      <c r="F763" s="1601"/>
      <c r="G763" s="1601"/>
      <c r="H763" s="1601"/>
      <c r="I763" s="1601"/>
      <c r="J763" s="1601"/>
      <c r="K763" s="1601"/>
      <c r="L763" s="1601"/>
      <c r="M763" s="1601"/>
      <c r="N763" s="1601"/>
      <c r="O763" s="1601"/>
      <c r="P763" s="1601"/>
      <c r="Q763" s="1601"/>
      <c r="R763" s="1601"/>
      <c r="S763" s="1601"/>
      <c r="T763" s="1601"/>
      <c r="U763" s="1601"/>
      <c r="V763" s="1601"/>
      <c r="W763" s="1601"/>
      <c r="X763" s="1601"/>
      <c r="Y763" s="1601"/>
      <c r="Z763" s="1601"/>
      <c r="AA763" s="1601"/>
      <c r="AB763" s="1601"/>
      <c r="AC763" s="1601"/>
      <c r="AD763" s="1601"/>
      <c r="AE763" s="1601"/>
      <c r="AF763" s="1601"/>
      <c r="AG763" s="1601"/>
      <c r="AH763" s="160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15</v>
      </c>
      <c r="CZ763" s="3"/>
      <c r="DA763" s="3"/>
      <c r="DB763" s="3"/>
      <c r="DC763" s="3"/>
      <c r="DD763" s="756">
        <f>CZ761*2</f>
        <v>88</v>
      </c>
      <c r="DE763" s="3"/>
      <c r="DF763" s="3"/>
      <c r="DG763" s="3"/>
      <c r="DH763" s="3"/>
      <c r="DI763" s="756">
        <f>DE761*3</f>
        <v>159</v>
      </c>
      <c r="DJ763" s="3"/>
      <c r="DK763" s="3"/>
      <c r="DL763" s="3"/>
      <c r="DM763" s="3"/>
      <c r="DN763" s="756">
        <f>DJ761*4</f>
        <v>0</v>
      </c>
      <c r="DO763" s="3"/>
      <c r="DP763" s="3"/>
      <c r="DQ763" s="3"/>
      <c r="DR763" s="3"/>
      <c r="DS763" s="756">
        <f>DO761*5</f>
        <v>0</v>
      </c>
      <c r="DU763" s="756">
        <f>CT763+CY763+DD763+DI763+DN763+DS763</f>
        <v>262</v>
      </c>
      <c r="DV763" s="49" t="s">
        <v>1506</v>
      </c>
      <c r="DW763" s="3"/>
      <c r="DX763" s="3"/>
      <c r="DY763" s="3"/>
      <c r="DZ763" s="3"/>
      <c r="EA763" s="3"/>
      <c r="EB763" s="3"/>
      <c r="EC763" s="3"/>
      <c r="ED763" s="3"/>
      <c r="EE763" s="3"/>
      <c r="EF763" s="3"/>
      <c r="EG763" s="3"/>
      <c r="EH763" s="3"/>
    </row>
    <row r="764" spans="1:185" ht="13" customHeight="1">
      <c r="A764" s="3"/>
      <c r="B764" s="3"/>
      <c r="C764" s="84" t="s">
        <v>1507</v>
      </c>
      <c r="D764" s="918"/>
      <c r="E764" s="918"/>
      <c r="F764" s="918"/>
      <c r="G764" s="919"/>
      <c r="H764" s="919"/>
      <c r="I764" s="919"/>
      <c r="J764" s="919"/>
      <c r="K764" s="918"/>
      <c r="L764" s="918"/>
      <c r="M764" s="918"/>
      <c r="N764" s="918"/>
      <c r="O764" s="1352">
        <f>DU763</f>
        <v>262</v>
      </c>
      <c r="P764" s="1352"/>
      <c r="Q764" s="1352"/>
      <c r="R764" s="1352"/>
      <c r="S764" s="859"/>
      <c r="T764" s="859"/>
      <c r="U764" s="84" t="s">
        <v>1508</v>
      </c>
      <c r="V764" s="918"/>
      <c r="W764" s="918"/>
      <c r="X764" s="918"/>
      <c r="Y764" s="919"/>
      <c r="Z764" s="919"/>
      <c r="AA764" s="919"/>
      <c r="AB764" s="919"/>
      <c r="AC764" s="918"/>
      <c r="AD764" s="918"/>
      <c r="AE764" s="918"/>
      <c r="AF764" s="918"/>
      <c r="AG764" s="1702">
        <v>0</v>
      </c>
      <c r="AH764" s="1702"/>
      <c r="AI764" s="1702"/>
      <c r="AJ764" s="1702"/>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3" customHeight="1">
      <c r="B765" s="49"/>
      <c r="C765" s="1806" t="str">
        <f>IF(G761&lt;&gt;AG449,"! Total Low-Income Units in the Unit Mix Table above does not match the number of Total Low-Income Units on row #"&amp;TEXT(ROW(D449),"#"),"")</f>
        <v/>
      </c>
      <c r="D765" s="1806"/>
      <c r="E765" s="1806"/>
      <c r="F765" s="1806"/>
      <c r="G765" s="1806"/>
      <c r="H765" s="1806"/>
      <c r="I765" s="1806"/>
      <c r="J765" s="1806"/>
      <c r="K765" s="1806"/>
      <c r="L765" s="1806"/>
      <c r="M765" s="1806"/>
      <c r="N765" s="1806"/>
      <c r="O765" s="1806"/>
      <c r="P765" s="1806"/>
      <c r="Q765" s="1806"/>
      <c r="R765" s="1806"/>
      <c r="S765" s="1806"/>
      <c r="T765" s="1806"/>
      <c r="U765" s="1806"/>
      <c r="V765" s="1806"/>
      <c r="W765" s="1806"/>
      <c r="X765" s="1806"/>
      <c r="Y765" s="1806"/>
      <c r="Z765" s="1806"/>
      <c r="AA765" s="1806"/>
      <c r="AB765" s="1806"/>
      <c r="AC765" s="1806"/>
      <c r="AD765" s="1806"/>
      <c r="AE765" s="1806"/>
      <c r="AF765" s="1806"/>
      <c r="AG765" s="1806"/>
      <c r="AH765" s="1806"/>
      <c r="AI765" s="1806"/>
      <c r="AJ765" s="1806"/>
      <c r="AK765" s="1806"/>
      <c r="AL765" s="1806"/>
      <c r="AM765" s="1806"/>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49"/>
      <c r="C766" s="1806"/>
      <c r="D766" s="1806"/>
      <c r="E766" s="1806"/>
      <c r="F766" s="1806"/>
      <c r="G766" s="1806"/>
      <c r="H766" s="1806"/>
      <c r="I766" s="1806"/>
      <c r="J766" s="1806"/>
      <c r="K766" s="1806"/>
      <c r="L766" s="1806"/>
      <c r="M766" s="1806"/>
      <c r="N766" s="1806"/>
      <c r="O766" s="1806"/>
      <c r="P766" s="1806"/>
      <c r="Q766" s="1806"/>
      <c r="R766" s="1806"/>
      <c r="S766" s="1806"/>
      <c r="T766" s="1806"/>
      <c r="U766" s="1806"/>
      <c r="V766" s="1806"/>
      <c r="W766" s="1806"/>
      <c r="X766" s="1806"/>
      <c r="Y766" s="1806"/>
      <c r="Z766" s="1806"/>
      <c r="AA766" s="1806"/>
      <c r="AB766" s="1806"/>
      <c r="AC766" s="1806"/>
      <c r="AD766" s="1806"/>
      <c r="AE766" s="1806"/>
      <c r="AF766" s="1806"/>
      <c r="AG766" s="1806"/>
      <c r="AH766" s="1806"/>
      <c r="AI766" s="1806"/>
      <c r="AJ766" s="1806"/>
      <c r="AK766" s="1806"/>
      <c r="AL766" s="1806"/>
      <c r="AM766" s="1806"/>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84" t="s">
        <v>1509</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79" t="s">
        <v>826</v>
      </c>
      <c r="AE767" s="1679"/>
      <c r="AF767" s="1679"/>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921" t="s">
        <v>1510</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928</v>
      </c>
      <c r="B769" s="48"/>
      <c r="C769" s="49" t="s">
        <v>1511</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918"/>
      <c r="C770" s="84" t="s">
        <v>1512</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918"/>
      <c r="C771" s="1247" t="s">
        <v>1513</v>
      </c>
      <c r="D771" s="1247"/>
      <c r="E771" s="1247"/>
      <c r="F771" s="1247"/>
      <c r="G771" s="1247"/>
      <c r="H771" s="1247"/>
      <c r="I771" s="1247"/>
      <c r="J771" s="1247"/>
      <c r="K771" s="1247"/>
      <c r="L771" s="1247"/>
      <c r="M771" s="1247"/>
      <c r="N771" s="1247"/>
      <c r="O771" s="1247"/>
      <c r="P771" s="1247"/>
      <c r="Q771" s="1247"/>
      <c r="R771" s="1247"/>
      <c r="S771" s="1247"/>
      <c r="T771" s="1247"/>
      <c r="U771" s="1247"/>
      <c r="V771" s="1247"/>
      <c r="W771" s="1247"/>
      <c r="X771" s="1247"/>
      <c r="Y771" s="1247"/>
      <c r="Z771" s="1247"/>
      <c r="AA771" s="1247"/>
      <c r="AB771" s="1247"/>
      <c r="AC771" s="1247"/>
      <c r="AD771" s="1247"/>
      <c r="AE771" s="1247"/>
      <c r="AF771" s="1247"/>
      <c r="AG771" s="1247"/>
      <c r="AH771" s="1247"/>
      <c r="AI771" s="1247"/>
      <c r="AJ771" s="1247"/>
      <c r="AK771" s="1247"/>
      <c r="AL771" s="1247"/>
      <c r="AM771" s="1247"/>
      <c r="AN771" s="1247"/>
      <c r="AO771" s="1247"/>
      <c r="AP771" s="1247"/>
      <c r="AQ771" s="1247"/>
      <c r="AR771" s="1247"/>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918"/>
      <c r="C772" s="1247"/>
      <c r="D772" s="1247"/>
      <c r="E772" s="1247"/>
      <c r="F772" s="1247"/>
      <c r="G772" s="1247"/>
      <c r="H772" s="1247"/>
      <c r="I772" s="1247"/>
      <c r="J772" s="1247"/>
      <c r="K772" s="1247"/>
      <c r="L772" s="1247"/>
      <c r="M772" s="1247"/>
      <c r="N772" s="1247"/>
      <c r="O772" s="1247"/>
      <c r="P772" s="1247"/>
      <c r="Q772" s="1247"/>
      <c r="R772" s="1247"/>
      <c r="S772" s="1247"/>
      <c r="T772" s="1247"/>
      <c r="U772" s="1247"/>
      <c r="V772" s="1247"/>
      <c r="W772" s="1247"/>
      <c r="X772" s="1247"/>
      <c r="Y772" s="1247"/>
      <c r="Z772" s="1247"/>
      <c r="AA772" s="1247"/>
      <c r="AB772" s="1247"/>
      <c r="AC772" s="1247"/>
      <c r="AD772" s="1247"/>
      <c r="AE772" s="1247"/>
      <c r="AF772" s="1247"/>
      <c r="AG772" s="1247"/>
      <c r="AH772" s="1247"/>
      <c r="AI772" s="1247"/>
      <c r="AJ772" s="1247"/>
      <c r="AK772" s="1247"/>
      <c r="AL772" s="1247"/>
      <c r="AM772" s="1247"/>
      <c r="AN772" s="1247"/>
      <c r="AO772" s="1247"/>
      <c r="AP772" s="1247"/>
      <c r="AQ772" s="1247"/>
      <c r="AR772" s="1247"/>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918"/>
      <c r="C773" s="1247"/>
      <c r="D773" s="1247"/>
      <c r="E773" s="1247"/>
      <c r="F773" s="1247"/>
      <c r="G773" s="1247"/>
      <c r="H773" s="1247"/>
      <c r="I773" s="1247"/>
      <c r="J773" s="1247"/>
      <c r="K773" s="1247"/>
      <c r="L773" s="1247"/>
      <c r="M773" s="1247"/>
      <c r="N773" s="1247"/>
      <c r="O773" s="1247"/>
      <c r="P773" s="1247"/>
      <c r="Q773" s="1247"/>
      <c r="R773" s="1247"/>
      <c r="S773" s="1247"/>
      <c r="T773" s="1247"/>
      <c r="U773" s="1247"/>
      <c r="V773" s="1247"/>
      <c r="W773" s="1247"/>
      <c r="X773" s="1247"/>
      <c r="Y773" s="1247"/>
      <c r="Z773" s="1247"/>
      <c r="AA773" s="1247"/>
      <c r="AB773" s="1247"/>
      <c r="AC773" s="1247"/>
      <c r="AD773" s="1247"/>
      <c r="AE773" s="1247"/>
      <c r="AF773" s="1247"/>
      <c r="AG773" s="1247"/>
      <c r="AH773" s="1247"/>
      <c r="AI773" s="1247"/>
      <c r="AJ773" s="1247"/>
      <c r="AK773" s="1247"/>
      <c r="AL773" s="1247"/>
      <c r="AM773" s="1247"/>
      <c r="AN773" s="1247"/>
      <c r="AO773" s="1247"/>
      <c r="AP773" s="1247"/>
      <c r="AQ773" s="1247"/>
      <c r="AR773" s="1247"/>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918"/>
      <c r="C774" s="1247" t="s">
        <v>1514</v>
      </c>
      <c r="D774" s="1247"/>
      <c r="E774" s="1247"/>
      <c r="F774" s="1247"/>
      <c r="G774" s="1247"/>
      <c r="H774" s="1247"/>
      <c r="I774" s="1247"/>
      <c r="J774" s="1247"/>
      <c r="K774" s="1247"/>
      <c r="L774" s="1247"/>
      <c r="M774" s="1247"/>
      <c r="N774" s="1247"/>
      <c r="O774" s="1247"/>
      <c r="P774" s="1247"/>
      <c r="Q774" s="1247"/>
      <c r="R774" s="1247"/>
      <c r="S774" s="1247"/>
      <c r="T774" s="1247"/>
      <c r="U774" s="1247"/>
      <c r="V774" s="1247"/>
      <c r="W774" s="1247"/>
      <c r="X774" s="1247"/>
      <c r="Y774" s="1247"/>
      <c r="Z774" s="1247"/>
      <c r="AA774" s="1247"/>
      <c r="AB774" s="1247"/>
      <c r="AC774" s="1247"/>
      <c r="AD774" s="1247"/>
      <c r="AE774" s="1247"/>
      <c r="AF774" s="1247"/>
      <c r="AG774" s="1247"/>
      <c r="AH774" s="1247"/>
      <c r="AI774" s="1247"/>
      <c r="AJ774" s="1247"/>
      <c r="AK774" s="1247"/>
      <c r="AL774" s="1247"/>
      <c r="AM774" s="1247"/>
      <c r="AN774" s="1247"/>
      <c r="AO774" s="1247"/>
      <c r="AP774" s="1247"/>
      <c r="AQ774" s="1247"/>
      <c r="AR774" s="1247"/>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3" customHeight="1">
      <c r="A775" s="3"/>
      <c r="B775" s="918"/>
      <c r="C775" s="1247"/>
      <c r="D775" s="1247"/>
      <c r="E775" s="1247"/>
      <c r="F775" s="1247"/>
      <c r="G775" s="1247"/>
      <c r="H775" s="1247"/>
      <c r="I775" s="1247"/>
      <c r="J775" s="1247"/>
      <c r="K775" s="1247"/>
      <c r="L775" s="1247"/>
      <c r="M775" s="1247"/>
      <c r="N775" s="1247"/>
      <c r="O775" s="1247"/>
      <c r="P775" s="1247"/>
      <c r="Q775" s="1247"/>
      <c r="R775" s="1247"/>
      <c r="S775" s="1247"/>
      <c r="T775" s="1247"/>
      <c r="U775" s="1247"/>
      <c r="V775" s="1247"/>
      <c r="W775" s="1247"/>
      <c r="X775" s="1247"/>
      <c r="Y775" s="1247"/>
      <c r="Z775" s="1247"/>
      <c r="AA775" s="1247"/>
      <c r="AB775" s="1247"/>
      <c r="AC775" s="1247"/>
      <c r="AD775" s="1247"/>
      <c r="AE775" s="1247"/>
      <c r="AF775" s="1247"/>
      <c r="AG775" s="1247"/>
      <c r="AH775" s="1247"/>
      <c r="AI775" s="1247"/>
      <c r="AJ775" s="1247"/>
      <c r="AK775" s="1247"/>
      <c r="AL775" s="1247"/>
      <c r="AM775" s="1247"/>
      <c r="AN775" s="1247"/>
      <c r="AO775" s="1247"/>
      <c r="AP775" s="1247"/>
      <c r="AQ775" s="1247"/>
      <c r="AR775" s="1247"/>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918"/>
      <c r="C776" s="1247"/>
      <c r="D776" s="1247"/>
      <c r="E776" s="1247"/>
      <c r="F776" s="1247"/>
      <c r="G776" s="1247"/>
      <c r="H776" s="1247"/>
      <c r="I776" s="1247"/>
      <c r="J776" s="1247"/>
      <c r="K776" s="1247"/>
      <c r="L776" s="1247"/>
      <c r="M776" s="1247"/>
      <c r="N776" s="1247"/>
      <c r="O776" s="1247"/>
      <c r="P776" s="1247"/>
      <c r="Q776" s="1247"/>
      <c r="R776" s="1247"/>
      <c r="S776" s="1247"/>
      <c r="T776" s="1247"/>
      <c r="U776" s="1247"/>
      <c r="V776" s="1247"/>
      <c r="W776" s="1247"/>
      <c r="X776" s="1247"/>
      <c r="Y776" s="1247"/>
      <c r="Z776" s="1247"/>
      <c r="AA776" s="1247"/>
      <c r="AB776" s="1247"/>
      <c r="AC776" s="1247"/>
      <c r="AD776" s="1247"/>
      <c r="AE776" s="1247"/>
      <c r="AF776" s="1247"/>
      <c r="AG776" s="1247"/>
      <c r="AH776" s="1247"/>
      <c r="AI776" s="1247"/>
      <c r="AJ776" s="1247"/>
      <c r="AK776" s="1247"/>
      <c r="AL776" s="1247"/>
      <c r="AM776" s="1247"/>
      <c r="AN776" s="1247"/>
      <c r="AO776" s="1247"/>
      <c r="AP776" s="1247"/>
      <c r="AQ776" s="1247"/>
      <c r="AR776" s="1247"/>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542" t="s">
        <v>1480</v>
      </c>
      <c r="K777" s="1543"/>
      <c r="L777" s="1543"/>
      <c r="M777" s="1543"/>
      <c r="N777" s="1544"/>
      <c r="O777" s="1564" t="s">
        <v>1481</v>
      </c>
      <c r="P777" s="1564"/>
      <c r="Q777" s="1564"/>
      <c r="R777" s="1564"/>
      <c r="S777" s="1564"/>
      <c r="T777" s="1551" t="s">
        <v>1482</v>
      </c>
      <c r="U777" s="1552"/>
      <c r="V777" s="1552"/>
      <c r="W777" s="1553"/>
      <c r="X777" s="1542" t="s">
        <v>1483</v>
      </c>
      <c r="Y777" s="1543"/>
      <c r="Z777" s="1543"/>
      <c r="AA777" s="1543"/>
      <c r="AB777" s="1544"/>
      <c r="AC777" s="1542" t="s">
        <v>1515</v>
      </c>
      <c r="AD777" s="1543"/>
      <c r="AE777" s="1543"/>
      <c r="AF777" s="1543"/>
      <c r="AG777" s="1544"/>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545"/>
      <c r="K778" s="1546"/>
      <c r="L778" s="1546"/>
      <c r="M778" s="1546"/>
      <c r="N778" s="1547"/>
      <c r="O778" s="1564"/>
      <c r="P778" s="1564"/>
      <c r="Q778" s="1564"/>
      <c r="R778" s="1564"/>
      <c r="S778" s="1564"/>
      <c r="T778" s="1554"/>
      <c r="U778" s="1555"/>
      <c r="V778" s="1555"/>
      <c r="W778" s="1556"/>
      <c r="X778" s="1545"/>
      <c r="Y778" s="1546"/>
      <c r="Z778" s="1546"/>
      <c r="AA778" s="1546"/>
      <c r="AB778" s="1547"/>
      <c r="AC778" s="1545"/>
      <c r="AD778" s="1546"/>
      <c r="AE778" s="1546"/>
      <c r="AF778" s="1546"/>
      <c r="AG778" s="1547"/>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545"/>
      <c r="K779" s="1546"/>
      <c r="L779" s="1546"/>
      <c r="M779" s="1546"/>
      <c r="N779" s="1547"/>
      <c r="O779" s="1564"/>
      <c r="P779" s="1564"/>
      <c r="Q779" s="1564"/>
      <c r="R779" s="1564"/>
      <c r="S779" s="1564"/>
      <c r="T779" s="1554"/>
      <c r="U779" s="1555"/>
      <c r="V779" s="1555"/>
      <c r="W779" s="1556"/>
      <c r="X779" s="1545"/>
      <c r="Y779" s="1546"/>
      <c r="Z779" s="1546"/>
      <c r="AA779" s="1546"/>
      <c r="AB779" s="1547"/>
      <c r="AC779" s="1545"/>
      <c r="AD779" s="1546"/>
      <c r="AE779" s="1546"/>
      <c r="AF779" s="1546"/>
      <c r="AG779" s="1547"/>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548"/>
      <c r="K780" s="1549"/>
      <c r="L780" s="1549"/>
      <c r="M780" s="1549"/>
      <c r="N780" s="1550"/>
      <c r="O780" s="1564"/>
      <c r="P780" s="1564"/>
      <c r="Q780" s="1564"/>
      <c r="R780" s="1564"/>
      <c r="S780" s="1564"/>
      <c r="T780" s="1557"/>
      <c r="U780" s="1558"/>
      <c r="V780" s="1558"/>
      <c r="W780" s="1559"/>
      <c r="X780" s="1548"/>
      <c r="Y780" s="1549"/>
      <c r="Z780" s="1549"/>
      <c r="AA780" s="1549"/>
      <c r="AB780" s="1550"/>
      <c r="AC780" s="1548"/>
      <c r="AD780" s="1549"/>
      <c r="AE780" s="1549"/>
      <c r="AF780" s="1549"/>
      <c r="AG780" s="1550"/>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1516</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3" customHeight="1">
      <c r="J781" s="1333" t="s">
        <v>849</v>
      </c>
      <c r="K781" s="1334"/>
      <c r="L781" s="1334"/>
      <c r="M781" s="1334"/>
      <c r="N781" s="1335"/>
      <c r="O781" s="1466">
        <v>1</v>
      </c>
      <c r="P781" s="1466"/>
      <c r="Q781" s="1466"/>
      <c r="R781" s="1466"/>
      <c r="S781" s="1466"/>
      <c r="T781" s="1533">
        <v>1031</v>
      </c>
      <c r="U781" s="1534"/>
      <c r="V781" s="1534"/>
      <c r="W781" s="1535"/>
      <c r="X781" s="1349"/>
      <c r="Y781" s="1350"/>
      <c r="Z781" s="1350"/>
      <c r="AA781" s="1350"/>
      <c r="AB781" s="1351"/>
      <c r="AC781" s="1336">
        <f>X781*O781</f>
        <v>0</v>
      </c>
      <c r="AD781" s="1337"/>
      <c r="AE781" s="1337"/>
      <c r="AF781" s="1337"/>
      <c r="AG781" s="1338"/>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16">
        <f>IF(J781="SRO/Studio",O781,0)</f>
        <v>0</v>
      </c>
      <c r="CQ781" s="1317"/>
      <c r="CR781" s="1317"/>
      <c r="CS781" s="1317"/>
      <c r="CT781" s="1318"/>
      <c r="CU781" s="1332">
        <f>IF(J781="1 Bedroom",O781,0)</f>
        <v>0</v>
      </c>
      <c r="CV781" s="1332"/>
      <c r="CW781" s="1332"/>
      <c r="CX781" s="1332"/>
      <c r="CY781" s="1332"/>
      <c r="CZ781" s="1332">
        <f>IF(J781="2 Bedrooms",O781,0)</f>
        <v>0</v>
      </c>
      <c r="DA781" s="1332"/>
      <c r="DB781" s="1332"/>
      <c r="DC781" s="1332"/>
      <c r="DD781" s="1332"/>
      <c r="DE781" s="1332">
        <f>IF(J781="3 Bedrooms",O781,0)</f>
        <v>1</v>
      </c>
      <c r="DF781" s="1332"/>
      <c r="DG781" s="1332"/>
      <c r="DH781" s="1332"/>
      <c r="DI781" s="1332"/>
      <c r="DJ781" s="1332">
        <f>IF(J781="4 Bedrooms",O781,0)</f>
        <v>0</v>
      </c>
      <c r="DK781" s="1332"/>
      <c r="DL781" s="1332"/>
      <c r="DM781" s="1332"/>
      <c r="DN781" s="1332"/>
      <c r="DO781" s="1332">
        <f>IF(J781="5 Bedrooms",O781,0)</f>
        <v>0</v>
      </c>
      <c r="DP781" s="1332"/>
      <c r="DQ781" s="1332"/>
      <c r="DR781" s="1332"/>
      <c r="DS781" s="1332"/>
      <c r="DT781" s="257"/>
      <c r="DU781" s="3"/>
      <c r="DV781" s="3"/>
    </row>
    <row r="782" spans="1:159" ht="13" customHeight="1">
      <c r="J782" s="1333"/>
      <c r="K782" s="1334"/>
      <c r="L782" s="1334"/>
      <c r="M782" s="1334"/>
      <c r="N782" s="1335"/>
      <c r="O782" s="1466"/>
      <c r="P782" s="1466"/>
      <c r="Q782" s="1466"/>
      <c r="R782" s="1466"/>
      <c r="S782" s="1466"/>
      <c r="T782" s="1533"/>
      <c r="U782" s="1534"/>
      <c r="V782" s="1534"/>
      <c r="W782" s="1535"/>
      <c r="X782" s="1349"/>
      <c r="Y782" s="1350"/>
      <c r="Z782" s="1350"/>
      <c r="AA782" s="1350"/>
      <c r="AB782" s="1351"/>
      <c r="AC782" s="1336">
        <f>X782*O782</f>
        <v>0</v>
      </c>
      <c r="AD782" s="1337"/>
      <c r="AE782" s="1337"/>
      <c r="AF782" s="1337"/>
      <c r="AG782" s="1338"/>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16">
        <f>IF(J782="SRO/Studio",O782,0)</f>
        <v>0</v>
      </c>
      <c r="CQ782" s="1317"/>
      <c r="CR782" s="1317"/>
      <c r="CS782" s="1317"/>
      <c r="CT782" s="1318"/>
      <c r="CU782" s="1332">
        <f>IF(J782="1 Bedroom",O782,0)</f>
        <v>0</v>
      </c>
      <c r="CV782" s="1332"/>
      <c r="CW782" s="1332"/>
      <c r="CX782" s="1332"/>
      <c r="CY782" s="1332"/>
      <c r="CZ782" s="1332">
        <f>IF(J782="2 Bedrooms",O782,0)</f>
        <v>0</v>
      </c>
      <c r="DA782" s="1332"/>
      <c r="DB782" s="1332"/>
      <c r="DC782" s="1332"/>
      <c r="DD782" s="1332"/>
      <c r="DE782" s="1332">
        <f>IF(J782="3 Bedrooms",O782,0)</f>
        <v>0</v>
      </c>
      <c r="DF782" s="1332"/>
      <c r="DG782" s="1332"/>
      <c r="DH782" s="1332"/>
      <c r="DI782" s="1332"/>
      <c r="DJ782" s="1332">
        <f>IF(J782="4 Bedrooms",O782,0)</f>
        <v>0</v>
      </c>
      <c r="DK782" s="1332"/>
      <c r="DL782" s="1332"/>
      <c r="DM782" s="1332"/>
      <c r="DN782" s="1332"/>
      <c r="DO782" s="1332">
        <f>IF(J782="5 Bedrooms",O782,0)</f>
        <v>0</v>
      </c>
      <c r="DP782" s="1332"/>
      <c r="DQ782" s="1332"/>
      <c r="DR782" s="1332"/>
      <c r="DS782" s="1332"/>
      <c r="DT782" s="257"/>
      <c r="DU782" s="3"/>
      <c r="DV782" s="3"/>
    </row>
    <row r="783" spans="1:159" ht="13" customHeight="1">
      <c r="J783" s="1333"/>
      <c r="K783" s="1334"/>
      <c r="L783" s="1334"/>
      <c r="M783" s="1334"/>
      <c r="N783" s="1335"/>
      <c r="O783" s="1466"/>
      <c r="P783" s="1466"/>
      <c r="Q783" s="1466"/>
      <c r="R783" s="1466"/>
      <c r="S783" s="1466"/>
      <c r="T783" s="1533"/>
      <c r="U783" s="1534"/>
      <c r="V783" s="1534"/>
      <c r="W783" s="1535"/>
      <c r="X783" s="1349"/>
      <c r="Y783" s="1350"/>
      <c r="Z783" s="1350"/>
      <c r="AA783" s="1350"/>
      <c r="AB783" s="1351"/>
      <c r="AC783" s="1336">
        <f>X783*O783</f>
        <v>0</v>
      </c>
      <c r="AD783" s="1337"/>
      <c r="AE783" s="1337"/>
      <c r="AF783" s="1337"/>
      <c r="AG783" s="1338"/>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16">
        <f>IF(J783="SRO/Studio",O783,0)</f>
        <v>0</v>
      </c>
      <c r="CQ783" s="1317"/>
      <c r="CR783" s="1317"/>
      <c r="CS783" s="1317"/>
      <c r="CT783" s="1318"/>
      <c r="CU783" s="1332">
        <f>IF(J783="1 Bedroom",O783,0)</f>
        <v>0</v>
      </c>
      <c r="CV783" s="1332"/>
      <c r="CW783" s="1332"/>
      <c r="CX783" s="1332"/>
      <c r="CY783" s="1332"/>
      <c r="CZ783" s="1332">
        <f>IF(J783="2 Bedrooms",O783,0)</f>
        <v>0</v>
      </c>
      <c r="DA783" s="1332"/>
      <c r="DB783" s="1332"/>
      <c r="DC783" s="1332"/>
      <c r="DD783" s="1332"/>
      <c r="DE783" s="1332">
        <f>IF(J783="3 Bedrooms",O783,0)</f>
        <v>0</v>
      </c>
      <c r="DF783" s="1332"/>
      <c r="DG783" s="1332"/>
      <c r="DH783" s="1332"/>
      <c r="DI783" s="1332"/>
      <c r="DJ783" s="1332">
        <f>IF(J783="4 Bedrooms",O783,0)</f>
        <v>0</v>
      </c>
      <c r="DK783" s="1332"/>
      <c r="DL783" s="1332"/>
      <c r="DM783" s="1332"/>
      <c r="DN783" s="1332"/>
      <c r="DO783" s="1332">
        <f>IF(J783="5 Bedrooms",O783,0)</f>
        <v>0</v>
      </c>
      <c r="DP783" s="1332"/>
      <c r="DQ783" s="1332"/>
      <c r="DR783" s="1332"/>
      <c r="DS783" s="1332"/>
      <c r="DT783" s="257"/>
    </row>
    <row r="784" spans="1:159" ht="13" customHeight="1">
      <c r="J784" s="1333"/>
      <c r="K784" s="1334"/>
      <c r="L784" s="1334"/>
      <c r="M784" s="1334"/>
      <c r="N784" s="1335"/>
      <c r="O784" s="1466"/>
      <c r="P784" s="1466"/>
      <c r="Q784" s="1466"/>
      <c r="R784" s="1466"/>
      <c r="S784" s="1466"/>
      <c r="T784" s="1533"/>
      <c r="U784" s="1534"/>
      <c r="V784" s="1534"/>
      <c r="W784" s="1535"/>
      <c r="X784" s="1349"/>
      <c r="Y784" s="1350"/>
      <c r="Z784" s="1350"/>
      <c r="AA784" s="1350"/>
      <c r="AB784" s="1351"/>
      <c r="AC784" s="1336">
        <f>X784*O784</f>
        <v>0</v>
      </c>
      <c r="AD784" s="1337"/>
      <c r="AE784" s="1337"/>
      <c r="AF784" s="1337"/>
      <c r="AG784" s="1338"/>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16">
        <f>IF(J784="SRO/Studio",O784,0)</f>
        <v>0</v>
      </c>
      <c r="CQ784" s="1317"/>
      <c r="CR784" s="1317"/>
      <c r="CS784" s="1317"/>
      <c r="CT784" s="1318"/>
      <c r="CU784" s="1332">
        <f>IF(J784="1 Bedroom",O784,0)</f>
        <v>0</v>
      </c>
      <c r="CV784" s="1332"/>
      <c r="CW784" s="1332"/>
      <c r="CX784" s="1332"/>
      <c r="CY784" s="1332"/>
      <c r="CZ784" s="1332">
        <f>IF(J784="2 Bedrooms",O784,0)</f>
        <v>0</v>
      </c>
      <c r="DA784" s="1332"/>
      <c r="DB784" s="1332"/>
      <c r="DC784" s="1332"/>
      <c r="DD784" s="1332"/>
      <c r="DE784" s="1332">
        <f>IF(J784="3 Bedrooms",O784,0)</f>
        <v>0</v>
      </c>
      <c r="DF784" s="1332"/>
      <c r="DG784" s="1332"/>
      <c r="DH784" s="1332"/>
      <c r="DI784" s="1332"/>
      <c r="DJ784" s="1332">
        <f>IF(J784="4 Bedrooms",O784,0)</f>
        <v>0</v>
      </c>
      <c r="DK784" s="1332"/>
      <c r="DL784" s="1332"/>
      <c r="DM784" s="1332"/>
      <c r="DN784" s="1332"/>
      <c r="DO784" s="1332">
        <f>IF(J784="5 Bedrooms",O784,0)</f>
        <v>0</v>
      </c>
      <c r="DP784" s="1332"/>
      <c r="DQ784" s="1332"/>
      <c r="DR784" s="1332"/>
      <c r="DS784" s="1332"/>
    </row>
    <row r="785" spans="1:154" ht="13" customHeight="1">
      <c r="J785" s="1380" t="s">
        <v>1500</v>
      </c>
      <c r="K785" s="1381"/>
      <c r="L785" s="1381"/>
      <c r="M785" s="1381"/>
      <c r="N785" s="1383"/>
      <c r="O785" s="1319">
        <f>SUM(O781:S784)</f>
        <v>1</v>
      </c>
      <c r="P785" s="1320"/>
      <c r="Q785" s="1320"/>
      <c r="R785" s="1320"/>
      <c r="S785" s="1321"/>
      <c r="X785" s="1380" t="s">
        <v>1501</v>
      </c>
      <c r="Y785" s="1381"/>
      <c r="Z785" s="1381"/>
      <c r="AA785" s="1381"/>
      <c r="AB785" s="1383"/>
      <c r="AC785" s="1336">
        <f>SUM(AC781:AG784)</f>
        <v>0</v>
      </c>
      <c r="AD785" s="1337"/>
      <c r="AE785" s="1337"/>
      <c r="AF785" s="1337"/>
      <c r="AG785" s="1338"/>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19">
        <f>SUM(CP781:CT784)</f>
        <v>0</v>
      </c>
      <c r="CQ785" s="1320"/>
      <c r="CR785" s="1320"/>
      <c r="CS785" s="1320"/>
      <c r="CT785" s="1321"/>
      <c r="CU785" s="1319">
        <f>SUM(CU781:CY784)</f>
        <v>0</v>
      </c>
      <c r="CV785" s="1320"/>
      <c r="CW785" s="1320"/>
      <c r="CX785" s="1320"/>
      <c r="CY785" s="1321"/>
      <c r="CZ785" s="1319">
        <f>SUM(CZ781:DD784)</f>
        <v>0</v>
      </c>
      <c r="DA785" s="1320"/>
      <c r="DB785" s="1320"/>
      <c r="DC785" s="1320"/>
      <c r="DD785" s="1321"/>
      <c r="DE785" s="1319">
        <f>SUM(DE781:DI784)</f>
        <v>1</v>
      </c>
      <c r="DF785" s="1320"/>
      <c r="DG785" s="1320"/>
      <c r="DH785" s="1320"/>
      <c r="DI785" s="1321"/>
      <c r="DJ785" s="1319">
        <f>SUM(DJ781:DN784)</f>
        <v>0</v>
      </c>
      <c r="DK785" s="1320"/>
      <c r="DL785" s="1320"/>
      <c r="DM785" s="1320"/>
      <c r="DN785" s="1321"/>
      <c r="DO785" s="1319">
        <f>SUM(DO781:DS784)</f>
        <v>0</v>
      </c>
      <c r="DP785" s="1320"/>
      <c r="DQ785" s="1320"/>
      <c r="DR785" s="1320"/>
      <c r="DS785" s="1321"/>
      <c r="DU785" s="756">
        <f>CP785+CU785+CZ785+DE785+DJ785+DO785</f>
        <v>1</v>
      </c>
      <c r="DV785" s="49" t="s">
        <v>1517</v>
      </c>
    </row>
    <row r="786" spans="1:154" ht="13"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0</v>
      </c>
      <c r="DE786" s="3"/>
      <c r="DF786" s="3"/>
      <c r="DG786" s="3"/>
      <c r="DH786" s="3"/>
      <c r="DI786" s="756">
        <f>DE785*3</f>
        <v>3</v>
      </c>
      <c r="DJ786" s="3"/>
      <c r="DK786" s="3"/>
      <c r="DL786" s="3"/>
      <c r="DM786" s="3"/>
      <c r="DN786" s="756">
        <f>DJ785*4</f>
        <v>0</v>
      </c>
      <c r="DO786" s="3"/>
      <c r="DP786" s="3"/>
      <c r="DQ786" s="3"/>
      <c r="DR786" s="3"/>
      <c r="DS786" s="756">
        <f>DO785*5</f>
        <v>0</v>
      </c>
      <c r="DU786" s="756">
        <f>CT786+CY786+DD786+DI786+DN786+DS786</f>
        <v>3</v>
      </c>
      <c r="DV786" s="49" t="s">
        <v>1518</v>
      </c>
    </row>
    <row r="787" spans="1:154" ht="13" customHeight="1">
      <c r="B787" s="48"/>
      <c r="C787" s="48"/>
      <c r="D787" s="48"/>
      <c r="E787" s="48"/>
      <c r="F787" s="48"/>
      <c r="G787" s="257"/>
      <c r="H787" s="257"/>
      <c r="I787" s="257"/>
      <c r="J787" s="1345" t="s">
        <v>700</v>
      </c>
      <c r="K787" s="1345"/>
      <c r="L787" s="48"/>
      <c r="M787" s="84" t="s">
        <v>1519</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48"/>
      <c r="C788" s="48"/>
      <c r="D788" s="48"/>
      <c r="E788" s="48"/>
      <c r="F788" s="48"/>
      <c r="G788" s="257"/>
      <c r="H788" s="257"/>
      <c r="I788" s="257"/>
      <c r="J788" s="257"/>
      <c r="K788" s="257"/>
      <c r="L788" s="48"/>
      <c r="M788" s="84" t="s">
        <v>1520</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1005</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542" t="s">
        <v>1480</v>
      </c>
      <c r="K791" s="1543"/>
      <c r="L791" s="1543"/>
      <c r="M791" s="1543"/>
      <c r="N791" s="1544"/>
      <c r="O791" s="1564" t="s">
        <v>1481</v>
      </c>
      <c r="P791" s="1564"/>
      <c r="Q791" s="1564"/>
      <c r="R791" s="1564"/>
      <c r="S791" s="1564"/>
      <c r="T791" s="1551" t="s">
        <v>1482</v>
      </c>
      <c r="U791" s="1552"/>
      <c r="V791" s="1552"/>
      <c r="W791" s="1553"/>
      <c r="X791" s="1542" t="s">
        <v>1483</v>
      </c>
      <c r="Y791" s="1543"/>
      <c r="Z791" s="1543"/>
      <c r="AA791" s="1543"/>
      <c r="AB791" s="1544"/>
      <c r="AC791" s="1542" t="s">
        <v>1515</v>
      </c>
      <c r="AD791" s="1543"/>
      <c r="AE791" s="1543"/>
      <c r="AF791" s="1543"/>
      <c r="AG791" s="154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545"/>
      <c r="K792" s="1546"/>
      <c r="L792" s="1546"/>
      <c r="M792" s="1546"/>
      <c r="N792" s="1547"/>
      <c r="O792" s="1564"/>
      <c r="P792" s="1564"/>
      <c r="Q792" s="1564"/>
      <c r="R792" s="1564"/>
      <c r="S792" s="1564"/>
      <c r="T792" s="1554"/>
      <c r="U792" s="1555"/>
      <c r="V792" s="1555"/>
      <c r="W792" s="1556"/>
      <c r="X792" s="1545"/>
      <c r="Y792" s="1546"/>
      <c r="Z792" s="1546"/>
      <c r="AA792" s="1546"/>
      <c r="AB792" s="1547"/>
      <c r="AC792" s="1545"/>
      <c r="AD792" s="1546"/>
      <c r="AE792" s="1546"/>
      <c r="AF792" s="1546"/>
      <c r="AG792" s="154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545"/>
      <c r="K793" s="1546"/>
      <c r="L793" s="1546"/>
      <c r="M793" s="1546"/>
      <c r="N793" s="1547"/>
      <c r="O793" s="1564"/>
      <c r="P793" s="1564"/>
      <c r="Q793" s="1564"/>
      <c r="R793" s="1564"/>
      <c r="S793" s="1564"/>
      <c r="T793" s="1554"/>
      <c r="U793" s="1555"/>
      <c r="V793" s="1555"/>
      <c r="W793" s="1556"/>
      <c r="X793" s="1545"/>
      <c r="Y793" s="1546"/>
      <c r="Z793" s="1546"/>
      <c r="AA793" s="1546"/>
      <c r="AB793" s="1547"/>
      <c r="AC793" s="1545"/>
      <c r="AD793" s="1546"/>
      <c r="AE793" s="1546"/>
      <c r="AF793" s="1546"/>
      <c r="AG793" s="154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548"/>
      <c r="K794" s="1549"/>
      <c r="L794" s="1549"/>
      <c r="M794" s="1549"/>
      <c r="N794" s="1550"/>
      <c r="O794" s="1564"/>
      <c r="P794" s="1564"/>
      <c r="Q794" s="1564"/>
      <c r="R794" s="1564"/>
      <c r="S794" s="1564"/>
      <c r="T794" s="1557"/>
      <c r="U794" s="1558"/>
      <c r="V794" s="1558"/>
      <c r="W794" s="1559"/>
      <c r="X794" s="1548"/>
      <c r="Y794" s="1549"/>
      <c r="Z794" s="1549"/>
      <c r="AA794" s="1549"/>
      <c r="AB794" s="1550"/>
      <c r="AC794" s="1548"/>
      <c r="AD794" s="1549"/>
      <c r="AE794" s="1549"/>
      <c r="AF794" s="1549"/>
      <c r="AG794" s="155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1521</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1522</v>
      </c>
      <c r="DV794" s="3"/>
      <c r="DW794" s="3"/>
      <c r="DX794" s="3"/>
      <c r="DY794" s="3"/>
      <c r="DZ794" s="3"/>
      <c r="EA794" s="3"/>
      <c r="EB794" s="3"/>
      <c r="EC794" s="3"/>
      <c r="ED794" s="3"/>
      <c r="EE794" s="3"/>
      <c r="EF794" s="3"/>
      <c r="EG794" s="3"/>
      <c r="EH794" s="3"/>
    </row>
    <row r="795" spans="1:154" ht="13" customHeight="1">
      <c r="J795" s="1333"/>
      <c r="K795" s="1334"/>
      <c r="L795" s="1334"/>
      <c r="M795" s="1334"/>
      <c r="N795" s="1335"/>
      <c r="O795" s="1466"/>
      <c r="P795" s="1466"/>
      <c r="Q795" s="1466"/>
      <c r="R795" s="1466"/>
      <c r="S795" s="1466"/>
      <c r="T795" s="1533"/>
      <c r="U795" s="1534"/>
      <c r="V795" s="1534"/>
      <c r="W795" s="1535"/>
      <c r="X795" s="1349"/>
      <c r="Y795" s="1350"/>
      <c r="Z795" s="1350"/>
      <c r="AA795" s="1350"/>
      <c r="AB795" s="1351"/>
      <c r="AC795" s="1336">
        <f t="shared" ref="AC795:AC804" si="42">X795*O795</f>
        <v>0</v>
      </c>
      <c r="AD795" s="1337"/>
      <c r="AE795" s="1337"/>
      <c r="AF795" s="1337"/>
      <c r="AG795" s="133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16">
        <f t="shared" ref="CP795:CP804" si="43">IF(J795="SRO/Studio",O795,0)</f>
        <v>0</v>
      </c>
      <c r="CQ795" s="1317"/>
      <c r="CR795" s="1317"/>
      <c r="CS795" s="1317"/>
      <c r="CT795" s="1318"/>
      <c r="CU795" s="1316">
        <f t="shared" ref="CU795:CU804" si="44">IF(J795="1 Bedroom",O795,0)</f>
        <v>0</v>
      </c>
      <c r="CV795" s="1317"/>
      <c r="CW795" s="1317"/>
      <c r="CX795" s="1317"/>
      <c r="CY795" s="1318"/>
      <c r="CZ795" s="1316">
        <f t="shared" ref="CZ795:CZ804" si="45">IF(J795="2 Bedrooms",O795,0)</f>
        <v>0</v>
      </c>
      <c r="DA795" s="1317"/>
      <c r="DB795" s="1317"/>
      <c r="DC795" s="1317"/>
      <c r="DD795" s="1318"/>
      <c r="DE795" s="1316">
        <f t="shared" ref="DE795:DE804" si="46">IF(J795="3 Bedrooms",O795,0)</f>
        <v>0</v>
      </c>
      <c r="DF795" s="1317"/>
      <c r="DG795" s="1317"/>
      <c r="DH795" s="1317"/>
      <c r="DI795" s="1318"/>
      <c r="DJ795" s="1316">
        <f t="shared" ref="DJ795:DJ804" si="47">IF(J795="4 Bedrooms",O795,0)</f>
        <v>0</v>
      </c>
      <c r="DK795" s="1317"/>
      <c r="DL795" s="1317"/>
      <c r="DM795" s="1317"/>
      <c r="DN795" s="1318"/>
      <c r="DO795" s="1316">
        <f t="shared" ref="DO795:DO804" si="48">IF(J795="5 Bedrooms",O795,0)</f>
        <v>0</v>
      </c>
      <c r="DP795" s="1317"/>
      <c r="DQ795" s="1317"/>
      <c r="DR795" s="1317"/>
      <c r="DS795" s="1318"/>
      <c r="DT795" s="257"/>
      <c r="DU795" s="1316">
        <f t="shared" ref="DU795:DU804" si="49">IF(AND(CP795&gt;=1,AH795&gt;=0.1,AH795&lt;=1),O795,0)</f>
        <v>0</v>
      </c>
      <c r="DV795" s="1317"/>
      <c r="DW795" s="1317"/>
      <c r="DX795" s="1317"/>
      <c r="DY795" s="1318"/>
      <c r="DZ795" s="1316">
        <f t="shared" ref="DZ795:DZ804" si="50">IF(AND(CU795&gt;=1,AH795&gt;=0.1,AH795&lt;=1),O795,0)</f>
        <v>0</v>
      </c>
      <c r="EA795" s="1317"/>
      <c r="EB795" s="1317"/>
      <c r="EC795" s="1317"/>
      <c r="ED795" s="1318"/>
      <c r="EE795" s="1316">
        <f t="shared" ref="EE795:EE804" si="51">IF(AND(CZ795&gt;=1,AH795&gt;=0.1,AH795&lt;=1),O795,0)</f>
        <v>0</v>
      </c>
      <c r="EF795" s="1317"/>
      <c r="EG795" s="1317"/>
      <c r="EH795" s="1317"/>
      <c r="EI795" s="1318"/>
      <c r="EJ795" s="1316">
        <f t="shared" ref="EJ795:EJ804" si="52">IF(AND(DE795&gt;=1,AH795&gt;=0.1,AH795&lt;=1),O795,0)</f>
        <v>0</v>
      </c>
      <c r="EK795" s="1317"/>
      <c r="EL795" s="1317"/>
      <c r="EM795" s="1317"/>
      <c r="EN795" s="1318"/>
      <c r="EO795" s="1316">
        <f t="shared" ref="EO795:EO804" si="53">IF(AND(DJ795&gt;=1,AH795&gt;=0.1,AH795&lt;=1),O795,0)</f>
        <v>0</v>
      </c>
      <c r="EP795" s="1317"/>
      <c r="EQ795" s="1317"/>
      <c r="ER795" s="1317"/>
      <c r="ES795" s="1318"/>
      <c r="ET795" s="1316">
        <f t="shared" ref="ET795:ET804" si="54">IF(AND(DO795&gt;=1,AH795&gt;=0.1,AH795&lt;=1),O795,0)</f>
        <v>0</v>
      </c>
      <c r="EU795" s="1317"/>
      <c r="EV795" s="1317"/>
      <c r="EW795" s="1317"/>
      <c r="EX795" s="1318"/>
    </row>
    <row r="796" spans="1:154" s="13" customFormat="1" ht="13" customHeight="1">
      <c r="A796"/>
      <c r="B796"/>
      <c r="C796"/>
      <c r="D796"/>
      <c r="E796"/>
      <c r="F796"/>
      <c r="G796"/>
      <c r="H796"/>
      <c r="I796"/>
      <c r="J796" s="1333"/>
      <c r="K796" s="1334"/>
      <c r="L796" s="1334"/>
      <c r="M796" s="1334"/>
      <c r="N796" s="1335"/>
      <c r="O796" s="1466"/>
      <c r="P796" s="1466"/>
      <c r="Q796" s="1466"/>
      <c r="R796" s="1466"/>
      <c r="S796" s="1466"/>
      <c r="T796" s="1533"/>
      <c r="U796" s="1534"/>
      <c r="V796" s="1534"/>
      <c r="W796" s="1535"/>
      <c r="X796" s="1349"/>
      <c r="Y796" s="1350"/>
      <c r="Z796" s="1350"/>
      <c r="AA796" s="1350"/>
      <c r="AB796" s="1351"/>
      <c r="AC796" s="1336">
        <f t="shared" si="42"/>
        <v>0</v>
      </c>
      <c r="AD796" s="1337"/>
      <c r="AE796" s="1337"/>
      <c r="AF796" s="1337"/>
      <c r="AG796" s="133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16">
        <f t="shared" si="43"/>
        <v>0</v>
      </c>
      <c r="CQ796" s="1317"/>
      <c r="CR796" s="1317"/>
      <c r="CS796" s="1317"/>
      <c r="CT796" s="1318"/>
      <c r="CU796" s="1316">
        <f t="shared" si="44"/>
        <v>0</v>
      </c>
      <c r="CV796" s="1317"/>
      <c r="CW796" s="1317"/>
      <c r="CX796" s="1317"/>
      <c r="CY796" s="1318"/>
      <c r="CZ796" s="1316">
        <f t="shared" si="45"/>
        <v>0</v>
      </c>
      <c r="DA796" s="1317"/>
      <c r="DB796" s="1317"/>
      <c r="DC796" s="1317"/>
      <c r="DD796" s="1318"/>
      <c r="DE796" s="1316">
        <f t="shared" si="46"/>
        <v>0</v>
      </c>
      <c r="DF796" s="1317"/>
      <c r="DG796" s="1317"/>
      <c r="DH796" s="1317"/>
      <c r="DI796" s="1318"/>
      <c r="DJ796" s="1316">
        <f t="shared" si="47"/>
        <v>0</v>
      </c>
      <c r="DK796" s="1317"/>
      <c r="DL796" s="1317"/>
      <c r="DM796" s="1317"/>
      <c r="DN796" s="1318"/>
      <c r="DO796" s="1316">
        <f t="shared" si="48"/>
        <v>0</v>
      </c>
      <c r="DP796" s="1317"/>
      <c r="DQ796" s="1317"/>
      <c r="DR796" s="1317"/>
      <c r="DS796" s="1318"/>
      <c r="DT796" s="257"/>
      <c r="DU796" s="1316">
        <f t="shared" si="49"/>
        <v>0</v>
      </c>
      <c r="DV796" s="1317"/>
      <c r="DW796" s="1317"/>
      <c r="DX796" s="1317"/>
      <c r="DY796" s="1318"/>
      <c r="DZ796" s="1316">
        <f t="shared" si="50"/>
        <v>0</v>
      </c>
      <c r="EA796" s="1317"/>
      <c r="EB796" s="1317"/>
      <c r="EC796" s="1317"/>
      <c r="ED796" s="1318"/>
      <c r="EE796" s="1316">
        <f t="shared" si="51"/>
        <v>0</v>
      </c>
      <c r="EF796" s="1317"/>
      <c r="EG796" s="1317"/>
      <c r="EH796" s="1317"/>
      <c r="EI796" s="1318"/>
      <c r="EJ796" s="1316">
        <f t="shared" si="52"/>
        <v>0</v>
      </c>
      <c r="EK796" s="1317"/>
      <c r="EL796" s="1317"/>
      <c r="EM796" s="1317"/>
      <c r="EN796" s="1318"/>
      <c r="EO796" s="1316">
        <f t="shared" si="53"/>
        <v>0</v>
      </c>
      <c r="EP796" s="1317"/>
      <c r="EQ796" s="1317"/>
      <c r="ER796" s="1317"/>
      <c r="ES796" s="1318"/>
      <c r="ET796" s="1316">
        <f t="shared" si="54"/>
        <v>0</v>
      </c>
      <c r="EU796" s="1317"/>
      <c r="EV796" s="1317"/>
      <c r="EW796" s="1317"/>
      <c r="EX796" s="1318"/>
    </row>
    <row r="797" spans="1:154" s="13" customFormat="1" ht="13" customHeight="1">
      <c r="A797"/>
      <c r="B797"/>
      <c r="C797"/>
      <c r="D797"/>
      <c r="E797"/>
      <c r="F797"/>
      <c r="G797"/>
      <c r="H797"/>
      <c r="I797"/>
      <c r="J797" s="1333"/>
      <c r="K797" s="1334"/>
      <c r="L797" s="1334"/>
      <c r="M797" s="1334"/>
      <c r="N797" s="1335"/>
      <c r="O797" s="1466"/>
      <c r="P797" s="1466"/>
      <c r="Q797" s="1466"/>
      <c r="R797" s="1466"/>
      <c r="S797" s="1466"/>
      <c r="T797" s="1533"/>
      <c r="U797" s="1534"/>
      <c r="V797" s="1534"/>
      <c r="W797" s="1535"/>
      <c r="X797" s="1349"/>
      <c r="Y797" s="1350"/>
      <c r="Z797" s="1350"/>
      <c r="AA797" s="1350"/>
      <c r="AB797" s="1351"/>
      <c r="AC797" s="1336">
        <f t="shared" si="42"/>
        <v>0</v>
      </c>
      <c r="AD797" s="1337"/>
      <c r="AE797" s="1337"/>
      <c r="AF797" s="1337"/>
      <c r="AG797" s="133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16">
        <f t="shared" si="43"/>
        <v>0</v>
      </c>
      <c r="CQ797" s="1317"/>
      <c r="CR797" s="1317"/>
      <c r="CS797" s="1317"/>
      <c r="CT797" s="1318"/>
      <c r="CU797" s="1316">
        <f t="shared" si="44"/>
        <v>0</v>
      </c>
      <c r="CV797" s="1317"/>
      <c r="CW797" s="1317"/>
      <c r="CX797" s="1317"/>
      <c r="CY797" s="1318"/>
      <c r="CZ797" s="1316">
        <f t="shared" si="45"/>
        <v>0</v>
      </c>
      <c r="DA797" s="1317"/>
      <c r="DB797" s="1317"/>
      <c r="DC797" s="1317"/>
      <c r="DD797" s="1318"/>
      <c r="DE797" s="1316">
        <f t="shared" si="46"/>
        <v>0</v>
      </c>
      <c r="DF797" s="1317"/>
      <c r="DG797" s="1317"/>
      <c r="DH797" s="1317"/>
      <c r="DI797" s="1318"/>
      <c r="DJ797" s="1316">
        <f t="shared" si="47"/>
        <v>0</v>
      </c>
      <c r="DK797" s="1317"/>
      <c r="DL797" s="1317"/>
      <c r="DM797" s="1317"/>
      <c r="DN797" s="1318"/>
      <c r="DO797" s="1316">
        <f t="shared" si="48"/>
        <v>0</v>
      </c>
      <c r="DP797" s="1317"/>
      <c r="DQ797" s="1317"/>
      <c r="DR797" s="1317"/>
      <c r="DS797" s="1318"/>
      <c r="DT797" s="257"/>
      <c r="DU797" s="1316">
        <f t="shared" si="49"/>
        <v>0</v>
      </c>
      <c r="DV797" s="1317"/>
      <c r="DW797" s="1317"/>
      <c r="DX797" s="1317"/>
      <c r="DY797" s="1318"/>
      <c r="DZ797" s="1316">
        <f t="shared" si="50"/>
        <v>0</v>
      </c>
      <c r="EA797" s="1317"/>
      <c r="EB797" s="1317"/>
      <c r="EC797" s="1317"/>
      <c r="ED797" s="1318"/>
      <c r="EE797" s="1316">
        <f t="shared" si="51"/>
        <v>0</v>
      </c>
      <c r="EF797" s="1317"/>
      <c r="EG797" s="1317"/>
      <c r="EH797" s="1317"/>
      <c r="EI797" s="1318"/>
      <c r="EJ797" s="1316">
        <f t="shared" si="52"/>
        <v>0</v>
      </c>
      <c r="EK797" s="1317"/>
      <c r="EL797" s="1317"/>
      <c r="EM797" s="1317"/>
      <c r="EN797" s="1318"/>
      <c r="EO797" s="1316">
        <f t="shared" si="53"/>
        <v>0</v>
      </c>
      <c r="EP797" s="1317"/>
      <c r="EQ797" s="1317"/>
      <c r="ER797" s="1317"/>
      <c r="ES797" s="1318"/>
      <c r="ET797" s="1316">
        <f t="shared" si="54"/>
        <v>0</v>
      </c>
      <c r="EU797" s="1317"/>
      <c r="EV797" s="1317"/>
      <c r="EW797" s="1317"/>
      <c r="EX797" s="1318"/>
    </row>
    <row r="798" spans="1:154" s="13" customFormat="1" ht="13" customHeight="1">
      <c r="A798"/>
      <c r="B798"/>
      <c r="C798"/>
      <c r="D798"/>
      <c r="E798"/>
      <c r="F798"/>
      <c r="G798"/>
      <c r="H798"/>
      <c r="I798"/>
      <c r="J798" s="1333"/>
      <c r="K798" s="1334"/>
      <c r="L798" s="1334"/>
      <c r="M798" s="1334"/>
      <c r="N798" s="1335"/>
      <c r="O798" s="1466"/>
      <c r="P798" s="1466"/>
      <c r="Q798" s="1466"/>
      <c r="R798" s="1466"/>
      <c r="S798" s="1466"/>
      <c r="T798" s="1533"/>
      <c r="U798" s="1534"/>
      <c r="V798" s="1534"/>
      <c r="W798" s="1535"/>
      <c r="X798" s="1349"/>
      <c r="Y798" s="1350"/>
      <c r="Z798" s="1350"/>
      <c r="AA798" s="1350"/>
      <c r="AB798" s="1351"/>
      <c r="AC798" s="1336">
        <f t="shared" si="42"/>
        <v>0</v>
      </c>
      <c r="AD798" s="1337"/>
      <c r="AE798" s="1337"/>
      <c r="AF798" s="1337"/>
      <c r="AG798" s="133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16">
        <f t="shared" si="43"/>
        <v>0</v>
      </c>
      <c r="CQ798" s="1317"/>
      <c r="CR798" s="1317"/>
      <c r="CS798" s="1317"/>
      <c r="CT798" s="1318"/>
      <c r="CU798" s="1316">
        <f t="shared" si="44"/>
        <v>0</v>
      </c>
      <c r="CV798" s="1317"/>
      <c r="CW798" s="1317"/>
      <c r="CX798" s="1317"/>
      <c r="CY798" s="1318"/>
      <c r="CZ798" s="1316">
        <f t="shared" si="45"/>
        <v>0</v>
      </c>
      <c r="DA798" s="1317"/>
      <c r="DB798" s="1317"/>
      <c r="DC798" s="1317"/>
      <c r="DD798" s="1318"/>
      <c r="DE798" s="1316">
        <f t="shared" si="46"/>
        <v>0</v>
      </c>
      <c r="DF798" s="1317"/>
      <c r="DG798" s="1317"/>
      <c r="DH798" s="1317"/>
      <c r="DI798" s="1318"/>
      <c r="DJ798" s="1316">
        <f t="shared" si="47"/>
        <v>0</v>
      </c>
      <c r="DK798" s="1317"/>
      <c r="DL798" s="1317"/>
      <c r="DM798" s="1317"/>
      <c r="DN798" s="1318"/>
      <c r="DO798" s="1316">
        <f t="shared" si="48"/>
        <v>0</v>
      </c>
      <c r="DP798" s="1317"/>
      <c r="DQ798" s="1317"/>
      <c r="DR798" s="1317"/>
      <c r="DS798" s="1318"/>
      <c r="DT798" s="257"/>
      <c r="DU798" s="1316">
        <f t="shared" si="49"/>
        <v>0</v>
      </c>
      <c r="DV798" s="1317"/>
      <c r="DW798" s="1317"/>
      <c r="DX798" s="1317"/>
      <c r="DY798" s="1318"/>
      <c r="DZ798" s="1316">
        <f t="shared" si="50"/>
        <v>0</v>
      </c>
      <c r="EA798" s="1317"/>
      <c r="EB798" s="1317"/>
      <c r="EC798" s="1317"/>
      <c r="ED798" s="1318"/>
      <c r="EE798" s="1316">
        <f t="shared" si="51"/>
        <v>0</v>
      </c>
      <c r="EF798" s="1317"/>
      <c r="EG798" s="1317"/>
      <c r="EH798" s="1317"/>
      <c r="EI798" s="1318"/>
      <c r="EJ798" s="1316">
        <f t="shared" si="52"/>
        <v>0</v>
      </c>
      <c r="EK798" s="1317"/>
      <c r="EL798" s="1317"/>
      <c r="EM798" s="1317"/>
      <c r="EN798" s="1318"/>
      <c r="EO798" s="1316">
        <f t="shared" si="53"/>
        <v>0</v>
      </c>
      <c r="EP798" s="1317"/>
      <c r="EQ798" s="1317"/>
      <c r="ER798" s="1317"/>
      <c r="ES798" s="1318"/>
      <c r="ET798" s="1316">
        <f t="shared" si="54"/>
        <v>0</v>
      </c>
      <c r="EU798" s="1317"/>
      <c r="EV798" s="1317"/>
      <c r="EW798" s="1317"/>
      <c r="EX798" s="1318"/>
    </row>
    <row r="799" spans="1:154" s="13" customFormat="1" ht="13" customHeight="1">
      <c r="A799"/>
      <c r="B799"/>
      <c r="C799"/>
      <c r="D799"/>
      <c r="E799"/>
      <c r="F799"/>
      <c r="G799"/>
      <c r="H799"/>
      <c r="I799"/>
      <c r="J799" s="1333"/>
      <c r="K799" s="1334"/>
      <c r="L799" s="1334"/>
      <c r="M799" s="1334"/>
      <c r="N799" s="1335"/>
      <c r="O799" s="1466"/>
      <c r="P799" s="1466"/>
      <c r="Q799" s="1466"/>
      <c r="R799" s="1466"/>
      <c r="S799" s="1466"/>
      <c r="T799" s="1533"/>
      <c r="U799" s="1534"/>
      <c r="V799" s="1534"/>
      <c r="W799" s="1535"/>
      <c r="X799" s="1349"/>
      <c r="Y799" s="1350"/>
      <c r="Z799" s="1350"/>
      <c r="AA799" s="1350"/>
      <c r="AB799" s="1351"/>
      <c r="AC799" s="1336">
        <f t="shared" si="42"/>
        <v>0</v>
      </c>
      <c r="AD799" s="1337"/>
      <c r="AE799" s="1337"/>
      <c r="AF799" s="1337"/>
      <c r="AG799" s="133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16">
        <f t="shared" si="43"/>
        <v>0</v>
      </c>
      <c r="CQ799" s="1317"/>
      <c r="CR799" s="1317"/>
      <c r="CS799" s="1317"/>
      <c r="CT799" s="1318"/>
      <c r="CU799" s="1316">
        <f t="shared" si="44"/>
        <v>0</v>
      </c>
      <c r="CV799" s="1317"/>
      <c r="CW799" s="1317"/>
      <c r="CX799" s="1317"/>
      <c r="CY799" s="1318"/>
      <c r="CZ799" s="1316">
        <f t="shared" si="45"/>
        <v>0</v>
      </c>
      <c r="DA799" s="1317"/>
      <c r="DB799" s="1317"/>
      <c r="DC799" s="1317"/>
      <c r="DD799" s="1318"/>
      <c r="DE799" s="1316">
        <f t="shared" si="46"/>
        <v>0</v>
      </c>
      <c r="DF799" s="1317"/>
      <c r="DG799" s="1317"/>
      <c r="DH799" s="1317"/>
      <c r="DI799" s="1318"/>
      <c r="DJ799" s="1316">
        <f t="shared" si="47"/>
        <v>0</v>
      </c>
      <c r="DK799" s="1317"/>
      <c r="DL799" s="1317"/>
      <c r="DM799" s="1317"/>
      <c r="DN799" s="1318"/>
      <c r="DO799" s="1316">
        <f t="shared" si="48"/>
        <v>0</v>
      </c>
      <c r="DP799" s="1317"/>
      <c r="DQ799" s="1317"/>
      <c r="DR799" s="1317"/>
      <c r="DS799" s="1318"/>
      <c r="DT799" s="257"/>
      <c r="DU799" s="1316">
        <f t="shared" si="49"/>
        <v>0</v>
      </c>
      <c r="DV799" s="1317"/>
      <c r="DW799" s="1317"/>
      <c r="DX799" s="1317"/>
      <c r="DY799" s="1318"/>
      <c r="DZ799" s="1316">
        <f t="shared" si="50"/>
        <v>0</v>
      </c>
      <c r="EA799" s="1317"/>
      <c r="EB799" s="1317"/>
      <c r="EC799" s="1317"/>
      <c r="ED799" s="1318"/>
      <c r="EE799" s="1316">
        <f t="shared" si="51"/>
        <v>0</v>
      </c>
      <c r="EF799" s="1317"/>
      <c r="EG799" s="1317"/>
      <c r="EH799" s="1317"/>
      <c r="EI799" s="1318"/>
      <c r="EJ799" s="1316">
        <f t="shared" si="52"/>
        <v>0</v>
      </c>
      <c r="EK799" s="1317"/>
      <c r="EL799" s="1317"/>
      <c r="EM799" s="1317"/>
      <c r="EN799" s="1318"/>
      <c r="EO799" s="1316">
        <f t="shared" si="53"/>
        <v>0</v>
      </c>
      <c r="EP799" s="1317"/>
      <c r="EQ799" s="1317"/>
      <c r="ER799" s="1317"/>
      <c r="ES799" s="1318"/>
      <c r="ET799" s="1316">
        <f t="shared" si="54"/>
        <v>0</v>
      </c>
      <c r="EU799" s="1317"/>
      <c r="EV799" s="1317"/>
      <c r="EW799" s="1317"/>
      <c r="EX799" s="1318"/>
    </row>
    <row r="800" spans="1:154" s="13" customFormat="1" ht="13" customHeight="1">
      <c r="A800"/>
      <c r="B800"/>
      <c r="C800"/>
      <c r="D800"/>
      <c r="E800"/>
      <c r="F800"/>
      <c r="G800"/>
      <c r="H800"/>
      <c r="I800"/>
      <c r="J800" s="1333"/>
      <c r="K800" s="1334"/>
      <c r="L800" s="1334"/>
      <c r="M800" s="1334"/>
      <c r="N800" s="1335"/>
      <c r="O800" s="1466"/>
      <c r="P800" s="1466"/>
      <c r="Q800" s="1466"/>
      <c r="R800" s="1466"/>
      <c r="S800" s="1466"/>
      <c r="T800" s="1533"/>
      <c r="U800" s="1534"/>
      <c r="V800" s="1534"/>
      <c r="W800" s="1535"/>
      <c r="X800" s="1349"/>
      <c r="Y800" s="1350"/>
      <c r="Z800" s="1350"/>
      <c r="AA800" s="1350"/>
      <c r="AB800" s="1351"/>
      <c r="AC800" s="1336">
        <f t="shared" si="42"/>
        <v>0</v>
      </c>
      <c r="AD800" s="1337"/>
      <c r="AE800" s="1337"/>
      <c r="AF800" s="1337"/>
      <c r="AG800" s="133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16">
        <f t="shared" si="43"/>
        <v>0</v>
      </c>
      <c r="CQ800" s="1317"/>
      <c r="CR800" s="1317"/>
      <c r="CS800" s="1317"/>
      <c r="CT800" s="1318"/>
      <c r="CU800" s="1316">
        <f t="shared" si="44"/>
        <v>0</v>
      </c>
      <c r="CV800" s="1317"/>
      <c r="CW800" s="1317"/>
      <c r="CX800" s="1317"/>
      <c r="CY800" s="1318"/>
      <c r="CZ800" s="1316">
        <f t="shared" si="45"/>
        <v>0</v>
      </c>
      <c r="DA800" s="1317"/>
      <c r="DB800" s="1317"/>
      <c r="DC800" s="1317"/>
      <c r="DD800" s="1318"/>
      <c r="DE800" s="1316">
        <f t="shared" si="46"/>
        <v>0</v>
      </c>
      <c r="DF800" s="1317"/>
      <c r="DG800" s="1317"/>
      <c r="DH800" s="1317"/>
      <c r="DI800" s="1318"/>
      <c r="DJ800" s="1316">
        <f t="shared" si="47"/>
        <v>0</v>
      </c>
      <c r="DK800" s="1317"/>
      <c r="DL800" s="1317"/>
      <c r="DM800" s="1317"/>
      <c r="DN800" s="1318"/>
      <c r="DO800" s="1316">
        <f t="shared" si="48"/>
        <v>0</v>
      </c>
      <c r="DP800" s="1317"/>
      <c r="DQ800" s="1317"/>
      <c r="DR800" s="1317"/>
      <c r="DS800" s="1318"/>
      <c r="DT800" s="257"/>
      <c r="DU800" s="1316">
        <f t="shared" si="49"/>
        <v>0</v>
      </c>
      <c r="DV800" s="1317"/>
      <c r="DW800" s="1317"/>
      <c r="DX800" s="1317"/>
      <c r="DY800" s="1318"/>
      <c r="DZ800" s="1316">
        <f t="shared" si="50"/>
        <v>0</v>
      </c>
      <c r="EA800" s="1317"/>
      <c r="EB800" s="1317"/>
      <c r="EC800" s="1317"/>
      <c r="ED800" s="1318"/>
      <c r="EE800" s="1316">
        <f t="shared" si="51"/>
        <v>0</v>
      </c>
      <c r="EF800" s="1317"/>
      <c r="EG800" s="1317"/>
      <c r="EH800" s="1317"/>
      <c r="EI800" s="1318"/>
      <c r="EJ800" s="1316">
        <f t="shared" si="52"/>
        <v>0</v>
      </c>
      <c r="EK800" s="1317"/>
      <c r="EL800" s="1317"/>
      <c r="EM800" s="1317"/>
      <c r="EN800" s="1318"/>
      <c r="EO800" s="1316">
        <f t="shared" si="53"/>
        <v>0</v>
      </c>
      <c r="EP800" s="1317"/>
      <c r="EQ800" s="1317"/>
      <c r="ER800" s="1317"/>
      <c r="ES800" s="1318"/>
      <c r="ET800" s="1316">
        <f t="shared" si="54"/>
        <v>0</v>
      </c>
      <c r="EU800" s="1317"/>
      <c r="EV800" s="1317"/>
      <c r="EW800" s="1317"/>
      <c r="EX800" s="1318"/>
    </row>
    <row r="801" spans="1:154" s="13" customFormat="1" ht="13" customHeight="1">
      <c r="A801"/>
      <c r="B801"/>
      <c r="C801"/>
      <c r="D801"/>
      <c r="E801"/>
      <c r="F801"/>
      <c r="G801"/>
      <c r="H801"/>
      <c r="I801"/>
      <c r="J801" s="1333"/>
      <c r="K801" s="1334"/>
      <c r="L801" s="1334"/>
      <c r="M801" s="1334"/>
      <c r="N801" s="1335"/>
      <c r="O801" s="1466"/>
      <c r="P801" s="1466"/>
      <c r="Q801" s="1466"/>
      <c r="R801" s="1466"/>
      <c r="S801" s="1466"/>
      <c r="T801" s="1533"/>
      <c r="U801" s="1534"/>
      <c r="V801" s="1534"/>
      <c r="W801" s="1535"/>
      <c r="X801" s="1349"/>
      <c r="Y801" s="1350"/>
      <c r="Z801" s="1350"/>
      <c r="AA801" s="1350"/>
      <c r="AB801" s="1351"/>
      <c r="AC801" s="1336">
        <f t="shared" si="42"/>
        <v>0</v>
      </c>
      <c r="AD801" s="1337"/>
      <c r="AE801" s="1337"/>
      <c r="AF801" s="1337"/>
      <c r="AG801" s="133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16">
        <f t="shared" si="43"/>
        <v>0</v>
      </c>
      <c r="CQ801" s="1317"/>
      <c r="CR801" s="1317"/>
      <c r="CS801" s="1317"/>
      <c r="CT801" s="1318"/>
      <c r="CU801" s="1316">
        <f t="shared" si="44"/>
        <v>0</v>
      </c>
      <c r="CV801" s="1317"/>
      <c r="CW801" s="1317"/>
      <c r="CX801" s="1317"/>
      <c r="CY801" s="1318"/>
      <c r="CZ801" s="1316">
        <f t="shared" si="45"/>
        <v>0</v>
      </c>
      <c r="DA801" s="1317"/>
      <c r="DB801" s="1317"/>
      <c r="DC801" s="1317"/>
      <c r="DD801" s="1318"/>
      <c r="DE801" s="1316">
        <f t="shared" si="46"/>
        <v>0</v>
      </c>
      <c r="DF801" s="1317"/>
      <c r="DG801" s="1317"/>
      <c r="DH801" s="1317"/>
      <c r="DI801" s="1318"/>
      <c r="DJ801" s="1316">
        <f t="shared" si="47"/>
        <v>0</v>
      </c>
      <c r="DK801" s="1317"/>
      <c r="DL801" s="1317"/>
      <c r="DM801" s="1317"/>
      <c r="DN801" s="1318"/>
      <c r="DO801" s="1316">
        <f t="shared" si="48"/>
        <v>0</v>
      </c>
      <c r="DP801" s="1317"/>
      <c r="DQ801" s="1317"/>
      <c r="DR801" s="1317"/>
      <c r="DS801" s="1318"/>
      <c r="DT801" s="257"/>
      <c r="DU801" s="1316">
        <f t="shared" si="49"/>
        <v>0</v>
      </c>
      <c r="DV801" s="1317"/>
      <c r="DW801" s="1317"/>
      <c r="DX801" s="1317"/>
      <c r="DY801" s="1318"/>
      <c r="DZ801" s="1316">
        <f t="shared" si="50"/>
        <v>0</v>
      </c>
      <c r="EA801" s="1317"/>
      <c r="EB801" s="1317"/>
      <c r="EC801" s="1317"/>
      <c r="ED801" s="1318"/>
      <c r="EE801" s="1316">
        <f t="shared" si="51"/>
        <v>0</v>
      </c>
      <c r="EF801" s="1317"/>
      <c r="EG801" s="1317"/>
      <c r="EH801" s="1317"/>
      <c r="EI801" s="1318"/>
      <c r="EJ801" s="1316">
        <f t="shared" si="52"/>
        <v>0</v>
      </c>
      <c r="EK801" s="1317"/>
      <c r="EL801" s="1317"/>
      <c r="EM801" s="1317"/>
      <c r="EN801" s="1318"/>
      <c r="EO801" s="1316">
        <f t="shared" si="53"/>
        <v>0</v>
      </c>
      <c r="EP801" s="1317"/>
      <c r="EQ801" s="1317"/>
      <c r="ER801" s="1317"/>
      <c r="ES801" s="1318"/>
      <c r="ET801" s="1316">
        <f t="shared" si="54"/>
        <v>0</v>
      </c>
      <c r="EU801" s="1317"/>
      <c r="EV801" s="1317"/>
      <c r="EW801" s="1317"/>
      <c r="EX801" s="1318"/>
    </row>
    <row r="802" spans="1:154" s="13" customFormat="1" ht="13" customHeight="1">
      <c r="A802"/>
      <c r="B802"/>
      <c r="C802"/>
      <c r="D802"/>
      <c r="E802"/>
      <c r="F802"/>
      <c r="G802"/>
      <c r="H802"/>
      <c r="I802"/>
      <c r="J802" s="1333"/>
      <c r="K802" s="1334"/>
      <c r="L802" s="1334"/>
      <c r="M802" s="1334"/>
      <c r="N802" s="1335"/>
      <c r="O802" s="1466"/>
      <c r="P802" s="1466"/>
      <c r="Q802" s="1466"/>
      <c r="R802" s="1466"/>
      <c r="S802" s="1466"/>
      <c r="T802" s="1533"/>
      <c r="U802" s="1534"/>
      <c r="V802" s="1534"/>
      <c r="W802" s="1535"/>
      <c r="X802" s="1349"/>
      <c r="Y802" s="1350"/>
      <c r="Z802" s="1350"/>
      <c r="AA802" s="1350"/>
      <c r="AB802" s="1351"/>
      <c r="AC802" s="1336">
        <f t="shared" si="42"/>
        <v>0</v>
      </c>
      <c r="AD802" s="1337"/>
      <c r="AE802" s="1337"/>
      <c r="AF802" s="1337"/>
      <c r="AG802" s="133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16">
        <f t="shared" si="43"/>
        <v>0</v>
      </c>
      <c r="CQ802" s="1317"/>
      <c r="CR802" s="1317"/>
      <c r="CS802" s="1317"/>
      <c r="CT802" s="1318"/>
      <c r="CU802" s="1316">
        <f t="shared" si="44"/>
        <v>0</v>
      </c>
      <c r="CV802" s="1317"/>
      <c r="CW802" s="1317"/>
      <c r="CX802" s="1317"/>
      <c r="CY802" s="1318"/>
      <c r="CZ802" s="1316">
        <f t="shared" si="45"/>
        <v>0</v>
      </c>
      <c r="DA802" s="1317"/>
      <c r="DB802" s="1317"/>
      <c r="DC802" s="1317"/>
      <c r="DD802" s="1318"/>
      <c r="DE802" s="1316">
        <f t="shared" si="46"/>
        <v>0</v>
      </c>
      <c r="DF802" s="1317"/>
      <c r="DG802" s="1317"/>
      <c r="DH802" s="1317"/>
      <c r="DI802" s="1318"/>
      <c r="DJ802" s="1316">
        <f t="shared" si="47"/>
        <v>0</v>
      </c>
      <c r="DK802" s="1317"/>
      <c r="DL802" s="1317"/>
      <c r="DM802" s="1317"/>
      <c r="DN802" s="1318"/>
      <c r="DO802" s="1316">
        <f t="shared" si="48"/>
        <v>0</v>
      </c>
      <c r="DP802" s="1317"/>
      <c r="DQ802" s="1317"/>
      <c r="DR802" s="1317"/>
      <c r="DS802" s="1318"/>
      <c r="DT802" s="257"/>
      <c r="DU802" s="1316">
        <f t="shared" si="49"/>
        <v>0</v>
      </c>
      <c r="DV802" s="1317"/>
      <c r="DW802" s="1317"/>
      <c r="DX802" s="1317"/>
      <c r="DY802" s="1318"/>
      <c r="DZ802" s="1316">
        <f t="shared" si="50"/>
        <v>0</v>
      </c>
      <c r="EA802" s="1317"/>
      <c r="EB802" s="1317"/>
      <c r="EC802" s="1317"/>
      <c r="ED802" s="1318"/>
      <c r="EE802" s="1316">
        <f t="shared" si="51"/>
        <v>0</v>
      </c>
      <c r="EF802" s="1317"/>
      <c r="EG802" s="1317"/>
      <c r="EH802" s="1317"/>
      <c r="EI802" s="1318"/>
      <c r="EJ802" s="1316">
        <f t="shared" si="52"/>
        <v>0</v>
      </c>
      <c r="EK802" s="1317"/>
      <c r="EL802" s="1317"/>
      <c r="EM802" s="1317"/>
      <c r="EN802" s="1318"/>
      <c r="EO802" s="1316">
        <f t="shared" si="53"/>
        <v>0</v>
      </c>
      <c r="EP802" s="1317"/>
      <c r="EQ802" s="1317"/>
      <c r="ER802" s="1317"/>
      <c r="ES802" s="1318"/>
      <c r="ET802" s="1316">
        <f t="shared" si="54"/>
        <v>0</v>
      </c>
      <c r="EU802" s="1317"/>
      <c r="EV802" s="1317"/>
      <c r="EW802" s="1317"/>
      <c r="EX802" s="1318"/>
    </row>
    <row r="803" spans="1:154" s="13" customFormat="1" ht="13" customHeight="1">
      <c r="A803"/>
      <c r="B803"/>
      <c r="C803"/>
      <c r="D803"/>
      <c r="E803"/>
      <c r="F803"/>
      <c r="G803"/>
      <c r="H803"/>
      <c r="I803"/>
      <c r="J803" s="1333"/>
      <c r="K803" s="1334"/>
      <c r="L803" s="1334"/>
      <c r="M803" s="1334"/>
      <c r="N803" s="1335"/>
      <c r="O803" s="1466"/>
      <c r="P803" s="1466"/>
      <c r="Q803" s="1466"/>
      <c r="R803" s="1466"/>
      <c r="S803" s="1466"/>
      <c r="T803" s="1533"/>
      <c r="U803" s="1534"/>
      <c r="V803" s="1534"/>
      <c r="W803" s="1535"/>
      <c r="X803" s="1349"/>
      <c r="Y803" s="1350"/>
      <c r="Z803" s="1350"/>
      <c r="AA803" s="1350"/>
      <c r="AB803" s="1351"/>
      <c r="AC803" s="1336">
        <f t="shared" si="42"/>
        <v>0</v>
      </c>
      <c r="AD803" s="1337"/>
      <c r="AE803" s="1337"/>
      <c r="AF803" s="1337"/>
      <c r="AG803" s="133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16">
        <f t="shared" si="43"/>
        <v>0</v>
      </c>
      <c r="CQ803" s="1317"/>
      <c r="CR803" s="1317"/>
      <c r="CS803" s="1317"/>
      <c r="CT803" s="1318"/>
      <c r="CU803" s="1316">
        <f t="shared" si="44"/>
        <v>0</v>
      </c>
      <c r="CV803" s="1317"/>
      <c r="CW803" s="1317"/>
      <c r="CX803" s="1317"/>
      <c r="CY803" s="1318"/>
      <c r="CZ803" s="1316">
        <f t="shared" si="45"/>
        <v>0</v>
      </c>
      <c r="DA803" s="1317"/>
      <c r="DB803" s="1317"/>
      <c r="DC803" s="1317"/>
      <c r="DD803" s="1318"/>
      <c r="DE803" s="1316">
        <f t="shared" si="46"/>
        <v>0</v>
      </c>
      <c r="DF803" s="1317"/>
      <c r="DG803" s="1317"/>
      <c r="DH803" s="1317"/>
      <c r="DI803" s="1318"/>
      <c r="DJ803" s="1316">
        <f t="shared" si="47"/>
        <v>0</v>
      </c>
      <c r="DK803" s="1317"/>
      <c r="DL803" s="1317"/>
      <c r="DM803" s="1317"/>
      <c r="DN803" s="1318"/>
      <c r="DO803" s="1316">
        <f t="shared" si="48"/>
        <v>0</v>
      </c>
      <c r="DP803" s="1317"/>
      <c r="DQ803" s="1317"/>
      <c r="DR803" s="1317"/>
      <c r="DS803" s="1318"/>
      <c r="DT803" s="257"/>
      <c r="DU803" s="1316">
        <f t="shared" si="49"/>
        <v>0</v>
      </c>
      <c r="DV803" s="1317"/>
      <c r="DW803" s="1317"/>
      <c r="DX803" s="1317"/>
      <c r="DY803" s="1318"/>
      <c r="DZ803" s="1316">
        <f t="shared" si="50"/>
        <v>0</v>
      </c>
      <c r="EA803" s="1317"/>
      <c r="EB803" s="1317"/>
      <c r="EC803" s="1317"/>
      <c r="ED803" s="1318"/>
      <c r="EE803" s="1316">
        <f t="shared" si="51"/>
        <v>0</v>
      </c>
      <c r="EF803" s="1317"/>
      <c r="EG803" s="1317"/>
      <c r="EH803" s="1317"/>
      <c r="EI803" s="1318"/>
      <c r="EJ803" s="1316">
        <f t="shared" si="52"/>
        <v>0</v>
      </c>
      <c r="EK803" s="1317"/>
      <c r="EL803" s="1317"/>
      <c r="EM803" s="1317"/>
      <c r="EN803" s="1318"/>
      <c r="EO803" s="1316">
        <f t="shared" si="53"/>
        <v>0</v>
      </c>
      <c r="EP803" s="1317"/>
      <c r="EQ803" s="1317"/>
      <c r="ER803" s="1317"/>
      <c r="ES803" s="1318"/>
      <c r="ET803" s="1316">
        <f t="shared" si="54"/>
        <v>0</v>
      </c>
      <c r="EU803" s="1317"/>
      <c r="EV803" s="1317"/>
      <c r="EW803" s="1317"/>
      <c r="EX803" s="1318"/>
    </row>
    <row r="804" spans="1:154" s="4" customFormat="1" ht="13" customHeight="1">
      <c r="A804"/>
      <c r="B804"/>
      <c r="C804"/>
      <c r="D804"/>
      <c r="E804"/>
      <c r="F804"/>
      <c r="G804"/>
      <c r="H804"/>
      <c r="I804"/>
      <c r="J804" s="1333"/>
      <c r="K804" s="1334"/>
      <c r="L804" s="1334"/>
      <c r="M804" s="1334"/>
      <c r="N804" s="1335"/>
      <c r="O804" s="1466"/>
      <c r="P804" s="1466"/>
      <c r="Q804" s="1466"/>
      <c r="R804" s="1466"/>
      <c r="S804" s="1466"/>
      <c r="T804" s="1533"/>
      <c r="U804" s="1534"/>
      <c r="V804" s="1534"/>
      <c r="W804" s="1535"/>
      <c r="X804" s="1349"/>
      <c r="Y804" s="1350"/>
      <c r="Z804" s="1350"/>
      <c r="AA804" s="1350"/>
      <c r="AB804" s="1351"/>
      <c r="AC804" s="1336">
        <f t="shared" si="42"/>
        <v>0</v>
      </c>
      <c r="AD804" s="1337"/>
      <c r="AE804" s="1337"/>
      <c r="AF804" s="1337"/>
      <c r="AG804" s="1338"/>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16">
        <f t="shared" si="43"/>
        <v>0</v>
      </c>
      <c r="CQ804" s="1317"/>
      <c r="CR804" s="1317"/>
      <c r="CS804" s="1317"/>
      <c r="CT804" s="1318"/>
      <c r="CU804" s="1316">
        <f t="shared" si="44"/>
        <v>0</v>
      </c>
      <c r="CV804" s="1317"/>
      <c r="CW804" s="1317"/>
      <c r="CX804" s="1317"/>
      <c r="CY804" s="1318"/>
      <c r="CZ804" s="1316">
        <f t="shared" si="45"/>
        <v>0</v>
      </c>
      <c r="DA804" s="1317"/>
      <c r="DB804" s="1317"/>
      <c r="DC804" s="1317"/>
      <c r="DD804" s="1318"/>
      <c r="DE804" s="1316">
        <f t="shared" si="46"/>
        <v>0</v>
      </c>
      <c r="DF804" s="1317"/>
      <c r="DG804" s="1317"/>
      <c r="DH804" s="1317"/>
      <c r="DI804" s="1318"/>
      <c r="DJ804" s="1316">
        <f t="shared" si="47"/>
        <v>0</v>
      </c>
      <c r="DK804" s="1317"/>
      <c r="DL804" s="1317"/>
      <c r="DM804" s="1317"/>
      <c r="DN804" s="1318"/>
      <c r="DO804" s="1316">
        <f t="shared" si="48"/>
        <v>0</v>
      </c>
      <c r="DP804" s="1317"/>
      <c r="DQ804" s="1317"/>
      <c r="DR804" s="1317"/>
      <c r="DS804" s="1318"/>
      <c r="DT804" s="257"/>
      <c r="DU804" s="1316">
        <f t="shared" si="49"/>
        <v>0</v>
      </c>
      <c r="DV804" s="1317"/>
      <c r="DW804" s="1317"/>
      <c r="DX804" s="1317"/>
      <c r="DY804" s="1318"/>
      <c r="DZ804" s="1316">
        <f t="shared" si="50"/>
        <v>0</v>
      </c>
      <c r="EA804" s="1317"/>
      <c r="EB804" s="1317"/>
      <c r="EC804" s="1317"/>
      <c r="ED804" s="1318"/>
      <c r="EE804" s="1316">
        <f t="shared" si="51"/>
        <v>0</v>
      </c>
      <c r="EF804" s="1317"/>
      <c r="EG804" s="1317"/>
      <c r="EH804" s="1317"/>
      <c r="EI804" s="1318"/>
      <c r="EJ804" s="1316">
        <f t="shared" si="52"/>
        <v>0</v>
      </c>
      <c r="EK804" s="1317"/>
      <c r="EL804" s="1317"/>
      <c r="EM804" s="1317"/>
      <c r="EN804" s="1318"/>
      <c r="EO804" s="1316">
        <f t="shared" si="53"/>
        <v>0</v>
      </c>
      <c r="EP804" s="1317"/>
      <c r="EQ804" s="1317"/>
      <c r="ER804" s="1317"/>
      <c r="ES804" s="1318"/>
      <c r="ET804" s="1316">
        <f t="shared" si="54"/>
        <v>0</v>
      </c>
      <c r="EU804" s="1317"/>
      <c r="EV804" s="1317"/>
      <c r="EW804" s="1317"/>
      <c r="EX804" s="1318"/>
    </row>
    <row r="805" spans="1:154" s="4" customFormat="1" ht="13" customHeight="1">
      <c r="A805"/>
      <c r="B805"/>
      <c r="C805"/>
      <c r="D805"/>
      <c r="E805"/>
      <c r="F805"/>
      <c r="G805"/>
      <c r="H805"/>
      <c r="I805"/>
      <c r="J805" s="1380" t="s">
        <v>1500</v>
      </c>
      <c r="K805" s="1381"/>
      <c r="L805" s="1381"/>
      <c r="M805" s="1381"/>
      <c r="N805" s="1383"/>
      <c r="O805" s="1352">
        <f>SUM(O795:S804)</f>
        <v>0</v>
      </c>
      <c r="P805" s="1352"/>
      <c r="Q805" s="1352"/>
      <c r="R805" s="1352"/>
      <c r="S805" s="1352"/>
      <c r="T805"/>
      <c r="U805"/>
      <c r="V805"/>
      <c r="W805"/>
      <c r="X805" s="794" t="s">
        <v>1501</v>
      </c>
      <c r="Y805" s="10"/>
      <c r="Z805" s="10"/>
      <c r="AA805" s="10"/>
      <c r="AB805" s="801"/>
      <c r="AC805" s="1336">
        <f>SUM(AC795:AG804)</f>
        <v>0</v>
      </c>
      <c r="AD805" s="1337"/>
      <c r="AE805" s="1337"/>
      <c r="AF805" s="1337"/>
      <c r="AG805" s="1338"/>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19">
        <f>SUM(CP795:CT804)</f>
        <v>0</v>
      </c>
      <c r="CQ805" s="1320"/>
      <c r="CR805" s="1320"/>
      <c r="CS805" s="1320"/>
      <c r="CT805" s="1321"/>
      <c r="CU805" s="1319">
        <f>SUM(CU795:CY804)</f>
        <v>0</v>
      </c>
      <c r="CV805" s="1320"/>
      <c r="CW805" s="1320"/>
      <c r="CX805" s="1320"/>
      <c r="CY805" s="1321"/>
      <c r="CZ805" s="1319">
        <f>SUM(CZ795:DD804)</f>
        <v>0</v>
      </c>
      <c r="DA805" s="1320"/>
      <c r="DB805" s="1320"/>
      <c r="DC805" s="1320"/>
      <c r="DD805" s="1321"/>
      <c r="DE805" s="1319">
        <f>SUM(DE795:DI804)</f>
        <v>0</v>
      </c>
      <c r="DF805" s="1320"/>
      <c r="DG805" s="1320"/>
      <c r="DH805" s="1320"/>
      <c r="DI805" s="1321"/>
      <c r="DJ805" s="1319">
        <f>SUM(DJ795:DN804)</f>
        <v>0</v>
      </c>
      <c r="DK805" s="1320"/>
      <c r="DL805" s="1320"/>
      <c r="DM805" s="1320"/>
      <c r="DN805" s="1321"/>
      <c r="DO805" s="1319">
        <f>SUM(DO795:DS804)</f>
        <v>0</v>
      </c>
      <c r="DP805" s="1320"/>
      <c r="DQ805" s="1320"/>
      <c r="DR805" s="1320"/>
      <c r="DS805" s="1321"/>
      <c r="DT805" s="257"/>
      <c r="DU805" s="1319">
        <f>SUM(DU795:DY804)</f>
        <v>0</v>
      </c>
      <c r="DV805" s="1320"/>
      <c r="DW805" s="1320"/>
      <c r="DX805" s="1320"/>
      <c r="DY805" s="1321"/>
      <c r="DZ805" s="1319">
        <f>SUM(DZ795:ED804)</f>
        <v>0</v>
      </c>
      <c r="EA805" s="1320"/>
      <c r="EB805" s="1320"/>
      <c r="EC805" s="1320"/>
      <c r="ED805" s="1321"/>
      <c r="EE805" s="1319">
        <f>SUM(EE795:EI804)</f>
        <v>0</v>
      </c>
      <c r="EF805" s="1320"/>
      <c r="EG805" s="1320"/>
      <c r="EH805" s="1320"/>
      <c r="EI805" s="1321"/>
      <c r="EJ805" s="1319">
        <f>SUM(EJ795:EN804)</f>
        <v>0</v>
      </c>
      <c r="EK805" s="1320"/>
      <c r="EL805" s="1320"/>
      <c r="EM805" s="1320"/>
      <c r="EN805" s="1321"/>
      <c r="EO805" s="1319">
        <f>SUM(EO795:ES804)</f>
        <v>0</v>
      </c>
      <c r="EP805" s="1320"/>
      <c r="EQ805" s="1320"/>
      <c r="ER805" s="1320"/>
      <c r="ES805" s="1321"/>
      <c r="ET805" s="1319">
        <f>SUM(ET795:EX804)</f>
        <v>0</v>
      </c>
      <c r="EU805" s="1320"/>
      <c r="EV805" s="1320"/>
      <c r="EW805" s="1320"/>
      <c r="EX805" s="1321"/>
    </row>
    <row r="806" spans="1:154" s="4" customFormat="1" ht="13" customHeight="1">
      <c r="A806"/>
      <c r="B806"/>
      <c r="C806" s="1567" t="str">
        <f>IF(O805&lt;&gt;AG447,"! Total market rate units in the Unit Mix Table above does not match the number of  market rate units on row #"&amp;TEXT(ROW(D447),"#"),"")</f>
        <v/>
      </c>
      <c r="D806" s="1567"/>
      <c r="E806" s="1567"/>
      <c r="F806" s="1567"/>
      <c r="G806" s="1567"/>
      <c r="H806" s="1567"/>
      <c r="I806" s="1567"/>
      <c r="J806" s="1567"/>
      <c r="K806" s="1567"/>
      <c r="L806" s="1567"/>
      <c r="M806" s="1567"/>
      <c r="N806" s="1567"/>
      <c r="O806" s="1567"/>
      <c r="P806" s="1567"/>
      <c r="Q806" s="1567"/>
      <c r="R806" s="1567"/>
      <c r="S806" s="1567"/>
      <c r="T806" s="1567"/>
      <c r="U806" s="1567"/>
      <c r="V806" s="1567"/>
      <c r="W806" s="1567"/>
      <c r="X806" s="1567"/>
      <c r="Y806" s="1567"/>
      <c r="Z806" s="1567"/>
      <c r="AA806" s="1567"/>
      <c r="AB806" s="1567"/>
      <c r="AC806" s="1567"/>
      <c r="AD806" s="1567"/>
      <c r="AE806" s="1567"/>
      <c r="AF806" s="1567"/>
      <c r="AG806" s="1567"/>
      <c r="AH806" s="1567"/>
      <c r="AI806" s="1567"/>
      <c r="AJ806" s="1567"/>
      <c r="AK806" s="1567"/>
      <c r="AL806" s="1567"/>
      <c r="AM806" s="1567"/>
      <c r="AN806" s="1567"/>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567"/>
      <c r="D807" s="1567"/>
      <c r="E807" s="1567"/>
      <c r="F807" s="1567"/>
      <c r="G807" s="1567"/>
      <c r="H807" s="1567"/>
      <c r="I807" s="1567"/>
      <c r="J807" s="1567"/>
      <c r="K807" s="1567"/>
      <c r="L807" s="1567"/>
      <c r="M807" s="1567"/>
      <c r="N807" s="1567"/>
      <c r="O807" s="1567"/>
      <c r="P807" s="1567"/>
      <c r="Q807" s="1567"/>
      <c r="R807" s="1567"/>
      <c r="S807" s="1567"/>
      <c r="T807" s="1567"/>
      <c r="U807" s="1567"/>
      <c r="V807" s="1567"/>
      <c r="W807" s="1567"/>
      <c r="X807" s="1567"/>
      <c r="Y807" s="1567"/>
      <c r="Z807" s="1567"/>
      <c r="AA807" s="1567"/>
      <c r="AB807" s="1567"/>
      <c r="AC807" s="1567"/>
      <c r="AD807" s="1567"/>
      <c r="AE807" s="1567"/>
      <c r="AF807" s="1567"/>
      <c r="AG807" s="1567"/>
      <c r="AH807" s="1567"/>
      <c r="AI807" s="1567"/>
      <c r="AJ807" s="1567"/>
      <c r="AK807" s="1567"/>
      <c r="AL807" s="1567"/>
      <c r="AM807" s="1567"/>
      <c r="AN807" s="1567"/>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1523</v>
      </c>
      <c r="DW807" s="3"/>
      <c r="DX807" s="3"/>
      <c r="DY807" s="3"/>
      <c r="DZ807" s="3"/>
      <c r="EA807" s="3"/>
      <c r="EB807" s="3"/>
      <c r="EC807" s="3"/>
      <c r="ED807" s="3"/>
      <c r="EE807" s="3"/>
      <c r="EF807" s="3"/>
      <c r="EG807" s="3"/>
      <c r="EH807" s="3"/>
      <c r="EI807"/>
      <c r="EJ807"/>
      <c r="EK807"/>
      <c r="EL807"/>
      <c r="EM807"/>
      <c r="EN807"/>
      <c r="EO807"/>
      <c r="EP807"/>
      <c r="EQ807"/>
      <c r="ER807"/>
      <c r="ES807" s="48" t="s">
        <v>1524</v>
      </c>
      <c r="ET807" s="1329">
        <f>SUM(DU805:EX805)</f>
        <v>0</v>
      </c>
      <c r="EU807" s="1330"/>
      <c r="EV807" s="1330"/>
      <c r="EW807" s="1330"/>
      <c r="EX807" s="1331"/>
    </row>
    <row r="808" spans="1:154" s="4" customFormat="1" ht="13" customHeight="1">
      <c r="A808"/>
      <c r="B808"/>
      <c r="C808"/>
      <c r="D808"/>
      <c r="E808"/>
      <c r="F808"/>
      <c r="G808"/>
      <c r="H808"/>
      <c r="I808"/>
      <c r="J808" s="37"/>
      <c r="K808" s="5"/>
      <c r="L808" s="5"/>
      <c r="M808" s="5"/>
      <c r="N808" s="5"/>
      <c r="O808" s="5"/>
      <c r="P808" s="5"/>
      <c r="Q808" s="5"/>
      <c r="R808" s="5"/>
      <c r="S808" s="5"/>
      <c r="T808" s="5"/>
      <c r="U808" s="5"/>
      <c r="V808" s="5"/>
      <c r="W808" s="5"/>
      <c r="X808" s="46" t="s">
        <v>1525</v>
      </c>
      <c r="Y808" s="1566">
        <f>O761+AC785+AC805</f>
        <v>287776</v>
      </c>
      <c r="Z808" s="1566"/>
      <c r="AA808" s="1566"/>
      <c r="AB808" s="1566"/>
      <c r="AC808" s="1566"/>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1526</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39"/>
      <c r="K809" s="40"/>
      <c r="L809" s="40"/>
      <c r="M809" s="40"/>
      <c r="N809" s="40"/>
      <c r="O809" s="40"/>
      <c r="P809" s="40"/>
      <c r="Q809" s="40"/>
      <c r="R809" s="40"/>
      <c r="S809" s="40"/>
      <c r="T809" s="40"/>
      <c r="U809" s="40"/>
      <c r="V809" s="40"/>
      <c r="W809" s="40"/>
      <c r="X809" s="69" t="s">
        <v>1527</v>
      </c>
      <c r="Y809" s="1566">
        <f>(O761+AC785+AC805)*12</f>
        <v>3453312</v>
      </c>
      <c r="Z809" s="1566"/>
      <c r="AA809" s="1566"/>
      <c r="AB809" s="1566"/>
      <c r="AC809" s="1566"/>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1528</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3"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19">
        <f>CP761+CP785+CP805</f>
        <v>0</v>
      </c>
      <c r="CQ810" s="1320"/>
      <c r="CR810" s="1320"/>
      <c r="CS810" s="1320"/>
      <c r="CT810" s="1321"/>
      <c r="CU810" s="1319">
        <f>CU761+CU785+CU805</f>
        <v>15</v>
      </c>
      <c r="CV810" s="1320"/>
      <c r="CW810" s="1320"/>
      <c r="CX810" s="1320"/>
      <c r="CY810" s="1321"/>
      <c r="CZ810" s="1319">
        <f>CZ761+CZ785+CZ805</f>
        <v>44</v>
      </c>
      <c r="DA810" s="1320"/>
      <c r="DB810" s="1320"/>
      <c r="DC810" s="1320"/>
      <c r="DD810" s="1321"/>
      <c r="DE810" s="1319">
        <f>DE761+DE785+DE805</f>
        <v>54</v>
      </c>
      <c r="DF810" s="1320"/>
      <c r="DG810" s="1320"/>
      <c r="DH810" s="1320"/>
      <c r="DI810" s="1321"/>
      <c r="DJ810" s="1319">
        <f>DJ761+DJ785+DJ805</f>
        <v>0</v>
      </c>
      <c r="DK810" s="1320"/>
      <c r="DL810" s="1320"/>
      <c r="DM810" s="1320"/>
      <c r="DN810" s="1321"/>
      <c r="DO810" s="1319">
        <f>DO805+DO785+DO761</f>
        <v>0</v>
      </c>
      <c r="DP810" s="1320"/>
      <c r="DQ810" s="1320"/>
      <c r="DR810" s="1320"/>
      <c r="DS810" s="1321"/>
      <c r="DT810" s="3"/>
      <c r="DU810" s="756">
        <f>DU763+DU808</f>
        <v>262</v>
      </c>
      <c r="DV810" s="49" t="s">
        <v>1529</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3" customHeight="1">
      <c r="A811" s="2" t="s">
        <v>1023</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3" customHeight="1">
      <c r="A812" s="2"/>
      <c r="B812" s="2"/>
      <c r="C812" s="2" t="s">
        <v>1530</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3"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3" customHeight="1">
      <c r="A814"/>
      <c r="B814"/>
      <c r="C814"/>
      <c r="D814"/>
      <c r="E814"/>
      <c r="F814"/>
      <c r="G814"/>
      <c r="H814" s="37" t="s">
        <v>1531</v>
      </c>
      <c r="I814" s="5"/>
      <c r="J814" s="5"/>
      <c r="K814" s="5"/>
      <c r="L814" s="5"/>
      <c r="M814" s="5"/>
      <c r="N814" s="5"/>
      <c r="O814" s="5"/>
      <c r="P814" s="5"/>
      <c r="Q814" s="5"/>
      <c r="R814" s="5"/>
      <c r="S814" s="5"/>
      <c r="T814" s="5"/>
      <c r="U814" s="5"/>
      <c r="V814" s="5"/>
      <c r="W814" s="5"/>
      <c r="X814" s="5"/>
      <c r="Y814" s="5"/>
      <c r="Z814" s="1539"/>
      <c r="AA814" s="1540"/>
      <c r="AB814" s="1540"/>
      <c r="AC814" s="1540"/>
      <c r="AD814" s="1540"/>
      <c r="AE814" s="1541"/>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3" customHeight="1">
      <c r="A815"/>
      <c r="B815"/>
      <c r="C815"/>
      <c r="D815"/>
      <c r="E815"/>
      <c r="F815"/>
      <c r="G815"/>
      <c r="H815" s="37" t="s">
        <v>1532</v>
      </c>
      <c r="I815" s="5"/>
      <c r="J815" s="5"/>
      <c r="K815" s="5"/>
      <c r="L815" s="5"/>
      <c r="M815" s="5"/>
      <c r="N815" s="5"/>
      <c r="O815" s="5"/>
      <c r="P815" s="5"/>
      <c r="Q815" s="5"/>
      <c r="R815" s="5"/>
      <c r="S815" s="5"/>
      <c r="T815" s="5"/>
      <c r="U815" s="5"/>
      <c r="V815" s="5"/>
      <c r="W815" s="5"/>
      <c r="X815" s="5"/>
      <c r="Y815" s="5"/>
      <c r="Z815" s="1572"/>
      <c r="AA815" s="1540"/>
      <c r="AB815" s="1540"/>
      <c r="AC815" s="1540"/>
      <c r="AD815" s="1540"/>
      <c r="AE815" s="1541"/>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3" customHeight="1">
      <c r="A816"/>
      <c r="B816"/>
      <c r="C816"/>
      <c r="D816"/>
      <c r="E816"/>
      <c r="F816"/>
      <c r="G816"/>
      <c r="H816" s="37" t="s">
        <v>1533</v>
      </c>
      <c r="I816" s="5"/>
      <c r="J816" s="5"/>
      <c r="K816" s="5"/>
      <c r="L816" s="5"/>
      <c r="M816" s="5"/>
      <c r="N816" s="5"/>
      <c r="O816" s="5"/>
      <c r="P816" s="5"/>
      <c r="Q816" s="5"/>
      <c r="R816" s="5"/>
      <c r="S816" s="5"/>
      <c r="T816" s="5"/>
      <c r="U816" s="5"/>
      <c r="V816" s="5"/>
      <c r="W816" s="5"/>
      <c r="X816" s="5"/>
      <c r="Y816" s="5"/>
      <c r="Z816" s="1610">
        <v>0</v>
      </c>
      <c r="AA816" s="1467"/>
      <c r="AB816" s="1467"/>
      <c r="AC816" s="1467"/>
      <c r="AD816" s="1467"/>
      <c r="AE816" s="1611"/>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1534</v>
      </c>
      <c r="Z817" s="1446">
        <f>'Subsidy Contract Calculation'!J40</f>
        <v>0</v>
      </c>
      <c r="AA817" s="1447"/>
      <c r="AB817" s="1447"/>
      <c r="AC817" s="1447"/>
      <c r="AD817" s="1447"/>
      <c r="AE817" s="1448"/>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s="2" t="s">
        <v>1035</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c r="D821"/>
      <c r="E821"/>
      <c r="F821"/>
      <c r="G821"/>
      <c r="H821" s="37" t="s">
        <v>1535</v>
      </c>
      <c r="I821" s="5"/>
      <c r="J821" s="5"/>
      <c r="K821" s="5"/>
      <c r="L821" s="5"/>
      <c r="M821" s="5"/>
      <c r="N821" s="5"/>
      <c r="O821" s="5"/>
      <c r="P821" s="5"/>
      <c r="Q821" s="5"/>
      <c r="R821" s="5"/>
      <c r="S821" s="5"/>
      <c r="T821" s="5"/>
      <c r="U821" s="5"/>
      <c r="V821" s="5"/>
      <c r="W821" s="5"/>
      <c r="X821" s="5"/>
      <c r="Y821" s="5"/>
      <c r="Z821" s="1436">
        <v>16272</v>
      </c>
      <c r="AA821" s="1322"/>
      <c r="AB821" s="1322"/>
      <c r="AC821" s="1322"/>
      <c r="AD821" s="1322"/>
      <c r="AE821" s="1323"/>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c r="C822"/>
      <c r="D822"/>
      <c r="E822"/>
      <c r="F822"/>
      <c r="G822"/>
      <c r="H822" s="37" t="s">
        <v>1536</v>
      </c>
      <c r="I822" s="5"/>
      <c r="J822" s="5"/>
      <c r="K822" s="5"/>
      <c r="L822" s="5"/>
      <c r="M822" s="5"/>
      <c r="N822" s="5"/>
      <c r="O822" s="5"/>
      <c r="P822" s="5"/>
      <c r="Q822" s="5"/>
      <c r="R822" s="5"/>
      <c r="S822" s="5"/>
      <c r="T822" s="5"/>
      <c r="U822" s="5"/>
      <c r="V822" s="5"/>
      <c r="W822" s="5"/>
      <c r="X822" s="5"/>
      <c r="Y822" s="5"/>
      <c r="Z822" s="1436"/>
      <c r="AA822" s="1322"/>
      <c r="AB822" s="1322"/>
      <c r="AC822" s="1322"/>
      <c r="AD822" s="1322"/>
      <c r="AE822" s="1323"/>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3" customHeight="1">
      <c r="A823"/>
      <c r="B823"/>
      <c r="C823"/>
      <c r="D823"/>
      <c r="E823"/>
      <c r="F823"/>
      <c r="G823"/>
      <c r="H823" s="37" t="s">
        <v>1537</v>
      </c>
      <c r="I823" s="5"/>
      <c r="J823" s="5"/>
      <c r="K823" s="5"/>
      <c r="L823" s="5"/>
      <c r="M823" s="5"/>
      <c r="N823" s="5"/>
      <c r="O823" s="5"/>
      <c r="P823" s="5"/>
      <c r="Q823" s="5"/>
      <c r="R823" s="5"/>
      <c r="S823" s="5"/>
      <c r="T823" s="5"/>
      <c r="U823" s="5"/>
      <c r="V823" s="5"/>
      <c r="W823" s="5"/>
      <c r="X823" s="5"/>
      <c r="Y823" s="5"/>
      <c r="Z823" s="1436"/>
      <c r="AA823" s="1322"/>
      <c r="AB823" s="1322"/>
      <c r="AC823" s="1322"/>
      <c r="AD823" s="1322"/>
      <c r="AE823" s="1323"/>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3" customHeight="1">
      <c r="A824"/>
      <c r="B824"/>
      <c r="C824"/>
      <c r="D824"/>
      <c r="E824"/>
      <c r="F824"/>
      <c r="G824"/>
      <c r="H824" s="37" t="s">
        <v>1538</v>
      </c>
      <c r="I824" s="5"/>
      <c r="J824" s="5"/>
      <c r="K824" s="5"/>
      <c r="L824" s="5"/>
      <c r="M824" s="5"/>
      <c r="N824" s="5"/>
      <c r="O824" s="5"/>
      <c r="P824" s="1561" t="s">
        <v>1539</v>
      </c>
      <c r="Q824" s="1562"/>
      <c r="R824" s="1562"/>
      <c r="S824" s="1562"/>
      <c r="T824" s="1562"/>
      <c r="U824" s="1562"/>
      <c r="V824" s="1562"/>
      <c r="W824" s="1562"/>
      <c r="X824" s="1562"/>
      <c r="Y824" s="1563"/>
      <c r="Z824" s="1436">
        <v>5424</v>
      </c>
      <c r="AA824" s="1322"/>
      <c r="AB824" s="1322"/>
      <c r="AC824" s="1322"/>
      <c r="AD824" s="1322"/>
      <c r="AE824" s="1323"/>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3" customHeight="1">
      <c r="A825"/>
      <c r="B825"/>
      <c r="C825"/>
      <c r="D825"/>
      <c r="E825"/>
      <c r="F825"/>
      <c r="G825"/>
      <c r="H825" s="37"/>
      <c r="I825" s="5"/>
      <c r="J825" s="5"/>
      <c r="K825" s="5"/>
      <c r="L825" s="5"/>
      <c r="M825" s="5"/>
      <c r="N825" s="5"/>
      <c r="O825" s="5"/>
      <c r="P825" s="5"/>
      <c r="Q825" s="5"/>
      <c r="R825" s="5"/>
      <c r="S825" s="5"/>
      <c r="T825" s="5"/>
      <c r="U825" s="5"/>
      <c r="V825" s="5"/>
      <c r="W825" s="5"/>
      <c r="X825" s="5"/>
      <c r="Y825" s="45" t="s">
        <v>1540</v>
      </c>
      <c r="Z825" s="1446">
        <f>SUM(Z821:AE824)</f>
        <v>21696</v>
      </c>
      <c r="AA825" s="1447"/>
      <c r="AB825" s="1447"/>
      <c r="AC825" s="1447"/>
      <c r="AD825" s="1447"/>
      <c r="AE825" s="1448"/>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3" customHeight="1">
      <c r="A826"/>
      <c r="B826"/>
      <c r="C826"/>
      <c r="D826"/>
      <c r="E826"/>
      <c r="F826"/>
      <c r="G826"/>
      <c r="H826" s="37"/>
      <c r="I826" s="5"/>
      <c r="J826" s="5"/>
      <c r="K826" s="5"/>
      <c r="L826" s="5"/>
      <c r="M826" s="5"/>
      <c r="N826" s="5"/>
      <c r="O826" s="5"/>
      <c r="P826" s="5"/>
      <c r="Q826" s="5"/>
      <c r="R826" s="5"/>
      <c r="S826" s="5"/>
      <c r="T826" s="5"/>
      <c r="U826" s="5"/>
      <c r="V826" s="5"/>
      <c r="W826" s="5"/>
      <c r="X826" s="5"/>
      <c r="Y826" s="45" t="s">
        <v>1541</v>
      </c>
      <c r="Z826" s="1446">
        <f>Z825+Y809+Z817</f>
        <v>3475008</v>
      </c>
      <c r="AA826" s="1447"/>
      <c r="AB826" s="1447"/>
      <c r="AC826" s="1447"/>
      <c r="AD826" s="1447"/>
      <c r="AE826" s="1448"/>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3"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3" customHeight="1">
      <c r="A828" s="2" t="s">
        <v>1062</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3" customHeight="1">
      <c r="A829"/>
      <c r="B829"/>
      <c r="C829" s="19" t="s">
        <v>1542</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3"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3" customHeight="1">
      <c r="A831"/>
      <c r="B831"/>
      <c r="C831" s="33"/>
      <c r="D831" s="34"/>
      <c r="E831" s="34"/>
      <c r="F831" s="34"/>
      <c r="G831" s="34"/>
      <c r="H831" s="34"/>
      <c r="I831" s="34"/>
      <c r="J831" s="34"/>
      <c r="K831" s="34"/>
      <c r="L831" s="50"/>
      <c r="M831" s="1663" t="s">
        <v>1543</v>
      </c>
      <c r="N831" s="1663"/>
      <c r="O831" s="1663"/>
      <c r="P831" s="1664"/>
      <c r="Q831" s="1602" t="s">
        <v>1544</v>
      </c>
      <c r="R831" s="1602"/>
      <c r="S831" s="1602"/>
      <c r="T831" s="1602"/>
      <c r="U831" s="1602" t="s">
        <v>1545</v>
      </c>
      <c r="V831" s="1602"/>
      <c r="W831" s="1602"/>
      <c r="X831" s="1602"/>
      <c r="Y831" s="1602" t="s">
        <v>1546</v>
      </c>
      <c r="Z831" s="1602"/>
      <c r="AA831" s="1602"/>
      <c r="AB831" s="1602"/>
      <c r="AC831" s="1602" t="s">
        <v>1547</v>
      </c>
      <c r="AD831" s="1602"/>
      <c r="AE831" s="1602"/>
      <c r="AF831" s="1602"/>
      <c r="AG831" s="1568" t="s">
        <v>1548</v>
      </c>
      <c r="AH831" s="1568"/>
      <c r="AI831" s="1568"/>
      <c r="AJ831" s="1568"/>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3" customHeight="1">
      <c r="A832"/>
      <c r="B832"/>
      <c r="C832" s="39"/>
      <c r="D832" s="40"/>
      <c r="E832" s="40"/>
      <c r="F832" s="40"/>
      <c r="G832" s="40"/>
      <c r="H832" s="40"/>
      <c r="I832" s="40"/>
      <c r="J832" s="40"/>
      <c r="K832" s="40"/>
      <c r="L832" s="41"/>
      <c r="M832" s="1665"/>
      <c r="N832" s="1665"/>
      <c r="O832" s="1665"/>
      <c r="P832" s="1666"/>
      <c r="Q832" s="1602"/>
      <c r="R832" s="1602"/>
      <c r="S832" s="1602"/>
      <c r="T832" s="1602"/>
      <c r="U832" s="1602"/>
      <c r="V832" s="1602"/>
      <c r="W832" s="1602"/>
      <c r="X832" s="1602"/>
      <c r="Y832" s="1602"/>
      <c r="Z832" s="1602"/>
      <c r="AA832" s="1602"/>
      <c r="AB832" s="1602"/>
      <c r="AC832" s="1602"/>
      <c r="AD832" s="1602"/>
      <c r="AE832" s="1602"/>
      <c r="AF832" s="1602"/>
      <c r="AG832" s="1568"/>
      <c r="AH832" s="1568"/>
      <c r="AI832" s="1568"/>
      <c r="AJ832" s="1568"/>
      <c r="AK832"/>
      <c r="AL832" s="3"/>
      <c r="AM832" s="3"/>
      <c r="AN832" s="3"/>
      <c r="AO832" s="3"/>
      <c r="AP832" s="3"/>
      <c r="AQ832" s="3"/>
      <c r="AR832" s="3"/>
      <c r="AS832" s="3"/>
      <c r="AT832" s="3"/>
      <c r="AU832"/>
      <c r="AV832" s="3"/>
      <c r="AW832" s="3"/>
      <c r="AX832" s="3"/>
      <c r="AY832" s="3"/>
      <c r="AZ832" s="25"/>
      <c r="BA832" s="25"/>
    </row>
    <row r="833" spans="1:53" s="13" customFormat="1" ht="13" customHeight="1">
      <c r="A833"/>
      <c r="B833"/>
      <c r="C833" s="1560" t="s">
        <v>1549</v>
      </c>
      <c r="D833" s="1444"/>
      <c r="E833" s="1444"/>
      <c r="F833" s="1444"/>
      <c r="G833" s="1444"/>
      <c r="H833" s="1444"/>
      <c r="I833" s="40"/>
      <c r="J833" s="40"/>
      <c r="K833" s="40"/>
      <c r="L833" s="41"/>
      <c r="M833" s="1565"/>
      <c r="N833" s="1565"/>
      <c r="O833" s="1565"/>
      <c r="P833" s="1565"/>
      <c r="Q833" s="1565">
        <v>19</v>
      </c>
      <c r="R833" s="1565"/>
      <c r="S833" s="1565"/>
      <c r="T833" s="1565"/>
      <c r="U833" s="1565">
        <v>23</v>
      </c>
      <c r="V833" s="1565"/>
      <c r="W833" s="1565"/>
      <c r="X833" s="1565"/>
      <c r="Y833" s="1565">
        <v>28</v>
      </c>
      <c r="Z833" s="1565"/>
      <c r="AA833" s="1565"/>
      <c r="AB833" s="1565"/>
      <c r="AC833" s="1433"/>
      <c r="AD833" s="1434"/>
      <c r="AE833" s="1434"/>
      <c r="AF833" s="1435"/>
      <c r="AG833" s="1433"/>
      <c r="AH833" s="1434"/>
      <c r="AI833" s="1434"/>
      <c r="AJ833" s="1435"/>
      <c r="AK833"/>
      <c r="AL833" s="3"/>
      <c r="AM833" s="3"/>
      <c r="AN833" s="3"/>
      <c r="AO833" s="3"/>
      <c r="AP833" s="3"/>
      <c r="AQ833" s="3"/>
      <c r="AR833" s="3"/>
      <c r="AS833" s="3"/>
      <c r="AT833" s="3"/>
      <c r="AU833"/>
      <c r="AV833" s="3"/>
      <c r="AW833" s="3"/>
      <c r="AX833" s="3"/>
      <c r="AY833" s="3"/>
      <c r="AZ833" s="25"/>
      <c r="BA833" s="25"/>
    </row>
    <row r="834" spans="1:53" s="13" customFormat="1" ht="13" customHeight="1">
      <c r="A834"/>
      <c r="B834"/>
      <c r="C834" s="1461" t="s">
        <v>1550</v>
      </c>
      <c r="D834" s="1452"/>
      <c r="E834" s="1452"/>
      <c r="F834" s="1452"/>
      <c r="G834" s="1452"/>
      <c r="H834" s="1452"/>
      <c r="I834" s="5"/>
      <c r="J834" s="5"/>
      <c r="K834" s="5"/>
      <c r="L834" s="38"/>
      <c r="M834" s="1565"/>
      <c r="N834" s="1565"/>
      <c r="O834" s="1565"/>
      <c r="P834" s="1565"/>
      <c r="Q834" s="1565"/>
      <c r="R834" s="1565"/>
      <c r="S834" s="1565"/>
      <c r="T834" s="1565"/>
      <c r="U834" s="1565"/>
      <c r="V834" s="1565"/>
      <c r="W834" s="1565"/>
      <c r="X834" s="1565"/>
      <c r="Y834" s="1565"/>
      <c r="Z834" s="1565"/>
      <c r="AA834" s="1565"/>
      <c r="AB834" s="1565"/>
      <c r="AC834" s="1433"/>
      <c r="AD834" s="1434"/>
      <c r="AE834" s="1434"/>
      <c r="AF834" s="1435"/>
      <c r="AG834" s="1433"/>
      <c r="AH834" s="1434"/>
      <c r="AI834" s="1434"/>
      <c r="AJ834" s="1435"/>
      <c r="AK834"/>
      <c r="AL834" s="3"/>
      <c r="AM834" s="3"/>
      <c r="AN834" s="3"/>
      <c r="AO834" s="3"/>
      <c r="AP834" s="3"/>
      <c r="AQ834" s="3"/>
      <c r="AR834" s="3"/>
      <c r="AS834" s="3"/>
      <c r="AT834" s="3"/>
      <c r="AU834"/>
      <c r="AV834" s="3"/>
      <c r="AW834" s="3"/>
      <c r="AX834" s="3"/>
      <c r="AY834" s="3"/>
      <c r="AZ834" s="25"/>
      <c r="BA834" s="25"/>
    </row>
    <row r="835" spans="1:53" s="13" customFormat="1" ht="13" customHeight="1">
      <c r="A835"/>
      <c r="B835"/>
      <c r="C835" s="1461" t="s">
        <v>1551</v>
      </c>
      <c r="D835" s="1452"/>
      <c r="E835" s="1452"/>
      <c r="F835" s="1452"/>
      <c r="G835" s="1452"/>
      <c r="H835" s="1452"/>
      <c r="I835" s="52"/>
      <c r="J835" s="52"/>
      <c r="K835" s="52"/>
      <c r="L835" s="53"/>
      <c r="M835" s="1565"/>
      <c r="N835" s="1565"/>
      <c r="O835" s="1565"/>
      <c r="P835" s="1565"/>
      <c r="Q835" s="1565">
        <v>9</v>
      </c>
      <c r="R835" s="1565"/>
      <c r="S835" s="1565"/>
      <c r="T835" s="1565"/>
      <c r="U835" s="1565">
        <v>14</v>
      </c>
      <c r="V835" s="1565"/>
      <c r="W835" s="1565"/>
      <c r="X835" s="1565"/>
      <c r="Y835" s="1565">
        <v>18</v>
      </c>
      <c r="Z835" s="1565"/>
      <c r="AA835" s="1565"/>
      <c r="AB835" s="1565"/>
      <c r="AC835" s="1433"/>
      <c r="AD835" s="1434"/>
      <c r="AE835" s="1434"/>
      <c r="AF835" s="1435"/>
      <c r="AG835" s="1433"/>
      <c r="AH835" s="1434"/>
      <c r="AI835" s="1434"/>
      <c r="AJ835" s="1435"/>
      <c r="AK835"/>
      <c r="AL835" s="3"/>
      <c r="AM835" s="3"/>
      <c r="AN835" s="3"/>
      <c r="AO835" s="3"/>
      <c r="AP835" s="3"/>
      <c r="AQ835" s="3"/>
      <c r="AR835" s="3"/>
      <c r="AS835" s="3"/>
      <c r="AT835" s="3"/>
      <c r="AU835"/>
      <c r="AV835" s="3"/>
      <c r="AW835" s="3"/>
      <c r="AX835" s="3"/>
      <c r="AY835" s="3"/>
      <c r="AZ835" s="25"/>
      <c r="BA835" s="25"/>
    </row>
    <row r="836" spans="1:53" s="13" customFormat="1" ht="13" customHeight="1">
      <c r="A836"/>
      <c r="B836"/>
      <c r="C836" s="1461" t="s">
        <v>1552</v>
      </c>
      <c r="D836" s="1452"/>
      <c r="E836" s="1452"/>
      <c r="F836" s="1452"/>
      <c r="G836" s="1452"/>
      <c r="H836" s="1452"/>
      <c r="I836" s="52"/>
      <c r="J836" s="52"/>
      <c r="K836" s="52"/>
      <c r="L836" s="53"/>
      <c r="M836" s="1565"/>
      <c r="N836" s="1565"/>
      <c r="O836" s="1565"/>
      <c r="P836" s="1565"/>
      <c r="Q836" s="1565"/>
      <c r="R836" s="1565"/>
      <c r="S836" s="1565"/>
      <c r="T836" s="1565"/>
      <c r="U836" s="1565"/>
      <c r="V836" s="1565"/>
      <c r="W836" s="1565"/>
      <c r="X836" s="1565"/>
      <c r="Y836" s="1565"/>
      <c r="Z836" s="1565"/>
      <c r="AA836" s="1565"/>
      <c r="AB836" s="1565"/>
      <c r="AC836" s="1433"/>
      <c r="AD836" s="1434"/>
      <c r="AE836" s="1434"/>
      <c r="AF836" s="1435"/>
      <c r="AG836" s="1433"/>
      <c r="AH836" s="1434"/>
      <c r="AI836" s="1434"/>
      <c r="AJ836" s="1435"/>
      <c r="AK836"/>
      <c r="AL836" s="3"/>
      <c r="AM836" s="3"/>
      <c r="AN836" s="3"/>
      <c r="AO836" s="3"/>
      <c r="AP836" s="3"/>
      <c r="AQ836" s="3"/>
      <c r="AR836" s="3"/>
      <c r="AS836" s="3"/>
      <c r="AT836" s="3"/>
      <c r="AU836"/>
      <c r="AV836" s="3"/>
      <c r="AW836" s="3"/>
      <c r="AX836" s="3"/>
      <c r="AY836" s="3"/>
      <c r="AZ836" s="25"/>
      <c r="BA836" s="25"/>
    </row>
    <row r="837" spans="1:53" s="13" customFormat="1" ht="13" customHeight="1">
      <c r="A837"/>
      <c r="B837"/>
      <c r="C837" s="1461" t="s">
        <v>1553</v>
      </c>
      <c r="D837" s="1452"/>
      <c r="E837" s="1452"/>
      <c r="F837" s="1452"/>
      <c r="G837" s="1452"/>
      <c r="H837" s="1452"/>
      <c r="I837" s="52"/>
      <c r="J837" s="52"/>
      <c r="K837" s="52"/>
      <c r="L837" s="53"/>
      <c r="M837" s="1565"/>
      <c r="N837" s="1565"/>
      <c r="O837" s="1565"/>
      <c r="P837" s="1565"/>
      <c r="Q837" s="1565">
        <v>34</v>
      </c>
      <c r="R837" s="1565"/>
      <c r="S837" s="1565"/>
      <c r="T837" s="1565"/>
      <c r="U837" s="1565">
        <v>47</v>
      </c>
      <c r="V837" s="1565"/>
      <c r="W837" s="1565"/>
      <c r="X837" s="1565"/>
      <c r="Y837" s="1565">
        <v>61</v>
      </c>
      <c r="Z837" s="1565"/>
      <c r="AA837" s="1565"/>
      <c r="AB837" s="1565"/>
      <c r="AC837" s="1433"/>
      <c r="AD837" s="1434"/>
      <c r="AE837" s="1434"/>
      <c r="AF837" s="1435"/>
      <c r="AG837" s="1433"/>
      <c r="AH837" s="1434"/>
      <c r="AI837" s="1434"/>
      <c r="AJ837" s="1435"/>
      <c r="AK837"/>
      <c r="AL837" s="3"/>
      <c r="AM837" s="3"/>
      <c r="AN837" s="3"/>
      <c r="AO837" s="3"/>
      <c r="AP837" s="3"/>
      <c r="AQ837" s="3"/>
      <c r="AR837" s="3"/>
      <c r="AS837" s="3"/>
      <c r="AT837" s="3"/>
      <c r="AU837"/>
      <c r="AV837" s="3"/>
      <c r="AW837" s="3"/>
      <c r="AX837" s="3"/>
      <c r="AY837" s="3"/>
      <c r="AZ837" s="25"/>
      <c r="BA837" s="25"/>
    </row>
    <row r="838" spans="1:53" s="13" customFormat="1" ht="13" customHeight="1">
      <c r="A838"/>
      <c r="B838"/>
      <c r="C838" s="1414" t="s">
        <v>1554</v>
      </c>
      <c r="D838" s="1452"/>
      <c r="E838" s="1452"/>
      <c r="F838" s="1452"/>
      <c r="G838" s="1452"/>
      <c r="H838" s="1452"/>
      <c r="I838" s="52"/>
      <c r="J838" s="52"/>
      <c r="K838" s="52"/>
      <c r="L838" s="53"/>
      <c r="M838" s="1565"/>
      <c r="N838" s="1565"/>
      <c r="O838" s="1565"/>
      <c r="P838" s="1565"/>
      <c r="Q838" s="1565"/>
      <c r="R838" s="1565"/>
      <c r="S838" s="1565"/>
      <c r="T838" s="1565"/>
      <c r="U838" s="1565"/>
      <c r="V838" s="1565"/>
      <c r="W838" s="1565"/>
      <c r="X838" s="1565"/>
      <c r="Y838" s="1565"/>
      <c r="Z838" s="1565"/>
      <c r="AA838" s="1565"/>
      <c r="AB838" s="1565"/>
      <c r="AC838" s="1433"/>
      <c r="AD838" s="1434"/>
      <c r="AE838" s="1434"/>
      <c r="AF838" s="1435"/>
      <c r="AG838" s="1433"/>
      <c r="AH838" s="1434"/>
      <c r="AI838" s="1434"/>
      <c r="AJ838" s="1435"/>
      <c r="AK838"/>
      <c r="AL838" s="3"/>
      <c r="AM838" s="3"/>
      <c r="AN838" s="3"/>
      <c r="AO838" s="3"/>
      <c r="AP838" s="3"/>
      <c r="AQ838" s="3"/>
      <c r="AR838" s="3"/>
      <c r="AS838" s="3"/>
      <c r="AT838" s="3"/>
      <c r="AU838"/>
      <c r="AV838" s="3"/>
      <c r="AW838" s="3"/>
      <c r="AX838" s="3"/>
      <c r="AY838" s="3"/>
      <c r="AZ838" s="25"/>
      <c r="BA838" s="25"/>
    </row>
    <row r="839" spans="1:53" s="13" customFormat="1" ht="13" customHeight="1">
      <c r="A839"/>
      <c r="B839"/>
      <c r="C839" s="51" t="s">
        <v>1555</v>
      </c>
      <c r="D839" s="52"/>
      <c r="E839" s="52"/>
      <c r="F839" s="1561" t="s">
        <v>1370</v>
      </c>
      <c r="G839" s="1562"/>
      <c r="H839" s="1562"/>
      <c r="I839" s="1562"/>
      <c r="J839" s="1562"/>
      <c r="K839" s="1562"/>
      <c r="L839" s="1562"/>
      <c r="M839" s="1565"/>
      <c r="N839" s="1565"/>
      <c r="O839" s="1565"/>
      <c r="P839" s="1565"/>
      <c r="Q839" s="1565"/>
      <c r="R839" s="1565"/>
      <c r="S839" s="1565"/>
      <c r="T839" s="1565"/>
      <c r="U839" s="1565"/>
      <c r="V839" s="1565"/>
      <c r="W839" s="1565"/>
      <c r="X839" s="1565"/>
      <c r="Y839" s="1565"/>
      <c r="Z839" s="1565"/>
      <c r="AA839" s="1565"/>
      <c r="AB839" s="1565"/>
      <c r="AC839" s="1433"/>
      <c r="AD839" s="1434"/>
      <c r="AE839" s="1434"/>
      <c r="AF839" s="1435"/>
      <c r="AG839" s="1433"/>
      <c r="AH839" s="1434"/>
      <c r="AI839" s="1434"/>
      <c r="AJ839" s="1435"/>
      <c r="AK839"/>
      <c r="AL839" s="3"/>
      <c r="AM839" s="3"/>
      <c r="AN839" s="3"/>
      <c r="AO839" s="3"/>
      <c r="AP839" s="3"/>
      <c r="AQ839" s="3"/>
      <c r="AR839" s="3"/>
      <c r="AS839" s="3"/>
      <c r="AT839" s="3"/>
      <c r="AU839"/>
      <c r="AV839" s="3"/>
      <c r="AW839" s="3"/>
      <c r="AX839" s="3"/>
      <c r="AY839" s="3"/>
      <c r="AZ839" s="25"/>
      <c r="BA839" s="25"/>
    </row>
    <row r="840" spans="1:53" s="13" customFormat="1" ht="13" customHeight="1">
      <c r="A840"/>
      <c r="B840"/>
      <c r="C840" s="1380" t="s">
        <v>1501</v>
      </c>
      <c r="D840" s="1381"/>
      <c r="E840" s="1381"/>
      <c r="F840" s="1381"/>
      <c r="G840" s="1381"/>
      <c r="H840" s="1381"/>
      <c r="I840" s="1381"/>
      <c r="J840" s="1381"/>
      <c r="K840" s="1381"/>
      <c r="L840" s="1383"/>
      <c r="M840" s="1650">
        <f>SUM(M833:P839)</f>
        <v>0</v>
      </c>
      <c r="N840" s="1650"/>
      <c r="O840" s="1650"/>
      <c r="P840" s="1650"/>
      <c r="Q840" s="1650">
        <f>SUM(Q833:T839)</f>
        <v>62</v>
      </c>
      <c r="R840" s="1650"/>
      <c r="S840" s="1650"/>
      <c r="T840" s="1650"/>
      <c r="U840" s="1650">
        <f>SUM(U833:X839)</f>
        <v>84</v>
      </c>
      <c r="V840" s="1650"/>
      <c r="W840" s="1650"/>
      <c r="X840" s="1650"/>
      <c r="Y840" s="1650">
        <f>SUM(Y833:AB839)</f>
        <v>107</v>
      </c>
      <c r="Z840" s="1650"/>
      <c r="AA840" s="1650"/>
      <c r="AB840" s="1650"/>
      <c r="AC840" s="1650">
        <f>SUM(AC833:AF839)</f>
        <v>0</v>
      </c>
      <c r="AD840" s="1650"/>
      <c r="AE840" s="1650"/>
      <c r="AF840" s="1650"/>
      <c r="AG840" s="1650">
        <f>SUM(AG833:AJ839)</f>
        <v>0</v>
      </c>
      <c r="AH840" s="1650"/>
      <c r="AI840" s="1650"/>
      <c r="AJ840" s="1650"/>
      <c r="AK840"/>
      <c r="AL840" s="3"/>
      <c r="AM840" s="3"/>
      <c r="AN840" s="3"/>
      <c r="AO840" s="3"/>
      <c r="AP840" s="3"/>
      <c r="AQ840" s="3"/>
      <c r="AR840" s="3"/>
      <c r="AS840" s="3"/>
      <c r="AT840" s="3"/>
      <c r="AU840"/>
      <c r="AV840" s="3"/>
      <c r="AW840" s="3"/>
      <c r="AX840" s="3"/>
      <c r="AY840" s="3"/>
      <c r="AZ840" s="25"/>
      <c r="BA840" s="25"/>
    </row>
    <row r="841" spans="1:53" s="13" customFormat="1" ht="13" customHeight="1">
      <c r="A841"/>
      <c r="B841"/>
      <c r="C841" s="49" t="s">
        <v>1556</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3" customHeight="1">
      <c r="A842"/>
      <c r="B842"/>
      <c r="C842" s="49" t="s">
        <v>1557</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3"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3" customHeight="1">
      <c r="A844"/>
      <c r="B844"/>
      <c r="C844" s="2" t="s">
        <v>1558</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3" customHeight="1">
      <c r="A845"/>
      <c r="B845"/>
      <c r="C845" s="1603" t="s">
        <v>1559</v>
      </c>
      <c r="D845" s="1604"/>
      <c r="E845" s="1604"/>
      <c r="F845" s="1604"/>
      <c r="G845" s="1604"/>
      <c r="H845" s="1604"/>
      <c r="I845" s="1604"/>
      <c r="J845" s="1604"/>
      <c r="K845" s="1604"/>
      <c r="L845" s="1604"/>
      <c r="M845" s="1604"/>
      <c r="N845" s="1604"/>
      <c r="O845" s="1604"/>
      <c r="P845" s="1604"/>
      <c r="Q845" s="1604"/>
      <c r="R845" s="1604"/>
      <c r="S845" s="1604"/>
      <c r="T845" s="1604"/>
      <c r="U845" s="1604"/>
      <c r="V845" s="1604"/>
      <c r="W845" s="1604"/>
      <c r="X845" s="1604"/>
      <c r="Y845" s="1604"/>
      <c r="Z845" s="1604"/>
      <c r="AA845" s="1604"/>
      <c r="AB845" s="1604"/>
      <c r="AC845" s="1604"/>
      <c r="AD845" s="1604"/>
      <c r="AE845" s="1604"/>
      <c r="AF845" s="1604"/>
      <c r="AG845" s="1604"/>
      <c r="AH845" s="1604"/>
      <c r="AI845" s="1604"/>
      <c r="AJ845" s="1605"/>
      <c r="AK845"/>
      <c r="AL845" s="3"/>
      <c r="AM845" s="3"/>
      <c r="AN845" s="3"/>
      <c r="AO845" s="3"/>
      <c r="AP845" s="3"/>
      <c r="AQ845" s="3"/>
      <c r="AR845" s="3"/>
      <c r="AS845" s="3"/>
      <c r="AT845" s="3"/>
      <c r="AU845"/>
      <c r="AV845"/>
      <c r="AW845"/>
      <c r="AX845"/>
      <c r="AY845"/>
      <c r="AZ845" s="25"/>
      <c r="BA845" s="25"/>
    </row>
    <row r="846" spans="1:53" s="13" customFormat="1" ht="13" customHeight="1">
      <c r="A846"/>
      <c r="B846" s="3"/>
      <c r="C846" s="3" t="s">
        <v>1560</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3" customHeight="1">
      <c r="A848" s="2" t="s">
        <v>1129</v>
      </c>
      <c r="B848"/>
      <c r="C848" s="2" t="s">
        <v>1561</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97"/>
      <c r="BJ849" s="1597"/>
      <c r="BK849" s="1597"/>
      <c r="BL849" s="1597"/>
    </row>
    <row r="850" spans="1:64" s="13" customFormat="1" ht="13" customHeight="1">
      <c r="A850"/>
      <c r="B850"/>
      <c r="C850" s="2" t="s">
        <v>1562</v>
      </c>
      <c r="D850"/>
      <c r="E850"/>
      <c r="F850"/>
      <c r="G850"/>
      <c r="H850"/>
      <c r="I850"/>
      <c r="J850" s="37" t="s">
        <v>1563</v>
      </c>
      <c r="K850" s="5"/>
      <c r="L850" s="5"/>
      <c r="M850" s="5"/>
      <c r="N850" s="5"/>
      <c r="O850" s="5"/>
      <c r="P850" s="5"/>
      <c r="Q850" s="5"/>
      <c r="R850" s="5"/>
      <c r="S850" s="5"/>
      <c r="T850" s="5"/>
      <c r="U850" s="5"/>
      <c r="V850" s="38"/>
      <c r="W850" s="1594">
        <v>10000</v>
      </c>
      <c r="X850" s="1594"/>
      <c r="Y850" s="1594"/>
      <c r="Z850" s="1594"/>
      <c r="AA850" s="1594"/>
      <c r="AB850" s="1594"/>
      <c r="AC850" s="1594"/>
      <c r="AD850"/>
      <c r="AE850"/>
      <c r="AF850"/>
      <c r="AG850"/>
      <c r="AH850"/>
      <c r="AI850"/>
      <c r="AJ850"/>
      <c r="AK850"/>
      <c r="AL850"/>
      <c r="AM850"/>
      <c r="AN850"/>
      <c r="AO850"/>
      <c r="AP850"/>
      <c r="AQ850"/>
      <c r="AR850"/>
      <c r="AS850"/>
      <c r="AT850"/>
      <c r="AU850"/>
      <c r="AV850"/>
      <c r="AW850"/>
      <c r="AX850"/>
      <c r="AY850"/>
      <c r="AZ850" s="25"/>
      <c r="BA850" s="25"/>
    </row>
    <row r="851" spans="1:64" s="13" customFormat="1" ht="13" customHeight="1">
      <c r="A851"/>
      <c r="B851"/>
      <c r="C851"/>
      <c r="D851"/>
      <c r="E851"/>
      <c r="F851"/>
      <c r="G851"/>
      <c r="H851"/>
      <c r="I851"/>
      <c r="J851" s="37" t="s">
        <v>1564</v>
      </c>
      <c r="K851" s="5"/>
      <c r="L851" s="5"/>
      <c r="M851" s="5"/>
      <c r="N851" s="5"/>
      <c r="O851" s="5"/>
      <c r="P851" s="5"/>
      <c r="Q851" s="5"/>
      <c r="R851" s="5"/>
      <c r="S851" s="5"/>
      <c r="T851" s="5"/>
      <c r="U851" s="5"/>
      <c r="V851" s="38"/>
      <c r="W851" s="1594">
        <v>13000</v>
      </c>
      <c r="X851" s="1594"/>
      <c r="Y851" s="1594"/>
      <c r="Z851" s="1594"/>
      <c r="AA851" s="1594"/>
      <c r="AB851" s="1594"/>
      <c r="AC851" s="1594"/>
      <c r="AD851"/>
      <c r="AE851"/>
      <c r="AF851"/>
      <c r="AG851"/>
      <c r="AH851"/>
      <c r="AI851"/>
      <c r="AJ851"/>
      <c r="AK851"/>
      <c r="AL851"/>
      <c r="AM851"/>
      <c r="AN851"/>
      <c r="AO851"/>
      <c r="AP851"/>
      <c r="AQ851"/>
      <c r="AR851"/>
      <c r="AS851"/>
      <c r="AT851"/>
      <c r="AU851"/>
      <c r="AV851"/>
      <c r="AW851"/>
      <c r="AX851"/>
      <c r="AY851"/>
      <c r="AZ851" s="25"/>
      <c r="BA851" s="25"/>
    </row>
    <row r="852" spans="1:64" ht="13" customHeight="1">
      <c r="J852" s="37" t="s">
        <v>1565</v>
      </c>
      <c r="K852" s="5"/>
      <c r="L852" s="5"/>
      <c r="M852" s="5"/>
      <c r="N852" s="5"/>
      <c r="O852" s="5"/>
      <c r="P852" s="5"/>
      <c r="Q852" s="5"/>
      <c r="R852" s="5"/>
      <c r="S852" s="5"/>
      <c r="T852" s="5"/>
      <c r="U852" s="5"/>
      <c r="V852" s="38"/>
      <c r="W852" s="1594">
        <v>25000</v>
      </c>
      <c r="X852" s="1594"/>
      <c r="Y852" s="1594"/>
      <c r="Z852" s="1594"/>
      <c r="AA852" s="1594"/>
      <c r="AB852" s="1594"/>
      <c r="AC852" s="1594"/>
      <c r="AZ852" s="25"/>
      <c r="BA852" s="25"/>
      <c r="BB852" s="13"/>
      <c r="BC852" s="13"/>
      <c r="BD852" s="13"/>
      <c r="BE852" s="13"/>
      <c r="BF852" s="13"/>
      <c r="BG852" s="13"/>
      <c r="BH852" s="13"/>
      <c r="BI852" s="13"/>
      <c r="BJ852" s="13"/>
      <c r="BK852" s="13"/>
      <c r="BL852" s="13"/>
    </row>
    <row r="853" spans="1:64" ht="13" customHeight="1">
      <c r="J853" s="37" t="s">
        <v>1566</v>
      </c>
      <c r="K853" s="5"/>
      <c r="L853" s="5"/>
      <c r="M853" s="5"/>
      <c r="N853" s="5"/>
      <c r="O853" s="5"/>
      <c r="P853" s="5"/>
      <c r="Q853" s="5"/>
      <c r="R853" s="5"/>
      <c r="S853" s="5"/>
      <c r="T853" s="5"/>
      <c r="U853" s="5"/>
      <c r="V853" s="38"/>
      <c r="W853" s="1594"/>
      <c r="X853" s="1594"/>
      <c r="Y853" s="1594"/>
      <c r="Z853" s="1594"/>
      <c r="AA853" s="1594"/>
      <c r="AB853" s="1594"/>
      <c r="AC853" s="1594"/>
      <c r="AZ853" s="25"/>
      <c r="BA853" s="25"/>
      <c r="BB853" s="13"/>
      <c r="BC853" s="13"/>
      <c r="BD853" s="13"/>
      <c r="BE853" s="13"/>
      <c r="BF853" s="13"/>
      <c r="BG853" s="13"/>
      <c r="BH853" s="13"/>
      <c r="BI853" s="13"/>
      <c r="BJ853" s="13"/>
      <c r="BK853" s="13"/>
      <c r="BL853" s="13"/>
    </row>
    <row r="854" spans="1:64" ht="13" customHeight="1">
      <c r="J854" s="37" t="s">
        <v>233</v>
      </c>
      <c r="K854" s="5"/>
      <c r="L854" s="5"/>
      <c r="M854" s="1561" t="s">
        <v>2799</v>
      </c>
      <c r="N854" s="1562"/>
      <c r="O854" s="1562"/>
      <c r="P854" s="1562"/>
      <c r="Q854" s="1562"/>
      <c r="R854" s="1562"/>
      <c r="S854" s="1562"/>
      <c r="T854" s="1562"/>
      <c r="U854" s="1562"/>
      <c r="V854" s="1563"/>
      <c r="W854" s="1594">
        <v>22000</v>
      </c>
      <c r="X854" s="1594"/>
      <c r="Y854" s="1594"/>
      <c r="Z854" s="1594"/>
      <c r="AA854" s="1594"/>
      <c r="AB854" s="1594"/>
      <c r="AC854" s="1594"/>
      <c r="AZ854" s="25"/>
      <c r="BA854" s="25"/>
      <c r="BB854" s="13"/>
      <c r="BC854" s="13"/>
      <c r="BD854" s="13"/>
      <c r="BE854" s="13"/>
      <c r="BF854" s="13"/>
      <c r="BG854" s="13"/>
      <c r="BH854" s="13"/>
      <c r="BI854" s="13"/>
      <c r="BJ854" s="13"/>
      <c r="BK854" s="13"/>
      <c r="BL854" s="13"/>
    </row>
    <row r="855" spans="1:64" ht="13" customHeight="1">
      <c r="J855" s="37"/>
      <c r="K855" s="5"/>
      <c r="L855" s="5"/>
      <c r="M855" s="5"/>
      <c r="N855" s="5"/>
      <c r="O855" s="5"/>
      <c r="P855" s="5"/>
      <c r="Q855" s="5"/>
      <c r="R855" s="5"/>
      <c r="S855" s="5"/>
      <c r="T855" s="5"/>
      <c r="U855" s="5"/>
      <c r="V855" s="46" t="s">
        <v>1567</v>
      </c>
      <c r="W855" s="1446">
        <f>SUM(W850:W854)</f>
        <v>70000</v>
      </c>
      <c r="X855" s="1447"/>
      <c r="Y855" s="1447"/>
      <c r="Z855" s="1447"/>
      <c r="AA855" s="1447"/>
      <c r="AB855" s="1447"/>
      <c r="AC855" s="1448"/>
      <c r="AZ855" s="25"/>
      <c r="BA855" s="25"/>
      <c r="BB855" s="13"/>
      <c r="BC855" s="13"/>
      <c r="BD855" s="13"/>
      <c r="BE855" s="13"/>
      <c r="BF855" s="13"/>
      <c r="BG855" s="13"/>
      <c r="BH855" s="13"/>
      <c r="BI855" s="13"/>
      <c r="BJ855" s="13"/>
      <c r="BK855" s="13"/>
      <c r="BL855" s="13"/>
    </row>
    <row r="856" spans="1:64" ht="13" customHeight="1">
      <c r="AZ856" s="25"/>
      <c r="BA856" s="25"/>
      <c r="BB856" s="13"/>
      <c r="BC856" s="13"/>
      <c r="BD856" s="13"/>
      <c r="BE856" s="13"/>
      <c r="BF856" s="13"/>
      <c r="BG856" s="1596"/>
      <c r="BH856" s="1596"/>
      <c r="BI856" s="1596"/>
      <c r="BJ856" s="1596"/>
      <c r="BK856" s="1596"/>
      <c r="BL856" s="1596"/>
    </row>
    <row r="857" spans="1:64" ht="13" customHeight="1">
      <c r="C857" s="2" t="s">
        <v>1568</v>
      </c>
      <c r="J857" s="1380" t="s">
        <v>1569</v>
      </c>
      <c r="K857" s="1381"/>
      <c r="L857" s="1381"/>
      <c r="M857" s="1381"/>
      <c r="N857" s="1381"/>
      <c r="O857" s="1381"/>
      <c r="P857" s="1381"/>
      <c r="Q857" s="1381"/>
      <c r="R857" s="1381"/>
      <c r="S857" s="1381"/>
      <c r="T857" s="1381"/>
      <c r="U857" s="1381"/>
      <c r="V857" s="1383"/>
      <c r="W857" s="1436">
        <f>70*113*12</f>
        <v>94920</v>
      </c>
      <c r="X857" s="1322"/>
      <c r="Y857" s="1322"/>
      <c r="Z857" s="1322"/>
      <c r="AA857" s="1322"/>
      <c r="AB857" s="1322"/>
      <c r="AC857" s="1323"/>
      <c r="AD857" s="433"/>
      <c r="AZ857" s="25"/>
      <c r="BA857" s="25"/>
      <c r="BB857" s="13"/>
      <c r="BC857" s="13"/>
    </row>
    <row r="858" spans="1:64" ht="13" customHeight="1">
      <c r="AD858" s="433"/>
      <c r="AZ858" s="25"/>
      <c r="BA858" s="25"/>
      <c r="BB858" s="13"/>
      <c r="BC858" s="13"/>
    </row>
    <row r="859" spans="1:64" ht="13" customHeight="1">
      <c r="C859" s="2" t="s">
        <v>230</v>
      </c>
      <c r="J859" s="37" t="s">
        <v>1570</v>
      </c>
      <c r="K859" s="5"/>
      <c r="L859" s="5"/>
      <c r="M859" s="5"/>
      <c r="N859" s="5"/>
      <c r="O859" s="5"/>
      <c r="P859" s="5"/>
      <c r="Q859" s="5"/>
      <c r="R859" s="5"/>
      <c r="S859" s="5"/>
      <c r="T859" s="5"/>
      <c r="U859" s="5"/>
      <c r="V859" s="38"/>
      <c r="W859" s="1599"/>
      <c r="X859" s="1599"/>
      <c r="Y859" s="1599"/>
      <c r="Z859" s="1599"/>
      <c r="AA859" s="1599"/>
      <c r="AB859" s="1599"/>
      <c r="AC859" s="1599"/>
      <c r="AZ859" s="1584"/>
      <c r="BA859" s="1584"/>
      <c r="BB859" s="13"/>
      <c r="BC859" s="13"/>
    </row>
    <row r="860" spans="1:64" ht="13" customHeight="1">
      <c r="J860" s="37" t="s">
        <v>1571</v>
      </c>
      <c r="K860" s="5"/>
      <c r="L860" s="5"/>
      <c r="M860" s="5"/>
      <c r="N860" s="5"/>
      <c r="O860" s="5"/>
      <c r="P860" s="5"/>
      <c r="Q860" s="5"/>
      <c r="R860" s="5"/>
      <c r="S860" s="5"/>
      <c r="T860" s="5"/>
      <c r="U860" s="5"/>
      <c r="V860" s="38"/>
      <c r="W860" s="1599"/>
      <c r="X860" s="1599"/>
      <c r="Y860" s="1599"/>
      <c r="Z860" s="1599"/>
      <c r="AA860" s="1599"/>
      <c r="AB860" s="1599"/>
      <c r="AC860" s="1599"/>
      <c r="AZ860" s="25"/>
      <c r="BA860" s="25"/>
      <c r="BB860" s="13"/>
      <c r="BC860" s="13"/>
    </row>
    <row r="861" spans="1:64" ht="13" customHeight="1">
      <c r="J861" s="37" t="s">
        <v>1553</v>
      </c>
      <c r="K861" s="5"/>
      <c r="L861" s="5"/>
      <c r="M861" s="5"/>
      <c r="N861" s="5"/>
      <c r="O861" s="5"/>
      <c r="P861" s="5"/>
      <c r="Q861" s="5"/>
      <c r="R861" s="5"/>
      <c r="S861" s="5"/>
      <c r="T861" s="5"/>
      <c r="U861" s="5"/>
      <c r="V861" s="38"/>
      <c r="W861" s="1599">
        <f>75000+3000</f>
        <v>78000</v>
      </c>
      <c r="X861" s="1599"/>
      <c r="Y861" s="1599"/>
      <c r="Z861" s="1599"/>
      <c r="AA861" s="1599"/>
      <c r="AB861" s="1599"/>
      <c r="AC861" s="1599"/>
      <c r="AZ861" s="25"/>
      <c r="BA861" s="25"/>
      <c r="BB861" s="13"/>
      <c r="BC861" s="13"/>
    </row>
    <row r="862" spans="1:64" ht="13" customHeight="1">
      <c r="J862" s="1178" t="s">
        <v>1572</v>
      </c>
      <c r="K862" s="5"/>
      <c r="L862" s="5"/>
      <c r="M862" s="5"/>
      <c r="N862" s="5"/>
      <c r="O862" s="5"/>
      <c r="P862" s="5"/>
      <c r="Q862" s="5"/>
      <c r="R862" s="5"/>
      <c r="S862" s="5"/>
      <c r="T862" s="5"/>
      <c r="U862" s="5"/>
      <c r="V862" s="38"/>
      <c r="W862" s="1599">
        <f>75000+3300</f>
        <v>78300</v>
      </c>
      <c r="X862" s="1599"/>
      <c r="Y862" s="1599"/>
      <c r="Z862" s="1599"/>
      <c r="AA862" s="1599"/>
      <c r="AB862" s="1599"/>
      <c r="AC862" s="1599"/>
      <c r="AZ862" s="3"/>
      <c r="BA862" s="3"/>
      <c r="BB862" s="3"/>
      <c r="BC862" s="3"/>
    </row>
    <row r="863" spans="1:64" ht="13" customHeight="1">
      <c r="J863" s="54"/>
      <c r="K863" s="40"/>
      <c r="L863" s="40"/>
      <c r="M863" s="40"/>
      <c r="N863" s="40"/>
      <c r="O863" s="40"/>
      <c r="P863" s="40"/>
      <c r="Q863" s="40"/>
      <c r="R863" s="40"/>
      <c r="S863" s="40"/>
      <c r="T863" s="40"/>
      <c r="U863" s="40"/>
      <c r="V863" s="46" t="s">
        <v>1573</v>
      </c>
      <c r="W863" s="1600">
        <f>SUM(W859:W862)</f>
        <v>156300</v>
      </c>
      <c r="X863" s="1600"/>
      <c r="Y863" s="1600"/>
      <c r="Z863" s="1600"/>
      <c r="AA863" s="1600"/>
      <c r="AB863" s="1600"/>
      <c r="AC863" s="1600"/>
      <c r="AZ863" s="3"/>
      <c r="BA863" s="3"/>
      <c r="BB863" s="3"/>
      <c r="BC863" s="3"/>
    </row>
    <row r="864" spans="1:64" ht="13" customHeight="1">
      <c r="AZ864" s="3"/>
      <c r="BA864" s="3"/>
      <c r="BB864" s="3"/>
      <c r="BC864" s="3"/>
    </row>
    <row r="865" spans="3:55" ht="13" customHeight="1">
      <c r="C865" s="2" t="s">
        <v>1574</v>
      </c>
      <c r="J865" s="37" t="s">
        <v>1575</v>
      </c>
      <c r="K865" s="5"/>
      <c r="L865" s="5"/>
      <c r="M865" s="5"/>
      <c r="N865" s="5"/>
      <c r="O865" s="5"/>
      <c r="P865" s="5"/>
      <c r="Q865" s="5"/>
      <c r="R865" s="5"/>
      <c r="S865" s="5"/>
      <c r="T865" s="5"/>
      <c r="U865" s="5"/>
      <c r="V865" s="38"/>
      <c r="W865" s="1588">
        <v>77000</v>
      </c>
      <c r="X865" s="1589"/>
      <c r="Y865" s="1589"/>
      <c r="Z865" s="1589"/>
      <c r="AA865" s="1589"/>
      <c r="AB865" s="1589"/>
      <c r="AC865" s="1590"/>
      <c r="AD865" s="428"/>
      <c r="AZ865" s="3"/>
      <c r="BA865" s="3"/>
      <c r="BB865" s="3"/>
      <c r="BC865" s="3"/>
    </row>
    <row r="866" spans="3:55" ht="13" customHeight="1">
      <c r="C866" s="2" t="s">
        <v>1576</v>
      </c>
      <c r="J866" s="87" t="s">
        <v>1577</v>
      </c>
      <c r="K866" s="5"/>
      <c r="L866" s="5"/>
      <c r="M866" s="5"/>
      <c r="N866" s="5"/>
      <c r="O866" s="5"/>
      <c r="P866" s="5"/>
      <c r="Q866" s="5"/>
      <c r="R866" s="5"/>
      <c r="S866" s="5"/>
      <c r="T866" s="1591">
        <v>3</v>
      </c>
      <c r="U866" s="1592"/>
      <c r="V866" s="1593"/>
      <c r="W866" s="769"/>
      <c r="X866" s="770"/>
      <c r="Y866" s="770"/>
      <c r="Z866" s="770"/>
      <c r="AA866" s="770"/>
      <c r="AB866" s="770"/>
      <c r="AC866" s="771"/>
      <c r="AD866" s="428"/>
      <c r="AZ866" s="3"/>
      <c r="BA866" s="3"/>
      <c r="BB866" s="3"/>
      <c r="BC866" s="3"/>
    </row>
    <row r="867" spans="3:55" ht="13" customHeight="1">
      <c r="C867" s="2"/>
      <c r="J867" s="37" t="s">
        <v>1578</v>
      </c>
      <c r="K867" s="5"/>
      <c r="L867" s="5"/>
      <c r="M867" s="5"/>
      <c r="N867" s="5"/>
      <c r="O867" s="5"/>
      <c r="P867" s="5"/>
      <c r="Q867" s="5"/>
      <c r="R867" s="5"/>
      <c r="S867" s="5"/>
      <c r="T867" s="5"/>
      <c r="U867" s="5"/>
      <c r="V867" s="38"/>
      <c r="W867" s="1588">
        <v>69000</v>
      </c>
      <c r="X867" s="1589"/>
      <c r="Y867" s="1589"/>
      <c r="Z867" s="1589"/>
      <c r="AA867" s="1589"/>
      <c r="AB867" s="1589"/>
      <c r="AC867" s="1590"/>
      <c r="AD867" s="433"/>
      <c r="AZ867" s="3"/>
      <c r="BA867" s="3"/>
      <c r="BB867" s="3"/>
      <c r="BC867" s="3"/>
    </row>
    <row r="868" spans="3:55" ht="13" customHeight="1">
      <c r="C868" s="2"/>
      <c r="J868" s="87" t="s">
        <v>1579</v>
      </c>
      <c r="K868" s="5"/>
      <c r="L868" s="5"/>
      <c r="M868" s="5"/>
      <c r="N868" s="5"/>
      <c r="O868" s="5"/>
      <c r="P868" s="5"/>
      <c r="Q868" s="5"/>
      <c r="R868" s="5"/>
      <c r="S868" s="5"/>
      <c r="T868" s="1591">
        <v>1</v>
      </c>
      <c r="U868" s="1592"/>
      <c r="V868" s="1593"/>
      <c r="W868" s="769"/>
      <c r="X868" s="770"/>
      <c r="Y868" s="770"/>
      <c r="Z868" s="770"/>
      <c r="AA868" s="770"/>
      <c r="AB868" s="770"/>
      <c r="AC868" s="771"/>
      <c r="AD868" s="433"/>
      <c r="AZ868" s="3"/>
      <c r="BA868" s="3"/>
      <c r="BB868" s="3"/>
      <c r="BC868" s="3"/>
    </row>
    <row r="869" spans="3:55" ht="13" customHeight="1">
      <c r="J869" s="37" t="s">
        <v>233</v>
      </c>
      <c r="K869" s="5"/>
      <c r="L869" s="5"/>
      <c r="M869" s="1561" t="s">
        <v>2800</v>
      </c>
      <c r="N869" s="1562"/>
      <c r="O869" s="1562"/>
      <c r="P869" s="1562"/>
      <c r="Q869" s="1562"/>
      <c r="R869" s="1562"/>
      <c r="S869" s="1562"/>
      <c r="T869" s="1562"/>
      <c r="U869" s="1562"/>
      <c r="V869" s="1563"/>
      <c r="W869" s="1588">
        <f>73000+6300+650</f>
        <v>79950</v>
      </c>
      <c r="X869" s="1589"/>
      <c r="Y869" s="1589"/>
      <c r="Z869" s="1589"/>
      <c r="AA869" s="1589"/>
      <c r="AB869" s="1589"/>
      <c r="AC869" s="1590"/>
      <c r="AD869" s="428"/>
      <c r="AU869" s="13"/>
      <c r="AZ869" s="3"/>
      <c r="BA869" s="3"/>
      <c r="BB869" s="3"/>
      <c r="BC869" s="3"/>
    </row>
    <row r="870" spans="3:55" ht="13" customHeight="1">
      <c r="J870" s="37"/>
      <c r="K870" s="5"/>
      <c r="L870" s="5"/>
      <c r="M870" s="5"/>
      <c r="N870" s="5"/>
      <c r="O870" s="5"/>
      <c r="P870" s="5"/>
      <c r="Q870" s="5"/>
      <c r="R870" s="5"/>
      <c r="S870" s="5"/>
      <c r="T870" s="5"/>
      <c r="U870" s="5"/>
      <c r="V870" s="46" t="s">
        <v>1580</v>
      </c>
      <c r="W870" s="1573">
        <f>SUM(W865:W869)</f>
        <v>225950</v>
      </c>
      <c r="X870" s="1574"/>
      <c r="Y870" s="1574"/>
      <c r="Z870" s="1574"/>
      <c r="AA870" s="1574"/>
      <c r="AB870" s="1574"/>
      <c r="AC870" s="1575"/>
      <c r="AD870" s="433"/>
      <c r="AU870" s="13"/>
      <c r="AZ870" s="3"/>
      <c r="BA870" s="3"/>
      <c r="BB870" s="3"/>
      <c r="BC870" s="3"/>
    </row>
    <row r="871" spans="3:55" ht="13" customHeight="1">
      <c r="AU871" s="13"/>
      <c r="AZ871" s="3"/>
      <c r="BA871" s="3"/>
      <c r="BB871" s="3"/>
      <c r="BC871" s="3"/>
    </row>
    <row r="872" spans="3:55" ht="13" customHeight="1">
      <c r="C872" s="2" t="s">
        <v>1581</v>
      </c>
      <c r="J872" s="37"/>
      <c r="K872" s="5"/>
      <c r="L872" s="5"/>
      <c r="M872" s="5"/>
      <c r="N872" s="5"/>
      <c r="O872" s="5"/>
      <c r="P872" s="5"/>
      <c r="Q872" s="5"/>
      <c r="R872" s="5"/>
      <c r="S872" s="5"/>
      <c r="T872" s="5"/>
      <c r="U872" s="5"/>
      <c r="V872" s="46" t="s">
        <v>1582</v>
      </c>
      <c r="W872" s="1588">
        <f>25000+87480</f>
        <v>112480</v>
      </c>
      <c r="X872" s="1589"/>
      <c r="Y872" s="1589"/>
      <c r="Z872" s="1589"/>
      <c r="AA872" s="1589"/>
      <c r="AB872" s="1589"/>
      <c r="AC872" s="1590"/>
      <c r="AU872" s="13"/>
      <c r="AZ872" s="3"/>
      <c r="BA872" s="3"/>
      <c r="BB872" s="3"/>
      <c r="BC872" s="3"/>
    </row>
    <row r="873" spans="3:55" ht="13" customHeight="1">
      <c r="J873" s="412"/>
      <c r="AU873" s="13"/>
      <c r="AZ873" s="3"/>
      <c r="BA873" s="3"/>
      <c r="BB873" s="3"/>
      <c r="BC873" s="3"/>
    </row>
    <row r="874" spans="3:55" ht="13" customHeight="1">
      <c r="C874" s="2" t="s">
        <v>232</v>
      </c>
      <c r="J874" s="37" t="s">
        <v>1583</v>
      </c>
      <c r="K874" s="5"/>
      <c r="L874" s="5"/>
      <c r="M874" s="5"/>
      <c r="N874" s="5"/>
      <c r="O874" s="5"/>
      <c r="P874" s="5"/>
      <c r="Q874" s="5"/>
      <c r="R874" s="5"/>
      <c r="S874" s="5"/>
      <c r="T874" s="5"/>
      <c r="U874" s="5"/>
      <c r="V874" s="38"/>
      <c r="W874" s="1594">
        <v>10000</v>
      </c>
      <c r="X874" s="1594"/>
      <c r="Y874" s="1594"/>
      <c r="Z874" s="1594"/>
      <c r="AA874" s="1594"/>
      <c r="AB874" s="1594"/>
      <c r="AC874" s="1594"/>
      <c r="AU874" s="13"/>
      <c r="AZ874" s="3"/>
      <c r="BA874" s="3"/>
      <c r="BB874" s="3"/>
      <c r="BC874" s="3"/>
    </row>
    <row r="875" spans="3:55" ht="13" customHeight="1">
      <c r="J875" s="37" t="s">
        <v>1584</v>
      </c>
      <c r="K875" s="5"/>
      <c r="L875" s="5"/>
      <c r="M875" s="5"/>
      <c r="N875" s="5"/>
      <c r="O875" s="5"/>
      <c r="P875" s="5"/>
      <c r="Q875" s="5"/>
      <c r="R875" s="5"/>
      <c r="S875" s="5"/>
      <c r="T875" s="5"/>
      <c r="U875" s="5"/>
      <c r="V875" s="38"/>
      <c r="W875" s="1594">
        <v>10000</v>
      </c>
      <c r="X875" s="1594"/>
      <c r="Y875" s="1594"/>
      <c r="Z875" s="1594"/>
      <c r="AA875" s="1594"/>
      <c r="AB875" s="1594"/>
      <c r="AC875" s="1594"/>
      <c r="AU875" s="3"/>
      <c r="AZ875" s="3"/>
      <c r="BA875" s="3"/>
      <c r="BB875" s="3"/>
      <c r="BC875" s="3"/>
    </row>
    <row r="876" spans="3:55" ht="13" customHeight="1">
      <c r="J876" s="37" t="s">
        <v>1585</v>
      </c>
      <c r="K876" s="5"/>
      <c r="L876" s="5"/>
      <c r="M876" s="5"/>
      <c r="N876" s="5"/>
      <c r="O876" s="5"/>
      <c r="P876" s="5"/>
      <c r="Q876" s="5"/>
      <c r="R876" s="5"/>
      <c r="S876" s="5"/>
      <c r="T876" s="5"/>
      <c r="U876" s="5"/>
      <c r="V876" s="38"/>
      <c r="W876" s="1594">
        <v>65000</v>
      </c>
      <c r="X876" s="1594"/>
      <c r="Y876" s="1594"/>
      <c r="Z876" s="1594"/>
      <c r="AA876" s="1594"/>
      <c r="AB876" s="1594"/>
      <c r="AC876" s="1594"/>
      <c r="AU876" s="3"/>
      <c r="AZ876" s="3"/>
      <c r="BA876" s="3"/>
      <c r="BB876" s="3"/>
      <c r="BC876" s="3"/>
    </row>
    <row r="877" spans="3:55" ht="13" customHeight="1">
      <c r="J877" s="37" t="s">
        <v>1586</v>
      </c>
      <c r="K877" s="5"/>
      <c r="L877" s="5"/>
      <c r="M877" s="5"/>
      <c r="N877" s="5"/>
      <c r="O877" s="5"/>
      <c r="P877" s="5"/>
      <c r="Q877" s="5"/>
      <c r="R877" s="5"/>
      <c r="S877" s="5"/>
      <c r="T877" s="5"/>
      <c r="U877" s="5"/>
      <c r="V877" s="38"/>
      <c r="W877" s="1594"/>
      <c r="X877" s="1594"/>
      <c r="Y877" s="1594"/>
      <c r="Z877" s="1594"/>
      <c r="AA877" s="1594"/>
      <c r="AB877" s="1594"/>
      <c r="AC877" s="1594"/>
      <c r="AU877" s="3"/>
      <c r="AZ877" s="3"/>
      <c r="BA877" s="3"/>
      <c r="BB877" s="3"/>
      <c r="BC877" s="3"/>
    </row>
    <row r="878" spans="3:55" ht="13" customHeight="1">
      <c r="J878" s="37" t="s">
        <v>1587</v>
      </c>
      <c r="K878" s="5"/>
      <c r="L878" s="5"/>
      <c r="M878" s="5"/>
      <c r="N878" s="5"/>
      <c r="O878" s="5"/>
      <c r="P878" s="5"/>
      <c r="Q878" s="5"/>
      <c r="R878" s="5"/>
      <c r="S878" s="5"/>
      <c r="T878" s="5"/>
      <c r="U878" s="5"/>
      <c r="V878" s="38"/>
      <c r="W878" s="1594"/>
      <c r="X878" s="1594"/>
      <c r="Y878" s="1594"/>
      <c r="Z878" s="1594"/>
      <c r="AA878" s="1594"/>
      <c r="AB878" s="1594"/>
      <c r="AC878" s="1594"/>
      <c r="AU878" s="3"/>
      <c r="AZ878" s="3"/>
      <c r="BA878" s="3"/>
      <c r="BB878" s="3"/>
      <c r="BC878" s="3"/>
    </row>
    <row r="879" spans="3:55" ht="13" customHeight="1">
      <c r="J879" s="37" t="s">
        <v>1588</v>
      </c>
      <c r="K879" s="5"/>
      <c r="L879" s="5"/>
      <c r="M879" s="5"/>
      <c r="N879" s="5"/>
      <c r="O879" s="5"/>
      <c r="P879" s="5"/>
      <c r="Q879" s="5"/>
      <c r="R879" s="5"/>
      <c r="S879" s="5"/>
      <c r="T879" s="5"/>
      <c r="U879" s="5"/>
      <c r="V879" s="38"/>
      <c r="W879" s="1594">
        <v>22000</v>
      </c>
      <c r="X879" s="1594"/>
      <c r="Y879" s="1594"/>
      <c r="Z879" s="1594"/>
      <c r="AA879" s="1594"/>
      <c r="AB879" s="1594"/>
      <c r="AC879" s="1594"/>
      <c r="AU879" s="3"/>
      <c r="AZ879" s="3"/>
      <c r="BA879" s="3"/>
      <c r="BB879" s="3"/>
      <c r="BC879" s="3"/>
    </row>
    <row r="880" spans="3:55" ht="13" customHeight="1">
      <c r="J880" s="37" t="s">
        <v>233</v>
      </c>
      <c r="K880" s="5"/>
      <c r="L880" s="5"/>
      <c r="M880" s="1561" t="s">
        <v>1589</v>
      </c>
      <c r="N880" s="1562"/>
      <c r="O880" s="1562"/>
      <c r="P880" s="1562"/>
      <c r="Q880" s="1562"/>
      <c r="R880" s="1562"/>
      <c r="S880" s="1562"/>
      <c r="T880" s="1562"/>
      <c r="U880" s="1562"/>
      <c r="V880" s="1563"/>
      <c r="W880" s="1594">
        <v>25000</v>
      </c>
      <c r="X880" s="1594"/>
      <c r="Y880" s="1594"/>
      <c r="Z880" s="1594"/>
      <c r="AA880" s="1594"/>
      <c r="AB880" s="1594"/>
      <c r="AC880" s="1594"/>
      <c r="AD880" s="433"/>
      <c r="AU880" s="3"/>
      <c r="AV880" s="13"/>
      <c r="AW880" s="13"/>
      <c r="AX880" s="13"/>
      <c r="AY880" s="13"/>
      <c r="AZ880" s="3"/>
      <c r="BA880" s="3"/>
      <c r="BB880" s="3"/>
      <c r="BC880" s="3"/>
    </row>
    <row r="881" spans="3:55" ht="13" customHeight="1">
      <c r="J881" s="37"/>
      <c r="K881" s="5"/>
      <c r="L881" s="5"/>
      <c r="M881" s="5"/>
      <c r="N881" s="5"/>
      <c r="O881" s="5"/>
      <c r="P881" s="5"/>
      <c r="Q881" s="5"/>
      <c r="R881" s="5"/>
      <c r="S881" s="5"/>
      <c r="T881" s="5"/>
      <c r="U881" s="5"/>
      <c r="V881" s="46" t="s">
        <v>1590</v>
      </c>
      <c r="W881" s="1566">
        <f>SUM(W874:W880)</f>
        <v>132000</v>
      </c>
      <c r="X881" s="1566"/>
      <c r="Y881" s="1566"/>
      <c r="Z881" s="1566"/>
      <c r="AA881" s="1566"/>
      <c r="AB881" s="1566"/>
      <c r="AC881" s="1566"/>
      <c r="AU881" s="3"/>
      <c r="AV881" s="13"/>
      <c r="AW881" s="13"/>
      <c r="AX881" s="13"/>
      <c r="AY881" s="13"/>
      <c r="AZ881" s="3"/>
      <c r="BA881" s="3"/>
      <c r="BB881" s="3"/>
      <c r="BC881" s="3"/>
    </row>
    <row r="882" spans="3:55" ht="13" customHeight="1">
      <c r="AU882" s="3"/>
      <c r="AV882" s="13"/>
      <c r="AW882" s="13"/>
      <c r="AX882" s="13"/>
      <c r="AY882" s="13"/>
      <c r="AZ882" s="3"/>
      <c r="BA882" s="3"/>
      <c r="BB882" s="3"/>
      <c r="BC882" s="3"/>
    </row>
    <row r="883" spans="3:55" ht="13" customHeight="1">
      <c r="C883" s="2" t="s">
        <v>1591</v>
      </c>
      <c r="J883" s="37" t="s">
        <v>233</v>
      </c>
      <c r="K883" s="5"/>
      <c r="L883" s="5"/>
      <c r="M883" s="1561"/>
      <c r="N883" s="1562"/>
      <c r="O883" s="1562"/>
      <c r="P883" s="1562"/>
      <c r="Q883" s="1562"/>
      <c r="R883" s="1562"/>
      <c r="S883" s="1562"/>
      <c r="T883" s="1562"/>
      <c r="U883" s="1562"/>
      <c r="V883" s="1563"/>
      <c r="W883" s="1436"/>
      <c r="X883" s="1322"/>
      <c r="Y883" s="1322"/>
      <c r="Z883" s="1322"/>
      <c r="AA883" s="1322"/>
      <c r="AB883" s="1322"/>
      <c r="AC883" s="1323"/>
      <c r="AD883" s="433"/>
      <c r="AV883" s="13"/>
      <c r="AW883" s="13"/>
      <c r="AX883" s="13"/>
      <c r="AY883" s="13"/>
      <c r="AZ883" s="3"/>
      <c r="BA883" s="3"/>
      <c r="BB883" s="3"/>
      <c r="BC883" s="3"/>
    </row>
    <row r="884" spans="3:55" ht="13" customHeight="1">
      <c r="C884" s="2" t="s">
        <v>1592</v>
      </c>
      <c r="J884" s="37" t="s">
        <v>233</v>
      </c>
      <c r="K884" s="5"/>
      <c r="L884" s="5"/>
      <c r="M884" s="1561" t="s">
        <v>1370</v>
      </c>
      <c r="N884" s="1562"/>
      <c r="O884" s="1562"/>
      <c r="P884" s="1562"/>
      <c r="Q884" s="1562"/>
      <c r="R884" s="1562"/>
      <c r="S884" s="1562"/>
      <c r="T884" s="1562"/>
      <c r="U884" s="1562"/>
      <c r="V884" s="1563"/>
      <c r="W884" s="1436"/>
      <c r="X884" s="1322"/>
      <c r="Y884" s="1322"/>
      <c r="Z884" s="1322"/>
      <c r="AA884" s="1322"/>
      <c r="AB884" s="1322"/>
      <c r="AC884" s="1323"/>
      <c r="AD884" s="433"/>
      <c r="AV884" s="13"/>
      <c r="AW884" s="13"/>
      <c r="AX884" s="13"/>
      <c r="AY884" s="13"/>
      <c r="AZ884" s="3"/>
      <c r="BA884" s="3"/>
      <c r="BB884" s="3"/>
      <c r="BC884" s="3"/>
    </row>
    <row r="885" spans="3:55" ht="13" customHeight="1">
      <c r="J885" s="37" t="s">
        <v>233</v>
      </c>
      <c r="K885" s="5"/>
      <c r="L885" s="5"/>
      <c r="M885" s="1561" t="s">
        <v>1370</v>
      </c>
      <c r="N885" s="1562"/>
      <c r="O885" s="1562"/>
      <c r="P885" s="1562"/>
      <c r="Q885" s="1562"/>
      <c r="R885" s="1562"/>
      <c r="S885" s="1562"/>
      <c r="T885" s="1562"/>
      <c r="U885" s="1562"/>
      <c r="V885" s="1563"/>
      <c r="W885" s="1436"/>
      <c r="X885" s="1322"/>
      <c r="Y885" s="1322"/>
      <c r="Z885" s="1322"/>
      <c r="AA885" s="1322"/>
      <c r="AB885" s="1322"/>
      <c r="AC885" s="1323"/>
      <c r="AL885" s="13"/>
      <c r="AM885" s="13"/>
      <c r="AN885" s="13"/>
      <c r="AO885" s="13"/>
      <c r="AP885" s="13"/>
      <c r="AQ885" s="13"/>
      <c r="AR885" s="13"/>
      <c r="AS885" s="13"/>
      <c r="AT885" s="13"/>
      <c r="AV885" s="3"/>
      <c r="AW885" s="3"/>
      <c r="AX885" s="3"/>
      <c r="AY885" s="3"/>
      <c r="AZ885" s="3"/>
      <c r="BA885" s="3"/>
      <c r="BB885" s="3"/>
      <c r="BC885" s="3"/>
    </row>
    <row r="886" spans="3:55" ht="13" customHeight="1">
      <c r="J886" s="37" t="s">
        <v>233</v>
      </c>
      <c r="K886" s="5"/>
      <c r="L886" s="5"/>
      <c r="M886" s="1561" t="s">
        <v>1370</v>
      </c>
      <c r="N886" s="1562"/>
      <c r="O886" s="1562"/>
      <c r="P886" s="1562"/>
      <c r="Q886" s="1562"/>
      <c r="R886" s="1562"/>
      <c r="S886" s="1562"/>
      <c r="T886" s="1562"/>
      <c r="U886" s="1562"/>
      <c r="V886" s="1563"/>
      <c r="W886" s="1436"/>
      <c r="X886" s="1322"/>
      <c r="Y886" s="1322"/>
      <c r="Z886" s="1322"/>
      <c r="AA886" s="1322"/>
      <c r="AB886" s="1322"/>
      <c r="AC886" s="1323"/>
      <c r="AL886" s="13"/>
      <c r="AM886" s="13"/>
      <c r="AN886" s="13"/>
      <c r="AO886" s="13"/>
      <c r="AP886" s="13"/>
      <c r="AQ886" s="13"/>
      <c r="AR886" s="13"/>
      <c r="AS886" s="13"/>
      <c r="AT886" s="13"/>
      <c r="AV886" s="3"/>
      <c r="AW886" s="3"/>
      <c r="AX886" s="3"/>
      <c r="AY886" s="3"/>
      <c r="AZ886" s="3"/>
      <c r="BA886" s="3"/>
      <c r="BB886" s="3"/>
      <c r="BC886" s="3"/>
    </row>
    <row r="887" spans="3:55" ht="13" customHeight="1">
      <c r="J887" s="37" t="s">
        <v>233</v>
      </c>
      <c r="K887" s="5"/>
      <c r="L887" s="5"/>
      <c r="M887" s="1561" t="s">
        <v>1370</v>
      </c>
      <c r="N887" s="1562"/>
      <c r="O887" s="1562"/>
      <c r="P887" s="1562"/>
      <c r="Q887" s="1562"/>
      <c r="R887" s="1562"/>
      <c r="S887" s="1562"/>
      <c r="T887" s="1562"/>
      <c r="U887" s="1562"/>
      <c r="V887" s="1563"/>
      <c r="W887" s="1436"/>
      <c r="X887" s="1322"/>
      <c r="Y887" s="1322"/>
      <c r="Z887" s="1322"/>
      <c r="AA887" s="1322"/>
      <c r="AB887" s="1322"/>
      <c r="AC887" s="1323"/>
      <c r="AL887" s="13"/>
      <c r="AM887" s="13"/>
      <c r="AN887" s="13"/>
      <c r="AO887" s="13"/>
      <c r="AP887" s="13"/>
      <c r="AQ887" s="13"/>
      <c r="AR887" s="13"/>
      <c r="AS887" s="13"/>
      <c r="AT887" s="13"/>
      <c r="AV887" s="3"/>
      <c r="AW887" s="3"/>
      <c r="AX887" s="3"/>
      <c r="AY887" s="3"/>
      <c r="AZ887" s="3"/>
      <c r="BA887" s="3"/>
      <c r="BB887" s="3"/>
      <c r="BC887" s="3"/>
    </row>
    <row r="888" spans="3:55" ht="13" customHeight="1">
      <c r="J888" s="37"/>
      <c r="K888" s="5"/>
      <c r="L888" s="5"/>
      <c r="M888" s="5"/>
      <c r="N888" s="5"/>
      <c r="O888" s="5"/>
      <c r="P888" s="5"/>
      <c r="Q888" s="5"/>
      <c r="R888" s="5"/>
      <c r="S888" s="5"/>
      <c r="T888" s="5"/>
      <c r="U888" s="5"/>
      <c r="V888" s="46" t="s">
        <v>1593</v>
      </c>
      <c r="W888" s="1446">
        <f>SUM(W883:W887)</f>
        <v>0</v>
      </c>
      <c r="X888" s="1447"/>
      <c r="Y888" s="1447"/>
      <c r="Z888" s="1447"/>
      <c r="AA888" s="1447"/>
      <c r="AB888" s="1447"/>
      <c r="AC888" s="1448"/>
      <c r="AL888" s="13"/>
      <c r="AM888" s="13"/>
      <c r="AN888" s="13"/>
      <c r="AO888" s="13"/>
      <c r="AP888" s="13"/>
      <c r="AQ888" s="13"/>
      <c r="AR888" s="13"/>
      <c r="AS888" s="13"/>
      <c r="AT888" s="13"/>
      <c r="AV888" s="3"/>
      <c r="AW888" s="3"/>
      <c r="AX888" s="3"/>
      <c r="AY888" s="3"/>
      <c r="AZ888" s="3"/>
      <c r="BA888" s="3"/>
      <c r="BB888" s="3"/>
      <c r="BC888" s="3"/>
    </row>
    <row r="889" spans="3:55" ht="13"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3" customHeight="1">
      <c r="C890" s="2" t="s">
        <v>1594</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3"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3"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1595</v>
      </c>
      <c r="AC892" s="1447">
        <f>W855+W863+W870+W872+W881+W888+W857</f>
        <v>791650</v>
      </c>
      <c r="AD892" s="1447"/>
      <c r="AE892" s="1447"/>
      <c r="AF892" s="1447"/>
      <c r="AG892" s="1447"/>
      <c r="AH892" s="1448"/>
      <c r="AL892" s="3"/>
      <c r="AM892" s="3"/>
      <c r="AN892" s="3"/>
      <c r="AO892" s="3"/>
      <c r="AP892" s="3"/>
      <c r="AQ892" s="3"/>
      <c r="AR892" s="3"/>
      <c r="AS892" s="3"/>
      <c r="AT892" s="3"/>
      <c r="AV892" s="3"/>
      <c r="AW892" s="3"/>
      <c r="AX892" s="3"/>
      <c r="AY892" s="3"/>
      <c r="AZ892" s="3"/>
      <c r="BA892" s="3"/>
      <c r="BB892" s="3"/>
      <c r="BC892" s="3"/>
    </row>
    <row r="893" spans="3:55" ht="13"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1596</v>
      </c>
      <c r="AC893" s="1606">
        <f>O805+O785+G761</f>
        <v>113</v>
      </c>
      <c r="AD893" s="1606"/>
      <c r="AE893" s="1606"/>
      <c r="AF893" s="1606"/>
      <c r="AG893" s="1606"/>
      <c r="AH893" s="1607"/>
      <c r="AL893" s="3"/>
      <c r="AM893" s="3"/>
      <c r="AN893" s="3"/>
      <c r="AO893" s="3"/>
      <c r="AP893" s="3"/>
      <c r="AQ893" s="3"/>
      <c r="AR893" s="3"/>
      <c r="AS893" s="3"/>
      <c r="AT893" s="3"/>
      <c r="AZ893" s="3"/>
      <c r="BA893" s="3"/>
      <c r="BB893" s="3"/>
      <c r="BC893" s="3"/>
    </row>
    <row r="894" spans="3:55" ht="13" customHeight="1">
      <c r="C894" s="33"/>
      <c r="D894" s="34"/>
      <c r="E894" s="1582" t="s">
        <v>1597</v>
      </c>
      <c r="F894" s="1582"/>
      <c r="G894" s="1582"/>
      <c r="H894" s="1582"/>
      <c r="I894" s="1582"/>
      <c r="J894" s="1582"/>
      <c r="K894" s="1582"/>
      <c r="L894" s="1582"/>
      <c r="M894" s="1582"/>
      <c r="N894" s="1582"/>
      <c r="O894" s="1582"/>
      <c r="P894" s="1582"/>
      <c r="Q894" s="1582"/>
      <c r="R894" s="1582"/>
      <c r="S894" s="1582"/>
      <c r="T894" s="1582"/>
      <c r="U894" s="1582"/>
      <c r="V894" s="1582"/>
      <c r="W894" s="1582"/>
      <c r="X894" s="1582"/>
      <c r="Y894" s="1582"/>
      <c r="Z894" s="1582"/>
      <c r="AA894" s="1582"/>
      <c r="AB894" s="1583"/>
      <c r="AC894" s="1566">
        <f>IF(ISERROR((ROUNDDOWN(AC892/AC893,0))),0,(ROUNDDOWN(AC892/AC893,0)))</f>
        <v>7005</v>
      </c>
      <c r="AD894" s="1566"/>
      <c r="AE894" s="1566"/>
      <c r="AF894" s="1566"/>
      <c r="AG894" s="1566"/>
      <c r="AH894" s="1566"/>
      <c r="AL894" s="3"/>
      <c r="AM894" s="3"/>
      <c r="AN894" s="3"/>
      <c r="AO894" s="3"/>
      <c r="AP894" s="3"/>
      <c r="AQ894" s="3"/>
      <c r="AR894" s="3"/>
      <c r="AS894" s="3"/>
      <c r="AT894" s="3"/>
      <c r="AZ894" s="3"/>
      <c r="BA894" s="3"/>
      <c r="BB894" s="3"/>
      <c r="BC894" s="3"/>
    </row>
    <row r="895" spans="3:55" ht="13"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1598</v>
      </c>
      <c r="AC895" s="1608">
        <v>745545</v>
      </c>
      <c r="AD895" s="1609"/>
      <c r="AE895" s="1609"/>
      <c r="AF895" s="1609"/>
      <c r="AG895" s="1609"/>
      <c r="AH895" s="1609"/>
      <c r="AL895" s="3"/>
      <c r="AM895" s="3"/>
      <c r="AN895" s="3"/>
      <c r="AO895" s="3"/>
      <c r="AP895" s="3"/>
      <c r="AQ895" s="3"/>
      <c r="AR895" s="3"/>
      <c r="AS895" s="3"/>
      <c r="AT895" s="3"/>
      <c r="AZ895" s="3"/>
      <c r="BA895" s="3"/>
      <c r="BB895" s="3"/>
      <c r="BC895" s="3"/>
    </row>
    <row r="896" spans="3:55" ht="13"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1599</v>
      </c>
      <c r="AC896" s="1323"/>
      <c r="AD896" s="1594"/>
      <c r="AE896" s="1594"/>
      <c r="AF896" s="1594"/>
      <c r="AG896" s="1594"/>
      <c r="AH896" s="1594"/>
      <c r="AL896" s="3"/>
      <c r="AM896" s="3"/>
      <c r="AN896" s="3"/>
      <c r="AO896" s="3"/>
      <c r="AP896" s="3"/>
      <c r="AQ896" s="3"/>
      <c r="AR896" s="3"/>
      <c r="AS896" s="3"/>
      <c r="AT896" s="3"/>
      <c r="AZ896" s="3"/>
      <c r="BA896" s="3"/>
      <c r="BB896" s="3"/>
      <c r="BC896" s="3"/>
    </row>
    <row r="897" spans="1:58" ht="13"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1600</v>
      </c>
      <c r="AC897" s="1322">
        <v>27600</v>
      </c>
      <c r="AD897" s="1322"/>
      <c r="AE897" s="1322"/>
      <c r="AF897" s="1322"/>
      <c r="AG897" s="1322"/>
      <c r="AH897" s="1323"/>
      <c r="AL897" s="3"/>
      <c r="AM897" s="3"/>
      <c r="AN897" s="3"/>
      <c r="AO897" s="3"/>
      <c r="AP897" s="3"/>
      <c r="AQ897" s="3"/>
      <c r="AR897" s="3"/>
      <c r="AS897" s="3"/>
      <c r="AT897" s="3"/>
      <c r="AZ897" s="3"/>
      <c r="BA897" s="3"/>
      <c r="BB897" s="3"/>
      <c r="BC897" s="3"/>
    </row>
    <row r="898" spans="1:58" ht="13"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1601</v>
      </c>
      <c r="AC898" s="1322">
        <v>28250</v>
      </c>
      <c r="AD898" s="1322"/>
      <c r="AE898" s="1322"/>
      <c r="AF898" s="1322"/>
      <c r="AG898" s="1322"/>
      <c r="AH898" s="1323"/>
      <c r="AZ898" s="3"/>
      <c r="BA898" s="3"/>
      <c r="BB898" s="3"/>
      <c r="BC898" s="3"/>
    </row>
    <row r="899" spans="1:58" ht="13"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1602</v>
      </c>
      <c r="AC899" s="1433">
        <v>7500</v>
      </c>
      <c r="AD899" s="1434"/>
      <c r="AE899" s="1434"/>
      <c r="AF899" s="1434"/>
      <c r="AG899" s="1434"/>
      <c r="AH899" s="1435"/>
      <c r="AZ899" s="3"/>
      <c r="BA899" s="3"/>
      <c r="BB899" s="3"/>
      <c r="BC899" s="3"/>
    </row>
    <row r="900" spans="1:58" ht="13"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1603</v>
      </c>
      <c r="AC900" s="1322"/>
      <c r="AD900" s="1322"/>
      <c r="AE900" s="1322"/>
      <c r="AF900" s="1322"/>
      <c r="AG900" s="1322"/>
      <c r="AH900" s="1323"/>
      <c r="AZ900" s="3"/>
      <c r="BA900" s="3"/>
      <c r="BB900" s="3"/>
      <c r="BC900" s="3"/>
    </row>
    <row r="901" spans="1:58" ht="13" hidden="1" customHeight="1">
      <c r="C901" s="1380" t="s">
        <v>1604</v>
      </c>
      <c r="D901" s="1381"/>
      <c r="E901" s="1381"/>
      <c r="F901" s="1381"/>
      <c r="G901" s="1381"/>
      <c r="H901" s="1381"/>
      <c r="I901" s="1381"/>
      <c r="J901" s="1381"/>
      <c r="K901" s="1381"/>
      <c r="L901" s="1381"/>
      <c r="M901" s="1381"/>
      <c r="N901" s="1381"/>
      <c r="O901" s="1381"/>
      <c r="P901" s="1381"/>
      <c r="Q901" s="1381"/>
      <c r="R901" s="1381"/>
      <c r="S901" s="1381"/>
      <c r="T901" s="1381"/>
      <c r="U901" s="1381"/>
      <c r="V901" s="1381"/>
      <c r="W901" s="1381"/>
      <c r="X901" s="1381"/>
      <c r="Y901" s="1381"/>
      <c r="Z901" s="1381"/>
      <c r="AA901" s="1381"/>
      <c r="AB901" s="1383"/>
      <c r="AC901" s="1322"/>
      <c r="AD901" s="1322"/>
      <c r="AE901" s="1322"/>
      <c r="AF901" s="1322"/>
      <c r="AG901" s="1322"/>
      <c r="AH901" s="1323"/>
      <c r="AZ901" s="3"/>
      <c r="BA901" s="3"/>
      <c r="BB901" s="3"/>
      <c r="BC901" s="3"/>
    </row>
    <row r="902" spans="1:58" ht="13"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1605</v>
      </c>
      <c r="AC902" s="1322"/>
      <c r="AD902" s="1322"/>
      <c r="AE902" s="1322"/>
      <c r="AF902" s="1322"/>
      <c r="AG902" s="1322"/>
      <c r="AH902" s="1323"/>
      <c r="AZ902" s="3"/>
      <c r="BA902" s="3"/>
      <c r="BB902" s="3"/>
      <c r="BC902" s="3"/>
    </row>
    <row r="903" spans="1:58" ht="13" customHeight="1">
      <c r="C903" s="1660" t="s">
        <v>1606</v>
      </c>
      <c r="D903" s="1661"/>
      <c r="E903" s="1661"/>
      <c r="F903" s="1661"/>
      <c r="G903" s="1661"/>
      <c r="H903" s="1661"/>
      <c r="I903" s="1661"/>
      <c r="J903" s="1661"/>
      <c r="K903" s="1661"/>
      <c r="L903" s="1661"/>
      <c r="M903" s="1661"/>
      <c r="N903" s="1661"/>
      <c r="O903" s="1661"/>
      <c r="P903" s="1661"/>
      <c r="Q903" s="1661"/>
      <c r="R903" s="1661"/>
      <c r="S903" s="1661"/>
      <c r="T903" s="1661"/>
      <c r="U903" s="1661"/>
      <c r="V903" s="1661"/>
      <c r="W903" s="1661"/>
      <c r="X903" s="1661"/>
      <c r="Y903" s="1661"/>
      <c r="Z903" s="1661"/>
      <c r="AA903" s="1661"/>
      <c r="AB903" s="1662"/>
      <c r="AC903" s="1594"/>
      <c r="AD903" s="1594"/>
      <c r="AE903" s="1594"/>
      <c r="AF903" s="1594"/>
      <c r="AG903" s="1594"/>
      <c r="AH903" s="1594"/>
      <c r="AZ903" s="3"/>
      <c r="BA903" s="3"/>
      <c r="BB903" s="3"/>
      <c r="BC903" s="3"/>
    </row>
    <row r="904" spans="1:58" ht="13" customHeight="1">
      <c r="C904" s="1660" t="s">
        <v>1606</v>
      </c>
      <c r="D904" s="1661"/>
      <c r="E904" s="1661"/>
      <c r="F904" s="1661"/>
      <c r="G904" s="1661"/>
      <c r="H904" s="1661"/>
      <c r="I904" s="1661"/>
      <c r="J904" s="1661"/>
      <c r="K904" s="1661"/>
      <c r="L904" s="1661"/>
      <c r="M904" s="1661"/>
      <c r="N904" s="1661"/>
      <c r="O904" s="1661"/>
      <c r="P904" s="1661"/>
      <c r="Q904" s="1661"/>
      <c r="R904" s="1661"/>
      <c r="S904" s="1661"/>
      <c r="T904" s="1661"/>
      <c r="U904" s="1661"/>
      <c r="V904" s="1661"/>
      <c r="W904" s="1661"/>
      <c r="X904" s="1661"/>
      <c r="Y904" s="1661"/>
      <c r="Z904" s="1661"/>
      <c r="AA904" s="1661"/>
      <c r="AB904" s="1662"/>
      <c r="AC904" s="1594"/>
      <c r="AD904" s="1594"/>
      <c r="AE904" s="1594"/>
      <c r="AF904" s="1594"/>
      <c r="AG904" s="1594"/>
      <c r="AH904" s="1594"/>
      <c r="AU904" s="70"/>
      <c r="AZ904" s="3"/>
      <c r="BA904" s="3"/>
      <c r="BB904" s="3"/>
      <c r="BC904" s="3"/>
    </row>
    <row r="905" spans="1:58" ht="13" customHeight="1">
      <c r="E905" s="412"/>
      <c r="AB905" s="48"/>
      <c r="AC905" s="89"/>
      <c r="AD905" s="89"/>
      <c r="AE905" s="89"/>
      <c r="AF905" s="89"/>
      <c r="AG905" s="89"/>
      <c r="AH905" s="89"/>
      <c r="AU905" s="70"/>
      <c r="AZ905" s="3"/>
      <c r="BA905" s="3"/>
      <c r="BB905" s="3"/>
      <c r="BC905" s="3"/>
    </row>
    <row r="906" spans="1:58" ht="13" customHeight="1">
      <c r="A906" s="2" t="s">
        <v>1324</v>
      </c>
      <c r="C906" s="2" t="s">
        <v>1607</v>
      </c>
      <c r="X906" s="11"/>
      <c r="Y906" s="11"/>
      <c r="Z906" s="11"/>
      <c r="AA906" s="11"/>
      <c r="AB906" s="11"/>
      <c r="AC906" s="11"/>
      <c r="AD906" s="11"/>
      <c r="AU906" s="70"/>
      <c r="AZ906" s="3"/>
      <c r="BB906" s="25"/>
      <c r="BC906" s="25"/>
    </row>
    <row r="907" spans="1:58" ht="13" customHeight="1">
      <c r="X907" s="11"/>
      <c r="Y907" s="11"/>
      <c r="Z907" s="11"/>
      <c r="AA907" s="11"/>
      <c r="AB907" s="11"/>
      <c r="AC907" s="11"/>
      <c r="AD907" s="11"/>
      <c r="AF907" s="433"/>
      <c r="AG907" s="924"/>
      <c r="AH907" s="924"/>
      <c r="AI907" s="924"/>
      <c r="AU907" s="70"/>
      <c r="AZ907" s="3"/>
      <c r="BB907" s="25"/>
      <c r="BC907" s="25"/>
      <c r="BD907" s="13"/>
      <c r="BE907" s="13"/>
      <c r="BF907" s="13"/>
    </row>
    <row r="908" spans="1:58" ht="13" customHeight="1">
      <c r="B908" s="2"/>
      <c r="H908" s="87" t="s">
        <v>1608</v>
      </c>
      <c r="I908" s="5"/>
      <c r="J908" s="5"/>
      <c r="K908" s="5"/>
      <c r="L908" s="5"/>
      <c r="M908" s="5"/>
      <c r="N908" s="5"/>
      <c r="O908" s="5"/>
      <c r="P908" s="5"/>
      <c r="Q908" s="5"/>
      <c r="R908" s="5"/>
      <c r="S908" s="5"/>
      <c r="T908" s="5"/>
      <c r="U908" s="5"/>
      <c r="V908" s="5"/>
      <c r="W908" s="5"/>
      <c r="X908" s="5"/>
      <c r="Y908" s="38"/>
      <c r="Z908" s="1436"/>
      <c r="AA908" s="1322"/>
      <c r="AB908" s="1322"/>
      <c r="AC908" s="1322"/>
      <c r="AD908" s="1322"/>
      <c r="AE908" s="1323"/>
      <c r="AF908" s="433"/>
      <c r="AZ908" s="3"/>
      <c r="BB908" s="25"/>
      <c r="BC908" s="712"/>
      <c r="BD908" s="1595"/>
      <c r="BE908" s="1595"/>
      <c r="BF908" s="13"/>
    </row>
    <row r="909" spans="1:58" ht="13" customHeight="1">
      <c r="H909" s="87" t="s">
        <v>1609</v>
      </c>
      <c r="I909" s="5"/>
      <c r="J909" s="5"/>
      <c r="K909" s="5"/>
      <c r="L909" s="5"/>
      <c r="M909" s="5"/>
      <c r="N909" s="5"/>
      <c r="O909" s="5"/>
      <c r="P909" s="5"/>
      <c r="Q909" s="5"/>
      <c r="R909" s="5"/>
      <c r="S909" s="5"/>
      <c r="T909" s="5"/>
      <c r="U909" s="5"/>
      <c r="V909" s="5"/>
      <c r="W909" s="5"/>
      <c r="X909" s="5"/>
      <c r="Y909" s="5"/>
      <c r="Z909" s="1436"/>
      <c r="AA909" s="1322"/>
      <c r="AB909" s="1322"/>
      <c r="AC909" s="1322"/>
      <c r="AD909" s="1322"/>
      <c r="AE909" s="1323"/>
      <c r="AZ909" s="3"/>
      <c r="BB909" s="25"/>
      <c r="BC909" s="712"/>
      <c r="BD909" s="1595"/>
      <c r="BE909" s="1595"/>
      <c r="BF909" s="13"/>
    </row>
    <row r="910" spans="1:58" ht="13" customHeight="1">
      <c r="H910" s="87" t="s">
        <v>1610</v>
      </c>
      <c r="I910" s="5"/>
      <c r="J910" s="5"/>
      <c r="K910" s="5"/>
      <c r="L910" s="5"/>
      <c r="M910" s="5"/>
      <c r="N910" s="5"/>
      <c r="O910" s="5"/>
      <c r="P910" s="5"/>
      <c r="Q910" s="5"/>
      <c r="R910" s="5"/>
      <c r="S910" s="5"/>
      <c r="T910" s="5"/>
      <c r="U910" s="5"/>
      <c r="V910" s="5"/>
      <c r="W910" s="5"/>
      <c r="X910" s="5"/>
      <c r="Y910" s="5"/>
      <c r="Z910" s="1436"/>
      <c r="AA910" s="1322"/>
      <c r="AB910" s="1322"/>
      <c r="AC910" s="1322"/>
      <c r="AD910" s="1322"/>
      <c r="AE910" s="1323"/>
      <c r="AZ910" s="3"/>
      <c r="BB910" s="25"/>
      <c r="BC910" s="712"/>
      <c r="BD910" s="1596"/>
      <c r="BE910" s="1596"/>
      <c r="BF910" s="13"/>
    </row>
    <row r="911" spans="1:58" ht="13" customHeight="1">
      <c r="H911" s="37"/>
      <c r="I911" s="5"/>
      <c r="J911" s="5"/>
      <c r="K911" s="5"/>
      <c r="L911" s="5"/>
      <c r="M911" s="5"/>
      <c r="N911" s="5"/>
      <c r="O911" s="5"/>
      <c r="P911" s="5"/>
      <c r="Q911" s="5"/>
      <c r="R911" s="5"/>
      <c r="S911" s="5"/>
      <c r="T911" s="5"/>
      <c r="U911" s="5"/>
      <c r="V911" s="5"/>
      <c r="W911" s="5"/>
      <c r="X911" s="5"/>
      <c r="Y911" s="125" t="s">
        <v>1611</v>
      </c>
      <c r="Z911" s="1446">
        <f>Z908-(Z909+Z910)</f>
        <v>0</v>
      </c>
      <c r="AA911" s="1447"/>
      <c r="AB911" s="1447"/>
      <c r="AC911" s="1447"/>
      <c r="AD911" s="1447"/>
      <c r="AE911" s="1448"/>
      <c r="AZ911" s="3"/>
      <c r="BB911" s="25"/>
      <c r="BC911" s="712"/>
      <c r="BD911" s="1596"/>
      <c r="BE911" s="1596"/>
      <c r="BF911" s="13"/>
    </row>
    <row r="912" spans="1:58" ht="13"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96"/>
      <c r="BE912" s="1596"/>
      <c r="BF912" s="13"/>
    </row>
    <row r="913" spans="1:58" ht="13" customHeight="1">
      <c r="C913" t="s">
        <v>1612</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95"/>
      <c r="BE913" s="1596"/>
      <c r="BF913" s="13"/>
    </row>
    <row r="914" spans="1:58" ht="13" customHeight="1">
      <c r="C914" s="126" t="s">
        <v>1613</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98"/>
      <c r="BE914" s="1598"/>
      <c r="BF914" s="1598"/>
    </row>
    <row r="915" spans="1:58" ht="13" customHeight="1">
      <c r="C915" s="126" t="s">
        <v>1614</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97"/>
      <c r="BE915" s="1597"/>
      <c r="BF915" s="1597"/>
    </row>
    <row r="916" spans="1:58" ht="13" customHeight="1">
      <c r="C916" s="243" t="s">
        <v>1615</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96"/>
      <c r="BE916" s="1596"/>
      <c r="BF916" s="13"/>
    </row>
    <row r="917" spans="1:58" ht="13"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95"/>
      <c r="BE917" s="1596"/>
      <c r="BF917" s="13"/>
    </row>
    <row r="918" spans="1:58" ht="13" customHeight="1">
      <c r="AZ918" s="3"/>
      <c r="BB918" s="25"/>
      <c r="BC918" s="712"/>
    </row>
    <row r="919" spans="1:58" ht="13" customHeight="1">
      <c r="A919" s="1487" t="s">
        <v>1616</v>
      </c>
      <c r="B919" s="1487"/>
      <c r="C919" s="1487"/>
      <c r="D919" s="1487"/>
      <c r="E919" s="1487"/>
      <c r="F919" s="1487"/>
      <c r="G919" s="1487"/>
      <c r="H919" s="1487"/>
      <c r="I919" s="1487"/>
      <c r="J919" s="1487"/>
      <c r="K919" s="1487"/>
      <c r="L919" s="1487"/>
      <c r="M919" s="1487"/>
      <c r="N919" s="1487"/>
      <c r="O919" s="1487"/>
      <c r="P919" s="1487"/>
      <c r="Q919" s="1487"/>
      <c r="R919" s="1487"/>
      <c r="S919" s="1487"/>
      <c r="T919" s="1487"/>
      <c r="U919" s="1487"/>
      <c r="V919" s="1487"/>
      <c r="W919" s="1487"/>
      <c r="X919" s="1487"/>
      <c r="Y919" s="1487"/>
      <c r="Z919" s="1487"/>
      <c r="AA919" s="1487"/>
      <c r="AB919" s="1487"/>
      <c r="AC919" s="1487"/>
      <c r="AD919" s="1487"/>
      <c r="AE919" s="1487"/>
      <c r="AF919" s="1487"/>
      <c r="AG919" s="1487"/>
      <c r="AH919" s="1487"/>
      <c r="AI919" s="1487"/>
      <c r="AJ919" s="1487"/>
      <c r="AK919" s="1487"/>
      <c r="AL919" s="1487"/>
      <c r="AM919" s="1487"/>
      <c r="AN919" s="1487"/>
      <c r="AO919" s="1487"/>
      <c r="AP919" s="1487"/>
      <c r="AQ919" s="1487"/>
      <c r="AR919" s="1487"/>
      <c r="AS919" s="1487"/>
      <c r="AT919" s="1487"/>
      <c r="AZ919" s="3"/>
      <c r="BA919" s="3"/>
      <c r="BB919" s="25"/>
      <c r="BC919" s="25"/>
      <c r="BD919" s="1595"/>
      <c r="BE919" s="1596"/>
      <c r="BF919" s="803"/>
    </row>
    <row r="920" spans="1:58" ht="13" customHeight="1">
      <c r="A920" s="1487"/>
      <c r="B920" s="1487"/>
      <c r="C920" s="1487"/>
      <c r="D920" s="1487"/>
      <c r="E920" s="1487"/>
      <c r="F920" s="1487"/>
      <c r="G920" s="1487"/>
      <c r="H920" s="1487"/>
      <c r="I920" s="1487"/>
      <c r="J920" s="1487"/>
      <c r="K920" s="1487"/>
      <c r="L920" s="1487"/>
      <c r="M920" s="1487"/>
      <c r="N920" s="1487"/>
      <c r="O920" s="1487"/>
      <c r="P920" s="1487"/>
      <c r="Q920" s="1487"/>
      <c r="R920" s="1487"/>
      <c r="S920" s="1487"/>
      <c r="T920" s="1487"/>
      <c r="U920" s="1487"/>
      <c r="V920" s="1487"/>
      <c r="W920" s="1487"/>
      <c r="X920" s="1487"/>
      <c r="Y920" s="1487"/>
      <c r="Z920" s="1487"/>
      <c r="AA920" s="1487"/>
      <c r="AB920" s="1487"/>
      <c r="AC920" s="1487"/>
      <c r="AD920" s="1487"/>
      <c r="AE920" s="1487"/>
      <c r="AF920" s="1487"/>
      <c r="AG920" s="1487"/>
      <c r="AH920" s="1487"/>
      <c r="AI920" s="1487"/>
      <c r="AJ920" s="1487"/>
      <c r="AK920" s="1487"/>
      <c r="AL920" s="1487"/>
      <c r="AM920" s="1487"/>
      <c r="AN920" s="1487"/>
      <c r="AO920" s="1487"/>
      <c r="AP920" s="1487"/>
      <c r="AQ920" s="1487"/>
      <c r="AR920" s="1487"/>
      <c r="AS920" s="1487"/>
      <c r="AT920" s="1487"/>
      <c r="AZ920" s="3"/>
      <c r="BA920" s="3"/>
      <c r="BB920" s="3"/>
      <c r="BC920" s="3"/>
      <c r="BD920" s="3"/>
      <c r="BE920" s="3"/>
      <c r="BF920" s="3"/>
    </row>
    <row r="921" spans="1:58" ht="13"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3" customHeight="1">
      <c r="A922" s="2" t="s">
        <v>887</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3" customHeight="1">
      <c r="AZ923" s="3"/>
      <c r="BA923" s="3"/>
      <c r="BB923" s="3"/>
      <c r="BC923" s="3"/>
    </row>
    <row r="924" spans="1:58" ht="13" customHeight="1">
      <c r="F924" s="1585" t="s">
        <v>1617</v>
      </c>
      <c r="G924" s="1586"/>
      <c r="H924" s="1586"/>
      <c r="I924" s="1586"/>
      <c r="J924" s="1586"/>
      <c r="K924" s="1586"/>
      <c r="L924" s="1586"/>
      <c r="M924" s="1586"/>
      <c r="N924" s="1586"/>
      <c r="O924" s="1586"/>
      <c r="P924" s="1586"/>
      <c r="Q924" s="1586"/>
      <c r="R924" s="1586"/>
      <c r="S924" s="1586"/>
      <c r="T924" s="1587"/>
      <c r="U924" s="1740" t="s">
        <v>1618</v>
      </c>
      <c r="V924" s="1663"/>
      <c r="W924" s="1663"/>
      <c r="X924" s="1663"/>
      <c r="Y924" s="1663"/>
      <c r="Z924" s="1663"/>
      <c r="AA924" s="35"/>
      <c r="AB924" s="216"/>
      <c r="AC924" s="216"/>
      <c r="AD924" s="216"/>
      <c r="AE924" s="216"/>
      <c r="AF924" s="1179"/>
      <c r="AZ924" s="3"/>
      <c r="BA924" s="3"/>
      <c r="BB924" s="3"/>
      <c r="BC924" s="3"/>
    </row>
    <row r="925" spans="1:58" ht="13" customHeight="1">
      <c r="B925" s="2"/>
      <c r="F925" s="1691" t="s">
        <v>1619</v>
      </c>
      <c r="G925" s="1692"/>
      <c r="H925" s="1692"/>
      <c r="I925" s="1692"/>
      <c r="J925" s="1692"/>
      <c r="K925" s="1692"/>
      <c r="L925" s="1692"/>
      <c r="M925" s="1692"/>
      <c r="N925" s="1692"/>
      <c r="O925" s="1692"/>
      <c r="P925" s="1692"/>
      <c r="Q925" s="1692"/>
      <c r="R925" s="1692"/>
      <c r="S925" s="1692"/>
      <c r="T925" s="1693"/>
      <c r="U925" s="1691"/>
      <c r="V925" s="1692"/>
      <c r="W925" s="1692"/>
      <c r="X925" s="1692"/>
      <c r="Y925" s="1692"/>
      <c r="Z925" s="1692"/>
      <c r="AA925" s="36"/>
      <c r="AB925" s="3"/>
      <c r="AC925" s="3"/>
      <c r="AD925" s="3"/>
      <c r="AE925" s="3"/>
      <c r="AF925" s="1180"/>
      <c r="AZ925" s="3"/>
      <c r="BA925" s="3"/>
      <c r="BB925" s="3"/>
      <c r="BC925" s="3"/>
    </row>
    <row r="926" spans="1:58" ht="13" customHeight="1">
      <c r="B926" s="2"/>
      <c r="F926" s="1694"/>
      <c r="G926" s="1665"/>
      <c r="H926" s="1665"/>
      <c r="I926" s="1665"/>
      <c r="J926" s="1665"/>
      <c r="K926" s="1665"/>
      <c r="L926" s="1665"/>
      <c r="M926" s="1665"/>
      <c r="N926" s="1665"/>
      <c r="O926" s="1665"/>
      <c r="P926" s="1665"/>
      <c r="Q926" s="1665"/>
      <c r="R926" s="1665"/>
      <c r="S926" s="1665"/>
      <c r="T926" s="1666"/>
      <c r="U926" s="1694"/>
      <c r="V926" s="1665"/>
      <c r="W926" s="1665"/>
      <c r="X926" s="1665"/>
      <c r="Y926" s="1665"/>
      <c r="Z926" s="1665"/>
      <c r="AA926" s="789"/>
      <c r="AB926" s="1388" t="s">
        <v>1620</v>
      </c>
      <c r="AC926" s="1388"/>
      <c r="AD926" s="1388"/>
      <c r="AE926" s="1388"/>
      <c r="AF926" s="1181"/>
      <c r="AZ926" s="3"/>
      <c r="BA926" s="3"/>
      <c r="BB926" s="3"/>
      <c r="BC926" s="3"/>
    </row>
    <row r="927" spans="1:58" ht="13" customHeight="1">
      <c r="B927" s="2"/>
      <c r="F927" s="37" t="s">
        <v>1621</v>
      </c>
      <c r="G927" s="40"/>
      <c r="H927" s="40"/>
      <c r="I927" s="40"/>
      <c r="J927" s="40"/>
      <c r="K927" s="40"/>
      <c r="L927" s="40"/>
      <c r="M927" s="40"/>
      <c r="N927" s="40"/>
      <c r="O927" s="40"/>
      <c r="P927" s="40"/>
      <c r="Q927" s="40"/>
      <c r="R927" s="40"/>
      <c r="S927" s="40"/>
      <c r="T927" s="41"/>
      <c r="U927" s="1579" t="s">
        <v>862</v>
      </c>
      <c r="V927" s="1363"/>
      <c r="W927" s="1363"/>
      <c r="X927" s="1363"/>
      <c r="Y927" s="1363"/>
      <c r="Z927" s="1364"/>
      <c r="AA927" s="1580">
        <f>21500000</f>
        <v>21500000</v>
      </c>
      <c r="AB927" s="1523"/>
      <c r="AC927" s="1523"/>
      <c r="AD927" s="1523"/>
      <c r="AE927" s="1523"/>
      <c r="AF927" s="1581"/>
      <c r="AG927" s="1080" t="str">
        <f>IF(NOT(AA927=AW927),"!","")</f>
        <v/>
      </c>
      <c r="AH927" s="3"/>
      <c r="AW927" s="1377">
        <f>SUMIF($M$562:$M$573,"Loan, Tax-Exempt",$AM$562:$AM$573)</f>
        <v>21500000</v>
      </c>
      <c r="AX927" s="1377"/>
      <c r="AY927" s="1377"/>
      <c r="AZ927" s="3" t="s">
        <v>1622</v>
      </c>
      <c r="BA927" s="3"/>
      <c r="BB927" s="3"/>
      <c r="BC927" s="3"/>
    </row>
    <row r="928" spans="1:58" ht="13" customHeight="1">
      <c r="B928" s="2"/>
      <c r="F928" s="87" t="s">
        <v>1623</v>
      </c>
      <c r="G928" s="40"/>
      <c r="H928" s="40"/>
      <c r="I928" s="40"/>
      <c r="J928" s="40"/>
      <c r="K928" s="40"/>
      <c r="L928" s="40"/>
      <c r="M928" s="40"/>
      <c r="N928" s="40"/>
      <c r="O928" s="40"/>
      <c r="P928" s="40"/>
      <c r="Q928" s="40"/>
      <c r="R928" s="40"/>
      <c r="S928" s="40"/>
      <c r="T928" s="41"/>
      <c r="U928" s="1579" t="s">
        <v>862</v>
      </c>
      <c r="V928" s="1363"/>
      <c r="W928" s="1363"/>
      <c r="X928" s="1363"/>
      <c r="Y928" s="1363"/>
      <c r="Z928" s="1364"/>
      <c r="AA928" s="1580">
        <v>31512685</v>
      </c>
      <c r="AB928" s="1523"/>
      <c r="AC928" s="1523"/>
      <c r="AD928" s="1523"/>
      <c r="AE928" s="1523"/>
      <c r="AF928" s="1581"/>
      <c r="AZ928" s="3"/>
      <c r="BA928" s="3"/>
      <c r="BB928" s="3"/>
      <c r="BC928" s="3"/>
    </row>
    <row r="929" spans="6:55" ht="13" customHeight="1">
      <c r="F929" s="37" t="s">
        <v>1624</v>
      </c>
      <c r="G929" s="5"/>
      <c r="H929" s="5"/>
      <c r="I929" s="5"/>
      <c r="J929" s="5"/>
      <c r="K929" s="5"/>
      <c r="L929" s="5"/>
      <c r="M929" s="5"/>
      <c r="N929" s="5"/>
      <c r="O929" s="5"/>
      <c r="P929" s="5"/>
      <c r="Q929" s="5"/>
      <c r="R929" s="5"/>
      <c r="S929" s="5"/>
      <c r="T929" s="38"/>
      <c r="U929" s="1579" t="s">
        <v>826</v>
      </c>
      <c r="V929" s="1363"/>
      <c r="W929" s="1363"/>
      <c r="X929" s="1363"/>
      <c r="Y929" s="1363"/>
      <c r="Z929" s="1364"/>
      <c r="AA929" s="1580"/>
      <c r="AB929" s="1523"/>
      <c r="AC929" s="1523"/>
      <c r="AD929" s="1523"/>
      <c r="AE929" s="1523"/>
      <c r="AF929" s="1581"/>
      <c r="AZ929" s="3"/>
      <c r="BA929" s="3"/>
      <c r="BB929" s="3"/>
      <c r="BC929" s="3"/>
    </row>
    <row r="930" spans="6:55" ht="13" customHeight="1">
      <c r="F930" s="37" t="s">
        <v>1625</v>
      </c>
      <c r="G930" s="5"/>
      <c r="H930" s="5"/>
      <c r="I930" s="5"/>
      <c r="J930" s="5"/>
      <c r="K930" s="5"/>
      <c r="L930" s="5"/>
      <c r="M930" s="5"/>
      <c r="N930" s="5"/>
      <c r="O930" s="5"/>
      <c r="P930" s="5"/>
      <c r="Q930" s="5"/>
      <c r="R930" s="5"/>
      <c r="S930" s="5"/>
      <c r="T930" s="38"/>
      <c r="U930" s="1579" t="s">
        <v>826</v>
      </c>
      <c r="V930" s="1363"/>
      <c r="W930" s="1363"/>
      <c r="X930" s="1363"/>
      <c r="Y930" s="1363"/>
      <c r="Z930" s="1364"/>
      <c r="AA930" s="1580"/>
      <c r="AB930" s="1523"/>
      <c r="AC930" s="1523"/>
      <c r="AD930" s="1523"/>
      <c r="AE930" s="1523"/>
      <c r="AF930" s="1581"/>
      <c r="AZ930" s="3"/>
      <c r="BA930" s="3"/>
      <c r="BB930" s="3"/>
      <c r="BC930" s="3"/>
    </row>
    <row r="931" spans="6:55" ht="13" customHeight="1">
      <c r="F931" s="87" t="s">
        <v>1626</v>
      </c>
      <c r="G931" s="5"/>
      <c r="H931" s="5"/>
      <c r="I931" s="5"/>
      <c r="J931" s="5"/>
      <c r="K931" s="5"/>
      <c r="L931" s="5"/>
      <c r="M931" s="5"/>
      <c r="N931" s="5"/>
      <c r="O931" s="5"/>
      <c r="P931" s="5"/>
      <c r="Q931" s="5"/>
      <c r="R931" s="5"/>
      <c r="S931" s="5"/>
      <c r="T931" s="38"/>
      <c r="U931" s="1579" t="s">
        <v>826</v>
      </c>
      <c r="V931" s="1363"/>
      <c r="W931" s="1363"/>
      <c r="X931" s="1363"/>
      <c r="Y931" s="1363"/>
      <c r="Z931" s="1364"/>
      <c r="AA931" s="1580"/>
      <c r="AB931" s="1523"/>
      <c r="AC931" s="1523"/>
      <c r="AD931" s="1523"/>
      <c r="AE931" s="1523"/>
      <c r="AF931" s="1581"/>
      <c r="AZ931" s="3"/>
      <c r="BA931" s="3"/>
      <c r="BB931" s="3"/>
      <c r="BC931" s="3"/>
    </row>
    <row r="932" spans="6:55" ht="13" customHeight="1">
      <c r="F932" s="87" t="s">
        <v>1627</v>
      </c>
      <c r="G932" s="5"/>
      <c r="H932" s="5"/>
      <c r="I932" s="5"/>
      <c r="J932" s="5"/>
      <c r="K932" s="5"/>
      <c r="L932" s="5"/>
      <c r="M932" s="5"/>
      <c r="N932" s="5"/>
      <c r="O932" s="5"/>
      <c r="P932" s="5"/>
      <c r="Q932" s="5"/>
      <c r="R932" s="5"/>
      <c r="S932" s="5"/>
      <c r="T932" s="38"/>
      <c r="U932" s="1579" t="s">
        <v>826</v>
      </c>
      <c r="V932" s="1363"/>
      <c r="W932" s="1363"/>
      <c r="X932" s="1363"/>
      <c r="Y932" s="1363"/>
      <c r="Z932" s="1364"/>
      <c r="AA932" s="1580"/>
      <c r="AB932" s="1523"/>
      <c r="AC932" s="1523"/>
      <c r="AD932" s="1523"/>
      <c r="AE932" s="1523"/>
      <c r="AF932" s="1581"/>
      <c r="AZ932" s="3"/>
      <c r="BA932" s="3"/>
      <c r="BB932" s="3"/>
      <c r="BC932" s="3"/>
    </row>
    <row r="933" spans="6:55" ht="13" customHeight="1">
      <c r="F933" s="87" t="s">
        <v>1628</v>
      </c>
      <c r="G933" s="5"/>
      <c r="H933" s="5"/>
      <c r="I933" s="5"/>
      <c r="J933" s="5"/>
      <c r="K933" s="5"/>
      <c r="L933" s="5"/>
      <c r="M933" s="5"/>
      <c r="N933" s="5"/>
      <c r="O933" s="5"/>
      <c r="P933" s="5"/>
      <c r="Q933" s="5"/>
      <c r="R933" s="5"/>
      <c r="S933" s="5"/>
      <c r="T933" s="38"/>
      <c r="U933" s="1579" t="s">
        <v>826</v>
      </c>
      <c r="V933" s="1363"/>
      <c r="W933" s="1363"/>
      <c r="X933" s="1363"/>
      <c r="Y933" s="1363"/>
      <c r="Z933" s="1364"/>
      <c r="AA933" s="1580"/>
      <c r="AB933" s="1523"/>
      <c r="AC933" s="1523"/>
      <c r="AD933" s="1523"/>
      <c r="AE933" s="1523"/>
      <c r="AF933" s="1581"/>
      <c r="AZ933" s="3"/>
      <c r="BA933" s="3"/>
      <c r="BB933" s="3"/>
      <c r="BC933" s="3"/>
    </row>
    <row r="934" spans="6:55" ht="13" customHeight="1">
      <c r="F934" s="37" t="s">
        <v>1629</v>
      </c>
      <c r="G934" s="5"/>
      <c r="H934" s="5"/>
      <c r="I934" s="5"/>
      <c r="J934" s="5"/>
      <c r="K934" s="5"/>
      <c r="L934" s="5"/>
      <c r="M934" s="5"/>
      <c r="N934" s="5"/>
      <c r="O934" s="5"/>
      <c r="P934" s="5"/>
      <c r="Q934" s="5"/>
      <c r="R934" s="5"/>
      <c r="S934" s="5"/>
      <c r="T934" s="38"/>
      <c r="U934" s="1579" t="s">
        <v>826</v>
      </c>
      <c r="V934" s="1363"/>
      <c r="W934" s="1363"/>
      <c r="X934" s="1363"/>
      <c r="Y934" s="1363"/>
      <c r="Z934" s="1364"/>
      <c r="AA934" s="1580"/>
      <c r="AB934" s="1523"/>
      <c r="AC934" s="1523"/>
      <c r="AD934" s="1523"/>
      <c r="AE934" s="1523"/>
      <c r="AF934" s="1581"/>
      <c r="AZ934" s="3"/>
      <c r="BA934" s="3"/>
      <c r="BB934" s="3"/>
      <c r="BC934" s="3"/>
    </row>
    <row r="935" spans="6:55" ht="13" customHeight="1">
      <c r="F935" s="1651" t="s">
        <v>1630</v>
      </c>
      <c r="G935" s="1652"/>
      <c r="H935" s="1652"/>
      <c r="I935" s="1652"/>
      <c r="J935" s="1652"/>
      <c r="K935" s="1652"/>
      <c r="L935" s="1652"/>
      <c r="M935" s="1652"/>
      <c r="N935" s="1652"/>
      <c r="O935" s="1652"/>
      <c r="P935" s="1652"/>
      <c r="Q935" s="1652"/>
      <c r="R935" s="1652"/>
      <c r="S935" s="1652"/>
      <c r="T935" s="1653"/>
      <c r="U935" s="1579" t="s">
        <v>826</v>
      </c>
      <c r="V935" s="1363"/>
      <c r="W935" s="1363"/>
      <c r="X935" s="1363"/>
      <c r="Y935" s="1363"/>
      <c r="Z935" s="1364"/>
      <c r="AA935" s="1580"/>
      <c r="AB935" s="1523"/>
      <c r="AC935" s="1523"/>
      <c r="AD935" s="1523"/>
      <c r="AE935" s="1523"/>
      <c r="AF935" s="1581"/>
      <c r="AZ935" s="3"/>
      <c r="BA935" s="3"/>
      <c r="BB935" s="3"/>
      <c r="BC935" s="3"/>
    </row>
    <row r="936" spans="6:55" ht="13" customHeight="1">
      <c r="F936" s="1651" t="s">
        <v>1631</v>
      </c>
      <c r="G936" s="1652"/>
      <c r="H936" s="1652"/>
      <c r="I936" s="1652"/>
      <c r="J936" s="1652"/>
      <c r="K936" s="1652"/>
      <c r="L936" s="1652"/>
      <c r="M936" s="1652"/>
      <c r="N936" s="1652"/>
      <c r="O936" s="1652"/>
      <c r="P936" s="1652"/>
      <c r="Q936" s="1652"/>
      <c r="R936" s="1652"/>
      <c r="S936" s="1652"/>
      <c r="T936" s="1653"/>
      <c r="U936" s="1579" t="s">
        <v>826</v>
      </c>
      <c r="V936" s="1363"/>
      <c r="W936" s="1363"/>
      <c r="X936" s="1363"/>
      <c r="Y936" s="1363"/>
      <c r="Z936" s="1364"/>
      <c r="AA936" s="1580"/>
      <c r="AB936" s="1523"/>
      <c r="AC936" s="1523"/>
      <c r="AD936" s="1523"/>
      <c r="AE936" s="1523"/>
      <c r="AF936" s="1581"/>
      <c r="AU936" s="2"/>
      <c r="AZ936" s="3"/>
      <c r="BA936" s="3"/>
      <c r="BB936" s="3"/>
      <c r="BC936" s="3"/>
    </row>
    <row r="937" spans="6:55" ht="13" customHeight="1">
      <c r="F937" s="1651" t="s">
        <v>1632</v>
      </c>
      <c r="G937" s="1652"/>
      <c r="H937" s="1652"/>
      <c r="I937" s="1652"/>
      <c r="J937" s="1652"/>
      <c r="K937" s="1652"/>
      <c r="L937" s="1652"/>
      <c r="M937" s="1652"/>
      <c r="N937" s="1652"/>
      <c r="O937" s="1652"/>
      <c r="P937" s="1652"/>
      <c r="Q937" s="1652"/>
      <c r="R937" s="1652"/>
      <c r="S937" s="1652"/>
      <c r="T937" s="1653"/>
      <c r="U937" s="1579" t="s">
        <v>826</v>
      </c>
      <c r="V937" s="1363"/>
      <c r="W937" s="1363"/>
      <c r="X937" s="1363"/>
      <c r="Y937" s="1363"/>
      <c r="Z937" s="1364"/>
      <c r="AA937" s="1580"/>
      <c r="AB937" s="1523"/>
      <c r="AC937" s="1523"/>
      <c r="AD937" s="1523"/>
      <c r="AE937" s="1523"/>
      <c r="AF937" s="1581"/>
      <c r="AU937" s="2"/>
      <c r="AZ937" s="3"/>
      <c r="BA937" s="3"/>
      <c r="BB937" s="3"/>
      <c r="BC937" s="3"/>
    </row>
    <row r="938" spans="6:55" ht="13" customHeight="1">
      <c r="F938" s="1651" t="s">
        <v>1633</v>
      </c>
      <c r="G938" s="1652"/>
      <c r="H938" s="1652"/>
      <c r="I938" s="1652"/>
      <c r="J938" s="1652"/>
      <c r="K938" s="1652"/>
      <c r="L938" s="1652"/>
      <c r="M938" s="1652"/>
      <c r="N938" s="1652"/>
      <c r="O938" s="1652"/>
      <c r="P938" s="1652"/>
      <c r="Q938" s="1652"/>
      <c r="R938" s="1652"/>
      <c r="S938" s="1652"/>
      <c r="T938" s="1653"/>
      <c r="U938" s="1579" t="s">
        <v>826</v>
      </c>
      <c r="V938" s="1363"/>
      <c r="W938" s="1363"/>
      <c r="X938" s="1363"/>
      <c r="Y938" s="1363"/>
      <c r="Z938" s="1364"/>
      <c r="AA938" s="1580"/>
      <c r="AB938" s="1523"/>
      <c r="AC938" s="1523"/>
      <c r="AD938" s="1523"/>
      <c r="AE938" s="1523"/>
      <c r="AF938" s="1581"/>
      <c r="AU938" s="2"/>
      <c r="AZ938" s="3"/>
      <c r="BA938" s="3"/>
      <c r="BB938" s="3"/>
      <c r="BC938" s="3"/>
    </row>
    <row r="939" spans="6:55" ht="13" customHeight="1">
      <c r="F939" s="1651" t="s">
        <v>1634</v>
      </c>
      <c r="G939" s="1652"/>
      <c r="H939" s="1652"/>
      <c r="I939" s="1652"/>
      <c r="J939" s="1652"/>
      <c r="K939" s="1652"/>
      <c r="L939" s="1652"/>
      <c r="M939" s="1652"/>
      <c r="N939" s="1652"/>
      <c r="O939" s="1652"/>
      <c r="P939" s="1652"/>
      <c r="Q939" s="1652"/>
      <c r="R939" s="1652"/>
      <c r="S939" s="1652"/>
      <c r="T939" s="1653"/>
      <c r="U939" s="1579" t="s">
        <v>826</v>
      </c>
      <c r="V939" s="1363"/>
      <c r="W939" s="1363"/>
      <c r="X939" s="1363"/>
      <c r="Y939" s="1363"/>
      <c r="Z939" s="1364"/>
      <c r="AA939" s="1580"/>
      <c r="AB939" s="1523"/>
      <c r="AC939" s="1523"/>
      <c r="AD939" s="1523"/>
      <c r="AE939" s="1523"/>
      <c r="AF939" s="1581"/>
      <c r="AU939" s="2"/>
      <c r="AZ939" s="3"/>
      <c r="BA939" s="3"/>
      <c r="BB939" s="3"/>
      <c r="BC939" s="3"/>
    </row>
    <row r="940" spans="6:55" ht="13" customHeight="1">
      <c r="F940" s="1651" t="s">
        <v>1635</v>
      </c>
      <c r="G940" s="1652"/>
      <c r="H940" s="1652"/>
      <c r="I940" s="1652"/>
      <c r="J940" s="1652"/>
      <c r="K940" s="1652"/>
      <c r="L940" s="1652"/>
      <c r="M940" s="1652"/>
      <c r="N940" s="1652"/>
      <c r="O940" s="1652"/>
      <c r="P940" s="1652"/>
      <c r="Q940" s="1652"/>
      <c r="R940" s="1652"/>
      <c r="S940" s="1652"/>
      <c r="T940" s="1653"/>
      <c r="U940" s="1579" t="s">
        <v>826</v>
      </c>
      <c r="V940" s="1363"/>
      <c r="W940" s="1363"/>
      <c r="X940" s="1363"/>
      <c r="Y940" s="1363"/>
      <c r="Z940" s="1364"/>
      <c r="AA940" s="1580"/>
      <c r="AB940" s="1523"/>
      <c r="AC940" s="1523"/>
      <c r="AD940" s="1523"/>
      <c r="AE940" s="1523"/>
      <c r="AF940" s="1581"/>
      <c r="AU940" s="2"/>
      <c r="AZ940" s="3"/>
      <c r="BA940" s="3"/>
      <c r="BB940" s="3"/>
      <c r="BC940" s="3"/>
    </row>
    <row r="941" spans="6:55" ht="13" customHeight="1">
      <c r="F941" s="1651" t="s">
        <v>1636</v>
      </c>
      <c r="G941" s="1652"/>
      <c r="H941" s="1652"/>
      <c r="I941" s="1652"/>
      <c r="J941" s="1652"/>
      <c r="K941" s="1652"/>
      <c r="L941" s="1652"/>
      <c r="M941" s="1652"/>
      <c r="N941" s="1652"/>
      <c r="O941" s="1652"/>
      <c r="P941" s="1652"/>
      <c r="Q941" s="1652"/>
      <c r="R941" s="1652"/>
      <c r="S941" s="1652"/>
      <c r="T941" s="1653"/>
      <c r="U941" s="1579" t="s">
        <v>826</v>
      </c>
      <c r="V941" s="1363"/>
      <c r="W941" s="1363"/>
      <c r="X941" s="1363"/>
      <c r="Y941" s="1363"/>
      <c r="Z941" s="1364"/>
      <c r="AA941" s="1580"/>
      <c r="AB941" s="1523"/>
      <c r="AC941" s="1523"/>
      <c r="AD941" s="1523"/>
      <c r="AE941" s="1523"/>
      <c r="AF941" s="1581"/>
      <c r="AZ941" s="25"/>
      <c r="BA941" s="25"/>
    </row>
    <row r="942" spans="6:55" ht="13" customHeight="1">
      <c r="F942" s="123" t="s">
        <v>1637</v>
      </c>
      <c r="G942" s="5"/>
      <c r="H942" s="5"/>
      <c r="I942" s="5"/>
      <c r="J942" s="5"/>
      <c r="K942" s="5"/>
      <c r="L942" s="5"/>
      <c r="M942" s="5"/>
      <c r="N942" s="5"/>
      <c r="O942" s="5"/>
      <c r="P942" s="5"/>
      <c r="Q942" s="5"/>
      <c r="R942" s="5"/>
      <c r="S942" s="5"/>
      <c r="T942" s="38"/>
      <c r="U942" s="1579" t="s">
        <v>826</v>
      </c>
      <c r="V942" s="1363"/>
      <c r="W942" s="1363"/>
      <c r="X942" s="1363"/>
      <c r="Y942" s="1363"/>
      <c r="Z942" s="1364"/>
      <c r="AA942" s="1580"/>
      <c r="AB942" s="1523"/>
      <c r="AC942" s="1523"/>
      <c r="AD942" s="1523"/>
      <c r="AE942" s="1523"/>
      <c r="AF942" s="1581"/>
    </row>
    <row r="943" spans="6:55" ht="13" customHeight="1">
      <c r="F943" s="87" t="s">
        <v>1638</v>
      </c>
      <c r="G943" s="5"/>
      <c r="H943" s="5"/>
      <c r="I943" s="5"/>
      <c r="J943" s="5"/>
      <c r="K943" s="5"/>
      <c r="L943" s="5"/>
      <c r="M943" s="5"/>
      <c r="N943" s="5"/>
      <c r="O943" s="5"/>
      <c r="P943" s="5"/>
      <c r="Q943" s="5"/>
      <c r="R943" s="5"/>
      <c r="S943" s="5"/>
      <c r="T943" s="38"/>
      <c r="U943" s="1579" t="s">
        <v>826</v>
      </c>
      <c r="V943" s="1363"/>
      <c r="W943" s="1363"/>
      <c r="X943" s="1363"/>
      <c r="Y943" s="1363"/>
      <c r="Z943" s="1364"/>
      <c r="AA943" s="1580"/>
      <c r="AB943" s="1523"/>
      <c r="AC943" s="1523"/>
      <c r="AD943" s="1523"/>
      <c r="AE943" s="1523"/>
      <c r="AF943" s="1581"/>
      <c r="AZ943" s="25"/>
      <c r="BA943" s="13"/>
    </row>
    <row r="944" spans="6:55" ht="13" customHeight="1">
      <c r="F944" s="87" t="s">
        <v>1639</v>
      </c>
      <c r="G944" s="5"/>
      <c r="H944" s="5"/>
      <c r="I944" s="5"/>
      <c r="J944" s="5"/>
      <c r="K944" s="5"/>
      <c r="L944" s="5"/>
      <c r="M944" s="5"/>
      <c r="N944" s="5"/>
      <c r="O944" s="5"/>
      <c r="P944" s="5"/>
      <c r="Q944" s="5"/>
      <c r="R944" s="5"/>
      <c r="S944" s="5"/>
      <c r="T944" s="38"/>
      <c r="U944" s="1579" t="s">
        <v>826</v>
      </c>
      <c r="V944" s="1363"/>
      <c r="W944" s="1363"/>
      <c r="X944" s="1363"/>
      <c r="Y944" s="1363"/>
      <c r="Z944" s="1364"/>
      <c r="AA944" s="1580"/>
      <c r="AB944" s="1523"/>
      <c r="AC944" s="1523"/>
      <c r="AD944" s="1523"/>
      <c r="AE944" s="1523"/>
      <c r="AF944" s="1581"/>
      <c r="AZ944" s="25"/>
      <c r="BA944" s="13"/>
    </row>
    <row r="945" spans="6:55" ht="13" customHeight="1">
      <c r="F945" s="1576" t="s">
        <v>1640</v>
      </c>
      <c r="G945" s="1577"/>
      <c r="H945" s="1577"/>
      <c r="I945" s="1577"/>
      <c r="J945" s="1577"/>
      <c r="K945" s="1577"/>
      <c r="L945" s="1577"/>
      <c r="M945" s="1577"/>
      <c r="N945" s="1577"/>
      <c r="O945" s="1577"/>
      <c r="P945" s="1577"/>
      <c r="Q945" s="1577"/>
      <c r="R945" s="1577"/>
      <c r="S945" s="1577"/>
      <c r="T945" s="1578"/>
      <c r="U945" s="1579" t="s">
        <v>826</v>
      </c>
      <c r="V945" s="1363"/>
      <c r="W945" s="1363"/>
      <c r="X945" s="1363"/>
      <c r="Y945" s="1363"/>
      <c r="Z945" s="1364"/>
      <c r="AA945" s="1580"/>
      <c r="AB945" s="1523"/>
      <c r="AC945" s="1523"/>
      <c r="AD945" s="1523"/>
      <c r="AE945" s="1523"/>
      <c r="AF945" s="1581"/>
      <c r="AZ945" s="25"/>
      <c r="BA945" s="13"/>
    </row>
    <row r="946" spans="6:55" ht="13" customHeight="1">
      <c r="F946" s="1576" t="s">
        <v>1641</v>
      </c>
      <c r="G946" s="1577"/>
      <c r="H946" s="1577"/>
      <c r="I946" s="1577"/>
      <c r="J946" s="1577"/>
      <c r="K946" s="1577"/>
      <c r="L946" s="1577"/>
      <c r="M946" s="1577"/>
      <c r="N946" s="1577"/>
      <c r="O946" s="1577"/>
      <c r="P946" s="1577"/>
      <c r="Q946" s="1577"/>
      <c r="R946" s="1577"/>
      <c r="S946" s="1577"/>
      <c r="T946" s="1578"/>
      <c r="U946" s="1579" t="s">
        <v>826</v>
      </c>
      <c r="V946" s="1363"/>
      <c r="W946" s="1363"/>
      <c r="X946" s="1363"/>
      <c r="Y946" s="1363"/>
      <c r="Z946" s="1364"/>
      <c r="AA946" s="1580"/>
      <c r="AB946" s="1523"/>
      <c r="AC946" s="1523"/>
      <c r="AD946" s="1523"/>
      <c r="AE946" s="1523"/>
      <c r="AF946" s="1581"/>
      <c r="AZ946" s="25"/>
      <c r="BA946" s="25"/>
    </row>
    <row r="947" spans="6:55" ht="13" customHeight="1">
      <c r="F947" s="1651" t="s">
        <v>1642</v>
      </c>
      <c r="G947" s="1652"/>
      <c r="H947" s="1652"/>
      <c r="I947" s="1652"/>
      <c r="J947" s="1652"/>
      <c r="K947" s="1652"/>
      <c r="L947" s="1652"/>
      <c r="M947" s="1652"/>
      <c r="N947" s="1652"/>
      <c r="O947" s="1652"/>
      <c r="P947" s="1652"/>
      <c r="Q947" s="1652"/>
      <c r="R947" s="1652"/>
      <c r="S947" s="1652"/>
      <c r="T947" s="1653"/>
      <c r="U947" s="1579" t="s">
        <v>826</v>
      </c>
      <c r="V947" s="1363"/>
      <c r="W947" s="1363"/>
      <c r="X947" s="1363"/>
      <c r="Y947" s="1363"/>
      <c r="Z947" s="1364"/>
      <c r="AA947" s="1580"/>
      <c r="AB947" s="1523"/>
      <c r="AC947" s="1523"/>
      <c r="AD947" s="1523"/>
      <c r="AE947" s="1523"/>
      <c r="AF947" s="1581"/>
      <c r="AZ947" s="25"/>
      <c r="BA947" s="25"/>
    </row>
    <row r="948" spans="6:55" ht="13" customHeight="1">
      <c r="F948" s="1651" t="s">
        <v>1643</v>
      </c>
      <c r="G948" s="1652"/>
      <c r="H948" s="1652"/>
      <c r="I948" s="1652"/>
      <c r="J948" s="1652"/>
      <c r="K948" s="1652"/>
      <c r="L948" s="1652"/>
      <c r="M948" s="1652"/>
      <c r="N948" s="1652"/>
      <c r="O948" s="1652"/>
      <c r="P948" s="1652"/>
      <c r="Q948" s="1652"/>
      <c r="R948" s="1652"/>
      <c r="S948" s="1652"/>
      <c r="T948" s="1653"/>
      <c r="U948" s="1579" t="s">
        <v>826</v>
      </c>
      <c r="V948" s="1363"/>
      <c r="W948" s="1363"/>
      <c r="X948" s="1363"/>
      <c r="Y948" s="1363"/>
      <c r="Z948" s="1364"/>
      <c r="AA948" s="1580"/>
      <c r="AB948" s="1523"/>
      <c r="AC948" s="1523"/>
      <c r="AD948" s="1523"/>
      <c r="AE948" s="1523"/>
      <c r="AF948" s="1581"/>
      <c r="AZ948" s="25"/>
      <c r="BA948" s="25"/>
    </row>
    <row r="949" spans="6:55" ht="13" customHeight="1">
      <c r="F949" s="1651" t="s">
        <v>1644</v>
      </c>
      <c r="G949" s="1652"/>
      <c r="H949" s="1652"/>
      <c r="I949" s="1652"/>
      <c r="J949" s="1652"/>
      <c r="K949" s="1652"/>
      <c r="L949" s="1652"/>
      <c r="M949" s="1652"/>
      <c r="N949" s="1652"/>
      <c r="O949" s="1652"/>
      <c r="P949" s="1652"/>
      <c r="Q949" s="1652"/>
      <c r="R949" s="1652"/>
      <c r="S949" s="1652"/>
      <c r="T949" s="1653"/>
      <c r="U949" s="1579" t="s">
        <v>826</v>
      </c>
      <c r="V949" s="1363"/>
      <c r="W949" s="1363"/>
      <c r="X949" s="1363"/>
      <c r="Y949" s="1363"/>
      <c r="Z949" s="1364"/>
      <c r="AA949" s="1580"/>
      <c r="AB949" s="1523"/>
      <c r="AC949" s="1523"/>
      <c r="AD949" s="1523"/>
      <c r="AE949" s="1523"/>
      <c r="AF949" s="1581"/>
      <c r="AZ949" s="3"/>
      <c r="BA949" s="3"/>
      <c r="BB949" s="13"/>
      <c r="BC949" s="13"/>
    </row>
    <row r="950" spans="6:55" ht="13" customHeight="1">
      <c r="F950" s="87" t="s">
        <v>1645</v>
      </c>
      <c r="G950" s="5"/>
      <c r="H950" s="5"/>
      <c r="I950" s="5"/>
      <c r="J950" s="5"/>
      <c r="K950" s="5"/>
      <c r="L950" s="5"/>
      <c r="M950" s="5"/>
      <c r="N950" s="5"/>
      <c r="O950" s="5"/>
      <c r="P950" s="5"/>
      <c r="Q950" s="5"/>
      <c r="R950" s="5"/>
      <c r="S950" s="5"/>
      <c r="T950" s="38"/>
      <c r="U950" s="1579" t="s">
        <v>826</v>
      </c>
      <c r="V950" s="1363"/>
      <c r="W950" s="1363"/>
      <c r="X950" s="1363"/>
      <c r="Y950" s="1363"/>
      <c r="Z950" s="1364"/>
      <c r="AA950" s="1580"/>
      <c r="AB950" s="1523"/>
      <c r="AC950" s="1523"/>
      <c r="AD950" s="1523"/>
      <c r="AE950" s="1523"/>
      <c r="AF950" s="1581"/>
      <c r="AZ950" s="3"/>
      <c r="BA950" s="3"/>
      <c r="BB950" s="13"/>
      <c r="BC950" s="13"/>
    </row>
    <row r="951" spans="6:55" ht="13" customHeight="1">
      <c r="F951" s="1576" t="s">
        <v>1646</v>
      </c>
      <c r="G951" s="1577"/>
      <c r="H951" s="1577"/>
      <c r="I951" s="1577"/>
      <c r="J951" s="1577"/>
      <c r="K951" s="1577"/>
      <c r="L951" s="1577"/>
      <c r="M951" s="1577"/>
      <c r="N951" s="1577"/>
      <c r="O951" s="1577"/>
      <c r="P951" s="1577"/>
      <c r="Q951" s="1577"/>
      <c r="R951" s="1577"/>
      <c r="S951" s="1577"/>
      <c r="T951" s="1578"/>
      <c r="U951" s="1579" t="s">
        <v>826</v>
      </c>
      <c r="V951" s="1363"/>
      <c r="W951" s="1363"/>
      <c r="X951" s="1363"/>
      <c r="Y951" s="1363"/>
      <c r="Z951" s="1364"/>
      <c r="AA951" s="1580"/>
      <c r="AB951" s="1523"/>
      <c r="AC951" s="1523"/>
      <c r="AD951" s="1523"/>
      <c r="AE951" s="1523"/>
      <c r="AF951" s="1581"/>
      <c r="AZ951" s="3"/>
      <c r="BA951" s="3"/>
      <c r="BB951" s="3"/>
      <c r="BC951" s="3"/>
    </row>
    <row r="952" spans="6:55" ht="13" customHeight="1">
      <c r="F952" s="87" t="s">
        <v>1647</v>
      </c>
      <c r="G952" s="5"/>
      <c r="H952" s="5"/>
      <c r="I952" s="5"/>
      <c r="J952" s="5"/>
      <c r="K952" s="5"/>
      <c r="L952" s="5"/>
      <c r="M952" s="5"/>
      <c r="N952" s="5"/>
      <c r="O952" s="5"/>
      <c r="P952" s="5"/>
      <c r="Q952" s="5"/>
      <c r="R952" s="5"/>
      <c r="S952" s="5"/>
      <c r="T952" s="38"/>
      <c r="U952" s="1579" t="s">
        <v>826</v>
      </c>
      <c r="V952" s="1363"/>
      <c r="W952" s="1363"/>
      <c r="X952" s="1363"/>
      <c r="Y952" s="1363"/>
      <c r="Z952" s="1364"/>
      <c r="AA952" s="1580"/>
      <c r="AB952" s="1523"/>
      <c r="AC952" s="1523"/>
      <c r="AD952" s="1523"/>
      <c r="AE952" s="1523"/>
      <c r="AF952" s="1581"/>
      <c r="AZ952" s="3"/>
      <c r="BA952" s="3"/>
      <c r="BB952" s="3"/>
      <c r="BC952" s="3"/>
    </row>
    <row r="953" spans="6:55" ht="13" customHeight="1">
      <c r="F953" s="1576" t="s">
        <v>1648</v>
      </c>
      <c r="G953" s="1577"/>
      <c r="H953" s="1577"/>
      <c r="I953" s="1577"/>
      <c r="J953" s="1577"/>
      <c r="K953" s="1577"/>
      <c r="L953" s="1577"/>
      <c r="M953" s="1577"/>
      <c r="N953" s="1577"/>
      <c r="O953" s="1577"/>
      <c r="P953" s="1577"/>
      <c r="Q953" s="1577"/>
      <c r="R953" s="1577"/>
      <c r="S953" s="1577"/>
      <c r="T953" s="1578"/>
      <c r="U953" s="1579" t="s">
        <v>826</v>
      </c>
      <c r="V953" s="1363"/>
      <c r="W953" s="1363"/>
      <c r="X953" s="1363"/>
      <c r="Y953" s="1363"/>
      <c r="Z953" s="1364"/>
      <c r="AA953" s="1580"/>
      <c r="AB953" s="1523"/>
      <c r="AC953" s="1523"/>
      <c r="AD953" s="1523"/>
      <c r="AE953" s="1523"/>
      <c r="AF953" s="1581"/>
      <c r="AZ953" s="3"/>
      <c r="BA953" s="3"/>
      <c r="BB953" s="3"/>
      <c r="BC953" s="3"/>
    </row>
    <row r="954" spans="6:55" ht="13" customHeight="1">
      <c r="F954" s="37" t="s">
        <v>1649</v>
      </c>
      <c r="G954" s="5"/>
      <c r="H954" s="5"/>
      <c r="I954" s="5"/>
      <c r="J954" s="5"/>
      <c r="K954" s="5"/>
      <c r="L954" s="5"/>
      <c r="M954" s="5"/>
      <c r="N954" s="5"/>
      <c r="O954" s="5"/>
      <c r="P954" s="1579" t="s">
        <v>700</v>
      </c>
      <c r="Q954" s="1363"/>
      <c r="R954" s="1363"/>
      <c r="S954" s="1363"/>
      <c r="T954" s="1364"/>
      <c r="U954" s="1579" t="s">
        <v>826</v>
      </c>
      <c r="V954" s="1363"/>
      <c r="W954" s="1363"/>
      <c r="X954" s="1363"/>
      <c r="Y954" s="1363"/>
      <c r="Z954" s="1364"/>
      <c r="AA954" s="1580"/>
      <c r="AB954" s="1523"/>
      <c r="AC954" s="1523"/>
      <c r="AD954" s="1523"/>
      <c r="AE954" s="1523"/>
      <c r="AF954" s="1581"/>
      <c r="AZ954" s="3"/>
      <c r="BA954" s="3"/>
      <c r="BB954" s="3"/>
      <c r="BC954" s="3"/>
    </row>
    <row r="955" spans="6:55" ht="13" customHeight="1">
      <c r="F955" s="1651" t="s">
        <v>1650</v>
      </c>
      <c r="G955" s="1652"/>
      <c r="H955" s="1653"/>
      <c r="I955" s="1561" t="s">
        <v>1651</v>
      </c>
      <c r="J955" s="1562"/>
      <c r="K955" s="1562"/>
      <c r="L955" s="1562"/>
      <c r="M955" s="1562"/>
      <c r="N955" s="1562"/>
      <c r="O955" s="1562"/>
      <c r="P955" s="1562"/>
      <c r="Q955" s="1562"/>
      <c r="R955" s="1562"/>
      <c r="S955" s="1562"/>
      <c r="T955" s="1563"/>
      <c r="U955" s="1579" t="s">
        <v>862</v>
      </c>
      <c r="V955" s="1363"/>
      <c r="W955" s="1363"/>
      <c r="X955" s="1363"/>
      <c r="Y955" s="1363"/>
      <c r="Z955" s="1364"/>
      <c r="AA955" s="1580">
        <v>30645529</v>
      </c>
      <c r="AB955" s="1523"/>
      <c r="AC955" s="1523"/>
      <c r="AD955" s="1523"/>
      <c r="AE955" s="1523"/>
      <c r="AF955" s="1581"/>
      <c r="AZ955" s="3"/>
      <c r="BA955" s="3"/>
      <c r="BB955" s="3"/>
      <c r="BC955" s="3"/>
    </row>
    <row r="956" spans="6:55" ht="13" customHeight="1">
      <c r="F956" s="37" t="s">
        <v>1084</v>
      </c>
      <c r="G956" s="40"/>
      <c r="H956" s="40"/>
      <c r="I956" s="1561" t="s">
        <v>1651</v>
      </c>
      <c r="J956" s="1562"/>
      <c r="K956" s="1562"/>
      <c r="L956" s="1562"/>
      <c r="M956" s="1562"/>
      <c r="N956" s="1562"/>
      <c r="O956" s="1562"/>
      <c r="P956" s="1562"/>
      <c r="Q956" s="1562"/>
      <c r="R956" s="1562"/>
      <c r="S956" s="1562"/>
      <c r="T956" s="1563"/>
      <c r="U956" s="1579" t="s">
        <v>862</v>
      </c>
      <c r="V956" s="1363"/>
      <c r="W956" s="1363"/>
      <c r="X956" s="1363"/>
      <c r="Y956" s="1363"/>
      <c r="Z956" s="1364"/>
      <c r="AA956" s="1580">
        <v>4950000</v>
      </c>
      <c r="AB956" s="1523"/>
      <c r="AC956" s="1523"/>
      <c r="AD956" s="1523"/>
      <c r="AE956" s="1523"/>
      <c r="AF956" s="1581"/>
      <c r="AZ956" s="3"/>
      <c r="BA956" s="3"/>
      <c r="BB956" s="3"/>
      <c r="BC956" s="3"/>
    </row>
    <row r="957" spans="6:55" ht="13" customHeight="1">
      <c r="F957" s="37" t="s">
        <v>1652</v>
      </c>
      <c r="G957" s="40"/>
      <c r="H957" s="40"/>
      <c r="I957" s="1561" t="s">
        <v>1370</v>
      </c>
      <c r="J957" s="1562"/>
      <c r="K957" s="1562"/>
      <c r="L957" s="1562"/>
      <c r="M957" s="1562"/>
      <c r="N957" s="1562"/>
      <c r="O957" s="1562"/>
      <c r="P957" s="1562"/>
      <c r="Q957" s="1562"/>
      <c r="R957" s="1562"/>
      <c r="S957" s="1562"/>
      <c r="T957" s="1563"/>
      <c r="U957" s="1579" t="s">
        <v>826</v>
      </c>
      <c r="V957" s="1363"/>
      <c r="W957" s="1363"/>
      <c r="X957" s="1363"/>
      <c r="Y957" s="1363"/>
      <c r="Z957" s="1364"/>
      <c r="AA957" s="1580"/>
      <c r="AB957" s="1523"/>
      <c r="AC957" s="1523"/>
      <c r="AD957" s="1523"/>
      <c r="AE957" s="1523"/>
      <c r="AF957" s="1581"/>
      <c r="AV957" s="2"/>
      <c r="AW957" s="2"/>
      <c r="AX957" s="2"/>
      <c r="AY957" s="2"/>
      <c r="AZ957" s="3"/>
      <c r="BA957" s="3"/>
      <c r="BB957" s="3"/>
      <c r="BC957" s="3"/>
    </row>
    <row r="958" spans="6:55" ht="13" customHeight="1">
      <c r="F958" s="39" t="s">
        <v>233</v>
      </c>
      <c r="G958" s="40"/>
      <c r="H958" s="40"/>
      <c r="I958" s="1561" t="s">
        <v>2802</v>
      </c>
      <c r="J958" s="1562"/>
      <c r="K958" s="1562"/>
      <c r="L958" s="1562"/>
      <c r="M958" s="1562"/>
      <c r="N958" s="1562"/>
      <c r="O958" s="1562"/>
      <c r="P958" s="1562"/>
      <c r="Q958" s="1562"/>
      <c r="R958" s="1562"/>
      <c r="S958" s="1562"/>
      <c r="T958" s="1563"/>
      <c r="U958" s="1579" t="s">
        <v>862</v>
      </c>
      <c r="V958" s="1363"/>
      <c r="W958" s="1363"/>
      <c r="X958" s="1363"/>
      <c r="Y958" s="1363"/>
      <c r="Z958" s="1364"/>
      <c r="AA958" s="1580">
        <v>7000000</v>
      </c>
      <c r="AB958" s="1523"/>
      <c r="AC958" s="1523"/>
      <c r="AD958" s="1523"/>
      <c r="AE958" s="1523"/>
      <c r="AF958" s="1581"/>
      <c r="AU958" s="2"/>
      <c r="AZ958" s="3"/>
      <c r="BA958" s="3"/>
      <c r="BB958" s="3"/>
      <c r="BC958" s="3"/>
    </row>
    <row r="959" spans="6:55" ht="13" customHeight="1">
      <c r="F959" s="39" t="s">
        <v>233</v>
      </c>
      <c r="G959" s="40"/>
      <c r="H959" s="40"/>
      <c r="I959" s="1561" t="s">
        <v>1370</v>
      </c>
      <c r="J959" s="1562"/>
      <c r="K959" s="1562"/>
      <c r="L959" s="1562"/>
      <c r="M959" s="1562"/>
      <c r="N959" s="1562"/>
      <c r="O959" s="1562"/>
      <c r="P959" s="1562"/>
      <c r="Q959" s="1562"/>
      <c r="R959" s="1562"/>
      <c r="S959" s="1562"/>
      <c r="T959" s="1563"/>
      <c r="U959" s="1579" t="s">
        <v>826</v>
      </c>
      <c r="V959" s="1363"/>
      <c r="W959" s="1363"/>
      <c r="X959" s="1363"/>
      <c r="Y959" s="1363"/>
      <c r="Z959" s="1364"/>
      <c r="AA959" s="1580"/>
      <c r="AB959" s="1523"/>
      <c r="AC959" s="1523"/>
      <c r="AD959" s="1523"/>
      <c r="AE959" s="1523"/>
      <c r="AF959" s="1581"/>
      <c r="AU959" s="2"/>
      <c r="AZ959" s="3"/>
      <c r="BA959" s="3"/>
      <c r="BB959" s="3"/>
      <c r="BC959" s="3"/>
    </row>
    <row r="960" spans="6:55" ht="13" customHeight="1">
      <c r="AU960" s="2"/>
      <c r="AZ960" s="3"/>
      <c r="BA960" s="3"/>
      <c r="BB960" s="3"/>
      <c r="BC960" s="3"/>
    </row>
    <row r="961" spans="1:64" ht="13" customHeight="1">
      <c r="A961" s="2" t="s">
        <v>928</v>
      </c>
      <c r="C961" s="2" t="s">
        <v>247</v>
      </c>
      <c r="AZ961" s="3"/>
      <c r="BA961" s="3"/>
      <c r="BB961" s="3"/>
      <c r="BC961" s="3"/>
    </row>
    <row r="962" spans="1:64" ht="13" customHeight="1">
      <c r="B962" s="2"/>
      <c r="C962" s="19" t="s">
        <v>1653</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3" customHeight="1">
      <c r="AZ963" s="3"/>
      <c r="BA963" s="3"/>
      <c r="BB963" s="3"/>
      <c r="BC963" s="3"/>
    </row>
    <row r="964" spans="1:64" ht="13" customHeight="1">
      <c r="C964" s="87" t="s">
        <v>1654</v>
      </c>
      <c r="D964" s="5"/>
      <c r="E964" s="5"/>
      <c r="F964" s="5"/>
      <c r="G964" s="5"/>
      <c r="H964" s="5"/>
      <c r="I964" s="5"/>
      <c r="J964" s="5"/>
      <c r="K964" s="5"/>
      <c r="L964" s="38"/>
      <c r="M964" s="1656"/>
      <c r="N964" s="1467"/>
      <c r="O964" s="1467"/>
      <c r="P964" s="1467"/>
      <c r="Q964" s="1467"/>
      <c r="R964" s="1467"/>
      <c r="S964" s="1611"/>
      <c r="U964" s="87" t="s">
        <v>1654</v>
      </c>
      <c r="V964" s="5"/>
      <c r="W964" s="5"/>
      <c r="X964" s="5"/>
      <c r="Y964" s="5"/>
      <c r="Z964" s="5"/>
      <c r="AA964" s="5"/>
      <c r="AB964" s="5"/>
      <c r="AC964" s="5"/>
      <c r="AD964" s="38"/>
      <c r="AE964" s="1656"/>
      <c r="AF964" s="1467"/>
      <c r="AG964" s="1467"/>
      <c r="AH964" s="1467"/>
      <c r="AI964" s="1467"/>
      <c r="AJ964" s="1467"/>
      <c r="AK964" s="1611"/>
      <c r="AZ964" s="3"/>
      <c r="BA964" s="3"/>
      <c r="BB964" s="3"/>
      <c r="BC964" s="3"/>
    </row>
    <row r="965" spans="1:64" ht="13" customHeight="1">
      <c r="C965" s="87" t="s">
        <v>1655</v>
      </c>
      <c r="D965" s="5"/>
      <c r="E965" s="5"/>
      <c r="F965" s="5"/>
      <c r="G965" s="5"/>
      <c r="H965" s="5"/>
      <c r="I965" s="5"/>
      <c r="J965" s="5"/>
      <c r="K965" s="5"/>
      <c r="L965" s="38"/>
      <c r="M965" s="1411"/>
      <c r="N965" s="1445"/>
      <c r="O965" s="1445"/>
      <c r="P965" s="1445"/>
      <c r="Q965" s="1445"/>
      <c r="R965" s="1445"/>
      <c r="S965" s="1683"/>
      <c r="U965" s="87" t="s">
        <v>1655</v>
      </c>
      <c r="V965" s="5"/>
      <c r="W965" s="5"/>
      <c r="X965" s="5"/>
      <c r="Y965" s="5"/>
      <c r="Z965" s="5"/>
      <c r="AA965" s="5"/>
      <c r="AB965" s="5"/>
      <c r="AC965" s="5"/>
      <c r="AD965" s="38"/>
      <c r="AE965" s="1411"/>
      <c r="AF965" s="1445"/>
      <c r="AG965" s="1445"/>
      <c r="AH965" s="1445"/>
      <c r="AI965" s="1445"/>
      <c r="AJ965" s="1445"/>
      <c r="AK965" s="1683"/>
      <c r="AZ965" s="3"/>
      <c r="BA965" s="3"/>
      <c r="BB965" s="3"/>
      <c r="BC965" s="3"/>
    </row>
    <row r="966" spans="1:64" ht="13" customHeight="1">
      <c r="C966" s="87" t="s">
        <v>1656</v>
      </c>
      <c r="D966" s="5"/>
      <c r="E966" s="5"/>
      <c r="J966" s="1657" t="s">
        <v>348</v>
      </c>
      <c r="K966" s="1658"/>
      <c r="L966" s="1658"/>
      <c r="M966" s="1658"/>
      <c r="N966" s="1658"/>
      <c r="O966" s="1658"/>
      <c r="P966" s="1658"/>
      <c r="Q966" s="1658"/>
      <c r="R966" s="1658"/>
      <c r="S966" s="1659"/>
      <c r="U966" s="87" t="s">
        <v>1656</v>
      </c>
      <c r="V966" s="5"/>
      <c r="W966" s="5"/>
      <c r="AB966" s="1657" t="s">
        <v>348</v>
      </c>
      <c r="AC966" s="1658"/>
      <c r="AD966" s="1658"/>
      <c r="AE966" s="1658"/>
      <c r="AF966" s="1658"/>
      <c r="AG966" s="1658"/>
      <c r="AH966" s="1658"/>
      <c r="AI966" s="1658"/>
      <c r="AJ966" s="1658"/>
      <c r="AK966" s="1659"/>
      <c r="AZ966" s="3"/>
      <c r="BA966" s="3"/>
      <c r="BB966" s="3"/>
      <c r="BC966" s="3"/>
    </row>
    <row r="967" spans="1:64" ht="13" customHeight="1">
      <c r="C967" s="87" t="s">
        <v>1657</v>
      </c>
      <c r="D967" s="5"/>
      <c r="E967" s="5"/>
      <c r="F967" s="5"/>
      <c r="G967" s="5"/>
      <c r="H967" s="5"/>
      <c r="I967" s="5"/>
      <c r="J967" s="5"/>
      <c r="K967" s="5"/>
      <c r="L967" s="38"/>
      <c r="M967" s="1670"/>
      <c r="N967" s="1671"/>
      <c r="O967" s="1671"/>
      <c r="P967" s="1671"/>
      <c r="Q967" s="1671"/>
      <c r="R967" s="1671"/>
      <c r="S967" s="1672"/>
      <c r="U967" s="87" t="s">
        <v>1657</v>
      </c>
      <c r="V967" s="5"/>
      <c r="W967" s="5"/>
      <c r="X967" s="5"/>
      <c r="Y967" s="5"/>
      <c r="Z967" s="5"/>
      <c r="AA967" s="5"/>
      <c r="AB967" s="5"/>
      <c r="AC967" s="5"/>
      <c r="AD967" s="38"/>
      <c r="AE967" s="1690"/>
      <c r="AF967" s="1671"/>
      <c r="AG967" s="1671"/>
      <c r="AH967" s="1671"/>
      <c r="AI967" s="1671"/>
      <c r="AJ967" s="1671"/>
      <c r="AK967" s="1672"/>
      <c r="AZ967" s="3"/>
      <c r="BA967" s="3"/>
      <c r="BB967" s="3"/>
      <c r="BC967" s="3"/>
    </row>
    <row r="968" spans="1:64" ht="13" customHeight="1">
      <c r="C968" s="87" t="s">
        <v>1658</v>
      </c>
      <c r="D968" s="5"/>
      <c r="E968" s="5"/>
      <c r="F968" s="5"/>
      <c r="G968" s="5"/>
      <c r="H968" s="5"/>
      <c r="I968" s="5"/>
      <c r="J968" s="5"/>
      <c r="K968" s="5"/>
      <c r="L968" s="38"/>
      <c r="M968" s="1539"/>
      <c r="N968" s="1540"/>
      <c r="O968" s="1540"/>
      <c r="P968" s="1540"/>
      <c r="Q968" s="1540"/>
      <c r="R968" s="1540"/>
      <c r="S968" s="1541"/>
      <c r="U968" s="87" t="s">
        <v>1658</v>
      </c>
      <c r="V968" s="5"/>
      <c r="W968" s="5"/>
      <c r="X968" s="5"/>
      <c r="Y968" s="5"/>
      <c r="Z968" s="5"/>
      <c r="AA968" s="5"/>
      <c r="AB968" s="5"/>
      <c r="AC968" s="5"/>
      <c r="AD968" s="38"/>
      <c r="AE968" s="1539"/>
      <c r="AF968" s="1540"/>
      <c r="AG968" s="1540"/>
      <c r="AH968" s="1540"/>
      <c r="AI968" s="1540"/>
      <c r="AJ968" s="1540"/>
      <c r="AK968" s="1541"/>
      <c r="AV968" s="2"/>
      <c r="AW968" s="2"/>
      <c r="AX968" s="2"/>
      <c r="AY968" s="2"/>
      <c r="AZ968" s="3"/>
      <c r="BA968" s="3"/>
      <c r="BB968" s="3"/>
      <c r="BC968" s="3"/>
    </row>
    <row r="969" spans="1:64" ht="13" customHeight="1">
      <c r="C969" s="87" t="s">
        <v>1659</v>
      </c>
      <c r="D969" s="5"/>
      <c r="E969" s="5"/>
      <c r="F969" s="5"/>
      <c r="G969" s="5"/>
      <c r="H969" s="5"/>
      <c r="I969" s="5"/>
      <c r="J969" s="5"/>
      <c r="K969" s="5"/>
      <c r="L969" s="38"/>
      <c r="M969" s="1580"/>
      <c r="N969" s="1523"/>
      <c r="O969" s="1523"/>
      <c r="P969" s="1523"/>
      <c r="Q969" s="1523"/>
      <c r="R969" s="1523"/>
      <c r="S969" s="1581"/>
      <c r="U969" s="87" t="s">
        <v>1659</v>
      </c>
      <c r="V969" s="5"/>
      <c r="W969" s="5"/>
      <c r="X969" s="5"/>
      <c r="Y969" s="5"/>
      <c r="Z969" s="5"/>
      <c r="AA969" s="5"/>
      <c r="AB969" s="5"/>
      <c r="AC969" s="5"/>
      <c r="AD969" s="38"/>
      <c r="AE969" s="1580"/>
      <c r="AF969" s="1523"/>
      <c r="AG969" s="1523"/>
      <c r="AH969" s="1523"/>
      <c r="AI969" s="1523"/>
      <c r="AJ969" s="1523"/>
      <c r="AK969" s="1581"/>
      <c r="AV969" s="2"/>
      <c r="AW969" s="2"/>
      <c r="AX969" s="2"/>
      <c r="AY969" s="2"/>
      <c r="AZ969" s="3"/>
      <c r="BA969" s="3"/>
      <c r="BB969" s="3"/>
      <c r="BC969" s="3"/>
    </row>
    <row r="970" spans="1:64" ht="13" customHeight="1">
      <c r="C970" s="87" t="s">
        <v>1660</v>
      </c>
      <c r="D970" s="5"/>
      <c r="E970" s="5"/>
      <c r="F970" s="5"/>
      <c r="G970" s="5"/>
      <c r="H970" s="5"/>
      <c r="I970" s="5"/>
      <c r="J970" s="5"/>
      <c r="K970" s="5"/>
      <c r="L970" s="38"/>
      <c r="M970" s="1580"/>
      <c r="N970" s="1523"/>
      <c r="O970" s="1523"/>
      <c r="P970" s="1523"/>
      <c r="Q970" s="1523"/>
      <c r="R970" s="1523"/>
      <c r="S970" s="1581"/>
      <c r="U970" s="87" t="s">
        <v>1660</v>
      </c>
      <c r="V970" s="5"/>
      <c r="W970" s="5"/>
      <c r="X970" s="5"/>
      <c r="Y970" s="5"/>
      <c r="Z970" s="5"/>
      <c r="AA970" s="5"/>
      <c r="AB970" s="5"/>
      <c r="AC970" s="5"/>
      <c r="AD970" s="38"/>
      <c r="AE970" s="1580"/>
      <c r="AF970" s="1523"/>
      <c r="AG970" s="1523"/>
      <c r="AH970" s="1523"/>
      <c r="AI970" s="1523"/>
      <c r="AJ970" s="1523"/>
      <c r="AK970" s="1581"/>
      <c r="AV970" s="2"/>
      <c r="AW970" s="2"/>
      <c r="AX970" s="2"/>
      <c r="AY970" s="2"/>
      <c r="AZ970" s="3"/>
      <c r="BB970" s="3"/>
      <c r="BC970" s="3"/>
    </row>
    <row r="971" spans="1:64" ht="13" customHeight="1">
      <c r="C971" s="87" t="s">
        <v>1274</v>
      </c>
      <c r="D971" s="5"/>
      <c r="E971" s="5"/>
      <c r="F971" s="5"/>
      <c r="G971" s="5"/>
      <c r="H971" s="5"/>
      <c r="I971" s="5"/>
      <c r="J971" s="5"/>
      <c r="K971" s="5"/>
      <c r="L971" s="38"/>
      <c r="M971" s="1687"/>
      <c r="N971" s="1688"/>
      <c r="O971" s="1688"/>
      <c r="P971" s="1688"/>
      <c r="Q971" s="1688"/>
      <c r="R971" s="1688"/>
      <c r="S971" s="1689"/>
      <c r="U971" s="87" t="s">
        <v>1274</v>
      </c>
      <c r="V971" s="5"/>
      <c r="W971" s="5"/>
      <c r="X971" s="5"/>
      <c r="Y971" s="5"/>
      <c r="Z971" s="5"/>
      <c r="AA971" s="5"/>
      <c r="AB971" s="5"/>
      <c r="AC971" s="5"/>
      <c r="AD971" s="38"/>
      <c r="AE971" s="1687"/>
      <c r="AF971" s="1688"/>
      <c r="AG971" s="1688"/>
      <c r="AH971" s="1688"/>
      <c r="AI971" s="1688"/>
      <c r="AJ971" s="1688"/>
      <c r="AK971" s="1689"/>
      <c r="AZ971" s="3"/>
      <c r="BB971" s="3"/>
      <c r="BC971" s="3"/>
      <c r="BD971" s="3"/>
      <c r="BE971" s="3"/>
      <c r="BF971" s="3"/>
      <c r="BG971" s="3"/>
      <c r="BH971" s="3"/>
      <c r="BI971" s="3"/>
      <c r="BJ971" s="3"/>
      <c r="BK971" s="3"/>
      <c r="BL971" s="3"/>
    </row>
    <row r="972" spans="1:64" ht="13" customHeight="1">
      <c r="AZ972" s="3"/>
      <c r="BB972" s="3"/>
      <c r="BC972" s="3"/>
      <c r="BD972" s="3"/>
      <c r="BE972" s="3"/>
      <c r="BF972" s="3"/>
      <c r="BG972" s="3"/>
      <c r="BH972" s="3"/>
      <c r="BI972" s="3"/>
      <c r="BJ972" s="3"/>
      <c r="BK972" s="3"/>
      <c r="BL972" s="3"/>
    </row>
    <row r="973" spans="1:64" ht="13" customHeight="1">
      <c r="A973" s="2" t="s">
        <v>1005</v>
      </c>
      <c r="C973" s="2" t="s">
        <v>1661</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3" customHeight="1">
      <c r="A974"/>
      <c r="B974" s="2"/>
      <c r="C974" s="19" t="s">
        <v>1662</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3"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3" customHeight="1">
      <c r="A976"/>
      <c r="B976"/>
      <c r="C976"/>
      <c r="D976"/>
      <c r="E976"/>
      <c r="F976" s="37" t="s">
        <v>1663</v>
      </c>
      <c r="G976" s="5"/>
      <c r="H976" s="5"/>
      <c r="I976" s="5"/>
      <c r="J976" s="5"/>
      <c r="K976" s="5"/>
      <c r="L976" s="38"/>
      <c r="M976" s="1654"/>
      <c r="N976" s="1521"/>
      <c r="O976" s="1521"/>
      <c r="P976" s="1521"/>
      <c r="Q976" s="1521"/>
      <c r="R976" s="1521"/>
      <c r="S976" s="1655"/>
      <c r="T976" s="87" t="s">
        <v>1664</v>
      </c>
      <c r="U976" s="5"/>
      <c r="V976" s="5"/>
      <c r="W976" s="5"/>
      <c r="X976" s="5"/>
      <c r="Y976" s="5"/>
      <c r="Z976" s="38"/>
      <c r="AA976" s="1654"/>
      <c r="AB976" s="1521"/>
      <c r="AC976" s="1521"/>
      <c r="AD976" s="1521"/>
      <c r="AE976" s="1521"/>
      <c r="AF976" s="1521"/>
      <c r="AG976" s="1655"/>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3" customHeight="1">
      <c r="A977"/>
      <c r="B977"/>
      <c r="C977"/>
      <c r="D977"/>
      <c r="E977"/>
      <c r="F977" s="37" t="s">
        <v>1665</v>
      </c>
      <c r="G977" s="5"/>
      <c r="H977" s="5"/>
      <c r="I977" s="5"/>
      <c r="J977" s="5"/>
      <c r="K977" s="5"/>
      <c r="L977" s="38"/>
      <c r="M977" s="1654"/>
      <c r="N977" s="1521"/>
      <c r="O977" s="1521"/>
      <c r="P977" s="1521"/>
      <c r="Q977" s="1521"/>
      <c r="R977" s="1521"/>
      <c r="S977" s="1655"/>
      <c r="T977" s="87" t="s">
        <v>1666</v>
      </c>
      <c r="U977" s="5"/>
      <c r="V977" s="5"/>
      <c r="W977" s="5"/>
      <c r="X977" s="5"/>
      <c r="Y977" s="5"/>
      <c r="Z977" s="38"/>
      <c r="AA977" s="1654"/>
      <c r="AB977" s="1521"/>
      <c r="AC977" s="1521"/>
      <c r="AD977" s="1521"/>
      <c r="AE977" s="1521"/>
      <c r="AF977" s="1521"/>
      <c r="AG977" s="1655"/>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3" customHeight="1">
      <c r="A978"/>
      <c r="B978"/>
      <c r="C978"/>
      <c r="D978"/>
      <c r="E978"/>
      <c r="F978" s="37" t="s">
        <v>1667</v>
      </c>
      <c r="G978" s="5"/>
      <c r="H978" s="5"/>
      <c r="I978" s="5"/>
      <c r="J978" s="5"/>
      <c r="K978" s="5"/>
      <c r="L978" s="38"/>
      <c r="M978" s="1673" t="s">
        <v>826</v>
      </c>
      <c r="N978" s="1674"/>
      <c r="O978" s="1674"/>
      <c r="P978" s="1674"/>
      <c r="Q978" s="1674"/>
      <c r="R978" s="1674"/>
      <c r="S978" s="1675"/>
      <c r="T978" s="37" t="s">
        <v>1668</v>
      </c>
      <c r="U978" s="5"/>
      <c r="V978" s="5"/>
      <c r="W978" s="5"/>
      <c r="X978" s="5"/>
      <c r="Y978" s="5"/>
      <c r="Z978" s="38"/>
      <c r="AA978" s="1654"/>
      <c r="AB978" s="1521"/>
      <c r="AC978" s="1521"/>
      <c r="AD978" s="1521"/>
      <c r="AE978" s="1521"/>
      <c r="AF978" s="1521"/>
      <c r="AG978" s="1655"/>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3" customHeight="1">
      <c r="A979"/>
      <c r="B979"/>
      <c r="C979"/>
      <c r="D979"/>
      <c r="E979"/>
      <c r="F979" s="37" t="s">
        <v>1669</v>
      </c>
      <c r="G979" s="5"/>
      <c r="H979" s="5"/>
      <c r="I979" s="5"/>
      <c r="J979" s="5"/>
      <c r="K979" s="5"/>
      <c r="L979" s="38"/>
      <c r="M979" s="1654"/>
      <c r="N979" s="1521"/>
      <c r="O979" s="1521"/>
      <c r="P979" s="1521"/>
      <c r="Q979" s="1521"/>
      <c r="R979" s="1521"/>
      <c r="S979" s="1655"/>
      <c r="T979" s="37" t="s">
        <v>1670</v>
      </c>
      <c r="U979" s="5"/>
      <c r="V979" s="5"/>
      <c r="W979" s="5"/>
      <c r="X979" s="5"/>
      <c r="Y979" s="5"/>
      <c r="Z979" s="38"/>
      <c r="AA979" s="1654"/>
      <c r="AB979" s="1521"/>
      <c r="AC979" s="1521"/>
      <c r="AD979" s="1521"/>
      <c r="AE979" s="1521"/>
      <c r="AF979" s="1521"/>
      <c r="AG979" s="1655"/>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3" customHeight="1">
      <c r="A980"/>
      <c r="B980"/>
      <c r="C980"/>
      <c r="D980"/>
      <c r="E980"/>
      <c r="F980" s="37" t="s">
        <v>1671</v>
      </c>
      <c r="G980" s="5"/>
      <c r="H980" s="5"/>
      <c r="I980" s="5"/>
      <c r="J980" s="5"/>
      <c r="K980" s="5"/>
      <c r="L980" s="38"/>
      <c r="M980" s="1654"/>
      <c r="N980" s="1521"/>
      <c r="O980" s="1521"/>
      <c r="P980" s="1521"/>
      <c r="Q980" s="1521"/>
      <c r="R980" s="1521"/>
      <c r="S980" s="1655"/>
      <c r="T980" s="37" t="s">
        <v>1672</v>
      </c>
      <c r="U980" s="5"/>
      <c r="V980" s="5"/>
      <c r="W980" s="5"/>
      <c r="X980" s="5"/>
      <c r="Y980" s="5"/>
      <c r="Z980" s="38"/>
      <c r="AA980" s="1654"/>
      <c r="AB980" s="1521"/>
      <c r="AC980" s="1521"/>
      <c r="AD980" s="1521"/>
      <c r="AE980" s="1521"/>
      <c r="AF980" s="1521"/>
      <c r="AG980" s="1655"/>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3" customHeight="1">
      <c r="A981"/>
      <c r="B981"/>
      <c r="C981"/>
      <c r="D981"/>
      <c r="E981"/>
      <c r="F981" s="1183" t="s">
        <v>1656</v>
      </c>
      <c r="G981" s="34"/>
      <c r="H981" s="34"/>
      <c r="I981" s="34"/>
      <c r="J981" s="34"/>
      <c r="K981" s="34"/>
      <c r="L981" s="50"/>
      <c r="M981" s="1657" t="s">
        <v>348</v>
      </c>
      <c r="N981" s="1658"/>
      <c r="O981" s="1658"/>
      <c r="P981" s="1658"/>
      <c r="Q981" s="1658"/>
      <c r="R981" s="1658"/>
      <c r="S981" s="1659"/>
      <c r="T981" s="1680"/>
      <c r="U981" s="1681"/>
      <c r="V981" s="1681"/>
      <c r="W981" s="1681"/>
      <c r="X981" s="1681"/>
      <c r="Y981" s="1681"/>
      <c r="Z981" s="1682"/>
      <c r="AA981" s="1654"/>
      <c r="AB981" s="1521"/>
      <c r="AC981" s="1521"/>
      <c r="AD981" s="1521"/>
      <c r="AE981" s="1521"/>
      <c r="AF981" s="1521"/>
      <c r="AG981" s="1655"/>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3" customHeight="1">
      <c r="A982"/>
      <c r="B982"/>
      <c r="C982"/>
      <c r="D982"/>
      <c r="E982"/>
      <c r="F982" s="33" t="s">
        <v>1673</v>
      </c>
      <c r="G982" s="34"/>
      <c r="H982" s="34"/>
      <c r="I982" s="34"/>
      <c r="J982" s="34"/>
      <c r="K982" s="34"/>
      <c r="L982" s="50"/>
      <c r="M982" s="1654"/>
      <c r="N982" s="1521"/>
      <c r="O982" s="1521"/>
      <c r="P982" s="1521"/>
      <c r="Q982" s="1521"/>
      <c r="R982" s="1521"/>
      <c r="S982" s="1655"/>
      <c r="T982" s="1680"/>
      <c r="U982" s="1681"/>
      <c r="V982" s="1681"/>
      <c r="W982" s="1681"/>
      <c r="X982" s="1681"/>
      <c r="Y982" s="1681"/>
      <c r="Z982" s="1682"/>
      <c r="AA982" s="1654"/>
      <c r="AB982" s="1521"/>
      <c r="AC982" s="1521"/>
      <c r="AD982" s="1521"/>
      <c r="AE982" s="1521"/>
      <c r="AF982" s="1521"/>
      <c r="AG982" s="1655"/>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3" customHeight="1">
      <c r="F983" s="33" t="s">
        <v>1674</v>
      </c>
      <c r="G983" s="34"/>
      <c r="H983" s="34"/>
      <c r="I983" s="34"/>
      <c r="J983" s="34"/>
      <c r="K983" s="34"/>
      <c r="L983" s="34"/>
      <c r="M983" s="34"/>
      <c r="N983" s="34"/>
      <c r="O983" s="1428" t="s">
        <v>700</v>
      </c>
      <c r="P983" s="1413"/>
      <c r="Q983" s="67"/>
      <c r="R983" s="67"/>
      <c r="S983" s="68"/>
      <c r="T983" s="33" t="s">
        <v>233</v>
      </c>
      <c r="U983" s="34"/>
      <c r="V983" s="34"/>
      <c r="W983" s="1766" t="s">
        <v>1370</v>
      </c>
      <c r="X983" s="1767"/>
      <c r="Y983" s="1767"/>
      <c r="Z983" s="1767"/>
      <c r="AA983" s="1767"/>
      <c r="AB983" s="1767"/>
      <c r="AC983" s="1767"/>
      <c r="AD983" s="1767"/>
      <c r="AE983" s="1767"/>
      <c r="AF983" s="1767"/>
      <c r="AG983" s="1768"/>
      <c r="AU983" s="1182"/>
      <c r="AV983" s="70"/>
      <c r="AW983" s="70"/>
      <c r="AX983" s="70"/>
      <c r="AY983" s="70"/>
      <c r="AZ983" s="3"/>
      <c r="BB983" s="3"/>
      <c r="BC983" s="3"/>
      <c r="BD983" s="3"/>
      <c r="BE983" s="3"/>
      <c r="BF983" s="3"/>
      <c r="BG983" s="3"/>
      <c r="BH983" s="3"/>
      <c r="BI983" s="3"/>
      <c r="BJ983" s="3"/>
      <c r="BK983" s="3"/>
      <c r="BL983" s="3"/>
    </row>
    <row r="984" spans="1:64" ht="13" customHeight="1">
      <c r="F984" s="1560" t="s">
        <v>1675</v>
      </c>
      <c r="G984" s="1444"/>
      <c r="H984" s="1444"/>
      <c r="I984" s="1444"/>
      <c r="J984" s="1444"/>
      <c r="K984" s="1444"/>
      <c r="L984" s="1444"/>
      <c r="M984" s="1654"/>
      <c r="N984" s="1521"/>
      <c r="O984" s="1521"/>
      <c r="P984" s="1521"/>
      <c r="Q984" s="1521"/>
      <c r="R984" s="1521"/>
      <c r="S984" s="1655"/>
      <c r="T984" s="39"/>
      <c r="U984" s="40"/>
      <c r="V984" s="40"/>
      <c r="W984" s="40"/>
      <c r="X984" s="40"/>
      <c r="Y984" s="40"/>
      <c r="Z984" s="90" t="s">
        <v>1676</v>
      </c>
      <c r="AA984" s="1741"/>
      <c r="AB984" s="1742"/>
      <c r="AC984" s="1742"/>
      <c r="AD984" s="1742"/>
      <c r="AE984" s="1742"/>
      <c r="AF984" s="1742"/>
      <c r="AG984" s="1743"/>
      <c r="AU984" s="1182"/>
      <c r="AV984" s="70"/>
      <c r="AW984" s="70"/>
      <c r="AX984" s="70"/>
      <c r="AY984" s="70"/>
      <c r="AZ984" s="13"/>
      <c r="BA984" s="13"/>
      <c r="BB984" s="3"/>
      <c r="BC984" s="3"/>
      <c r="BD984" s="3"/>
      <c r="BE984" s="3"/>
      <c r="BF984" s="3"/>
      <c r="BG984" s="13"/>
      <c r="BH984" s="13"/>
      <c r="BI984" s="13"/>
      <c r="BJ984" s="13"/>
      <c r="BK984" s="13"/>
      <c r="BL984" s="13"/>
    </row>
    <row r="985" spans="1:64" ht="13" customHeight="1">
      <c r="AU985" s="1182"/>
      <c r="AV985" s="1182"/>
      <c r="AW985" s="1182"/>
      <c r="AX985" s="1182"/>
      <c r="AY985" s="1182"/>
      <c r="AZ985" s="13"/>
      <c r="BA985" s="13"/>
      <c r="BB985" s="13"/>
      <c r="BC985" s="13"/>
      <c r="BD985" s="13"/>
      <c r="BE985" s="13"/>
      <c r="BF985" s="13"/>
      <c r="BG985" s="1596"/>
      <c r="BH985" s="1596"/>
      <c r="BI985" s="1596"/>
      <c r="BJ985" s="1596"/>
      <c r="BK985" s="1596"/>
      <c r="BL985" s="1596"/>
    </row>
    <row r="986" spans="1:64" ht="13"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3" customHeight="1">
      <c r="AU987" s="1182"/>
      <c r="AV987" s="1182"/>
      <c r="AW987" s="1182"/>
      <c r="AX987" s="1182"/>
      <c r="AY987" s="1182"/>
      <c r="AZ987" s="13"/>
      <c r="BA987" s="13"/>
      <c r="BB987" s="804"/>
      <c r="BC987" s="804"/>
    </row>
    <row r="988" spans="1:64" ht="13" customHeight="1">
      <c r="A988" s="1487" t="s">
        <v>1677</v>
      </c>
      <c r="B988" s="1487"/>
      <c r="C988" s="1487"/>
      <c r="D988" s="1487"/>
      <c r="E988" s="1487"/>
      <c r="F988" s="1487"/>
      <c r="G988" s="1487"/>
      <c r="H988" s="1487"/>
      <c r="I988" s="1487"/>
      <c r="J988" s="1487"/>
      <c r="K988" s="1487"/>
      <c r="L988" s="1487"/>
      <c r="M988" s="1487"/>
      <c r="N988" s="1487"/>
      <c r="O988" s="1487"/>
      <c r="P988" s="1487"/>
      <c r="Q988" s="1487"/>
      <c r="R988" s="1487"/>
      <c r="S988" s="1487"/>
      <c r="T988" s="1487"/>
      <c r="U988" s="1487"/>
      <c r="V988" s="1487"/>
      <c r="W988" s="1487"/>
      <c r="X988" s="1487"/>
      <c r="Y988" s="1487"/>
      <c r="Z988" s="1487"/>
      <c r="AA988" s="1487"/>
      <c r="AB988" s="1487"/>
      <c r="AC988" s="1487"/>
      <c r="AD988" s="1487"/>
      <c r="AE988" s="1487"/>
      <c r="AF988" s="1487"/>
      <c r="AG988" s="1487"/>
      <c r="AH988" s="1487"/>
      <c r="AI988" s="1487"/>
      <c r="AJ988" s="1487"/>
      <c r="AK988" s="1487"/>
      <c r="AL988" s="1487"/>
      <c r="AM988" s="1487"/>
      <c r="AN988" s="1487"/>
      <c r="AO988" s="1487"/>
      <c r="AP988" s="1487"/>
      <c r="AQ988" s="1487"/>
      <c r="AR988" s="1487"/>
      <c r="AS988" s="1487"/>
      <c r="AT988" s="1487"/>
      <c r="AU988" s="1182"/>
      <c r="AV988" s="1182"/>
      <c r="AW988" s="1182"/>
      <c r="AX988" s="1182"/>
      <c r="AY988" s="1182"/>
      <c r="AZ988" s="13"/>
      <c r="BA988" s="13"/>
      <c r="BB988" s="804"/>
      <c r="BC988" s="804"/>
    </row>
    <row r="989" spans="1:64" ht="13" customHeight="1">
      <c r="A989" s="1487"/>
      <c r="B989" s="1487"/>
      <c r="C989" s="1487"/>
      <c r="D989" s="1487"/>
      <c r="E989" s="1487"/>
      <c r="F989" s="1487"/>
      <c r="G989" s="1487"/>
      <c r="H989" s="1487"/>
      <c r="I989" s="1487"/>
      <c r="J989" s="1487"/>
      <c r="K989" s="1487"/>
      <c r="L989" s="1487"/>
      <c r="M989" s="1487"/>
      <c r="N989" s="1487"/>
      <c r="O989" s="1487"/>
      <c r="P989" s="1487"/>
      <c r="Q989" s="1487"/>
      <c r="R989" s="1487"/>
      <c r="S989" s="1487"/>
      <c r="T989" s="1487"/>
      <c r="U989" s="1487"/>
      <c r="V989" s="1487"/>
      <c r="W989" s="1487"/>
      <c r="X989" s="1487"/>
      <c r="Y989" s="1487"/>
      <c r="Z989" s="1487"/>
      <c r="AA989" s="1487"/>
      <c r="AB989" s="1487"/>
      <c r="AC989" s="1487"/>
      <c r="AD989" s="1487"/>
      <c r="AE989" s="1487"/>
      <c r="AF989" s="1487"/>
      <c r="AG989" s="1487"/>
      <c r="AH989" s="1487"/>
      <c r="AI989" s="1487"/>
      <c r="AJ989" s="1487"/>
      <c r="AK989" s="1487"/>
      <c r="AL989" s="1487"/>
      <c r="AM989" s="1487"/>
      <c r="AN989" s="1487"/>
      <c r="AO989" s="1487"/>
      <c r="AP989" s="1487"/>
      <c r="AQ989" s="1487"/>
      <c r="AR989" s="1487"/>
      <c r="AS989" s="1487"/>
      <c r="AT989" s="1487"/>
      <c r="AU989" s="1182"/>
      <c r="AV989" s="1182"/>
      <c r="AW989" s="1182"/>
      <c r="AX989" s="1182"/>
      <c r="AY989" s="1182"/>
      <c r="AZ989" s="25"/>
      <c r="BA989" s="13"/>
      <c r="BB989" s="13"/>
      <c r="BC989" s="13"/>
    </row>
    <row r="990" spans="1:64" ht="13" customHeight="1">
      <c r="A990" s="1487"/>
      <c r="B990" s="1487"/>
      <c r="C990" s="1487"/>
      <c r="D990" s="1487"/>
      <c r="E990" s="1487"/>
      <c r="F990" s="1487"/>
      <c r="G990" s="1487"/>
      <c r="H990" s="1487"/>
      <c r="I990" s="1487"/>
      <c r="J990" s="1487"/>
      <c r="K990" s="1487"/>
      <c r="L990" s="1487"/>
      <c r="M990" s="1487"/>
      <c r="N990" s="1487"/>
      <c r="O990" s="1487"/>
      <c r="P990" s="1487"/>
      <c r="Q990" s="1487"/>
      <c r="R990" s="1487"/>
      <c r="S990" s="1487"/>
      <c r="T990" s="1487"/>
      <c r="U990" s="1487"/>
      <c r="V990" s="1487"/>
      <c r="W990" s="1487"/>
      <c r="X990" s="1487"/>
      <c r="Y990" s="1487"/>
      <c r="Z990" s="1487"/>
      <c r="AA990" s="1487"/>
      <c r="AB990" s="1487"/>
      <c r="AC990" s="1487"/>
      <c r="AD990" s="1487"/>
      <c r="AE990" s="1487"/>
      <c r="AF990" s="1487"/>
      <c r="AG990" s="1487"/>
      <c r="AH990" s="1487"/>
      <c r="AI990" s="1487"/>
      <c r="AJ990" s="1487"/>
      <c r="AK990" s="1487"/>
      <c r="AL990" s="1487"/>
      <c r="AM990" s="1487"/>
      <c r="AN990" s="1487"/>
      <c r="AO990" s="1487"/>
      <c r="AP990" s="1487"/>
      <c r="AQ990" s="1487"/>
      <c r="AR990" s="1487"/>
      <c r="AS990" s="1487"/>
      <c r="AT990" s="1487"/>
      <c r="AU990" s="1182"/>
      <c r="AV990" s="1182"/>
      <c r="AW990" s="1182"/>
      <c r="AX990" s="1182"/>
      <c r="AY990" s="1182"/>
      <c r="AZ990" s="25"/>
      <c r="BA990" s="13"/>
      <c r="BB990" s="13"/>
      <c r="BC990" s="13"/>
    </row>
    <row r="991" spans="1:64" ht="13"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3" customHeight="1">
      <c r="A992" s="2" t="s">
        <v>887</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3"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3" customHeight="1">
      <c r="A994" s="13"/>
      <c r="B994" s="61"/>
      <c r="C994" s="1184"/>
      <c r="D994" s="1699" t="s">
        <v>1678</v>
      </c>
      <c r="E994" s="1700"/>
      <c r="F994" s="1700"/>
      <c r="G994" s="1700"/>
      <c r="H994" s="1700"/>
      <c r="I994" s="1700"/>
      <c r="J994" s="1700"/>
      <c r="K994" s="1700"/>
      <c r="L994" s="1700"/>
      <c r="M994" s="1700"/>
      <c r="N994" s="1700"/>
      <c r="O994" s="1700"/>
      <c r="P994" s="1700"/>
      <c r="Q994" s="1701"/>
      <c r="R994" s="1699" t="s">
        <v>1679</v>
      </c>
      <c r="S994" s="1700"/>
      <c r="T994" s="1700"/>
      <c r="U994" s="1700"/>
      <c r="V994" s="1700"/>
      <c r="W994" s="1700"/>
      <c r="X994" s="1700"/>
      <c r="Y994" s="1700"/>
      <c r="Z994" s="1700"/>
      <c r="AA994" s="1701"/>
      <c r="AB994" s="1699" t="s">
        <v>1680</v>
      </c>
      <c r="AC994" s="1700"/>
      <c r="AD994" s="1700"/>
      <c r="AE994" s="1700"/>
      <c r="AF994" s="1700"/>
      <c r="AG994" s="1700"/>
      <c r="AH994" s="1700"/>
      <c r="AI994" s="1701"/>
      <c r="AJ994" s="1699" t="s">
        <v>1681</v>
      </c>
      <c r="AK994" s="1700"/>
      <c r="AL994" s="1700"/>
      <c r="AM994" s="1700"/>
      <c r="AN994" s="1700"/>
      <c r="AO994" s="1700"/>
      <c r="AP994" s="1700"/>
      <c r="AQ994" s="1701"/>
      <c r="AR994" s="1182"/>
      <c r="AS994" s="1182"/>
      <c r="AT994" s="1182"/>
      <c r="AU994" s="1182"/>
      <c r="AV994" s="1182"/>
      <c r="AW994" s="1182"/>
      <c r="AX994" s="1182"/>
      <c r="AY994" s="1182"/>
      <c r="AZ994" s="25"/>
      <c r="BB994" s="13"/>
      <c r="BC994" s="13"/>
    </row>
    <row r="995" spans="1:55" ht="13" customHeight="1">
      <c r="A995" s="13"/>
      <c r="B995" s="58"/>
      <c r="C995" s="819"/>
      <c r="D995" s="1642" t="s">
        <v>852</v>
      </c>
      <c r="E995" s="1643"/>
      <c r="F995" s="1643"/>
      <c r="G995" s="1643"/>
      <c r="H995" s="1643"/>
      <c r="I995" s="1643"/>
      <c r="J995" s="1643"/>
      <c r="K995" s="1643"/>
      <c r="L995" s="1643"/>
      <c r="M995" s="1643"/>
      <c r="N995" s="1643"/>
      <c r="O995" s="1643"/>
      <c r="P995" s="1643"/>
      <c r="Q995" s="1644"/>
      <c r="R995" s="1698">
        <f>IF(ISNA(IF($CU$122="4%",(INDEX($CS$160:$CW$217,MATCH($DG$122,$CR$160:$CR$217,0),MATCH(D995,$CS$159:$CW$159,0))),(INDEX($CZ$160:$DD$217,MATCH($DG$122,$CY$160:$CY$217,0),MATCH(D995,$CZ$159:$DD$159,0))))),0,IF($CU$122="4%",(INDEX($CS$160:$CW$217,MATCH($DG$122,$CR$160:$CR$217,0),MATCH(D995,$CS$159:$CW$159,0))),(INDEX($CZ$160:$DD$217,MATCH($DG$122,$CY$160:$CY$217,0),MATCH(D995,$CZ$159:$DD$159,0)))))</f>
        <v>532060</v>
      </c>
      <c r="S995" s="1698"/>
      <c r="T995" s="1698"/>
      <c r="U995" s="1698"/>
      <c r="V995" s="1698"/>
      <c r="W995" s="1698"/>
      <c r="X995" s="1698"/>
      <c r="Y995" s="1698"/>
      <c r="Z995" s="1698"/>
      <c r="AA995" s="1698"/>
      <c r="AB995" s="1695">
        <f>CP810</f>
        <v>0</v>
      </c>
      <c r="AC995" s="1696"/>
      <c r="AD995" s="1696"/>
      <c r="AE995" s="1696"/>
      <c r="AF995" s="1696"/>
      <c r="AG995" s="1696"/>
      <c r="AH995" s="1696"/>
      <c r="AI995" s="1697"/>
      <c r="AJ995" s="1667">
        <f>IF(ISERROR((R995*AB995)),0,(R995*AB995))</f>
        <v>0</v>
      </c>
      <c r="AK995" s="1668"/>
      <c r="AL995" s="1668"/>
      <c r="AM995" s="1668"/>
      <c r="AN995" s="1668"/>
      <c r="AO995" s="1668"/>
      <c r="AP995" s="1668"/>
      <c r="AQ995" s="1669"/>
      <c r="AR995" s="1182"/>
      <c r="AS995" s="1182"/>
      <c r="AT995" s="1182"/>
      <c r="AU995" s="1182"/>
      <c r="AV995" s="1182"/>
      <c r="AW995" s="1182"/>
      <c r="AX995" s="1182"/>
      <c r="AY995" s="1182"/>
      <c r="AZ995" s="25"/>
      <c r="BB995" s="13"/>
      <c r="BC995" s="13"/>
    </row>
    <row r="996" spans="1:55" ht="13" customHeight="1">
      <c r="A996" s="13"/>
      <c r="B996" s="58"/>
      <c r="C996" s="62"/>
      <c r="D996" s="1642" t="s">
        <v>847</v>
      </c>
      <c r="E996" s="1643"/>
      <c r="F996" s="1643"/>
      <c r="G996" s="1643"/>
      <c r="H996" s="1643"/>
      <c r="I996" s="1643"/>
      <c r="J996" s="1643"/>
      <c r="K996" s="1643"/>
      <c r="L996" s="1643"/>
      <c r="M996" s="1643"/>
      <c r="N996" s="1643"/>
      <c r="O996" s="1643"/>
      <c r="P996" s="1643"/>
      <c r="Q996" s="1644"/>
      <c r="R996" s="1698">
        <f>IF(ISNA(IF($CU$122="4%",(INDEX($CS$160:$CW$217,MATCH($DG$122,$CR$160:$CR$217,0),MATCH(D996,$CS$159:$CW$159,0))),(INDEX($CZ$160:$DD$217,MATCH($DG$122,$CY$160:$CY$217,0),MATCH(D996,$CZ$159:$DD$159,0))))),0,IF($CU$122="4%",(INDEX($CS$160:$CW$217,MATCH($DG$122,$CR$160:$CR$217,0),MATCH(D996,$CS$159:$CW$159,0))),(INDEX($CZ$160:$DD$217,MATCH($DG$122,$CY$160:$CY$217,0),MATCH(D996,$CZ$159:$DD$159,0)))))</f>
        <v>613460</v>
      </c>
      <c r="S996" s="1698"/>
      <c r="T996" s="1698"/>
      <c r="U996" s="1698"/>
      <c r="V996" s="1698"/>
      <c r="W996" s="1698"/>
      <c r="X996" s="1698"/>
      <c r="Y996" s="1698"/>
      <c r="Z996" s="1698"/>
      <c r="AA996" s="1698"/>
      <c r="AB996" s="1695">
        <f>CU810</f>
        <v>15</v>
      </c>
      <c r="AC996" s="1696"/>
      <c r="AD996" s="1696"/>
      <c r="AE996" s="1696"/>
      <c r="AF996" s="1696"/>
      <c r="AG996" s="1696"/>
      <c r="AH996" s="1696"/>
      <c r="AI996" s="1697"/>
      <c r="AJ996" s="1667">
        <f>IF(ISERROR((R996*AB996)),0,(R996*AB996))</f>
        <v>9201900</v>
      </c>
      <c r="AK996" s="1668"/>
      <c r="AL996" s="1668"/>
      <c r="AM996" s="1668"/>
      <c r="AN996" s="1668"/>
      <c r="AO996" s="1668"/>
      <c r="AP996" s="1668"/>
      <c r="AQ996" s="1669"/>
      <c r="AR996" s="1182"/>
      <c r="AS996" s="1182"/>
      <c r="AT996" s="1182"/>
      <c r="AU996" s="1182"/>
      <c r="AV996" s="1182"/>
      <c r="AW996" s="1182"/>
      <c r="AX996" s="1182"/>
      <c r="AY996" s="1182"/>
      <c r="AZ996" s="25"/>
      <c r="BB996" s="13"/>
      <c r="BC996" s="13"/>
    </row>
    <row r="997" spans="1:55" ht="13" customHeight="1">
      <c r="A997" s="13"/>
      <c r="B997" s="58"/>
      <c r="C997" s="62"/>
      <c r="D997" s="1642" t="s">
        <v>848</v>
      </c>
      <c r="E997" s="1643"/>
      <c r="F997" s="1643"/>
      <c r="G997" s="1643"/>
      <c r="H997" s="1643"/>
      <c r="I997" s="1643"/>
      <c r="J997" s="1643"/>
      <c r="K997" s="1643"/>
      <c r="L997" s="1643"/>
      <c r="M997" s="1643"/>
      <c r="N997" s="1643"/>
      <c r="O997" s="1643"/>
      <c r="P997" s="1643"/>
      <c r="Q997" s="1644"/>
      <c r="R997" s="1698">
        <f>IF(ISNA(IF($CU$122="4%",(INDEX($CS$160:$CW$217,MATCH($DG$122,$CR$160:$CR$217,0),MATCH(D997,$CS$159:$CW$159,0))),(INDEX($CZ$160:$DD$217,MATCH($DG$122,$CY$160:$CY$217,0),MATCH(D997,$CZ$159:$DD$159,0))))),0,IF($CU$122="4%",(INDEX($CS$160:$CW$217,MATCH($DG$122,$CR$160:$CR$217,0),MATCH(D997,$CS$159:$CW$159,0))),(INDEX($CZ$160:$DD$217,MATCH($DG$122,$CY$160:$CY$217,0),MATCH(D997,$CZ$159:$DD$159,0)))))</f>
        <v>740000</v>
      </c>
      <c r="S997" s="1698"/>
      <c r="T997" s="1698"/>
      <c r="U997" s="1698"/>
      <c r="V997" s="1698"/>
      <c r="W997" s="1698"/>
      <c r="X997" s="1698"/>
      <c r="Y997" s="1698"/>
      <c r="Z997" s="1698"/>
      <c r="AA997" s="1698"/>
      <c r="AB997" s="1695">
        <f>CZ810</f>
        <v>44</v>
      </c>
      <c r="AC997" s="1696"/>
      <c r="AD997" s="1696"/>
      <c r="AE997" s="1696"/>
      <c r="AF997" s="1696"/>
      <c r="AG997" s="1696"/>
      <c r="AH997" s="1696"/>
      <c r="AI997" s="1697"/>
      <c r="AJ997" s="1667">
        <f>IF(ISERROR((R997*AB997)),0,(R997*AB997))</f>
        <v>32560000</v>
      </c>
      <c r="AK997" s="1668"/>
      <c r="AL997" s="1668"/>
      <c r="AM997" s="1668"/>
      <c r="AN997" s="1668"/>
      <c r="AO997" s="1668"/>
      <c r="AP997" s="1668"/>
      <c r="AQ997" s="1669"/>
      <c r="AR997" s="1182"/>
      <c r="AS997" s="1182"/>
      <c r="AT997" s="1182"/>
      <c r="AU997" s="1182"/>
      <c r="AV997" s="1182"/>
      <c r="AW997" s="1182"/>
      <c r="AX997" s="1182"/>
      <c r="AY997" s="1182"/>
      <c r="AZ997" s="25"/>
      <c r="BB997" s="13"/>
      <c r="BC997" s="13"/>
    </row>
    <row r="998" spans="1:55" ht="13" customHeight="1">
      <c r="A998" s="13"/>
      <c r="B998" s="58"/>
      <c r="C998" s="62"/>
      <c r="D998" s="1642" t="s">
        <v>849</v>
      </c>
      <c r="E998" s="1643"/>
      <c r="F998" s="1643"/>
      <c r="G998" s="1643"/>
      <c r="H998" s="1643"/>
      <c r="I998" s="1643"/>
      <c r="J998" s="1643"/>
      <c r="K998" s="1643"/>
      <c r="L998" s="1643"/>
      <c r="M998" s="1643"/>
      <c r="N998" s="1643"/>
      <c r="O998" s="1643"/>
      <c r="P998" s="1643"/>
      <c r="Q998" s="1644"/>
      <c r="R998" s="1698">
        <f>IF(ISNA(IF($CU$122="4%",(INDEX($CS$160:$CW$217,MATCH($DG$122,$CR$160:$CR$217,0),MATCH(D998,$CS$159:$CW$159,0))),(INDEX($CZ$160:$DD$217,MATCH($DG$122,$CY$160:$CY$217,0),MATCH(D998,$CZ$159:$DD$159,0))))),0,IF($CU$122="4%",(INDEX($CS$160:$CW$217,MATCH($DG$122,$CR$160:$CR$217,0),MATCH(D998,$CS$159:$CW$159,0))),(INDEX($CZ$160:$DD$217,MATCH($DG$122,$CY$160:$CY$217,0),MATCH(D998,$CZ$159:$DD$159,0)))))</f>
        <v>947200</v>
      </c>
      <c r="S998" s="1698"/>
      <c r="T998" s="1698"/>
      <c r="U998" s="1698"/>
      <c r="V998" s="1698"/>
      <c r="W998" s="1698"/>
      <c r="X998" s="1698"/>
      <c r="Y998" s="1698"/>
      <c r="Z998" s="1698"/>
      <c r="AA998" s="1698"/>
      <c r="AB998" s="1695">
        <f>DE810</f>
        <v>54</v>
      </c>
      <c r="AC998" s="1696"/>
      <c r="AD998" s="1696"/>
      <c r="AE998" s="1696"/>
      <c r="AF998" s="1696"/>
      <c r="AG998" s="1696"/>
      <c r="AH998" s="1696"/>
      <c r="AI998" s="1697"/>
      <c r="AJ998" s="1667">
        <f>IF(ISERROR((R998*AB998)),0,(R998*AB998))</f>
        <v>51148800</v>
      </c>
      <c r="AK998" s="1668"/>
      <c r="AL998" s="1668"/>
      <c r="AM998" s="1668"/>
      <c r="AN998" s="1668"/>
      <c r="AO998" s="1668"/>
      <c r="AP998" s="1668"/>
      <c r="AQ998" s="1669"/>
      <c r="AR998" s="1182"/>
      <c r="AS998" s="1182"/>
      <c r="AT998" s="1182"/>
      <c r="AU998" s="1182"/>
      <c r="AV998" s="1182"/>
      <c r="AW998" s="1182"/>
      <c r="AX998" s="1182"/>
      <c r="AY998" s="1182"/>
      <c r="AZ998" s="25"/>
      <c r="BA998" s="3"/>
      <c r="BB998" s="13"/>
      <c r="BC998" s="13"/>
    </row>
    <row r="999" spans="1:55" ht="13" customHeight="1">
      <c r="A999" s="13"/>
      <c r="B999" s="39"/>
      <c r="C999" s="60"/>
      <c r="D999" s="1642" t="s">
        <v>853</v>
      </c>
      <c r="E999" s="1643"/>
      <c r="F999" s="1643"/>
      <c r="G999" s="1643"/>
      <c r="H999" s="1643"/>
      <c r="I999" s="1643"/>
      <c r="J999" s="1643"/>
      <c r="K999" s="1643"/>
      <c r="L999" s="1643"/>
      <c r="M999" s="1643"/>
      <c r="N999" s="1643"/>
      <c r="O999" s="1643"/>
      <c r="P999" s="1643"/>
      <c r="Q999" s="1644"/>
      <c r="R999" s="1698">
        <f>IF(ISNA(IF($CU$122="4%",(INDEX($CS$160:$CW$217,MATCH($DG$122,$CR$160:$CR$217,0),MATCH(D999,$CS$159:$CW$159,0))),(INDEX($CZ$160:$DD$217,MATCH($DG$122,$CY$160:$CY$217,0),MATCH(D999,$CZ$159:$DD$159,0))))),0,IF($CU$122="4%",(INDEX($CS$160:$CW$217,MATCH($DG$122,$CR$160:$CR$217,0),MATCH(D999,$CS$159:$CW$159,0))),(INDEX($CZ$160:$DD$217,MATCH($DG$122,$CY$160:$CY$217,0),MATCH(D999,$CZ$159:$DD$159,0)))))</f>
        <v>1055240</v>
      </c>
      <c r="S999" s="1698"/>
      <c r="T999" s="1698"/>
      <c r="U999" s="1698"/>
      <c r="V999" s="1698"/>
      <c r="W999" s="1698"/>
      <c r="X999" s="1698"/>
      <c r="Y999" s="1698"/>
      <c r="Z999" s="1698"/>
      <c r="AA999" s="1698"/>
      <c r="AB999" s="1695">
        <f>DO810+DJ810</f>
        <v>0</v>
      </c>
      <c r="AC999" s="1696"/>
      <c r="AD999" s="1696"/>
      <c r="AE999" s="1696"/>
      <c r="AF999" s="1696"/>
      <c r="AG999" s="1696"/>
      <c r="AH999" s="1696"/>
      <c r="AI999" s="1697"/>
      <c r="AJ999" s="1667">
        <f>IF(ISERROR((R999*AB999)),0,(R999*AB999))</f>
        <v>0</v>
      </c>
      <c r="AK999" s="1668"/>
      <c r="AL999" s="1668"/>
      <c r="AM999" s="1668"/>
      <c r="AN999" s="1668"/>
      <c r="AO999" s="1668"/>
      <c r="AP999" s="1668"/>
      <c r="AQ999" s="1669"/>
      <c r="AR999" s="1182"/>
      <c r="AS999" s="1182"/>
      <c r="AT999" s="1182"/>
      <c r="AU999" s="1182"/>
      <c r="AV999" s="1182"/>
      <c r="AW999" s="1182"/>
      <c r="AX999" s="1182"/>
      <c r="AY999" s="1182"/>
      <c r="AZ999" s="25"/>
      <c r="BB999" s="13"/>
      <c r="BC999" s="13"/>
    </row>
    <row r="1000" spans="1:55" ht="13" customHeight="1">
      <c r="A1000" s="13"/>
      <c r="B1000" s="1727" t="s">
        <v>1682</v>
      </c>
      <c r="C1000" s="1728"/>
      <c r="D1000" s="1728"/>
      <c r="E1000" s="1728"/>
      <c r="F1000" s="1728"/>
      <c r="G1000" s="1728"/>
      <c r="H1000" s="1728"/>
      <c r="I1000" s="1728"/>
      <c r="J1000" s="1728"/>
      <c r="K1000" s="1728"/>
      <c r="L1000" s="1728"/>
      <c r="M1000" s="1728"/>
      <c r="N1000" s="1728"/>
      <c r="O1000" s="1728"/>
      <c r="P1000" s="1728"/>
      <c r="Q1000" s="1728"/>
      <c r="R1000" s="1728"/>
      <c r="S1000" s="1728"/>
      <c r="T1000" s="1728"/>
      <c r="U1000" s="1728"/>
      <c r="V1000" s="1728"/>
      <c r="W1000" s="1728"/>
      <c r="X1000" s="1728"/>
      <c r="Y1000" s="1728"/>
      <c r="Z1000" s="1728"/>
      <c r="AA1000" s="1729"/>
      <c r="AB1000" s="1695">
        <f>SUM(AB995:AI999)</f>
        <v>113</v>
      </c>
      <c r="AC1000" s="1696"/>
      <c r="AD1000" s="1696"/>
      <c r="AE1000" s="1696"/>
      <c r="AF1000" s="1696"/>
      <c r="AG1000" s="1696"/>
      <c r="AH1000" s="1696"/>
      <c r="AI1000" s="1697"/>
      <c r="AJ1000" s="1667"/>
      <c r="AK1000" s="1668"/>
      <c r="AL1000" s="1668"/>
      <c r="AM1000" s="1668"/>
      <c r="AN1000" s="1668"/>
      <c r="AO1000" s="1668"/>
      <c r="AP1000" s="1668"/>
      <c r="AQ1000" s="1669"/>
      <c r="AR1000" s="1182"/>
      <c r="AS1000" s="1182"/>
      <c r="AT1000" s="1182"/>
      <c r="AU1000" s="1182"/>
      <c r="AV1000" s="1182"/>
      <c r="AW1000" s="1182"/>
      <c r="AX1000" s="1182"/>
      <c r="AY1000" s="1182"/>
      <c r="AZ1000" s="3"/>
      <c r="BA1000" s="3"/>
      <c r="BB1000" s="13"/>
      <c r="BC1000" s="13"/>
    </row>
    <row r="1001" spans="1:55" ht="13" customHeight="1">
      <c r="A1001" s="13"/>
      <c r="B1001" s="1721" t="s">
        <v>1683</v>
      </c>
      <c r="C1001" s="1722"/>
      <c r="D1001" s="1722"/>
      <c r="E1001" s="1722"/>
      <c r="F1001" s="1722"/>
      <c r="G1001" s="1722"/>
      <c r="H1001" s="1722"/>
      <c r="I1001" s="1722"/>
      <c r="J1001" s="1722"/>
      <c r="K1001" s="1722"/>
      <c r="L1001" s="1722"/>
      <c r="M1001" s="1722"/>
      <c r="N1001" s="1722"/>
      <c r="O1001" s="1722"/>
      <c r="P1001" s="1722"/>
      <c r="Q1001" s="1722"/>
      <c r="R1001" s="1722"/>
      <c r="S1001" s="1722"/>
      <c r="T1001" s="1722"/>
      <c r="U1001" s="1722"/>
      <c r="V1001" s="1722"/>
      <c r="W1001" s="1722"/>
      <c r="X1001" s="1722"/>
      <c r="Y1001" s="1722"/>
      <c r="Z1001" s="1722"/>
      <c r="AA1001" s="1722"/>
      <c r="AB1001" s="1722"/>
      <c r="AC1001" s="1722"/>
      <c r="AD1001" s="1722"/>
      <c r="AE1001" s="1722"/>
      <c r="AF1001" s="1722"/>
      <c r="AG1001" s="1722"/>
      <c r="AH1001" s="1722"/>
      <c r="AI1001" s="1723"/>
      <c r="AJ1001" s="1667">
        <f>SUM(AJ995:AQ999)</f>
        <v>92910700</v>
      </c>
      <c r="AK1001" s="1668"/>
      <c r="AL1001" s="1668"/>
      <c r="AM1001" s="1668"/>
      <c r="AN1001" s="1668"/>
      <c r="AO1001" s="1668"/>
      <c r="AP1001" s="1668"/>
      <c r="AQ1001" s="1669"/>
      <c r="AR1001" s="1182"/>
      <c r="AS1001" s="1182"/>
      <c r="AT1001" s="1182"/>
      <c r="AU1001" s="1182"/>
      <c r="AV1001" s="1182"/>
      <c r="AW1001" s="1182"/>
      <c r="AX1001" s="1182"/>
      <c r="AY1001" s="1182"/>
      <c r="AZ1001" s="3"/>
      <c r="BB1001" s="3"/>
      <c r="BC1001" s="3"/>
    </row>
    <row r="1002" spans="1:55" ht="13" customHeight="1">
      <c r="A1002" s="13"/>
      <c r="B1002" s="1718"/>
      <c r="C1002" s="1719"/>
      <c r="D1002" s="1719"/>
      <c r="E1002" s="1719"/>
      <c r="F1002" s="1719"/>
      <c r="G1002" s="1719"/>
      <c r="H1002" s="1719"/>
      <c r="I1002" s="1719"/>
      <c r="J1002" s="1719"/>
      <c r="K1002" s="1719"/>
      <c r="L1002" s="1719"/>
      <c r="M1002" s="1719"/>
      <c r="N1002" s="1719"/>
      <c r="O1002" s="1719"/>
      <c r="P1002" s="1719"/>
      <c r="Q1002" s="1719"/>
      <c r="R1002" s="1719"/>
      <c r="S1002" s="1719"/>
      <c r="T1002" s="1719"/>
      <c r="U1002" s="1719"/>
      <c r="V1002" s="1719"/>
      <c r="W1002" s="1719"/>
      <c r="X1002" s="1719"/>
      <c r="Y1002" s="1719"/>
      <c r="Z1002" s="1719"/>
      <c r="AA1002" s="1719"/>
      <c r="AB1002" s="1719"/>
      <c r="AC1002" s="1719"/>
      <c r="AD1002" s="1719"/>
      <c r="AE1002" s="1720"/>
      <c r="AF1002" s="1744" t="s">
        <v>1684</v>
      </c>
      <c r="AG1002" s="1745"/>
      <c r="AH1002" s="1745"/>
      <c r="AI1002" s="1746"/>
      <c r="AJ1002" s="1718"/>
      <c r="AK1002" s="1719"/>
      <c r="AL1002" s="1719"/>
      <c r="AM1002" s="1719"/>
      <c r="AN1002" s="1719"/>
      <c r="AO1002" s="1719"/>
      <c r="AP1002" s="1719"/>
      <c r="AQ1002" s="1720"/>
      <c r="AR1002" s="1182"/>
      <c r="AS1002" s="1182"/>
      <c r="AT1002" s="1182"/>
      <c r="AU1002" s="1182"/>
      <c r="AV1002" s="1182"/>
      <c r="AW1002" s="1182"/>
      <c r="AX1002" s="1182"/>
      <c r="AY1002" s="1182"/>
      <c r="AZ1002" s="3"/>
      <c r="BA1002" s="3"/>
      <c r="BB1002" s="3"/>
      <c r="BC1002" s="3"/>
    </row>
    <row r="1003" spans="1:55" ht="13" customHeight="1">
      <c r="A1003" s="13"/>
      <c r="B1003" s="58"/>
      <c r="C1003" s="1185" t="s">
        <v>1685</v>
      </c>
      <c r="D1003" s="1724" t="s">
        <v>1686</v>
      </c>
      <c r="E1003" s="1725"/>
      <c r="F1003" s="1725"/>
      <c r="G1003" s="1725"/>
      <c r="H1003" s="1725"/>
      <c r="I1003" s="1725"/>
      <c r="J1003" s="1725"/>
      <c r="K1003" s="1725"/>
      <c r="L1003" s="1725"/>
      <c r="M1003" s="1725"/>
      <c r="N1003" s="1725"/>
      <c r="O1003" s="1725"/>
      <c r="P1003" s="1725"/>
      <c r="Q1003" s="1725"/>
      <c r="R1003" s="1725"/>
      <c r="S1003" s="1725"/>
      <c r="T1003" s="1725"/>
      <c r="U1003" s="1725"/>
      <c r="V1003" s="1725"/>
      <c r="W1003" s="1725"/>
      <c r="X1003" s="1725"/>
      <c r="Y1003" s="1725"/>
      <c r="Z1003" s="1725"/>
      <c r="AA1003" s="1725"/>
      <c r="AB1003" s="1725"/>
      <c r="AC1003" s="1725"/>
      <c r="AD1003" s="1725"/>
      <c r="AE1003" s="1726"/>
      <c r="AF1003" s="61"/>
      <c r="AG1003" s="1747" t="s">
        <v>700</v>
      </c>
      <c r="AH1003" s="1748"/>
      <c r="AI1003" s="64"/>
      <c r="AJ1003" s="1703">
        <f>ROUND(IF(AND(AG1003="yes",D1009&gt;0),AJ1001*0.2,0),0)</f>
        <v>0</v>
      </c>
      <c r="AK1003" s="1704"/>
      <c r="AL1003" s="1704"/>
      <c r="AM1003" s="1704"/>
      <c r="AN1003" s="1704"/>
      <c r="AO1003" s="1704"/>
      <c r="AP1003" s="1704"/>
      <c r="AQ1003" s="1705"/>
      <c r="AR1003" s="1182"/>
      <c r="AS1003" s="1182"/>
      <c r="AT1003" s="1182"/>
      <c r="AU1003" s="1182"/>
      <c r="AV1003" s="1182"/>
      <c r="AW1003" s="1182"/>
      <c r="AX1003" s="1182"/>
      <c r="AY1003" s="1182"/>
      <c r="AZ1003" s="3"/>
      <c r="BA1003" s="3"/>
      <c r="BB1003" s="3"/>
      <c r="BC1003" s="3"/>
    </row>
    <row r="1004" spans="1:55" ht="13" customHeight="1">
      <c r="A1004" s="13"/>
      <c r="B1004" s="1186"/>
      <c r="C1004" s="1187"/>
      <c r="D1004" s="1758" t="s">
        <v>1687</v>
      </c>
      <c r="E1004" s="1759"/>
      <c r="F1004" s="1759"/>
      <c r="G1004" s="1759"/>
      <c r="H1004" s="1759"/>
      <c r="I1004" s="1759"/>
      <c r="J1004" s="1759"/>
      <c r="K1004" s="1759"/>
      <c r="L1004" s="1759"/>
      <c r="M1004" s="1759"/>
      <c r="N1004" s="1759"/>
      <c r="O1004" s="1759"/>
      <c r="P1004" s="1759"/>
      <c r="Q1004" s="1759"/>
      <c r="R1004" s="1759"/>
      <c r="S1004" s="1759"/>
      <c r="T1004" s="1759"/>
      <c r="U1004" s="1759"/>
      <c r="V1004" s="1759"/>
      <c r="W1004" s="1759"/>
      <c r="X1004" s="1759"/>
      <c r="Y1004" s="1759"/>
      <c r="Z1004" s="1759"/>
      <c r="AA1004" s="1759"/>
      <c r="AB1004" s="1759"/>
      <c r="AC1004" s="1759"/>
      <c r="AD1004" s="1759"/>
      <c r="AE1004" s="1760"/>
      <c r="AF1004" s="58"/>
      <c r="AG1004" s="13"/>
      <c r="AH1004" s="13"/>
      <c r="AI1004" s="62"/>
      <c r="AJ1004" s="1706"/>
      <c r="AK1004" s="1707"/>
      <c r="AL1004" s="1707"/>
      <c r="AM1004" s="1707"/>
      <c r="AN1004" s="1707"/>
      <c r="AO1004" s="1707"/>
      <c r="AP1004" s="1707"/>
      <c r="AQ1004" s="1708"/>
      <c r="AR1004" s="1182"/>
      <c r="AS1004" s="1182"/>
      <c r="AT1004" s="1182"/>
      <c r="AU1004" s="1182"/>
      <c r="AV1004" s="1182"/>
      <c r="AW1004" s="1182"/>
      <c r="AX1004" s="1182"/>
      <c r="AY1004" s="1182"/>
      <c r="AZ1004" s="3"/>
      <c r="BA1004" s="3"/>
      <c r="BB1004" s="3"/>
      <c r="BC1004" s="3"/>
    </row>
    <row r="1005" spans="1:55" ht="13" customHeight="1">
      <c r="A1005" s="13"/>
      <c r="B1005" s="1186"/>
      <c r="C1005" s="1187"/>
      <c r="D1005" s="1758"/>
      <c r="E1005" s="1759"/>
      <c r="F1005" s="1759"/>
      <c r="G1005" s="1759"/>
      <c r="H1005" s="1759"/>
      <c r="I1005" s="1759"/>
      <c r="J1005" s="1759"/>
      <c r="K1005" s="1759"/>
      <c r="L1005" s="1759"/>
      <c r="M1005" s="1759"/>
      <c r="N1005" s="1759"/>
      <c r="O1005" s="1759"/>
      <c r="P1005" s="1759"/>
      <c r="Q1005" s="1759"/>
      <c r="R1005" s="1759"/>
      <c r="S1005" s="1759"/>
      <c r="T1005" s="1759"/>
      <c r="U1005" s="1759"/>
      <c r="V1005" s="1759"/>
      <c r="W1005" s="1759"/>
      <c r="X1005" s="1759"/>
      <c r="Y1005" s="1759"/>
      <c r="Z1005" s="1759"/>
      <c r="AA1005" s="1759"/>
      <c r="AB1005" s="1759"/>
      <c r="AC1005" s="1759"/>
      <c r="AD1005" s="1759"/>
      <c r="AE1005" s="1760"/>
      <c r="AF1005" s="58"/>
      <c r="AG1005" s="13"/>
      <c r="AH1005" s="13"/>
      <c r="AI1005" s="62"/>
      <c r="AJ1005" s="1706"/>
      <c r="AK1005" s="1707"/>
      <c r="AL1005" s="1707"/>
      <c r="AM1005" s="1707"/>
      <c r="AN1005" s="1707"/>
      <c r="AO1005" s="1707"/>
      <c r="AP1005" s="1707"/>
      <c r="AQ1005" s="1708"/>
      <c r="AR1005" s="1182"/>
      <c r="AS1005" s="1182"/>
      <c r="AT1005" s="1182"/>
      <c r="AU1005" s="1182"/>
      <c r="AV1005" s="1182"/>
      <c r="AW1005" s="1182"/>
      <c r="AX1005" s="1182"/>
      <c r="AY1005" s="1182"/>
      <c r="AZ1005" s="3"/>
      <c r="BA1005" s="3"/>
      <c r="BB1005" s="3"/>
      <c r="BC1005" s="3"/>
    </row>
    <row r="1006" spans="1:55" ht="13" customHeight="1">
      <c r="A1006" s="13"/>
      <c r="B1006" s="1186"/>
      <c r="C1006" s="1187"/>
      <c r="D1006" s="1758"/>
      <c r="E1006" s="1759"/>
      <c r="F1006" s="1759"/>
      <c r="G1006" s="1759"/>
      <c r="H1006" s="1759"/>
      <c r="I1006" s="1759"/>
      <c r="J1006" s="1759"/>
      <c r="K1006" s="1759"/>
      <c r="L1006" s="1759"/>
      <c r="M1006" s="1759"/>
      <c r="N1006" s="1759"/>
      <c r="O1006" s="1759"/>
      <c r="P1006" s="1759"/>
      <c r="Q1006" s="1759"/>
      <c r="R1006" s="1759"/>
      <c r="S1006" s="1759"/>
      <c r="T1006" s="1759"/>
      <c r="U1006" s="1759"/>
      <c r="V1006" s="1759"/>
      <c r="W1006" s="1759"/>
      <c r="X1006" s="1759"/>
      <c r="Y1006" s="1759"/>
      <c r="Z1006" s="1759"/>
      <c r="AA1006" s="1759"/>
      <c r="AB1006" s="1759"/>
      <c r="AC1006" s="1759"/>
      <c r="AD1006" s="1759"/>
      <c r="AE1006" s="1760"/>
      <c r="AF1006" s="58"/>
      <c r="AG1006" s="13"/>
      <c r="AH1006" s="13"/>
      <c r="AI1006" s="62"/>
      <c r="AJ1006" s="1706"/>
      <c r="AK1006" s="1707"/>
      <c r="AL1006" s="1707"/>
      <c r="AM1006" s="1707"/>
      <c r="AN1006" s="1707"/>
      <c r="AO1006" s="1707"/>
      <c r="AP1006" s="1707"/>
      <c r="AQ1006" s="1708"/>
      <c r="AR1006" s="1182"/>
      <c r="AS1006" s="1182"/>
      <c r="AT1006" s="1182"/>
      <c r="AU1006" s="1182"/>
      <c r="AV1006" s="1182"/>
      <c r="AW1006" s="1182"/>
      <c r="AX1006" s="1182"/>
      <c r="AY1006" s="1182"/>
      <c r="AZ1006" s="3"/>
      <c r="BA1006" s="3"/>
      <c r="BB1006" s="3"/>
      <c r="BC1006" s="3"/>
    </row>
    <row r="1007" spans="1:55" ht="13" customHeight="1">
      <c r="A1007" s="13"/>
      <c r="B1007" s="1186"/>
      <c r="C1007" s="1187"/>
      <c r="D1007" s="1758"/>
      <c r="E1007" s="1759"/>
      <c r="F1007" s="1759"/>
      <c r="G1007" s="1759"/>
      <c r="H1007" s="1759"/>
      <c r="I1007" s="1759"/>
      <c r="J1007" s="1759"/>
      <c r="K1007" s="1759"/>
      <c r="L1007" s="1759"/>
      <c r="M1007" s="1759"/>
      <c r="N1007" s="1759"/>
      <c r="O1007" s="1759"/>
      <c r="P1007" s="1759"/>
      <c r="Q1007" s="1759"/>
      <c r="R1007" s="1759"/>
      <c r="S1007" s="1759"/>
      <c r="T1007" s="1759"/>
      <c r="U1007" s="1759"/>
      <c r="V1007" s="1759"/>
      <c r="W1007" s="1759"/>
      <c r="X1007" s="1759"/>
      <c r="Y1007" s="1759"/>
      <c r="Z1007" s="1759"/>
      <c r="AA1007" s="1759"/>
      <c r="AB1007" s="1759"/>
      <c r="AC1007" s="1759"/>
      <c r="AD1007" s="1759"/>
      <c r="AE1007" s="1760"/>
      <c r="AF1007" s="58"/>
      <c r="AG1007" s="13"/>
      <c r="AH1007" s="13"/>
      <c r="AI1007" s="62"/>
      <c r="AJ1007" s="1706"/>
      <c r="AK1007" s="1707"/>
      <c r="AL1007" s="1707"/>
      <c r="AM1007" s="1707"/>
      <c r="AN1007" s="1707"/>
      <c r="AO1007" s="1707"/>
      <c r="AP1007" s="1707"/>
      <c r="AQ1007" s="1708"/>
      <c r="AR1007" s="1182"/>
      <c r="AS1007" s="1182"/>
      <c r="AT1007" s="1182"/>
      <c r="AU1007" s="1182"/>
      <c r="AV1007" s="1182"/>
      <c r="AW1007" s="1182"/>
      <c r="AX1007" s="1182"/>
      <c r="AY1007" s="1182"/>
      <c r="AZ1007" s="3"/>
      <c r="BA1007" s="3"/>
      <c r="BB1007" s="3"/>
      <c r="BC1007" s="3"/>
    </row>
    <row r="1008" spans="1:55" ht="13" customHeight="1">
      <c r="A1008" s="13"/>
      <c r="B1008" s="1186"/>
      <c r="C1008" s="1187"/>
      <c r="D1008" s="1778" t="s">
        <v>1688</v>
      </c>
      <c r="E1008" s="1779"/>
      <c r="F1008" s="1779"/>
      <c r="G1008" s="1779"/>
      <c r="H1008" s="1779"/>
      <c r="I1008" s="1779"/>
      <c r="J1008" s="1779"/>
      <c r="K1008" s="1779"/>
      <c r="L1008" s="1779"/>
      <c r="M1008" s="1779"/>
      <c r="N1008" s="1779"/>
      <c r="O1008" s="1779"/>
      <c r="P1008" s="1779"/>
      <c r="Q1008" s="1779"/>
      <c r="R1008" s="1779"/>
      <c r="S1008" s="1779"/>
      <c r="T1008" s="1779"/>
      <c r="U1008" s="1779"/>
      <c r="V1008" s="1779"/>
      <c r="W1008" s="1779"/>
      <c r="X1008" s="1779"/>
      <c r="Y1008" s="1779"/>
      <c r="Z1008" s="1779"/>
      <c r="AA1008" s="1779"/>
      <c r="AB1008" s="1779"/>
      <c r="AC1008" s="1779"/>
      <c r="AD1008" s="1779"/>
      <c r="AE1008" s="1780"/>
      <c r="AF1008" s="58"/>
      <c r="AG1008" s="13"/>
      <c r="AH1008" s="13"/>
      <c r="AI1008" s="62"/>
      <c r="AJ1008" s="1706"/>
      <c r="AK1008" s="1707"/>
      <c r="AL1008" s="1707"/>
      <c r="AM1008" s="1707"/>
      <c r="AN1008" s="1707"/>
      <c r="AO1008" s="1707"/>
      <c r="AP1008" s="1707"/>
      <c r="AQ1008" s="1708"/>
      <c r="AR1008" s="1182"/>
      <c r="AS1008" s="1182"/>
      <c r="AT1008" s="1182"/>
      <c r="AU1008" s="1182"/>
      <c r="AV1008" s="1182"/>
      <c r="AW1008" s="1182"/>
      <c r="AX1008" s="1182"/>
      <c r="AY1008" s="1182"/>
      <c r="AZ1008" s="3"/>
      <c r="BA1008" s="3"/>
      <c r="BB1008" s="3"/>
      <c r="BC1008" s="3"/>
    </row>
    <row r="1009" spans="1:55" ht="13" customHeight="1">
      <c r="A1009" s="13"/>
      <c r="B1009" s="1186"/>
      <c r="C1009" s="1187"/>
      <c r="D1009" s="1775"/>
      <c r="E1009" s="1776"/>
      <c r="F1009" s="1776"/>
      <c r="G1009" s="1776"/>
      <c r="H1009" s="1776"/>
      <c r="I1009" s="1776"/>
      <c r="J1009" s="1776"/>
      <c r="K1009" s="1776"/>
      <c r="L1009" s="1776"/>
      <c r="M1009" s="1776"/>
      <c r="N1009" s="1776"/>
      <c r="O1009" s="1776"/>
      <c r="P1009" s="1776"/>
      <c r="Q1009" s="1776"/>
      <c r="R1009" s="1776"/>
      <c r="S1009" s="1776"/>
      <c r="T1009" s="1776"/>
      <c r="U1009" s="1776"/>
      <c r="V1009" s="1776"/>
      <c r="W1009" s="1776"/>
      <c r="X1009" s="1776"/>
      <c r="Y1009" s="1776"/>
      <c r="Z1009" s="1776"/>
      <c r="AA1009" s="1776"/>
      <c r="AB1009" s="1776"/>
      <c r="AC1009" s="1776"/>
      <c r="AD1009" s="1776"/>
      <c r="AE1009" s="1777"/>
      <c r="AF1009" s="59"/>
      <c r="AG1009" s="6"/>
      <c r="AH1009" s="6"/>
      <c r="AI1009" s="60"/>
      <c r="AJ1009" s="1715"/>
      <c r="AK1009" s="1716"/>
      <c r="AL1009" s="1716"/>
      <c r="AM1009" s="1716"/>
      <c r="AN1009" s="1716"/>
      <c r="AO1009" s="1716"/>
      <c r="AP1009" s="1716"/>
      <c r="AQ1009" s="1717"/>
      <c r="AR1009" s="1182"/>
      <c r="AS1009" s="1182"/>
      <c r="AT1009" s="1182"/>
      <c r="AU1009" s="1182"/>
      <c r="AV1009" s="1182"/>
      <c r="AW1009" s="1182"/>
      <c r="AX1009" s="1182"/>
      <c r="AY1009" s="1182"/>
      <c r="AZ1009" s="3"/>
      <c r="BA1009" s="3"/>
      <c r="BB1009" s="3"/>
      <c r="BC1009" s="3"/>
    </row>
    <row r="1010" spans="1:55" ht="13" customHeight="1">
      <c r="A1010" s="13"/>
      <c r="B1010" s="1188"/>
      <c r="C1010" s="1189"/>
      <c r="D1010" s="1684" t="s">
        <v>1689</v>
      </c>
      <c r="E1010" s="1685"/>
      <c r="F1010" s="1685"/>
      <c r="G1010" s="1685"/>
      <c r="H1010" s="1685"/>
      <c r="I1010" s="1685"/>
      <c r="J1010" s="1685"/>
      <c r="K1010" s="1685"/>
      <c r="L1010" s="1685"/>
      <c r="M1010" s="1685"/>
      <c r="N1010" s="1685"/>
      <c r="O1010" s="1685"/>
      <c r="P1010" s="1685"/>
      <c r="Q1010" s="1685"/>
      <c r="R1010" s="1685"/>
      <c r="S1010" s="1685"/>
      <c r="T1010" s="1685"/>
      <c r="U1010" s="1685"/>
      <c r="V1010" s="1685"/>
      <c r="W1010" s="1685"/>
      <c r="X1010" s="1685"/>
      <c r="Y1010" s="1685"/>
      <c r="Z1010" s="1685"/>
      <c r="AA1010" s="1685"/>
      <c r="AB1010" s="1685"/>
      <c r="AC1010" s="1685"/>
      <c r="AD1010" s="1685"/>
      <c r="AE1010" s="1686"/>
      <c r="AF1010" s="61"/>
      <c r="AG1010" s="1730" t="s">
        <v>700</v>
      </c>
      <c r="AH1010" s="1731"/>
      <c r="AI1010" s="64"/>
      <c r="AJ1010" s="1703">
        <f>ROUND(IF(AG1010="yes",AJ1001*0.05,0),0)</f>
        <v>0</v>
      </c>
      <c r="AK1010" s="1704"/>
      <c r="AL1010" s="1704"/>
      <c r="AM1010" s="1704"/>
      <c r="AN1010" s="1704"/>
      <c r="AO1010" s="1704"/>
      <c r="AP1010" s="1704"/>
      <c r="AQ1010" s="1705"/>
      <c r="AR1010" s="1182"/>
      <c r="AS1010" s="1182"/>
      <c r="AT1010" s="1182"/>
      <c r="AU1010" s="1182"/>
      <c r="AV1010" s="1182"/>
      <c r="AW1010" s="1182"/>
      <c r="AX1010" s="1182"/>
      <c r="AY1010" s="1182"/>
      <c r="AZ1010" s="3"/>
      <c r="BA1010" s="3"/>
      <c r="BB1010" s="3"/>
      <c r="BC1010" s="3"/>
    </row>
    <row r="1011" spans="1:55" ht="13" customHeight="1">
      <c r="A1011" s="13"/>
      <c r="B1011" s="1186"/>
      <c r="C1011" s="1190"/>
      <c r="D1011" s="1758" t="s">
        <v>1690</v>
      </c>
      <c r="E1011" s="1759"/>
      <c r="F1011" s="1759"/>
      <c r="G1011" s="1759"/>
      <c r="H1011" s="1759"/>
      <c r="I1011" s="1759"/>
      <c r="J1011" s="1759"/>
      <c r="K1011" s="1759"/>
      <c r="L1011" s="1759"/>
      <c r="M1011" s="1759"/>
      <c r="N1011" s="1759"/>
      <c r="O1011" s="1759"/>
      <c r="P1011" s="1759"/>
      <c r="Q1011" s="1759"/>
      <c r="R1011" s="1759"/>
      <c r="S1011" s="1759"/>
      <c r="T1011" s="1759"/>
      <c r="U1011" s="1759"/>
      <c r="V1011" s="1759"/>
      <c r="W1011" s="1759"/>
      <c r="X1011" s="1759"/>
      <c r="Y1011" s="1759"/>
      <c r="Z1011" s="1759"/>
      <c r="AA1011" s="1759"/>
      <c r="AB1011" s="1759"/>
      <c r="AC1011" s="1759"/>
      <c r="AD1011" s="1759"/>
      <c r="AE1011" s="1760"/>
      <c r="AF1011" s="58"/>
      <c r="AG1011" s="13"/>
      <c r="AH1011" s="13"/>
      <c r="AI1011" s="62"/>
      <c r="AJ1011" s="1706"/>
      <c r="AK1011" s="1707"/>
      <c r="AL1011" s="1707"/>
      <c r="AM1011" s="1707"/>
      <c r="AN1011" s="1707"/>
      <c r="AO1011" s="1707"/>
      <c r="AP1011" s="1707"/>
      <c r="AQ1011" s="1708"/>
      <c r="AR1011" s="1182"/>
      <c r="AS1011" s="1182"/>
      <c r="AT1011" s="1182"/>
      <c r="AU1011" s="1182"/>
      <c r="AV1011" s="1182"/>
      <c r="AW1011" s="1182"/>
      <c r="AX1011" s="1182"/>
      <c r="AY1011" s="3"/>
      <c r="AZ1011" s="3"/>
      <c r="BB1011" s="3"/>
    </row>
    <row r="1012" spans="1:55" ht="13" customHeight="1">
      <c r="A1012" s="13"/>
      <c r="B1012" s="1186"/>
      <c r="C1012" s="1190"/>
      <c r="D1012" s="1758"/>
      <c r="E1012" s="1759"/>
      <c r="F1012" s="1759"/>
      <c r="G1012" s="1759"/>
      <c r="H1012" s="1759"/>
      <c r="I1012" s="1759"/>
      <c r="J1012" s="1759"/>
      <c r="K1012" s="1759"/>
      <c r="L1012" s="1759"/>
      <c r="M1012" s="1759"/>
      <c r="N1012" s="1759"/>
      <c r="O1012" s="1759"/>
      <c r="P1012" s="1759"/>
      <c r="Q1012" s="1759"/>
      <c r="R1012" s="1759"/>
      <c r="S1012" s="1759"/>
      <c r="T1012" s="1759"/>
      <c r="U1012" s="1759"/>
      <c r="V1012" s="1759"/>
      <c r="W1012" s="1759"/>
      <c r="X1012" s="1759"/>
      <c r="Y1012" s="1759"/>
      <c r="Z1012" s="1759"/>
      <c r="AA1012" s="1759"/>
      <c r="AB1012" s="1759"/>
      <c r="AC1012" s="1759"/>
      <c r="AD1012" s="1759"/>
      <c r="AE1012" s="1760"/>
      <c r="AF1012" s="58"/>
      <c r="AG1012" s="13"/>
      <c r="AH1012" s="13"/>
      <c r="AI1012" s="62"/>
      <c r="AJ1012" s="1706"/>
      <c r="AK1012" s="1707"/>
      <c r="AL1012" s="1707"/>
      <c r="AM1012" s="1707"/>
      <c r="AN1012" s="1707"/>
      <c r="AO1012" s="1707"/>
      <c r="AP1012" s="1707"/>
      <c r="AQ1012" s="1708"/>
      <c r="AR1012" s="1182"/>
      <c r="AS1012" s="1182"/>
      <c r="AT1012" s="1182"/>
      <c r="AU1012" s="1182"/>
      <c r="AV1012" s="1182"/>
      <c r="AW1012" s="1182"/>
      <c r="AX1012" s="1182"/>
      <c r="AY1012" s="806">
        <f>G761+O805</f>
        <v>112</v>
      </c>
      <c r="AZ1012" s="3"/>
      <c r="BB1012" s="3"/>
    </row>
    <row r="1013" spans="1:55" ht="13" customHeight="1">
      <c r="A1013" s="13"/>
      <c r="B1013" s="1186"/>
      <c r="C1013" s="1190"/>
      <c r="D1013" s="1758"/>
      <c r="E1013" s="1759"/>
      <c r="F1013" s="1759"/>
      <c r="G1013" s="1759"/>
      <c r="H1013" s="1759"/>
      <c r="I1013" s="1759"/>
      <c r="J1013" s="1759"/>
      <c r="K1013" s="1759"/>
      <c r="L1013" s="1759"/>
      <c r="M1013" s="1759"/>
      <c r="N1013" s="1759"/>
      <c r="O1013" s="1759"/>
      <c r="P1013" s="1759"/>
      <c r="Q1013" s="1759"/>
      <c r="R1013" s="1759"/>
      <c r="S1013" s="1759"/>
      <c r="T1013" s="1759"/>
      <c r="U1013" s="1759"/>
      <c r="V1013" s="1759"/>
      <c r="W1013" s="1759"/>
      <c r="X1013" s="1759"/>
      <c r="Y1013" s="1759"/>
      <c r="Z1013" s="1759"/>
      <c r="AA1013" s="1759"/>
      <c r="AB1013" s="1759"/>
      <c r="AC1013" s="1759"/>
      <c r="AD1013" s="1759"/>
      <c r="AE1013" s="1760"/>
      <c r="AF1013" s="58"/>
      <c r="AG1013" s="13"/>
      <c r="AH1013" s="13"/>
      <c r="AI1013" s="62"/>
      <c r="AJ1013" s="1706"/>
      <c r="AK1013" s="1707"/>
      <c r="AL1013" s="1707"/>
      <c r="AM1013" s="1707"/>
      <c r="AN1013" s="1707"/>
      <c r="AO1013" s="1707"/>
      <c r="AP1013" s="1707"/>
      <c r="AQ1013" s="1708"/>
      <c r="AR1013" s="1182"/>
      <c r="AS1013" s="1182"/>
      <c r="AT1013" s="1182"/>
      <c r="AU1013" s="1182"/>
      <c r="AV1013" s="1182"/>
      <c r="AW1013" s="1182"/>
      <c r="AX1013" s="1182"/>
      <c r="AY1013" s="13"/>
      <c r="AZ1013" s="3"/>
      <c r="BB1013" s="3"/>
    </row>
    <row r="1014" spans="1:55" ht="13" customHeight="1">
      <c r="A1014" s="13"/>
      <c r="B1014" s="1186"/>
      <c r="C1014" s="1190"/>
      <c r="D1014" s="1758"/>
      <c r="E1014" s="1759"/>
      <c r="F1014" s="1759"/>
      <c r="G1014" s="1759"/>
      <c r="H1014" s="1759"/>
      <c r="I1014" s="1759"/>
      <c r="J1014" s="1759"/>
      <c r="K1014" s="1759"/>
      <c r="L1014" s="1759"/>
      <c r="M1014" s="1759"/>
      <c r="N1014" s="1759"/>
      <c r="O1014" s="1759"/>
      <c r="P1014" s="1759"/>
      <c r="Q1014" s="1759"/>
      <c r="R1014" s="1759"/>
      <c r="S1014" s="1759"/>
      <c r="T1014" s="1759"/>
      <c r="U1014" s="1759"/>
      <c r="V1014" s="1759"/>
      <c r="W1014" s="1759"/>
      <c r="X1014" s="1759"/>
      <c r="Y1014" s="1759"/>
      <c r="Z1014" s="1759"/>
      <c r="AA1014" s="1759"/>
      <c r="AB1014" s="1759"/>
      <c r="AC1014" s="1759"/>
      <c r="AD1014" s="1759"/>
      <c r="AE1014" s="1760"/>
      <c r="AF1014" s="58"/>
      <c r="AG1014" s="13"/>
      <c r="AH1014" s="13"/>
      <c r="AI1014" s="62"/>
      <c r="AJ1014" s="1706"/>
      <c r="AK1014" s="1707"/>
      <c r="AL1014" s="1707"/>
      <c r="AM1014" s="1707"/>
      <c r="AN1014" s="1707"/>
      <c r="AO1014" s="1707"/>
      <c r="AP1014" s="1707"/>
      <c r="AQ1014" s="1708"/>
      <c r="AR1014" s="1182"/>
      <c r="AS1014" s="1182"/>
      <c r="AT1014" s="1182"/>
      <c r="AU1014" s="1182"/>
      <c r="AV1014" s="1182"/>
      <c r="AW1014" s="1182"/>
      <c r="AX1014" s="1182"/>
      <c r="AY1014" s="805">
        <f>ROUNDDOWN(X1057/I1057,2)</f>
        <v>0.11</v>
      </c>
      <c r="AZ1014" s="3"/>
      <c r="BB1014" s="3"/>
    </row>
    <row r="1015" spans="1:55" ht="13" customHeight="1">
      <c r="A1015" s="13"/>
      <c r="B1015" s="1191"/>
      <c r="C1015" s="1192"/>
      <c r="D1015" s="1778"/>
      <c r="E1015" s="1779"/>
      <c r="F1015" s="1779"/>
      <c r="G1015" s="1779"/>
      <c r="H1015" s="1779"/>
      <c r="I1015" s="1779"/>
      <c r="J1015" s="1779"/>
      <c r="K1015" s="1779"/>
      <c r="L1015" s="1779"/>
      <c r="M1015" s="1779"/>
      <c r="N1015" s="1779"/>
      <c r="O1015" s="1779"/>
      <c r="P1015" s="1779"/>
      <c r="Q1015" s="1779"/>
      <c r="R1015" s="1779"/>
      <c r="S1015" s="1779"/>
      <c r="T1015" s="1779"/>
      <c r="U1015" s="1779"/>
      <c r="V1015" s="1779"/>
      <c r="W1015" s="1779"/>
      <c r="X1015" s="1779"/>
      <c r="Y1015" s="1779"/>
      <c r="Z1015" s="1779"/>
      <c r="AA1015" s="1779"/>
      <c r="AB1015" s="1779"/>
      <c r="AC1015" s="1779"/>
      <c r="AD1015" s="1779"/>
      <c r="AE1015" s="1780"/>
      <c r="AF1015" s="59"/>
      <c r="AG1015" s="6"/>
      <c r="AH1015" s="6"/>
      <c r="AI1015" s="60"/>
      <c r="AJ1015" s="1715"/>
      <c r="AK1015" s="1716"/>
      <c r="AL1015" s="1716"/>
      <c r="AM1015" s="1716"/>
      <c r="AN1015" s="1716"/>
      <c r="AO1015" s="1716"/>
      <c r="AP1015" s="1716"/>
      <c r="AQ1015" s="1717"/>
      <c r="AR1015" s="1182"/>
      <c r="AS1015" s="1182"/>
      <c r="AT1015" s="1182"/>
      <c r="AU1015" s="1182"/>
      <c r="AV1015" s="1182"/>
      <c r="AW1015" s="1182"/>
      <c r="AX1015" s="1182"/>
      <c r="AY1015" s="805">
        <f>ROUNDDOWN(X1061/I1061,2)</f>
        <v>0.11</v>
      </c>
      <c r="AZ1015" s="3"/>
      <c r="BB1015" s="3"/>
    </row>
    <row r="1016" spans="1:55" ht="13" customHeight="1">
      <c r="A1016" s="13"/>
      <c r="B1016" s="1188"/>
      <c r="C1016" s="242" t="s">
        <v>1691</v>
      </c>
      <c r="D1016" s="1684" t="s">
        <v>1692</v>
      </c>
      <c r="E1016" s="1685"/>
      <c r="F1016" s="1685"/>
      <c r="G1016" s="1685"/>
      <c r="H1016" s="1685"/>
      <c r="I1016" s="1685"/>
      <c r="J1016" s="1685"/>
      <c r="K1016" s="1685"/>
      <c r="L1016" s="1685"/>
      <c r="M1016" s="1685"/>
      <c r="N1016" s="1685"/>
      <c r="O1016" s="1685"/>
      <c r="P1016" s="1685"/>
      <c r="Q1016" s="1685"/>
      <c r="R1016" s="1685"/>
      <c r="S1016" s="1685"/>
      <c r="T1016" s="1685"/>
      <c r="U1016" s="1685"/>
      <c r="V1016" s="1685"/>
      <c r="W1016" s="1685"/>
      <c r="X1016" s="1685"/>
      <c r="Y1016" s="1685"/>
      <c r="Z1016" s="1685"/>
      <c r="AA1016" s="1685"/>
      <c r="AB1016" s="1685"/>
      <c r="AC1016" s="1685"/>
      <c r="AD1016" s="1685"/>
      <c r="AE1016" s="1686"/>
      <c r="AF1016" s="63"/>
      <c r="AG1016" s="1730" t="s">
        <v>700</v>
      </c>
      <c r="AH1016" s="1731"/>
      <c r="AI1016" s="64"/>
      <c r="AJ1016" s="1703">
        <f>ROUND(IF(AG1016="yes",AJ1001*0.1,0),0)</f>
        <v>0</v>
      </c>
      <c r="AK1016" s="1704"/>
      <c r="AL1016" s="1704"/>
      <c r="AM1016" s="1704"/>
      <c r="AN1016" s="1704"/>
      <c r="AO1016" s="1704"/>
      <c r="AP1016" s="1704"/>
      <c r="AQ1016" s="1705"/>
      <c r="AR1016" s="1182"/>
      <c r="AS1016" s="1182"/>
      <c r="AT1016" s="1182"/>
      <c r="AU1016" s="1182"/>
      <c r="AV1016" s="1182"/>
      <c r="AW1016" s="1182"/>
      <c r="AX1016" s="1182"/>
      <c r="BB1016" s="3"/>
    </row>
    <row r="1017" spans="1:55" ht="13" customHeight="1">
      <c r="A1017" s="13"/>
      <c r="B1017" s="58"/>
      <c r="C1017" s="1193"/>
      <c r="D1017" s="1709" t="s">
        <v>1693</v>
      </c>
      <c r="E1017" s="1710"/>
      <c r="F1017" s="1710"/>
      <c r="G1017" s="1710"/>
      <c r="H1017" s="1710"/>
      <c r="I1017" s="1710"/>
      <c r="J1017" s="1710"/>
      <c r="K1017" s="1710"/>
      <c r="L1017" s="1710"/>
      <c r="M1017" s="1710"/>
      <c r="N1017" s="1710"/>
      <c r="O1017" s="1710"/>
      <c r="P1017" s="1710"/>
      <c r="Q1017" s="1710"/>
      <c r="R1017" s="1710"/>
      <c r="S1017" s="1710"/>
      <c r="T1017" s="1710"/>
      <c r="U1017" s="1710"/>
      <c r="V1017" s="1710"/>
      <c r="W1017" s="1710"/>
      <c r="X1017" s="1710"/>
      <c r="Y1017" s="1710"/>
      <c r="Z1017" s="1710"/>
      <c r="AA1017" s="1710"/>
      <c r="AB1017" s="1710"/>
      <c r="AC1017" s="1710"/>
      <c r="AD1017" s="1710"/>
      <c r="AE1017" s="1711"/>
      <c r="AF1017" s="58"/>
      <c r="AI1017" s="62"/>
      <c r="AJ1017" s="1706"/>
      <c r="AK1017" s="1707"/>
      <c r="AL1017" s="1707"/>
      <c r="AM1017" s="1707"/>
      <c r="AN1017" s="1707"/>
      <c r="AO1017" s="1707"/>
      <c r="AP1017" s="1707"/>
      <c r="AQ1017" s="1708"/>
      <c r="AR1017" s="1182"/>
      <c r="AS1017" s="1182"/>
      <c r="AT1017" s="1182"/>
      <c r="AU1017" s="1182"/>
      <c r="AV1017" s="1182"/>
      <c r="AW1017" s="1182"/>
      <c r="AX1017" s="1182"/>
    </row>
    <row r="1018" spans="1:55" ht="13" customHeight="1">
      <c r="A1018" s="13"/>
      <c r="B1018" s="58"/>
      <c r="C1018" s="1193"/>
      <c r="D1018" s="1709"/>
      <c r="E1018" s="1710"/>
      <c r="F1018" s="1710"/>
      <c r="G1018" s="1710"/>
      <c r="H1018" s="1710"/>
      <c r="I1018" s="1710"/>
      <c r="J1018" s="1710"/>
      <c r="K1018" s="1710"/>
      <c r="L1018" s="1710"/>
      <c r="M1018" s="1710"/>
      <c r="N1018" s="1710"/>
      <c r="O1018" s="1710"/>
      <c r="P1018" s="1710"/>
      <c r="Q1018" s="1710"/>
      <c r="R1018" s="1710"/>
      <c r="S1018" s="1710"/>
      <c r="T1018" s="1710"/>
      <c r="U1018" s="1710"/>
      <c r="V1018" s="1710"/>
      <c r="W1018" s="1710"/>
      <c r="X1018" s="1710"/>
      <c r="Y1018" s="1710"/>
      <c r="Z1018" s="1710"/>
      <c r="AA1018" s="1710"/>
      <c r="AB1018" s="1710"/>
      <c r="AC1018" s="1710"/>
      <c r="AD1018" s="1710"/>
      <c r="AE1018" s="1711"/>
      <c r="AF1018" s="58"/>
      <c r="AG1018" s="13"/>
      <c r="AH1018" s="13"/>
      <c r="AI1018" s="62"/>
      <c r="AJ1018" s="1706"/>
      <c r="AK1018" s="1707"/>
      <c r="AL1018" s="1707"/>
      <c r="AM1018" s="1707"/>
      <c r="AN1018" s="1707"/>
      <c r="AO1018" s="1707"/>
      <c r="AP1018" s="1707"/>
      <c r="AQ1018" s="1708"/>
      <c r="AR1018" s="1182"/>
      <c r="AS1018" s="1182"/>
      <c r="AT1018" s="1182"/>
      <c r="AU1018" s="1182"/>
      <c r="AV1018" s="1182"/>
      <c r="AW1018" s="1182"/>
      <c r="AX1018" s="1182"/>
    </row>
    <row r="1019" spans="1:55" ht="13" customHeight="1">
      <c r="A1019" s="13"/>
      <c r="B1019" s="1194"/>
      <c r="C1019" s="1192"/>
      <c r="D1019" s="1712"/>
      <c r="E1019" s="1713"/>
      <c r="F1019" s="1713"/>
      <c r="G1019" s="1713"/>
      <c r="H1019" s="1713"/>
      <c r="I1019" s="1713"/>
      <c r="J1019" s="1713"/>
      <c r="K1019" s="1713"/>
      <c r="L1019" s="1713"/>
      <c r="M1019" s="1713"/>
      <c r="N1019" s="1713"/>
      <c r="O1019" s="1713"/>
      <c r="P1019" s="1713"/>
      <c r="Q1019" s="1713"/>
      <c r="R1019" s="1713"/>
      <c r="S1019" s="1713"/>
      <c r="T1019" s="1713"/>
      <c r="U1019" s="1713"/>
      <c r="V1019" s="1713"/>
      <c r="W1019" s="1713"/>
      <c r="X1019" s="1713"/>
      <c r="Y1019" s="1713"/>
      <c r="Z1019" s="1713"/>
      <c r="AA1019" s="1713"/>
      <c r="AB1019" s="1713"/>
      <c r="AC1019" s="1713"/>
      <c r="AD1019" s="1713"/>
      <c r="AE1019" s="1714"/>
      <c r="AF1019" s="59"/>
      <c r="AG1019" s="6"/>
      <c r="AH1019" s="6"/>
      <c r="AI1019" s="60"/>
      <c r="AJ1019" s="1715"/>
      <c r="AK1019" s="1716"/>
      <c r="AL1019" s="1716"/>
      <c r="AM1019" s="1716"/>
      <c r="AN1019" s="1716"/>
      <c r="AO1019" s="1716"/>
      <c r="AP1019" s="1716"/>
      <c r="AQ1019" s="1717"/>
      <c r="AR1019" s="1182"/>
      <c r="AS1019" s="1182"/>
      <c r="AT1019" s="1182"/>
      <c r="AU1019" s="1182"/>
      <c r="AV1019" s="1182"/>
      <c r="AW1019" s="1182"/>
      <c r="AX1019" s="1182"/>
    </row>
    <row r="1020" spans="1:55" ht="13" customHeight="1">
      <c r="A1020" s="13"/>
      <c r="B1020" s="61"/>
      <c r="C1020" s="242" t="s">
        <v>1694</v>
      </c>
      <c r="D1020" s="1684" t="s">
        <v>1695</v>
      </c>
      <c r="E1020" s="1685"/>
      <c r="F1020" s="1685"/>
      <c r="G1020" s="1685"/>
      <c r="H1020" s="1685"/>
      <c r="I1020" s="1685"/>
      <c r="J1020" s="1685"/>
      <c r="K1020" s="1685"/>
      <c r="L1020" s="1685"/>
      <c r="M1020" s="1685"/>
      <c r="N1020" s="1685"/>
      <c r="O1020" s="1685"/>
      <c r="P1020" s="1685"/>
      <c r="Q1020" s="1685"/>
      <c r="R1020" s="1685"/>
      <c r="S1020" s="1685"/>
      <c r="T1020" s="1685"/>
      <c r="U1020" s="1685"/>
      <c r="V1020" s="1685"/>
      <c r="W1020" s="1685"/>
      <c r="X1020" s="1685"/>
      <c r="Y1020" s="1685"/>
      <c r="Z1020" s="1685"/>
      <c r="AA1020" s="1685"/>
      <c r="AB1020" s="1685"/>
      <c r="AC1020" s="1685"/>
      <c r="AD1020" s="1685"/>
      <c r="AE1020" s="1686"/>
      <c r="AF1020" s="61"/>
      <c r="AG1020" s="1730" t="s">
        <v>700</v>
      </c>
      <c r="AH1020" s="1731"/>
      <c r="AI1020" s="64"/>
      <c r="AJ1020" s="1703">
        <f>ROUND(IF(AG1020="yes",AJ1001*0.02,0),0)</f>
        <v>0</v>
      </c>
      <c r="AK1020" s="1704"/>
      <c r="AL1020" s="1704"/>
      <c r="AM1020" s="1704"/>
      <c r="AN1020" s="1704"/>
      <c r="AO1020" s="1704"/>
      <c r="AP1020" s="1704"/>
      <c r="AQ1020" s="1705"/>
      <c r="AR1020" s="1182"/>
      <c r="AS1020" s="1182"/>
      <c r="AT1020" s="1182"/>
      <c r="AU1020" s="1182"/>
      <c r="AV1020" s="1182"/>
      <c r="AW1020" s="1182"/>
      <c r="AX1020" s="1182"/>
    </row>
    <row r="1021" spans="1:55" ht="14.25" customHeight="1">
      <c r="A1021" s="13"/>
      <c r="B1021" s="58"/>
      <c r="C1021" s="1193"/>
      <c r="D1021" s="1712" t="s">
        <v>1696</v>
      </c>
      <c r="E1021" s="1713"/>
      <c r="F1021" s="1713"/>
      <c r="G1021" s="1713"/>
      <c r="H1021" s="1713"/>
      <c r="I1021" s="1713"/>
      <c r="J1021" s="1713"/>
      <c r="K1021" s="1713"/>
      <c r="L1021" s="1713"/>
      <c r="M1021" s="1713"/>
      <c r="N1021" s="1713"/>
      <c r="O1021" s="1713"/>
      <c r="P1021" s="1713"/>
      <c r="Q1021" s="1713"/>
      <c r="R1021" s="1713"/>
      <c r="S1021" s="1713"/>
      <c r="T1021" s="1713"/>
      <c r="U1021" s="1713"/>
      <c r="V1021" s="1713"/>
      <c r="W1021" s="1713"/>
      <c r="X1021" s="1713"/>
      <c r="Y1021" s="1713"/>
      <c r="Z1021" s="1713"/>
      <c r="AA1021" s="1713"/>
      <c r="AB1021" s="1713"/>
      <c r="AC1021" s="1713"/>
      <c r="AD1021" s="1713"/>
      <c r="AE1021" s="1714"/>
      <c r="AF1021" s="59"/>
      <c r="AG1021" s="6"/>
      <c r="AH1021" s="6"/>
      <c r="AI1021" s="60"/>
      <c r="AJ1021" s="1715"/>
      <c r="AK1021" s="1716"/>
      <c r="AL1021" s="1716"/>
      <c r="AM1021" s="1716"/>
      <c r="AN1021" s="1716"/>
      <c r="AO1021" s="1716"/>
      <c r="AP1021" s="1716"/>
      <c r="AQ1021" s="1717"/>
      <c r="AR1021" s="1182"/>
      <c r="AS1021" s="1182"/>
      <c r="AT1021" s="1182"/>
      <c r="AU1021" s="1182"/>
      <c r="AV1021" s="1182"/>
      <c r="AW1021" s="1182"/>
      <c r="AX1021" s="3" t="s">
        <v>1697</v>
      </c>
      <c r="AZ1021" s="3" t="s">
        <v>1698</v>
      </c>
    </row>
    <row r="1022" spans="1:55" ht="13" customHeight="1">
      <c r="A1022" s="13"/>
      <c r="B1022" s="61"/>
      <c r="C1022" s="242" t="s">
        <v>1699</v>
      </c>
      <c r="D1022" s="1684" t="s">
        <v>1700</v>
      </c>
      <c r="E1022" s="1685"/>
      <c r="F1022" s="1685"/>
      <c r="G1022" s="1685"/>
      <c r="H1022" s="1685"/>
      <c r="I1022" s="1685"/>
      <c r="J1022" s="1685"/>
      <c r="K1022" s="1685"/>
      <c r="L1022" s="1685"/>
      <c r="M1022" s="1685"/>
      <c r="N1022" s="1685"/>
      <c r="O1022" s="1685"/>
      <c r="P1022" s="1685"/>
      <c r="Q1022" s="1685"/>
      <c r="R1022" s="1685"/>
      <c r="S1022" s="1685"/>
      <c r="T1022" s="1685"/>
      <c r="U1022" s="1685"/>
      <c r="V1022" s="1685"/>
      <c r="W1022" s="1685"/>
      <c r="X1022" s="1685"/>
      <c r="Y1022" s="1685"/>
      <c r="Z1022" s="1685"/>
      <c r="AA1022" s="1685"/>
      <c r="AB1022" s="1685"/>
      <c r="AC1022" s="1685"/>
      <c r="AD1022" s="1685"/>
      <c r="AE1022" s="1686"/>
      <c r="AF1022" s="61"/>
      <c r="AG1022" s="1730" t="s">
        <v>700</v>
      </c>
      <c r="AH1022" s="1731"/>
      <c r="AI1022" s="61"/>
      <c r="AJ1022" s="1703">
        <f>ROUND(IF(AG1022="yes",AJ1001*0.02,0),0)</f>
        <v>0</v>
      </c>
      <c r="AK1022" s="1704"/>
      <c r="AL1022" s="1704"/>
      <c r="AM1022" s="1704"/>
      <c r="AN1022" s="1704"/>
      <c r="AO1022" s="1704"/>
      <c r="AP1022" s="1704"/>
      <c r="AQ1022" s="1705"/>
      <c r="AR1022" s="1182"/>
      <c r="AS1022" s="1182"/>
      <c r="AT1022" s="1182"/>
      <c r="AU1022" s="1182"/>
      <c r="AV1022" s="1182"/>
      <c r="AW1022" s="1182"/>
      <c r="AX1022" s="3">
        <v>1</v>
      </c>
      <c r="AY1022" s="1195">
        <f>IF((_xlfn.XLOOKUP(AX1022,$C$1074:$C$1112,$A$1074:$A$1112,"",0,1))="Yes",AZ1022,0)</f>
        <v>0.2</v>
      </c>
      <c r="AZ1022" s="1078">
        <v>0.2</v>
      </c>
    </row>
    <row r="1023" spans="1:55" ht="13" customHeight="1">
      <c r="A1023" s="13"/>
      <c r="B1023" s="58"/>
      <c r="C1023" s="1193"/>
      <c r="D1023" s="1709" t="s">
        <v>1701</v>
      </c>
      <c r="E1023" s="1710"/>
      <c r="F1023" s="1710"/>
      <c r="G1023" s="1710"/>
      <c r="H1023" s="1710"/>
      <c r="I1023" s="1710"/>
      <c r="J1023" s="1710"/>
      <c r="K1023" s="1710"/>
      <c r="L1023" s="1710"/>
      <c r="M1023" s="1710"/>
      <c r="N1023" s="1710"/>
      <c r="O1023" s="1710"/>
      <c r="P1023" s="1710"/>
      <c r="Q1023" s="1710"/>
      <c r="R1023" s="1710"/>
      <c r="S1023" s="1710"/>
      <c r="T1023" s="1710"/>
      <c r="U1023" s="1710"/>
      <c r="V1023" s="1710"/>
      <c r="W1023" s="1710"/>
      <c r="X1023" s="1710"/>
      <c r="Y1023" s="1710"/>
      <c r="Z1023" s="1710"/>
      <c r="AA1023" s="1710"/>
      <c r="AB1023" s="1710"/>
      <c r="AC1023" s="1710"/>
      <c r="AD1023" s="1710"/>
      <c r="AE1023" s="1711"/>
      <c r="AF1023" s="1800" t="str">
        <f>IF(AND(AG1022="yes",T212&lt;&gt;1),"The project may not be eligible for this boost","")</f>
        <v/>
      </c>
      <c r="AG1023" s="1801"/>
      <c r="AH1023" s="1801"/>
      <c r="AI1023" s="1802"/>
      <c r="AJ1023" s="1706"/>
      <c r="AK1023" s="1707"/>
      <c r="AL1023" s="1707"/>
      <c r="AM1023" s="1707"/>
      <c r="AN1023" s="1707"/>
      <c r="AO1023" s="1707"/>
      <c r="AP1023" s="1707"/>
      <c r="AQ1023" s="1708"/>
      <c r="AR1023" s="1182"/>
      <c r="AS1023" s="1182"/>
      <c r="AT1023" s="1182"/>
      <c r="AU1023" s="1182"/>
      <c r="AV1023" s="1182"/>
      <c r="AW1023" s="1182"/>
      <c r="AX1023" s="3">
        <v>2</v>
      </c>
      <c r="AY1023" s="1195">
        <f t="shared" ref="AY1023:AY1032" si="55">IF((_xlfn.XLOOKUP(AX1023,$C$1074:$C$1112,$A$1074:$A$1112,"",0,1))="Yes",AZ1023,0)</f>
        <v>0</v>
      </c>
      <c r="AZ1023" s="1078">
        <v>0.15</v>
      </c>
    </row>
    <row r="1024" spans="1:55" ht="13" customHeight="1">
      <c r="A1024" s="13"/>
      <c r="B1024" s="1191"/>
      <c r="C1024" s="1192"/>
      <c r="D1024" s="1712"/>
      <c r="E1024" s="1713"/>
      <c r="F1024" s="1713"/>
      <c r="G1024" s="1713"/>
      <c r="H1024" s="1713"/>
      <c r="I1024" s="1713"/>
      <c r="J1024" s="1713"/>
      <c r="K1024" s="1713"/>
      <c r="L1024" s="1713"/>
      <c r="M1024" s="1713"/>
      <c r="N1024" s="1713"/>
      <c r="O1024" s="1713"/>
      <c r="P1024" s="1713"/>
      <c r="Q1024" s="1713"/>
      <c r="R1024" s="1713"/>
      <c r="S1024" s="1713"/>
      <c r="T1024" s="1713"/>
      <c r="U1024" s="1713"/>
      <c r="V1024" s="1713"/>
      <c r="W1024" s="1713"/>
      <c r="X1024" s="1713"/>
      <c r="Y1024" s="1713"/>
      <c r="Z1024" s="1713"/>
      <c r="AA1024" s="1713"/>
      <c r="AB1024" s="1713"/>
      <c r="AC1024" s="1713"/>
      <c r="AD1024" s="1713"/>
      <c r="AE1024" s="1714"/>
      <c r="AF1024" s="1803"/>
      <c r="AG1024" s="1804"/>
      <c r="AH1024" s="1804"/>
      <c r="AI1024" s="1805"/>
      <c r="AJ1024" s="1715"/>
      <c r="AK1024" s="1716"/>
      <c r="AL1024" s="1716"/>
      <c r="AM1024" s="1716"/>
      <c r="AN1024" s="1716"/>
      <c r="AO1024" s="1716"/>
      <c r="AP1024" s="1716"/>
      <c r="AQ1024" s="1717"/>
      <c r="AR1024" s="1182"/>
      <c r="AS1024" s="1182"/>
      <c r="AT1024" s="1182"/>
      <c r="AU1024" s="1182"/>
      <c r="AV1024" s="1182"/>
      <c r="AW1024" s="1182"/>
      <c r="AX1024" s="3">
        <v>3</v>
      </c>
      <c r="AY1024" s="1195">
        <f t="shared" si="55"/>
        <v>0</v>
      </c>
      <c r="AZ1024" s="1078">
        <v>0.05</v>
      </c>
    </row>
    <row r="1025" spans="1:52" ht="13" customHeight="1">
      <c r="A1025" s="13"/>
      <c r="B1025" s="61"/>
      <c r="C1025" s="242" t="s">
        <v>1702</v>
      </c>
      <c r="D1025" s="1724" t="s">
        <v>1703</v>
      </c>
      <c r="E1025" s="1725"/>
      <c r="F1025" s="1725"/>
      <c r="G1025" s="1725"/>
      <c r="H1025" s="1725"/>
      <c r="I1025" s="1725"/>
      <c r="J1025" s="1725"/>
      <c r="K1025" s="1725"/>
      <c r="L1025" s="1725"/>
      <c r="M1025" s="1725"/>
      <c r="N1025" s="1725"/>
      <c r="O1025" s="1725"/>
      <c r="P1025" s="1725"/>
      <c r="Q1025" s="1725"/>
      <c r="R1025" s="1725"/>
      <c r="S1025" s="1725"/>
      <c r="T1025" s="1725"/>
      <c r="U1025" s="1725"/>
      <c r="V1025" s="1725"/>
      <c r="W1025" s="1725"/>
      <c r="X1025" s="1725"/>
      <c r="Y1025" s="1725"/>
      <c r="Z1025" s="1725"/>
      <c r="AA1025" s="1725"/>
      <c r="AB1025" s="1725"/>
      <c r="AC1025" s="1725"/>
      <c r="AD1025" s="1725"/>
      <c r="AE1025" s="1726"/>
      <c r="AF1025" s="61"/>
      <c r="AG1025" s="1730" t="s">
        <v>862</v>
      </c>
      <c r="AH1025" s="1731"/>
      <c r="AI1025" s="64"/>
      <c r="AJ1025" s="1703">
        <f>IF(AG1025="yes",AJ1001*AY1033,0)</f>
        <v>18582140</v>
      </c>
      <c r="AK1025" s="1704"/>
      <c r="AL1025" s="1704"/>
      <c r="AM1025" s="1704"/>
      <c r="AN1025" s="1704"/>
      <c r="AO1025" s="1704"/>
      <c r="AP1025" s="1704"/>
      <c r="AQ1025" s="1705"/>
      <c r="AR1025" s="1182"/>
      <c r="AS1025" s="1182"/>
      <c r="AT1025" s="1182"/>
      <c r="AU1025" s="1182"/>
      <c r="AV1025" s="1182"/>
      <c r="AW1025" s="1182"/>
      <c r="AX1025" s="3">
        <v>4</v>
      </c>
      <c r="AY1025" s="1195">
        <f t="shared" si="55"/>
        <v>0</v>
      </c>
      <c r="AZ1025" s="1078">
        <v>0.02</v>
      </c>
    </row>
    <row r="1026" spans="1:52" ht="13" customHeight="1">
      <c r="A1026" s="13"/>
      <c r="B1026" s="58"/>
      <c r="C1026" s="1193"/>
      <c r="D1026" s="1709" t="s">
        <v>1704</v>
      </c>
      <c r="E1026" s="1710"/>
      <c r="F1026" s="1710"/>
      <c r="G1026" s="1710"/>
      <c r="H1026" s="1710"/>
      <c r="I1026" s="1710"/>
      <c r="J1026" s="1710"/>
      <c r="K1026" s="1710"/>
      <c r="L1026" s="1710"/>
      <c r="M1026" s="1710"/>
      <c r="N1026" s="1710"/>
      <c r="O1026" s="1710"/>
      <c r="P1026" s="1710"/>
      <c r="Q1026" s="1710"/>
      <c r="R1026" s="1710"/>
      <c r="S1026" s="1710"/>
      <c r="T1026" s="1710"/>
      <c r="U1026" s="1710"/>
      <c r="V1026" s="1710"/>
      <c r="W1026" s="1710"/>
      <c r="X1026" s="1710"/>
      <c r="Y1026" s="1710"/>
      <c r="Z1026" s="1710"/>
      <c r="AA1026" s="1710"/>
      <c r="AB1026" s="1710"/>
      <c r="AC1026" s="1710"/>
      <c r="AD1026" s="1710"/>
      <c r="AE1026" s="1711"/>
      <c r="AF1026" s="1794" t="str">
        <f>IF(AND(AG1025="Yes",AY1033=0),AY1036,"")</f>
        <v/>
      </c>
      <c r="AG1026" s="1795"/>
      <c r="AH1026" s="1795"/>
      <c r="AI1026" s="1796"/>
      <c r="AJ1026" s="1706"/>
      <c r="AK1026" s="1707"/>
      <c r="AL1026" s="1707"/>
      <c r="AM1026" s="1707"/>
      <c r="AN1026" s="1707"/>
      <c r="AO1026" s="1707"/>
      <c r="AP1026" s="1707"/>
      <c r="AQ1026" s="1708"/>
      <c r="AR1026" s="1182"/>
      <c r="AS1026" s="1182"/>
      <c r="AT1026" s="1182"/>
      <c r="AU1026" s="1182"/>
      <c r="AV1026" s="1182"/>
      <c r="AW1026" s="1182"/>
      <c r="AX1026" s="3">
        <v>5</v>
      </c>
      <c r="AY1026" s="1195">
        <f t="shared" si="55"/>
        <v>0</v>
      </c>
      <c r="AZ1026" s="1078">
        <v>0.04</v>
      </c>
    </row>
    <row r="1027" spans="1:52" ht="13" customHeight="1">
      <c r="A1027" s="13"/>
      <c r="B1027" s="58"/>
      <c r="C1027" s="1193"/>
      <c r="D1027" s="1709"/>
      <c r="E1027" s="1710"/>
      <c r="F1027" s="1710"/>
      <c r="G1027" s="1710"/>
      <c r="H1027" s="1710"/>
      <c r="I1027" s="1710"/>
      <c r="J1027" s="1710"/>
      <c r="K1027" s="1710"/>
      <c r="L1027" s="1710"/>
      <c r="M1027" s="1710"/>
      <c r="N1027" s="1710"/>
      <c r="O1027" s="1710"/>
      <c r="P1027" s="1710"/>
      <c r="Q1027" s="1710"/>
      <c r="R1027" s="1710"/>
      <c r="S1027" s="1710"/>
      <c r="T1027" s="1710"/>
      <c r="U1027" s="1710"/>
      <c r="V1027" s="1710"/>
      <c r="W1027" s="1710"/>
      <c r="X1027" s="1710"/>
      <c r="Y1027" s="1710"/>
      <c r="Z1027" s="1710"/>
      <c r="AA1027" s="1710"/>
      <c r="AB1027" s="1710"/>
      <c r="AC1027" s="1710"/>
      <c r="AD1027" s="1710"/>
      <c r="AE1027" s="1711"/>
      <c r="AF1027" s="1794"/>
      <c r="AG1027" s="1795"/>
      <c r="AH1027" s="1795"/>
      <c r="AI1027" s="1796"/>
      <c r="AJ1027" s="1706"/>
      <c r="AK1027" s="1707"/>
      <c r="AL1027" s="1707"/>
      <c r="AM1027" s="1707"/>
      <c r="AN1027" s="1707"/>
      <c r="AO1027" s="1707"/>
      <c r="AP1027" s="1707"/>
      <c r="AQ1027" s="1708"/>
      <c r="AR1027" s="1182"/>
      <c r="AS1027" s="1182"/>
      <c r="AT1027" s="1182"/>
      <c r="AU1027" s="1182"/>
      <c r="AV1027" s="1182"/>
      <c r="AW1027" s="1182"/>
      <c r="AX1027" s="3">
        <v>6</v>
      </c>
      <c r="AY1027" s="1195">
        <f t="shared" si="55"/>
        <v>0</v>
      </c>
      <c r="AZ1027" s="1078">
        <v>0.04</v>
      </c>
    </row>
    <row r="1028" spans="1:52" ht="13" customHeight="1">
      <c r="A1028" s="13"/>
      <c r="B1028" s="1196"/>
      <c r="C1028" s="1190"/>
      <c r="D1028" s="1712"/>
      <c r="E1028" s="1713"/>
      <c r="F1028" s="1713"/>
      <c r="G1028" s="1713"/>
      <c r="H1028" s="1713"/>
      <c r="I1028" s="1713"/>
      <c r="J1028" s="1713"/>
      <c r="K1028" s="1713"/>
      <c r="L1028" s="1713"/>
      <c r="M1028" s="1713"/>
      <c r="N1028" s="1713"/>
      <c r="O1028" s="1713"/>
      <c r="P1028" s="1713"/>
      <c r="Q1028" s="1713"/>
      <c r="R1028" s="1713"/>
      <c r="S1028" s="1713"/>
      <c r="T1028" s="1713"/>
      <c r="U1028" s="1713"/>
      <c r="V1028" s="1713"/>
      <c r="W1028" s="1713"/>
      <c r="X1028" s="1713"/>
      <c r="Y1028" s="1713"/>
      <c r="Z1028" s="1713"/>
      <c r="AA1028" s="1713"/>
      <c r="AB1028" s="1713"/>
      <c r="AC1028" s="1713"/>
      <c r="AD1028" s="1713"/>
      <c r="AE1028" s="1714"/>
      <c r="AF1028" s="1797"/>
      <c r="AG1028" s="1798"/>
      <c r="AH1028" s="1798"/>
      <c r="AI1028" s="1799"/>
      <c r="AJ1028" s="1715"/>
      <c r="AK1028" s="1716"/>
      <c r="AL1028" s="1716"/>
      <c r="AM1028" s="1716"/>
      <c r="AN1028" s="1716"/>
      <c r="AO1028" s="1716"/>
      <c r="AP1028" s="1716"/>
      <c r="AQ1028" s="1717"/>
      <c r="AR1028" s="1182"/>
      <c r="AS1028" s="1182"/>
      <c r="AT1028" s="1182"/>
      <c r="AU1028" s="1182"/>
      <c r="AV1028" s="1182"/>
      <c r="AW1028" s="1182"/>
      <c r="AX1028" s="3">
        <v>7</v>
      </c>
      <c r="AY1028" s="1195">
        <f t="shared" si="55"/>
        <v>0</v>
      </c>
      <c r="AZ1028" s="1078">
        <v>0.01</v>
      </c>
    </row>
    <row r="1029" spans="1:52" ht="13" customHeight="1">
      <c r="A1029" s="13"/>
      <c r="B1029" s="61"/>
      <c r="C1029" s="242" t="s">
        <v>1705</v>
      </c>
      <c r="D1029" s="1749" t="s">
        <v>1706</v>
      </c>
      <c r="E1029" s="1750"/>
      <c r="F1029" s="1750"/>
      <c r="G1029" s="1750"/>
      <c r="H1029" s="1750"/>
      <c r="I1029" s="1750"/>
      <c r="J1029" s="1750"/>
      <c r="K1029" s="1750"/>
      <c r="L1029" s="1750"/>
      <c r="M1029" s="1750"/>
      <c r="N1029" s="1750"/>
      <c r="O1029" s="1750"/>
      <c r="P1029" s="1750"/>
      <c r="Q1029" s="1750"/>
      <c r="R1029" s="1750"/>
      <c r="S1029" s="1750"/>
      <c r="T1029" s="1750"/>
      <c r="U1029" s="1750"/>
      <c r="V1029" s="1750"/>
      <c r="W1029" s="1750"/>
      <c r="X1029" s="1750"/>
      <c r="Y1029" s="1750"/>
      <c r="Z1029" s="1750"/>
      <c r="AA1029" s="1750"/>
      <c r="AB1029" s="1750"/>
      <c r="AC1029" s="1750"/>
      <c r="AD1029" s="1750"/>
      <c r="AE1029" s="1751"/>
      <c r="AF1029" s="61"/>
      <c r="AG1029" s="1730" t="s">
        <v>700</v>
      </c>
      <c r="AH1029" s="1731"/>
      <c r="AI1029" s="64"/>
      <c r="AJ1029" s="1703">
        <f>ROUND(IF(AND(AG1029="Yes",J1033&lt;&gt;"N/A",AF1032&lt;&gt;""),MIN(AF1032,(0.15*AJ1001)),0),0)</f>
        <v>0</v>
      </c>
      <c r="AK1029" s="1704"/>
      <c r="AL1029" s="1704"/>
      <c r="AM1029" s="1704"/>
      <c r="AN1029" s="1704"/>
      <c r="AO1029" s="1704"/>
      <c r="AP1029" s="1704"/>
      <c r="AQ1029" s="1705"/>
      <c r="AR1029" s="1182"/>
      <c r="AS1029" s="1182"/>
      <c r="AT1029" s="1182"/>
      <c r="AU1029" s="1182"/>
      <c r="AV1029" s="1182"/>
      <c r="AW1029" s="1182"/>
      <c r="AX1029" s="3">
        <v>8</v>
      </c>
      <c r="AY1029" s="1195">
        <f t="shared" si="55"/>
        <v>0</v>
      </c>
      <c r="AZ1029" s="1078">
        <v>0.01</v>
      </c>
    </row>
    <row r="1030" spans="1:52" ht="13" customHeight="1">
      <c r="A1030" s="13"/>
      <c r="B1030" s="1196"/>
      <c r="C1030" s="1197"/>
      <c r="D1030" s="1752"/>
      <c r="E1030" s="1753"/>
      <c r="F1030" s="1753"/>
      <c r="G1030" s="1753"/>
      <c r="H1030" s="1753"/>
      <c r="I1030" s="1753"/>
      <c r="J1030" s="1753"/>
      <c r="K1030" s="1753"/>
      <c r="L1030" s="1753"/>
      <c r="M1030" s="1753"/>
      <c r="N1030" s="1753"/>
      <c r="O1030" s="1753"/>
      <c r="P1030" s="1753"/>
      <c r="Q1030" s="1753"/>
      <c r="R1030" s="1753"/>
      <c r="S1030" s="1753"/>
      <c r="T1030" s="1753"/>
      <c r="U1030" s="1753"/>
      <c r="V1030" s="1753"/>
      <c r="W1030" s="1753"/>
      <c r="X1030" s="1753"/>
      <c r="Y1030" s="1753"/>
      <c r="Z1030" s="1753"/>
      <c r="AA1030" s="1753"/>
      <c r="AB1030" s="1753"/>
      <c r="AC1030" s="1753"/>
      <c r="AD1030" s="1753"/>
      <c r="AE1030" s="1754"/>
      <c r="AF1030" s="1769" t="str">
        <f>IF(AG1029="yes","Please Select Type and Enter Amount:","")</f>
        <v/>
      </c>
      <c r="AG1030" s="1770"/>
      <c r="AH1030" s="1770"/>
      <c r="AI1030" s="1771"/>
      <c r="AJ1030" s="1706"/>
      <c r="AK1030" s="1707"/>
      <c r="AL1030" s="1707"/>
      <c r="AM1030" s="1707"/>
      <c r="AN1030" s="1707"/>
      <c r="AO1030" s="1707"/>
      <c r="AP1030" s="1707"/>
      <c r="AQ1030" s="1708"/>
      <c r="AR1030" s="1182"/>
      <c r="AS1030" s="1182"/>
      <c r="AT1030" s="1182"/>
      <c r="AU1030" s="1182"/>
      <c r="AV1030" s="1182"/>
      <c r="AW1030" s="1182"/>
      <c r="AX1030" s="3">
        <v>9</v>
      </c>
      <c r="AY1030" s="1195">
        <f t="shared" si="55"/>
        <v>0</v>
      </c>
      <c r="AZ1030" s="1078">
        <v>0.01</v>
      </c>
    </row>
    <row r="1031" spans="1:52" ht="13" customHeight="1">
      <c r="A1031" s="13"/>
      <c r="B1031" s="1196"/>
      <c r="C1031" s="1197"/>
      <c r="D1031" s="1709" t="s">
        <v>1707</v>
      </c>
      <c r="E1031" s="1710"/>
      <c r="F1031" s="1710"/>
      <c r="G1031" s="1710"/>
      <c r="H1031" s="1710"/>
      <c r="I1031" s="1710"/>
      <c r="J1031" s="1710"/>
      <c r="K1031" s="1710"/>
      <c r="L1031" s="1710"/>
      <c r="M1031" s="1710"/>
      <c r="N1031" s="1710"/>
      <c r="O1031" s="1710"/>
      <c r="P1031" s="1710"/>
      <c r="Q1031" s="1710"/>
      <c r="R1031" s="1710"/>
      <c r="S1031" s="1710"/>
      <c r="T1031" s="1710"/>
      <c r="U1031" s="1710"/>
      <c r="V1031" s="1710"/>
      <c r="W1031" s="1710"/>
      <c r="X1031" s="1710"/>
      <c r="Y1031" s="1710"/>
      <c r="Z1031" s="1710"/>
      <c r="AA1031" s="1710"/>
      <c r="AB1031" s="1710"/>
      <c r="AC1031" s="1710"/>
      <c r="AD1031" s="1710"/>
      <c r="AE1031" s="1711"/>
      <c r="AF1031" s="1769"/>
      <c r="AG1031" s="1770"/>
      <c r="AH1031" s="1770"/>
      <c r="AI1031" s="1771"/>
      <c r="AJ1031" s="1706"/>
      <c r="AK1031" s="1707"/>
      <c r="AL1031" s="1707"/>
      <c r="AM1031" s="1707"/>
      <c r="AN1031" s="1707"/>
      <c r="AO1031" s="1707"/>
      <c r="AP1031" s="1707"/>
      <c r="AQ1031" s="1708"/>
      <c r="AR1031" s="1182"/>
      <c r="AS1031" s="1182"/>
      <c r="AT1031" s="1182"/>
      <c r="AU1031" s="1182"/>
      <c r="AV1031" s="1182"/>
      <c r="AW1031" s="1182"/>
      <c r="AX1031" s="3">
        <v>10</v>
      </c>
      <c r="AY1031" s="1195">
        <f t="shared" si="55"/>
        <v>0</v>
      </c>
      <c r="AZ1031" s="1078">
        <v>0.02</v>
      </c>
    </row>
    <row r="1032" spans="1:52" ht="13" customHeight="1">
      <c r="A1032" s="13"/>
      <c r="B1032" s="1196"/>
      <c r="C1032" s="1197"/>
      <c r="D1032" s="1709"/>
      <c r="E1032" s="1710"/>
      <c r="F1032" s="1710"/>
      <c r="G1032" s="1710"/>
      <c r="H1032" s="1710"/>
      <c r="I1032" s="1710"/>
      <c r="J1032" s="1710"/>
      <c r="K1032" s="1710"/>
      <c r="L1032" s="1710"/>
      <c r="M1032" s="1710"/>
      <c r="N1032" s="1710"/>
      <c r="O1032" s="1710"/>
      <c r="P1032" s="1710"/>
      <c r="Q1032" s="1710"/>
      <c r="R1032" s="1710"/>
      <c r="S1032" s="1710"/>
      <c r="T1032" s="1710"/>
      <c r="U1032" s="1710"/>
      <c r="V1032" s="1710"/>
      <c r="W1032" s="1710"/>
      <c r="X1032" s="1710"/>
      <c r="Y1032" s="1710"/>
      <c r="Z1032" s="1710"/>
      <c r="AA1032" s="1710"/>
      <c r="AB1032" s="1710"/>
      <c r="AC1032" s="1710"/>
      <c r="AD1032" s="1710"/>
      <c r="AE1032" s="1711"/>
      <c r="AF1032" s="1765"/>
      <c r="AG1032" s="1765"/>
      <c r="AH1032" s="1765"/>
      <c r="AI1032" s="1765"/>
      <c r="AJ1032" s="1706"/>
      <c r="AK1032" s="1707"/>
      <c r="AL1032" s="1707"/>
      <c r="AM1032" s="1707"/>
      <c r="AN1032" s="1707"/>
      <c r="AO1032" s="1707"/>
      <c r="AP1032" s="1707"/>
      <c r="AQ1032" s="1708"/>
      <c r="AR1032" s="1182"/>
      <c r="AS1032" s="1182"/>
      <c r="AT1032" s="1182"/>
      <c r="AU1032" s="1182"/>
      <c r="AV1032" s="1182"/>
      <c r="AW1032" s="1182"/>
      <c r="AX1032" s="3">
        <v>11</v>
      </c>
      <c r="AY1032" s="1195">
        <f t="shared" si="55"/>
        <v>0</v>
      </c>
      <c r="AZ1032" s="1078">
        <v>0.02</v>
      </c>
    </row>
    <row r="1033" spans="1:52" ht="13" customHeight="1">
      <c r="A1033" s="13"/>
      <c r="B1033" s="1196"/>
      <c r="C1033" s="1197"/>
      <c r="D1033" s="426" t="s">
        <v>1708</v>
      </c>
      <c r="E1033" s="66"/>
      <c r="F1033" s="66"/>
      <c r="G1033" s="788"/>
      <c r="H1033" s="788"/>
      <c r="I1033" s="41"/>
      <c r="J1033" s="1790" t="s">
        <v>826</v>
      </c>
      <c r="K1033" s="1791"/>
      <c r="L1033" s="1791"/>
      <c r="M1033" s="1791"/>
      <c r="N1033" s="1791"/>
      <c r="O1033" s="1791"/>
      <c r="P1033" s="1791"/>
      <c r="Q1033" s="1791"/>
      <c r="R1033" s="1791"/>
      <c r="S1033" s="1791"/>
      <c r="T1033" s="1791"/>
      <c r="U1033" s="1791"/>
      <c r="V1033" s="1791"/>
      <c r="W1033" s="1791"/>
      <c r="X1033" s="1791"/>
      <c r="Y1033" s="1791"/>
      <c r="Z1033" s="1791"/>
      <c r="AA1033" s="1791"/>
      <c r="AB1033" s="1791"/>
      <c r="AC1033" s="1791"/>
      <c r="AD1033" s="1791"/>
      <c r="AE1033" s="1792"/>
      <c r="AF1033" s="1765"/>
      <c r="AG1033" s="1765"/>
      <c r="AH1033" s="1765"/>
      <c r="AI1033" s="1765"/>
      <c r="AJ1033" s="1715"/>
      <c r="AK1033" s="1716"/>
      <c r="AL1033" s="1716"/>
      <c r="AM1033" s="1716"/>
      <c r="AN1033" s="1716"/>
      <c r="AO1033" s="1716"/>
      <c r="AP1033" s="1716"/>
      <c r="AQ1033" s="1717"/>
      <c r="AR1033" s="1182"/>
      <c r="AS1033" s="1182"/>
      <c r="AT1033" s="1182"/>
      <c r="AU1033" s="1182"/>
      <c r="AV1033" s="1182"/>
      <c r="AW1033" s="1182"/>
      <c r="AX1033" s="918" t="s">
        <v>1709</v>
      </c>
      <c r="AY1033" s="1198">
        <f>IF(SUM(AY1022:AY1032)&lt;=0.2,SUM(AY1022:AY1032),0.2)</f>
        <v>0.2</v>
      </c>
    </row>
    <row r="1034" spans="1:52" ht="13" customHeight="1">
      <c r="A1034" s="13"/>
      <c r="B1034" s="61"/>
      <c r="C1034" s="242" t="s">
        <v>1710</v>
      </c>
      <c r="D1034" s="1684" t="s">
        <v>1711</v>
      </c>
      <c r="E1034" s="1685"/>
      <c r="F1034" s="1685"/>
      <c r="G1034" s="1685"/>
      <c r="H1034" s="1685"/>
      <c r="I1034" s="1685"/>
      <c r="J1034" s="1685"/>
      <c r="K1034" s="1685"/>
      <c r="L1034" s="1685"/>
      <c r="M1034" s="1685"/>
      <c r="N1034" s="1685"/>
      <c r="O1034" s="1685"/>
      <c r="P1034" s="1685"/>
      <c r="Q1034" s="1685"/>
      <c r="R1034" s="1685"/>
      <c r="S1034" s="1685"/>
      <c r="T1034" s="1685"/>
      <c r="U1034" s="1685"/>
      <c r="V1034" s="1685"/>
      <c r="W1034" s="1685"/>
      <c r="X1034" s="1685"/>
      <c r="Y1034" s="1685"/>
      <c r="Z1034" s="1685"/>
      <c r="AA1034" s="1685"/>
      <c r="AB1034" s="1685"/>
      <c r="AC1034" s="1685"/>
      <c r="AD1034" s="1685"/>
      <c r="AE1034" s="1686"/>
      <c r="AF1034" s="61"/>
      <c r="AG1034" s="1730" t="s">
        <v>862</v>
      </c>
      <c r="AH1034" s="1731"/>
      <c r="AI1034" s="64"/>
      <c r="AJ1034" s="1703">
        <f>ROUND(IF(AG1034="Yes",AF1036,0),0)</f>
        <v>3159535</v>
      </c>
      <c r="AK1034" s="1704"/>
      <c r="AL1034" s="1704"/>
      <c r="AM1034" s="1704"/>
      <c r="AN1034" s="1704"/>
      <c r="AO1034" s="1704"/>
      <c r="AP1034" s="1704"/>
      <c r="AQ1034" s="1705"/>
      <c r="AR1034" s="1182"/>
      <c r="AS1034" s="1182"/>
      <c r="AT1034" s="1182"/>
      <c r="AU1034" s="1182"/>
      <c r="AV1034" s="1182"/>
      <c r="AW1034" s="1182"/>
      <c r="AX1034" s="1182"/>
      <c r="AY1034" s="1182"/>
    </row>
    <row r="1035" spans="1:52" ht="13" customHeight="1">
      <c r="A1035" s="13"/>
      <c r="B1035" s="58"/>
      <c r="C1035" s="1193"/>
      <c r="D1035" s="1709" t="s">
        <v>1712</v>
      </c>
      <c r="E1035" s="1710"/>
      <c r="F1035" s="1710"/>
      <c r="G1035" s="1710"/>
      <c r="H1035" s="1710"/>
      <c r="I1035" s="1710"/>
      <c r="J1035" s="1710"/>
      <c r="K1035" s="1710"/>
      <c r="L1035" s="1710"/>
      <c r="M1035" s="1710"/>
      <c r="N1035" s="1710"/>
      <c r="O1035" s="1710"/>
      <c r="P1035" s="1710"/>
      <c r="Q1035" s="1710"/>
      <c r="R1035" s="1710"/>
      <c r="S1035" s="1710"/>
      <c r="T1035" s="1710"/>
      <c r="U1035" s="1710"/>
      <c r="V1035" s="1710"/>
      <c r="W1035" s="1710"/>
      <c r="X1035" s="1710"/>
      <c r="Y1035" s="1710"/>
      <c r="Z1035" s="1710"/>
      <c r="AA1035" s="1710"/>
      <c r="AB1035" s="1710"/>
      <c r="AC1035" s="1710"/>
      <c r="AD1035" s="1710"/>
      <c r="AE1035" s="1711"/>
      <c r="AF1035" s="1755" t="str">
        <f>IF(AG1034="yes","Enter Amount:","")</f>
        <v>Enter Amount:</v>
      </c>
      <c r="AG1035" s="1756"/>
      <c r="AH1035" s="1756"/>
      <c r="AI1035" s="1757"/>
      <c r="AJ1035" s="1706"/>
      <c r="AK1035" s="1707"/>
      <c r="AL1035" s="1707"/>
      <c r="AM1035" s="1707"/>
      <c r="AN1035" s="1707"/>
      <c r="AO1035" s="1707"/>
      <c r="AP1035" s="1707"/>
      <c r="AQ1035" s="1708"/>
      <c r="AR1035" s="1182"/>
      <c r="AS1035" s="1182"/>
      <c r="AT1035" s="1182"/>
      <c r="AU1035" s="1182"/>
      <c r="AV1035" s="1182"/>
      <c r="AW1035" s="1182"/>
      <c r="AX1035" s="1182"/>
      <c r="AY1035" s="1182"/>
    </row>
    <row r="1036" spans="1:52" ht="13" customHeight="1">
      <c r="A1036" s="13"/>
      <c r="B1036" s="58"/>
      <c r="C1036" s="1193"/>
      <c r="D1036" s="1709"/>
      <c r="E1036" s="1710"/>
      <c r="F1036" s="1710"/>
      <c r="G1036" s="1710"/>
      <c r="H1036" s="1710"/>
      <c r="I1036" s="1710"/>
      <c r="J1036" s="1710"/>
      <c r="K1036" s="1710"/>
      <c r="L1036" s="1710"/>
      <c r="M1036" s="1710"/>
      <c r="N1036" s="1710"/>
      <c r="O1036" s="1710"/>
      <c r="P1036" s="1710"/>
      <c r="Q1036" s="1710"/>
      <c r="R1036" s="1710"/>
      <c r="S1036" s="1710"/>
      <c r="T1036" s="1710"/>
      <c r="U1036" s="1710"/>
      <c r="V1036" s="1710"/>
      <c r="W1036" s="1710"/>
      <c r="X1036" s="1710"/>
      <c r="Y1036" s="1710"/>
      <c r="Z1036" s="1710"/>
      <c r="AA1036" s="1710"/>
      <c r="AB1036" s="1710"/>
      <c r="AC1036" s="1710"/>
      <c r="AD1036" s="1710"/>
      <c r="AE1036" s="1711"/>
      <c r="AF1036" s="1765">
        <v>3159535</v>
      </c>
      <c r="AG1036" s="1765"/>
      <c r="AH1036" s="1765"/>
      <c r="AI1036" s="1765"/>
      <c r="AJ1036" s="1706"/>
      <c r="AK1036" s="1707"/>
      <c r="AL1036" s="1707"/>
      <c r="AM1036" s="1707"/>
      <c r="AN1036" s="1707"/>
      <c r="AO1036" s="1707"/>
      <c r="AP1036" s="1707"/>
      <c r="AQ1036" s="1708"/>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3" customHeight="1">
      <c r="A1037" s="13"/>
      <c r="B1037" s="1194"/>
      <c r="C1037" s="1197"/>
      <c r="D1037" s="1712"/>
      <c r="E1037" s="1713"/>
      <c r="F1037" s="1713"/>
      <c r="G1037" s="1713"/>
      <c r="H1037" s="1713"/>
      <c r="I1037" s="1713"/>
      <c r="J1037" s="1713"/>
      <c r="K1037" s="1713"/>
      <c r="L1037" s="1713"/>
      <c r="M1037" s="1713"/>
      <c r="N1037" s="1713"/>
      <c r="O1037" s="1713"/>
      <c r="P1037" s="1713"/>
      <c r="Q1037" s="1713"/>
      <c r="R1037" s="1713"/>
      <c r="S1037" s="1713"/>
      <c r="T1037" s="1713"/>
      <c r="U1037" s="1713"/>
      <c r="V1037" s="1713"/>
      <c r="W1037" s="1713"/>
      <c r="X1037" s="1713"/>
      <c r="Y1037" s="1713"/>
      <c r="Z1037" s="1713"/>
      <c r="AA1037" s="1713"/>
      <c r="AB1037" s="1713"/>
      <c r="AC1037" s="1713"/>
      <c r="AD1037" s="1713"/>
      <c r="AE1037" s="1714"/>
      <c r="AF1037" s="1765"/>
      <c r="AG1037" s="1765"/>
      <c r="AH1037" s="1765"/>
      <c r="AI1037" s="1765"/>
      <c r="AJ1037" s="1715"/>
      <c r="AK1037" s="1716"/>
      <c r="AL1037" s="1716"/>
      <c r="AM1037" s="1716"/>
      <c r="AN1037" s="1716"/>
      <c r="AO1037" s="1716"/>
      <c r="AP1037" s="1716"/>
      <c r="AQ1037" s="1717"/>
      <c r="AR1037" s="1182"/>
      <c r="AS1037" s="1182"/>
      <c r="AT1037" s="1182"/>
      <c r="AU1037" s="1182"/>
      <c r="AV1037" s="1182"/>
      <c r="AW1037" s="1182"/>
      <c r="AX1037" s="1182"/>
      <c r="AY1037" s="1182"/>
    </row>
    <row r="1038" spans="1:52" ht="13" customHeight="1">
      <c r="A1038" s="13"/>
      <c r="B1038" s="61"/>
      <c r="C1038" s="242" t="s">
        <v>1713</v>
      </c>
      <c r="D1038" s="1724" t="s">
        <v>1714</v>
      </c>
      <c r="E1038" s="1725"/>
      <c r="F1038" s="1725"/>
      <c r="G1038" s="1725"/>
      <c r="H1038" s="1725"/>
      <c r="I1038" s="1725"/>
      <c r="J1038" s="1725"/>
      <c r="K1038" s="1725"/>
      <c r="L1038" s="1725"/>
      <c r="M1038" s="1725"/>
      <c r="N1038" s="1725"/>
      <c r="O1038" s="1725"/>
      <c r="P1038" s="1725"/>
      <c r="Q1038" s="1725"/>
      <c r="R1038" s="1725"/>
      <c r="S1038" s="1725"/>
      <c r="T1038" s="1725"/>
      <c r="U1038" s="1725"/>
      <c r="V1038" s="1725"/>
      <c r="W1038" s="1725"/>
      <c r="X1038" s="1725"/>
      <c r="Y1038" s="1725"/>
      <c r="Z1038" s="1725"/>
      <c r="AA1038" s="1725"/>
      <c r="AB1038" s="1725"/>
      <c r="AC1038" s="1725"/>
      <c r="AD1038" s="1725"/>
      <c r="AE1038" s="1726"/>
      <c r="AF1038" s="61"/>
      <c r="AG1038" s="1730" t="s">
        <v>862</v>
      </c>
      <c r="AH1038" s="1731"/>
      <c r="AI1038" s="64"/>
      <c r="AJ1038" s="1703">
        <f>ROUND(IF(AG1038="yes",(AJ1001*0.1),0),0)</f>
        <v>9291070</v>
      </c>
      <c r="AK1038" s="1704"/>
      <c r="AL1038" s="1704"/>
      <c r="AM1038" s="1704"/>
      <c r="AN1038" s="1704"/>
      <c r="AO1038" s="1704"/>
      <c r="AP1038" s="1704"/>
      <c r="AQ1038" s="1705"/>
      <c r="AR1038" s="1182"/>
      <c r="AS1038" s="1182"/>
      <c r="AT1038" s="1182"/>
      <c r="AU1038" s="1182"/>
      <c r="AV1038" s="1182"/>
      <c r="AW1038" s="1182"/>
      <c r="AX1038" s="1182"/>
      <c r="AY1038" s="1182"/>
    </row>
    <row r="1039" spans="1:52" ht="13" customHeight="1">
      <c r="A1039" s="13"/>
      <c r="B1039" s="58"/>
      <c r="C1039" s="1193"/>
      <c r="D1039" s="1709" t="s">
        <v>1715</v>
      </c>
      <c r="E1039" s="1710"/>
      <c r="F1039" s="1710"/>
      <c r="G1039" s="1710"/>
      <c r="H1039" s="1710"/>
      <c r="I1039" s="1710"/>
      <c r="J1039" s="1710"/>
      <c r="K1039" s="1710"/>
      <c r="L1039" s="1710"/>
      <c r="M1039" s="1710"/>
      <c r="N1039" s="1710"/>
      <c r="O1039" s="1710"/>
      <c r="P1039" s="1710"/>
      <c r="Q1039" s="1710"/>
      <c r="R1039" s="1710"/>
      <c r="S1039" s="1710"/>
      <c r="T1039" s="1710"/>
      <c r="U1039" s="1710"/>
      <c r="V1039" s="1710"/>
      <c r="W1039" s="1710"/>
      <c r="X1039" s="1710"/>
      <c r="Y1039" s="1710"/>
      <c r="Z1039" s="1710"/>
      <c r="AA1039" s="1710"/>
      <c r="AB1039" s="1710"/>
      <c r="AC1039" s="1710"/>
      <c r="AD1039" s="1710"/>
      <c r="AE1039" s="1711"/>
      <c r="AF1039" s="58"/>
      <c r="AG1039" s="13"/>
      <c r="AH1039" s="13"/>
      <c r="AI1039" s="62"/>
      <c r="AJ1039" s="1706"/>
      <c r="AK1039" s="1707"/>
      <c r="AL1039" s="1707"/>
      <c r="AM1039" s="1707"/>
      <c r="AN1039" s="1707"/>
      <c r="AO1039" s="1707"/>
      <c r="AP1039" s="1707"/>
      <c r="AQ1039" s="1708"/>
      <c r="AR1039" s="1182"/>
      <c r="AS1039" s="1182"/>
      <c r="AT1039" s="1182"/>
      <c r="AU1039" s="1182"/>
      <c r="AV1039" s="1182"/>
      <c r="AW1039" s="1182"/>
      <c r="AX1039" s="1182"/>
      <c r="AY1039" s="1182"/>
    </row>
    <row r="1040" spans="1:52" ht="13" customHeight="1">
      <c r="A1040" s="13"/>
      <c r="B1040" s="59"/>
      <c r="C1040" s="1193"/>
      <c r="D1040" s="1712"/>
      <c r="E1040" s="1713"/>
      <c r="F1040" s="1713"/>
      <c r="G1040" s="1713"/>
      <c r="H1040" s="1713"/>
      <c r="I1040" s="1713"/>
      <c r="J1040" s="1713"/>
      <c r="K1040" s="1713"/>
      <c r="L1040" s="1713"/>
      <c r="M1040" s="1713"/>
      <c r="N1040" s="1713"/>
      <c r="O1040" s="1713"/>
      <c r="P1040" s="1713"/>
      <c r="Q1040" s="1713"/>
      <c r="R1040" s="1713"/>
      <c r="S1040" s="1713"/>
      <c r="T1040" s="1713"/>
      <c r="U1040" s="1713"/>
      <c r="V1040" s="1713"/>
      <c r="W1040" s="1713"/>
      <c r="X1040" s="1713"/>
      <c r="Y1040" s="1713"/>
      <c r="Z1040" s="1713"/>
      <c r="AA1040" s="1713"/>
      <c r="AB1040" s="1713"/>
      <c r="AC1040" s="1713"/>
      <c r="AD1040" s="1713"/>
      <c r="AE1040" s="1714"/>
      <c r="AF1040" s="58"/>
      <c r="AG1040" s="13"/>
      <c r="AH1040" s="13"/>
      <c r="AI1040" s="62"/>
      <c r="AJ1040" s="1715"/>
      <c r="AK1040" s="1716"/>
      <c r="AL1040" s="1716"/>
      <c r="AM1040" s="1716"/>
      <c r="AN1040" s="1716"/>
      <c r="AO1040" s="1716"/>
      <c r="AP1040" s="1716"/>
      <c r="AQ1040" s="1717"/>
      <c r="AR1040" s="1182"/>
      <c r="AS1040" s="1182"/>
      <c r="AT1040" s="1182"/>
      <c r="AU1040" s="1182"/>
      <c r="AV1040" s="1182"/>
      <c r="AW1040" s="1182"/>
      <c r="AX1040" s="1182"/>
      <c r="AY1040" s="1182"/>
    </row>
    <row r="1041" spans="1:57" ht="13" customHeight="1">
      <c r="A1041" s="13"/>
      <c r="B1041" s="58"/>
      <c r="C1041" s="242" t="s">
        <v>22</v>
      </c>
      <c r="D1041" s="1684" t="s">
        <v>1716</v>
      </c>
      <c r="E1041" s="1685"/>
      <c r="F1041" s="1685"/>
      <c r="G1041" s="1685"/>
      <c r="H1041" s="1685"/>
      <c r="I1041" s="1685"/>
      <c r="J1041" s="1685"/>
      <c r="K1041" s="1685"/>
      <c r="L1041" s="1685"/>
      <c r="M1041" s="1685"/>
      <c r="N1041" s="1685"/>
      <c r="O1041" s="1685"/>
      <c r="P1041" s="1685"/>
      <c r="Q1041" s="1685"/>
      <c r="R1041" s="1685"/>
      <c r="S1041" s="1685"/>
      <c r="T1041" s="1685"/>
      <c r="U1041" s="1685"/>
      <c r="V1041" s="1685"/>
      <c r="W1041" s="1685"/>
      <c r="X1041" s="1685"/>
      <c r="Y1041" s="1685"/>
      <c r="Z1041" s="1685"/>
      <c r="AA1041" s="1685"/>
      <c r="AB1041" s="1685"/>
      <c r="AC1041" s="1685"/>
      <c r="AD1041" s="1685"/>
      <c r="AE1041" s="1686"/>
      <c r="AF1041" s="61"/>
      <c r="AG1041" s="1730" t="s">
        <v>700</v>
      </c>
      <c r="AH1041" s="1731"/>
      <c r="AI1041" s="64"/>
      <c r="AJ1041" s="1703">
        <f>ROUND(IF(AG1041="yes",(AJ1001*0.15),0),0)</f>
        <v>0</v>
      </c>
      <c r="AK1041" s="1704"/>
      <c r="AL1041" s="1704"/>
      <c r="AM1041" s="1704"/>
      <c r="AN1041" s="1704"/>
      <c r="AO1041" s="1704"/>
      <c r="AP1041" s="1704"/>
      <c r="AQ1041" s="1705"/>
      <c r="AR1041" s="1182"/>
      <c r="AS1041" s="1182"/>
      <c r="AT1041" s="1182"/>
      <c r="AU1041" s="1182"/>
      <c r="AV1041" s="1182"/>
      <c r="AW1041" s="1182"/>
      <c r="AX1041" s="1182"/>
      <c r="AY1041" s="1182"/>
    </row>
    <row r="1042" spans="1:57" ht="13" customHeight="1">
      <c r="A1042" s="13"/>
      <c r="B1042" s="58"/>
      <c r="C1042" s="1193"/>
      <c r="D1042" s="1732" t="s">
        <v>1717</v>
      </c>
      <c r="E1042" s="1247"/>
      <c r="F1042" s="1247"/>
      <c r="G1042" s="1247"/>
      <c r="H1042" s="1247"/>
      <c r="I1042" s="1247"/>
      <c r="J1042" s="1247"/>
      <c r="K1042" s="1247"/>
      <c r="L1042" s="1247"/>
      <c r="M1042" s="1247"/>
      <c r="N1042" s="1247"/>
      <c r="O1042" s="1247"/>
      <c r="P1042" s="1247"/>
      <c r="Q1042" s="1247"/>
      <c r="R1042" s="1247"/>
      <c r="S1042" s="1247"/>
      <c r="T1042" s="1247"/>
      <c r="U1042" s="1247"/>
      <c r="V1042" s="1247"/>
      <c r="W1042" s="1247"/>
      <c r="X1042" s="1247"/>
      <c r="Y1042" s="1247"/>
      <c r="Z1042" s="1247"/>
      <c r="AA1042" s="1247"/>
      <c r="AB1042" s="1247"/>
      <c r="AC1042" s="1247"/>
      <c r="AD1042" s="1247"/>
      <c r="AE1042" s="1733"/>
      <c r="AF1042" s="807"/>
      <c r="AG1042" s="808"/>
      <c r="AH1042" s="808"/>
      <c r="AI1042" s="809"/>
      <c r="AJ1042" s="1706"/>
      <c r="AK1042" s="1707"/>
      <c r="AL1042" s="1707"/>
      <c r="AM1042" s="1707"/>
      <c r="AN1042" s="1707"/>
      <c r="AO1042" s="1707"/>
      <c r="AP1042" s="1707"/>
      <c r="AQ1042" s="1708"/>
      <c r="AR1042" s="1182"/>
      <c r="AS1042" s="1182"/>
      <c r="AT1042" s="1182"/>
      <c r="AU1042" s="1182"/>
      <c r="AV1042" s="1182"/>
      <c r="AW1042" s="1182"/>
      <c r="AX1042" s="1182"/>
      <c r="AY1042" s="1182"/>
    </row>
    <row r="1043" spans="1:57" ht="13" customHeight="1">
      <c r="A1043" s="13"/>
      <c r="B1043" s="58"/>
      <c r="C1043" s="1193"/>
      <c r="D1043" s="1732"/>
      <c r="E1043" s="1247"/>
      <c r="F1043" s="1247"/>
      <c r="G1043" s="1247"/>
      <c r="H1043" s="1247"/>
      <c r="I1043" s="1247"/>
      <c r="J1043" s="1247"/>
      <c r="K1043" s="1247"/>
      <c r="L1043" s="1247"/>
      <c r="M1043" s="1247"/>
      <c r="N1043" s="1247"/>
      <c r="O1043" s="1247"/>
      <c r="P1043" s="1247"/>
      <c r="Q1043" s="1247"/>
      <c r="R1043" s="1247"/>
      <c r="S1043" s="1247"/>
      <c r="T1043" s="1247"/>
      <c r="U1043" s="1247"/>
      <c r="V1043" s="1247"/>
      <c r="W1043" s="1247"/>
      <c r="X1043" s="1247"/>
      <c r="Y1043" s="1247"/>
      <c r="Z1043" s="1247"/>
      <c r="AA1043" s="1247"/>
      <c r="AB1043" s="1247"/>
      <c r="AC1043" s="1247"/>
      <c r="AD1043" s="1247"/>
      <c r="AE1043" s="1733"/>
      <c r="AF1043" s="807"/>
      <c r="AG1043" s="808"/>
      <c r="AH1043" s="808"/>
      <c r="AI1043" s="809"/>
      <c r="AJ1043" s="1706"/>
      <c r="AK1043" s="1707"/>
      <c r="AL1043" s="1707"/>
      <c r="AM1043" s="1707"/>
      <c r="AN1043" s="1707"/>
      <c r="AO1043" s="1707"/>
      <c r="AP1043" s="1707"/>
      <c r="AQ1043" s="1708"/>
      <c r="AR1043" s="1182"/>
      <c r="AS1043" s="1182"/>
      <c r="AT1043" s="1182"/>
      <c r="AU1043" s="1182"/>
      <c r="AV1043" s="1182"/>
      <c r="AW1043" s="1182"/>
      <c r="AX1043" s="1182"/>
      <c r="AY1043" s="1182"/>
    </row>
    <row r="1044" spans="1:57" ht="13" customHeight="1">
      <c r="A1044" s="13"/>
      <c r="B1044" s="58"/>
      <c r="C1044" s="1193"/>
      <c r="D1044" s="1734"/>
      <c r="E1044" s="1502"/>
      <c r="F1044" s="1502"/>
      <c r="G1044" s="1502"/>
      <c r="H1044" s="1502"/>
      <c r="I1044" s="1502"/>
      <c r="J1044" s="1502"/>
      <c r="K1044" s="1502"/>
      <c r="L1044" s="1502"/>
      <c r="M1044" s="1502"/>
      <c r="N1044" s="1502"/>
      <c r="O1044" s="1502"/>
      <c r="P1044" s="1502"/>
      <c r="Q1044" s="1502"/>
      <c r="R1044" s="1502"/>
      <c r="S1044" s="1502"/>
      <c r="T1044" s="1502"/>
      <c r="U1044" s="1502"/>
      <c r="V1044" s="1502"/>
      <c r="W1044" s="1502"/>
      <c r="X1044" s="1502"/>
      <c r="Y1044" s="1502"/>
      <c r="Z1044" s="1502"/>
      <c r="AA1044" s="1502"/>
      <c r="AB1044" s="1502"/>
      <c r="AC1044" s="1502"/>
      <c r="AD1044" s="1502"/>
      <c r="AE1044" s="1735"/>
      <c r="AF1044" s="810"/>
      <c r="AG1044" s="811"/>
      <c r="AH1044" s="811"/>
      <c r="AI1044" s="812"/>
      <c r="AJ1044" s="1715"/>
      <c r="AK1044" s="1716"/>
      <c r="AL1044" s="1716"/>
      <c r="AM1044" s="1716"/>
      <c r="AN1044" s="1716"/>
      <c r="AO1044" s="1716"/>
      <c r="AP1044" s="1716"/>
      <c r="AQ1044" s="1717"/>
      <c r="AR1044" s="1182"/>
      <c r="AS1044" s="1182"/>
      <c r="AT1044" s="1182"/>
      <c r="AU1044" s="1182"/>
      <c r="AV1044" s="1182"/>
      <c r="AW1044" s="1182"/>
      <c r="AX1044" s="1182"/>
      <c r="AY1044" s="1182"/>
    </row>
    <row r="1045" spans="1:57" ht="13" customHeight="1">
      <c r="A1045" s="13"/>
      <c r="B1045" s="58"/>
      <c r="C1045" s="242" t="s">
        <v>22</v>
      </c>
      <c r="D1045" s="1724" t="s">
        <v>1718</v>
      </c>
      <c r="E1045" s="1725"/>
      <c r="F1045" s="1725"/>
      <c r="G1045" s="1725"/>
      <c r="H1045" s="1725"/>
      <c r="I1045" s="1725"/>
      <c r="J1045" s="1725"/>
      <c r="K1045" s="1725"/>
      <c r="L1045" s="1725"/>
      <c r="M1045" s="1725"/>
      <c r="N1045" s="1725"/>
      <c r="O1045" s="1725"/>
      <c r="P1045" s="1725"/>
      <c r="Q1045" s="1725"/>
      <c r="R1045" s="1725"/>
      <c r="S1045" s="1725"/>
      <c r="T1045" s="1725"/>
      <c r="U1045" s="1725"/>
      <c r="V1045" s="1725"/>
      <c r="W1045" s="1725"/>
      <c r="X1045" s="1725"/>
      <c r="Y1045" s="1725"/>
      <c r="Z1045" s="1725"/>
      <c r="AA1045" s="1725"/>
      <c r="AB1045" s="1725"/>
      <c r="AC1045" s="1725"/>
      <c r="AD1045" s="1725"/>
      <c r="AE1045" s="1726"/>
      <c r="AF1045" s="58"/>
      <c r="AG1045" s="1738" t="s">
        <v>862</v>
      </c>
      <c r="AH1045" s="1739"/>
      <c r="AI1045" s="62"/>
      <c r="AJ1045" s="1703">
        <f>ROUND(IF(AND(AG1045="yes",AJ1041=0),(AJ1001*0.1),0),0)</f>
        <v>9291070</v>
      </c>
      <c r="AK1045" s="1704"/>
      <c r="AL1045" s="1704"/>
      <c r="AM1045" s="1704"/>
      <c r="AN1045" s="1704"/>
      <c r="AO1045" s="1704"/>
      <c r="AP1045" s="1704"/>
      <c r="AQ1045" s="1705"/>
      <c r="AR1045" s="1182"/>
      <c r="AS1045" s="1182"/>
      <c r="AT1045" s="1182"/>
      <c r="AU1045" s="1182"/>
      <c r="AV1045" s="1182"/>
      <c r="AW1045" s="1182"/>
      <c r="AX1045" s="1182"/>
      <c r="AY1045" s="1182"/>
    </row>
    <row r="1046" spans="1:57" ht="13" customHeight="1">
      <c r="A1046" s="13"/>
      <c r="B1046" s="58"/>
      <c r="C1046" s="1193"/>
      <c r="D1046" s="1732" t="s">
        <v>1719</v>
      </c>
      <c r="E1046" s="1247"/>
      <c r="F1046" s="1247"/>
      <c r="G1046" s="1247"/>
      <c r="H1046" s="1247"/>
      <c r="I1046" s="1247"/>
      <c r="J1046" s="1247"/>
      <c r="K1046" s="1247"/>
      <c r="L1046" s="1247"/>
      <c r="M1046" s="1247"/>
      <c r="N1046" s="1247"/>
      <c r="O1046" s="1247"/>
      <c r="P1046" s="1247"/>
      <c r="Q1046" s="1247"/>
      <c r="R1046" s="1247"/>
      <c r="S1046" s="1247"/>
      <c r="T1046" s="1247"/>
      <c r="U1046" s="1247"/>
      <c r="V1046" s="1247"/>
      <c r="W1046" s="1247"/>
      <c r="X1046" s="1247"/>
      <c r="Y1046" s="1247"/>
      <c r="Z1046" s="1247"/>
      <c r="AA1046" s="1247"/>
      <c r="AB1046" s="1247"/>
      <c r="AC1046" s="1247"/>
      <c r="AD1046" s="1247"/>
      <c r="AE1046" s="1733"/>
      <c r="AF1046" s="58"/>
      <c r="AG1046" s="13"/>
      <c r="AH1046" s="13"/>
      <c r="AI1046" s="62"/>
      <c r="AJ1046" s="1706"/>
      <c r="AK1046" s="1707"/>
      <c r="AL1046" s="1707"/>
      <c r="AM1046" s="1707"/>
      <c r="AN1046" s="1707"/>
      <c r="AO1046" s="1707"/>
      <c r="AP1046" s="1707"/>
      <c r="AQ1046" s="1708"/>
      <c r="AR1046" s="1182"/>
      <c r="AS1046" s="1182"/>
      <c r="AT1046" s="1182"/>
      <c r="AU1046" s="1182"/>
      <c r="AV1046" s="1182"/>
      <c r="AW1046" s="1182"/>
      <c r="AX1046" s="1182"/>
      <c r="AY1046" s="1182"/>
    </row>
    <row r="1047" spans="1:57" ht="13" customHeight="1">
      <c r="A1047" s="13"/>
      <c r="B1047" s="58"/>
      <c r="C1047" s="1193"/>
      <c r="D1047" s="1732"/>
      <c r="E1047" s="1247"/>
      <c r="F1047" s="1247"/>
      <c r="G1047" s="1247"/>
      <c r="H1047" s="1247"/>
      <c r="I1047" s="1247"/>
      <c r="J1047" s="1247"/>
      <c r="K1047" s="1247"/>
      <c r="L1047" s="1247"/>
      <c r="M1047" s="1247"/>
      <c r="N1047" s="1247"/>
      <c r="O1047" s="1247"/>
      <c r="P1047" s="1247"/>
      <c r="Q1047" s="1247"/>
      <c r="R1047" s="1247"/>
      <c r="S1047" s="1247"/>
      <c r="T1047" s="1247"/>
      <c r="U1047" s="1247"/>
      <c r="V1047" s="1247"/>
      <c r="W1047" s="1247"/>
      <c r="X1047" s="1247"/>
      <c r="Y1047" s="1247"/>
      <c r="Z1047" s="1247"/>
      <c r="AA1047" s="1247"/>
      <c r="AB1047" s="1247"/>
      <c r="AC1047" s="1247"/>
      <c r="AD1047" s="1247"/>
      <c r="AE1047" s="1733"/>
      <c r="AF1047" s="58"/>
      <c r="AG1047" s="13"/>
      <c r="AH1047" s="13"/>
      <c r="AI1047" s="62"/>
      <c r="AJ1047" s="1706"/>
      <c r="AK1047" s="1707"/>
      <c r="AL1047" s="1707"/>
      <c r="AM1047" s="1707"/>
      <c r="AN1047" s="1707"/>
      <c r="AO1047" s="1707"/>
      <c r="AP1047" s="1707"/>
      <c r="AQ1047" s="1708"/>
      <c r="AR1047" s="1182"/>
      <c r="AS1047" s="1182"/>
      <c r="AT1047" s="1182"/>
      <c r="AU1047" s="1182"/>
      <c r="AV1047" s="1182"/>
      <c r="AW1047" s="1182"/>
      <c r="AX1047" s="1182"/>
      <c r="AY1047" s="1182"/>
      <c r="BA1047" s="1065">
        <f>IFERROR(('Sources and Uses Budget'!$C$17+'Sources and Uses Budget'!$C$18+'Sources and Uses Budget'!$C$22)/$AG$446,0)</f>
        <v>0</v>
      </c>
      <c r="BB1047" s="1065" t="s">
        <v>1720</v>
      </c>
      <c r="BC1047" s="1065"/>
      <c r="BD1047" s="1065"/>
      <c r="BE1047" s="1065"/>
    </row>
    <row r="1048" spans="1:57" ht="13" customHeight="1">
      <c r="A1048" s="13"/>
      <c r="B1048" s="58"/>
      <c r="C1048" s="1193"/>
      <c r="D1048" s="1732"/>
      <c r="E1048" s="1247"/>
      <c r="F1048" s="1247"/>
      <c r="G1048" s="1247"/>
      <c r="H1048" s="1247"/>
      <c r="I1048" s="1247"/>
      <c r="J1048" s="1247"/>
      <c r="K1048" s="1247"/>
      <c r="L1048" s="1247"/>
      <c r="M1048" s="1247"/>
      <c r="N1048" s="1247"/>
      <c r="O1048" s="1247"/>
      <c r="P1048" s="1247"/>
      <c r="Q1048" s="1247"/>
      <c r="R1048" s="1247"/>
      <c r="S1048" s="1247"/>
      <c r="T1048" s="1247"/>
      <c r="U1048" s="1247"/>
      <c r="V1048" s="1247"/>
      <c r="W1048" s="1247"/>
      <c r="X1048" s="1247"/>
      <c r="Y1048" s="1247"/>
      <c r="Z1048" s="1247"/>
      <c r="AA1048" s="1247"/>
      <c r="AB1048" s="1247"/>
      <c r="AC1048" s="1247"/>
      <c r="AD1048" s="1247"/>
      <c r="AE1048" s="1733"/>
      <c r="AF1048" s="58"/>
      <c r="AG1048" s="13"/>
      <c r="AH1048" s="13"/>
      <c r="AI1048" s="62"/>
      <c r="AJ1048" s="1706"/>
      <c r="AK1048" s="1707"/>
      <c r="AL1048" s="1707"/>
      <c r="AM1048" s="1707"/>
      <c r="AN1048" s="1707"/>
      <c r="AO1048" s="1707"/>
      <c r="AP1048" s="1707"/>
      <c r="AQ1048" s="1708"/>
      <c r="AR1048" s="1182"/>
      <c r="AS1048" s="1182"/>
      <c r="AT1048" s="1182"/>
      <c r="AU1048" s="1182"/>
      <c r="AV1048" s="1182"/>
      <c r="AW1048" s="1182"/>
      <c r="AX1048" s="1182"/>
      <c r="AY1048" s="1182"/>
      <c r="BA1048">
        <f>IFERROR((($CI$761+$CM$761)/$AG$449),0)</f>
        <v>0.23214285714285715</v>
      </c>
      <c r="BB1048" s="3" t="s">
        <v>1721</v>
      </c>
    </row>
    <row r="1049" spans="1:57" ht="13" customHeight="1">
      <c r="A1049" s="13"/>
      <c r="B1049" s="58"/>
      <c r="C1049" s="1193"/>
      <c r="D1049" s="1734"/>
      <c r="E1049" s="1502"/>
      <c r="F1049" s="1502"/>
      <c r="G1049" s="1502"/>
      <c r="H1049" s="1502"/>
      <c r="I1049" s="1502"/>
      <c r="J1049" s="1502"/>
      <c r="K1049" s="1502"/>
      <c r="L1049" s="1502"/>
      <c r="M1049" s="1502"/>
      <c r="N1049" s="1502"/>
      <c r="O1049" s="1502"/>
      <c r="P1049" s="1502"/>
      <c r="Q1049" s="1502"/>
      <c r="R1049" s="1502"/>
      <c r="S1049" s="1502"/>
      <c r="T1049" s="1502"/>
      <c r="U1049" s="1502"/>
      <c r="V1049" s="1502"/>
      <c r="W1049" s="1502"/>
      <c r="X1049" s="1502"/>
      <c r="Y1049" s="1502"/>
      <c r="Z1049" s="1502"/>
      <c r="AA1049" s="1502"/>
      <c r="AB1049" s="1502"/>
      <c r="AC1049" s="1502"/>
      <c r="AD1049" s="1502"/>
      <c r="AE1049" s="1735"/>
      <c r="AF1049" s="58"/>
      <c r="AG1049" s="13"/>
      <c r="AH1049" s="13"/>
      <c r="AI1049" s="62"/>
      <c r="AJ1049" s="1706"/>
      <c r="AK1049" s="1707"/>
      <c r="AL1049" s="1707"/>
      <c r="AM1049" s="1707"/>
      <c r="AN1049" s="1707"/>
      <c r="AO1049" s="1707"/>
      <c r="AP1049" s="1707"/>
      <c r="AQ1049" s="1708"/>
      <c r="AR1049" s="1182"/>
      <c r="AS1049" s="1182"/>
      <c r="AT1049" s="1182"/>
      <c r="AU1049" s="1182"/>
      <c r="AV1049" s="1182"/>
      <c r="AW1049" s="1182"/>
      <c r="AX1049" s="1182"/>
      <c r="AY1049" s="1182"/>
      <c r="BA1049" t="b">
        <f>'Points System'!AJ163="Yes"</f>
        <v>0</v>
      </c>
      <c r="BB1049" s="3" t="s">
        <v>1722</v>
      </c>
    </row>
    <row r="1050" spans="1:57" ht="13" customHeight="1">
      <c r="A1050" s="13"/>
      <c r="B1050" s="61"/>
      <c r="C1050" s="96" t="s">
        <v>1723</v>
      </c>
      <c r="D1050" s="1684" t="s">
        <v>1724</v>
      </c>
      <c r="E1050" s="1685"/>
      <c r="F1050" s="1685"/>
      <c r="G1050" s="1685"/>
      <c r="H1050" s="1685"/>
      <c r="I1050" s="1685"/>
      <c r="J1050" s="1685"/>
      <c r="K1050" s="1685"/>
      <c r="L1050" s="1685"/>
      <c r="M1050" s="1685"/>
      <c r="N1050" s="1685"/>
      <c r="O1050" s="1685"/>
      <c r="P1050" s="1685"/>
      <c r="Q1050" s="1685"/>
      <c r="R1050" s="1685"/>
      <c r="S1050" s="1685"/>
      <c r="T1050" s="1685"/>
      <c r="U1050" s="1685"/>
      <c r="V1050" s="1685"/>
      <c r="W1050" s="1685"/>
      <c r="X1050" s="1685"/>
      <c r="Y1050" s="1685"/>
      <c r="Z1050" s="1685"/>
      <c r="AA1050" s="1685"/>
      <c r="AB1050" s="1685"/>
      <c r="AC1050" s="1685"/>
      <c r="AD1050" s="1685"/>
      <c r="AE1050" s="1686"/>
      <c r="AF1050" s="61"/>
      <c r="AG1050" s="1730" t="s">
        <v>700</v>
      </c>
      <c r="AH1050" s="1731"/>
      <c r="AI1050" s="64"/>
      <c r="AJ1050" s="1703">
        <f>ROUND(IF(AG1050="yes",(AJ1001*0.1),0),0)</f>
        <v>0</v>
      </c>
      <c r="AK1050" s="1704"/>
      <c r="AL1050" s="1704"/>
      <c r="AM1050" s="1704"/>
      <c r="AN1050" s="1704"/>
      <c r="AO1050" s="1704"/>
      <c r="AP1050" s="1704"/>
      <c r="AQ1050" s="1705"/>
      <c r="AR1050" s="1182"/>
      <c r="AS1050" s="1182"/>
      <c r="AT1050" s="1182"/>
      <c r="AU1050" s="1182"/>
      <c r="AV1050" s="1182"/>
      <c r="AW1050" s="1182"/>
      <c r="AX1050" s="1182"/>
      <c r="AY1050" s="1182"/>
      <c r="BA1050">
        <f>Q212</f>
        <v>0</v>
      </c>
      <c r="BB1050" s="3" t="s">
        <v>1725</v>
      </c>
    </row>
    <row r="1051" spans="1:57" ht="13" customHeight="1">
      <c r="A1051" s="13"/>
      <c r="B1051" s="58"/>
      <c r="C1051" s="1193"/>
      <c r="D1051" s="1709" t="s">
        <v>1726</v>
      </c>
      <c r="E1051" s="1710"/>
      <c r="F1051" s="1710"/>
      <c r="G1051" s="1710"/>
      <c r="H1051" s="1710"/>
      <c r="I1051" s="1710"/>
      <c r="J1051" s="1710"/>
      <c r="K1051" s="1710"/>
      <c r="L1051" s="1710"/>
      <c r="M1051" s="1710"/>
      <c r="N1051" s="1710"/>
      <c r="O1051" s="1710"/>
      <c r="P1051" s="1710"/>
      <c r="Q1051" s="1710"/>
      <c r="R1051" s="1710"/>
      <c r="S1051" s="1710"/>
      <c r="T1051" s="1710"/>
      <c r="U1051" s="1710"/>
      <c r="V1051" s="1710"/>
      <c r="W1051" s="1710"/>
      <c r="X1051" s="1710"/>
      <c r="Y1051" s="1710"/>
      <c r="Z1051" s="1710"/>
      <c r="AA1051" s="1710"/>
      <c r="AB1051" s="1710"/>
      <c r="AC1051" s="1710"/>
      <c r="AD1051" s="1710"/>
      <c r="AE1051" s="1711"/>
      <c r="AF1051" s="58"/>
      <c r="AG1051" s="13"/>
      <c r="AH1051" s="13"/>
      <c r="AI1051" s="62"/>
      <c r="AJ1051" s="1706"/>
      <c r="AK1051" s="1707"/>
      <c r="AL1051" s="1707"/>
      <c r="AM1051" s="1707"/>
      <c r="AN1051" s="1707"/>
      <c r="AO1051" s="1707"/>
      <c r="AP1051" s="1707"/>
      <c r="AQ1051" s="1708"/>
      <c r="AR1051" s="1182"/>
      <c r="AS1051" s="1182"/>
      <c r="AT1051" s="1182"/>
      <c r="AU1051" s="1182"/>
      <c r="AV1051" s="1182"/>
      <c r="AW1051" s="1182"/>
      <c r="AX1051" s="1182"/>
      <c r="AY1051" s="1182"/>
      <c r="BA1051" s="1066">
        <f>T212</f>
        <v>0</v>
      </c>
      <c r="BB1051" s="3" t="s">
        <v>1727</v>
      </c>
    </row>
    <row r="1052" spans="1:57" ht="13" customHeight="1">
      <c r="A1052" s="13"/>
      <c r="B1052" s="58"/>
      <c r="C1052" s="1193"/>
      <c r="D1052" s="1709"/>
      <c r="E1052" s="1710"/>
      <c r="F1052" s="1710"/>
      <c r="G1052" s="1710"/>
      <c r="H1052" s="1710"/>
      <c r="I1052" s="1710"/>
      <c r="J1052" s="1710"/>
      <c r="K1052" s="1710"/>
      <c r="L1052" s="1710"/>
      <c r="M1052" s="1710"/>
      <c r="N1052" s="1710"/>
      <c r="O1052" s="1710"/>
      <c r="P1052" s="1710"/>
      <c r="Q1052" s="1710"/>
      <c r="R1052" s="1710"/>
      <c r="S1052" s="1710"/>
      <c r="T1052" s="1710"/>
      <c r="U1052" s="1710"/>
      <c r="V1052" s="1710"/>
      <c r="W1052" s="1710"/>
      <c r="X1052" s="1710"/>
      <c r="Y1052" s="1710"/>
      <c r="Z1052" s="1710"/>
      <c r="AA1052" s="1710"/>
      <c r="AB1052" s="1710"/>
      <c r="AC1052" s="1710"/>
      <c r="AD1052" s="1710"/>
      <c r="AE1052" s="1711"/>
      <c r="AF1052" s="58"/>
      <c r="AG1052" s="13"/>
      <c r="AH1052" s="13"/>
      <c r="AI1052" s="62"/>
      <c r="AJ1052" s="1706"/>
      <c r="AK1052" s="1707"/>
      <c r="AL1052" s="1707"/>
      <c r="AM1052" s="1707"/>
      <c r="AN1052" s="1707"/>
      <c r="AO1052" s="1707"/>
      <c r="AP1052" s="1707"/>
      <c r="AQ1052" s="1708"/>
      <c r="AR1052" s="1182"/>
      <c r="AS1052" s="1182"/>
      <c r="AT1052" s="1182"/>
      <c r="AU1052" s="1182"/>
      <c r="AV1052" s="1182"/>
      <c r="AW1052" s="1182"/>
      <c r="AX1052" s="1182"/>
      <c r="AY1052" s="1182"/>
    </row>
    <row r="1053" spans="1:57" ht="13" customHeight="1">
      <c r="A1053" s="13"/>
      <c r="B1053" s="58"/>
      <c r="C1053" s="1193"/>
      <c r="D1053" s="1712"/>
      <c r="E1053" s="1713"/>
      <c r="F1053" s="1713"/>
      <c r="G1053" s="1713"/>
      <c r="H1053" s="1713"/>
      <c r="I1053" s="1713"/>
      <c r="J1053" s="1713"/>
      <c r="K1053" s="1713"/>
      <c r="L1053" s="1713"/>
      <c r="M1053" s="1713"/>
      <c r="N1053" s="1713"/>
      <c r="O1053" s="1713"/>
      <c r="P1053" s="1713"/>
      <c r="Q1053" s="1713"/>
      <c r="R1053" s="1713"/>
      <c r="S1053" s="1713"/>
      <c r="T1053" s="1713"/>
      <c r="U1053" s="1713"/>
      <c r="V1053" s="1713"/>
      <c r="W1053" s="1713"/>
      <c r="X1053" s="1713"/>
      <c r="Y1053" s="1713"/>
      <c r="Z1053" s="1713"/>
      <c r="AA1053" s="1713"/>
      <c r="AB1053" s="1713"/>
      <c r="AC1053" s="1713"/>
      <c r="AD1053" s="1713"/>
      <c r="AE1053" s="1714"/>
      <c r="AF1053" s="58"/>
      <c r="AG1053" s="13"/>
      <c r="AH1053" s="13"/>
      <c r="AI1053" s="62"/>
      <c r="AJ1053" s="1715"/>
      <c r="AK1053" s="1716"/>
      <c r="AL1053" s="1716"/>
      <c r="AM1053" s="1716"/>
      <c r="AN1053" s="1716"/>
      <c r="AO1053" s="1716"/>
      <c r="AP1053" s="1716"/>
      <c r="AQ1053" s="1717"/>
      <c r="AR1053" s="1182"/>
      <c r="AS1053" s="1182"/>
      <c r="AT1053" s="1182"/>
      <c r="AU1053" s="1182"/>
      <c r="AV1053" s="1182"/>
      <c r="AW1053" s="1182"/>
      <c r="AX1053" s="1182"/>
      <c r="AY1053" s="1182"/>
    </row>
    <row r="1054" spans="1:57" ht="13" customHeight="1">
      <c r="A1054" s="13"/>
      <c r="B1054" s="61"/>
      <c r="C1054" s="96" t="s">
        <v>1728</v>
      </c>
      <c r="D1054" s="1724" t="s">
        <v>1729</v>
      </c>
      <c r="E1054" s="1725"/>
      <c r="F1054" s="1725"/>
      <c r="G1054" s="1725"/>
      <c r="H1054" s="1725"/>
      <c r="I1054" s="1725"/>
      <c r="J1054" s="1725"/>
      <c r="K1054" s="1725"/>
      <c r="L1054" s="1725"/>
      <c r="M1054" s="1725"/>
      <c r="N1054" s="1725"/>
      <c r="O1054" s="1725"/>
      <c r="P1054" s="1725"/>
      <c r="Q1054" s="1725"/>
      <c r="R1054" s="1725"/>
      <c r="S1054" s="1725"/>
      <c r="T1054" s="1725"/>
      <c r="U1054" s="1725"/>
      <c r="V1054" s="1725"/>
      <c r="W1054" s="1725"/>
      <c r="X1054" s="1725"/>
      <c r="Y1054" s="1725"/>
      <c r="Z1054" s="1725"/>
      <c r="AA1054" s="1725"/>
      <c r="AB1054" s="1725"/>
      <c r="AC1054" s="1725"/>
      <c r="AD1054" s="1725"/>
      <c r="AE1054" s="1726"/>
      <c r="AF1054" s="61"/>
      <c r="AG1054" s="1736" t="str">
        <f>IF(X1057&gt;0,"Yes","No")</f>
        <v>Yes</v>
      </c>
      <c r="AH1054" s="1737"/>
      <c r="AI1054" s="64"/>
      <c r="AJ1054" s="1703">
        <f>IF((X1057=0),0,AY1014*AJ1001)</f>
        <v>10220177</v>
      </c>
      <c r="AK1054" s="1704"/>
      <c r="AL1054" s="1704"/>
      <c r="AM1054" s="1704"/>
      <c r="AN1054" s="1704"/>
      <c r="AO1054" s="1704"/>
      <c r="AP1054" s="1704"/>
      <c r="AQ1054" s="1705"/>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1730</v>
      </c>
      <c r="BB1054" s="3"/>
      <c r="BC1054" s="3"/>
      <c r="BD1054" s="3"/>
    </row>
    <row r="1055" spans="1:57" ht="13" customHeight="1">
      <c r="A1055" s="13"/>
      <c r="B1055" s="58"/>
      <c r="C1055" s="345"/>
      <c r="D1055" s="1709" t="s">
        <v>1731</v>
      </c>
      <c r="E1055" s="1710"/>
      <c r="F1055" s="1710"/>
      <c r="G1055" s="1710"/>
      <c r="H1055" s="1710"/>
      <c r="I1055" s="1710"/>
      <c r="J1055" s="1710"/>
      <c r="K1055" s="1710"/>
      <c r="L1055" s="1710"/>
      <c r="M1055" s="1710"/>
      <c r="N1055" s="1710"/>
      <c r="O1055" s="1710"/>
      <c r="P1055" s="1710"/>
      <c r="Q1055" s="1710"/>
      <c r="R1055" s="1710"/>
      <c r="S1055" s="1710"/>
      <c r="T1055" s="1710"/>
      <c r="U1055" s="1710"/>
      <c r="V1055" s="1710"/>
      <c r="W1055" s="1710"/>
      <c r="X1055" s="1710"/>
      <c r="Y1055" s="1710"/>
      <c r="Z1055" s="1710"/>
      <c r="AA1055" s="1710"/>
      <c r="AB1055" s="1710"/>
      <c r="AC1055" s="1710"/>
      <c r="AD1055" s="1710"/>
      <c r="AE1055" s="1711"/>
      <c r="AF1055" s="58"/>
      <c r="AG1055" s="1199"/>
      <c r="AH1055" s="1199"/>
      <c r="AI1055" s="62"/>
      <c r="AJ1055" s="1706"/>
      <c r="AK1055" s="1707"/>
      <c r="AL1055" s="1707"/>
      <c r="AM1055" s="1707"/>
      <c r="AN1055" s="1707"/>
      <c r="AO1055" s="1707"/>
      <c r="AP1055" s="1707"/>
      <c r="AQ1055" s="1708"/>
      <c r="AR1055" s="1182"/>
      <c r="AS1055" s="1182"/>
      <c r="AT1055" s="1182"/>
      <c r="AU1055" s="12"/>
      <c r="AV1055" s="1182"/>
      <c r="AW1055" s="1182"/>
      <c r="AX1055" s="1182"/>
      <c r="AY1055" s="1182"/>
      <c r="AZ1055" s="852">
        <f>'Sources and Uses Budget'!S97*BA1055</f>
        <v>9375334.7999999989</v>
      </c>
      <c r="BA1055" s="1064">
        <f>IF(BA1049,20%,15%)</f>
        <v>0.15</v>
      </c>
      <c r="BB1055" s="3" t="s">
        <v>1732</v>
      </c>
      <c r="BC1055" s="3" t="s">
        <v>1733</v>
      </c>
      <c r="BD1055" s="3"/>
    </row>
    <row r="1056" spans="1:57" ht="13" customHeight="1">
      <c r="A1056" s="13"/>
      <c r="B1056" s="58"/>
      <c r="C1056" s="345"/>
      <c r="D1056" s="1709"/>
      <c r="E1056" s="1710"/>
      <c r="F1056" s="1710"/>
      <c r="G1056" s="1710"/>
      <c r="H1056" s="1710"/>
      <c r="I1056" s="1710"/>
      <c r="J1056" s="1710"/>
      <c r="K1056" s="1710"/>
      <c r="L1056" s="1710"/>
      <c r="M1056" s="1710"/>
      <c r="N1056" s="1710"/>
      <c r="O1056" s="1710"/>
      <c r="P1056" s="1710"/>
      <c r="Q1056" s="1710"/>
      <c r="R1056" s="1710"/>
      <c r="S1056" s="1710"/>
      <c r="T1056" s="1710"/>
      <c r="U1056" s="1710"/>
      <c r="V1056" s="1710"/>
      <c r="W1056" s="1710"/>
      <c r="X1056" s="1710"/>
      <c r="Y1056" s="1710"/>
      <c r="Z1056" s="1710"/>
      <c r="AA1056" s="1710"/>
      <c r="AB1056" s="1710"/>
      <c r="AC1056" s="1710"/>
      <c r="AD1056" s="1710"/>
      <c r="AE1056" s="1711"/>
      <c r="AF1056" s="58"/>
      <c r="AG1056" s="1199"/>
      <c r="AH1056" s="1199"/>
      <c r="AI1056" s="62"/>
      <c r="AJ1056" s="1706"/>
      <c r="AK1056" s="1707"/>
      <c r="AL1056" s="1707"/>
      <c r="AM1056" s="1707"/>
      <c r="AN1056" s="1707"/>
      <c r="AO1056" s="1707"/>
      <c r="AP1056" s="1707"/>
      <c r="AQ1056" s="1708"/>
      <c r="AR1056" s="1182"/>
      <c r="AS1056" s="1182"/>
      <c r="AT1056" s="1182"/>
      <c r="AU1056" s="12"/>
      <c r="AV1056" s="1182"/>
      <c r="AW1056" s="1182"/>
      <c r="AX1056" s="1182"/>
      <c r="AY1056" s="1182"/>
      <c r="AZ1056" s="852">
        <f>IF(M365="N/A",0,'Sources and Uses Budget'!T97*BA1056)</f>
        <v>0</v>
      </c>
      <c r="BA1056" s="1064">
        <v>0.15</v>
      </c>
      <c r="BB1056" s="3" t="s">
        <v>1732</v>
      </c>
      <c r="BC1056" s="3" t="s">
        <v>1734</v>
      </c>
      <c r="BD1056" s="3"/>
    </row>
    <row r="1057" spans="1:56" ht="13" customHeight="1">
      <c r="A1057" s="13"/>
      <c r="B1057" s="59"/>
      <c r="C1057" s="60"/>
      <c r="D1057" s="97" t="s">
        <v>1735</v>
      </c>
      <c r="E1057" s="6"/>
      <c r="F1057" s="6"/>
      <c r="G1057" s="6"/>
      <c r="H1057" s="6"/>
      <c r="I1057" s="1763">
        <f>AY1012</f>
        <v>112</v>
      </c>
      <c r="J1057" s="1764"/>
      <c r="K1057" s="6"/>
      <c r="L1057" s="6"/>
      <c r="M1057" s="6"/>
      <c r="N1057" s="6"/>
      <c r="O1057" s="6"/>
      <c r="P1057" s="6"/>
      <c r="Q1057" s="6"/>
      <c r="R1057" s="6"/>
      <c r="S1057" s="6"/>
      <c r="T1057" s="6"/>
      <c r="U1057" s="6"/>
      <c r="V1057" s="98" t="s">
        <v>1736</v>
      </c>
      <c r="W1057" s="40"/>
      <c r="X1057" s="1736">
        <f>CI761</f>
        <v>13</v>
      </c>
      <c r="Y1057" s="1737"/>
      <c r="Z1057" s="40"/>
      <c r="AA1057" s="40"/>
      <c r="AB1057" s="40"/>
      <c r="AC1057" s="40"/>
      <c r="AD1057" s="40"/>
      <c r="AE1057" s="41"/>
      <c r="AF1057" s="816"/>
      <c r="AG1057" s="817"/>
      <c r="AH1057" s="817"/>
      <c r="AI1057" s="818"/>
      <c r="AJ1057" s="1715"/>
      <c r="AK1057" s="1716"/>
      <c r="AL1057" s="1716"/>
      <c r="AM1057" s="1716"/>
      <c r="AN1057" s="1716"/>
      <c r="AO1057" s="1716"/>
      <c r="AP1057" s="1716"/>
      <c r="AQ1057" s="1717"/>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0.05</v>
      </c>
      <c r="BB1057" s="3" t="s">
        <v>1732</v>
      </c>
      <c r="BC1057" s="3" t="s">
        <v>1737</v>
      </c>
      <c r="BD1057" s="3"/>
    </row>
    <row r="1058" spans="1:56" ht="13" customHeight="1">
      <c r="A1058" s="13"/>
      <c r="B1058" s="61"/>
      <c r="C1058" s="96" t="s">
        <v>1738</v>
      </c>
      <c r="D1058" s="1684" t="s">
        <v>1739</v>
      </c>
      <c r="E1058" s="1685"/>
      <c r="F1058" s="1685"/>
      <c r="G1058" s="1685"/>
      <c r="H1058" s="1685"/>
      <c r="I1058" s="1685"/>
      <c r="J1058" s="1685"/>
      <c r="K1058" s="1685"/>
      <c r="L1058" s="1685"/>
      <c r="M1058" s="1685"/>
      <c r="N1058" s="1685"/>
      <c r="O1058" s="1685"/>
      <c r="P1058" s="1685"/>
      <c r="Q1058" s="1685"/>
      <c r="R1058" s="1685"/>
      <c r="S1058" s="1685"/>
      <c r="T1058" s="1685"/>
      <c r="U1058" s="1685"/>
      <c r="V1058" s="1685"/>
      <c r="W1058" s="1685"/>
      <c r="X1058" s="1685"/>
      <c r="Y1058" s="1685"/>
      <c r="Z1058" s="1685"/>
      <c r="AA1058" s="1685"/>
      <c r="AB1058" s="1685"/>
      <c r="AC1058" s="1685"/>
      <c r="AD1058" s="1685"/>
      <c r="AE1058" s="1686"/>
      <c r="AF1058" s="58"/>
      <c r="AG1058" s="1736" t="str">
        <f>IF(X1061&gt;0,"Yes","No")</f>
        <v>Yes</v>
      </c>
      <c r="AH1058" s="1737"/>
      <c r="AI1058" s="62"/>
      <c r="AJ1058" s="1703">
        <f>IF((X1061=0),0,(2*AY1015)*AJ1001)</f>
        <v>20440354</v>
      </c>
      <c r="AK1058" s="1704"/>
      <c r="AL1058" s="1704"/>
      <c r="AM1058" s="1704"/>
      <c r="AN1058" s="1704"/>
      <c r="AO1058" s="1704"/>
      <c r="AP1058" s="1704"/>
      <c r="AQ1058" s="1705"/>
      <c r="AR1058" s="1182"/>
      <c r="AS1058" s="1182"/>
      <c r="AT1058" s="1182"/>
      <c r="AU1058" s="13"/>
      <c r="AV1058" s="1182"/>
      <c r="AW1058" s="1182"/>
      <c r="AX1058" s="1182"/>
      <c r="AY1058" s="1182"/>
      <c r="AZ1058" s="852">
        <f>AZ1054*BA1058</f>
        <v>0</v>
      </c>
      <c r="BA1058" s="1064">
        <v>0.15</v>
      </c>
      <c r="BB1058" s="3" t="s">
        <v>1732</v>
      </c>
      <c r="BC1058" s="3" t="s">
        <v>1740</v>
      </c>
      <c r="BD1058" s="3"/>
    </row>
    <row r="1059" spans="1:56" ht="13" customHeight="1">
      <c r="A1059" s="13"/>
      <c r="B1059" s="58"/>
      <c r="C1059" s="345"/>
      <c r="D1059" s="1709" t="s">
        <v>1741</v>
      </c>
      <c r="E1059" s="1710"/>
      <c r="F1059" s="1710"/>
      <c r="G1059" s="1710"/>
      <c r="H1059" s="1710"/>
      <c r="I1059" s="1710"/>
      <c r="J1059" s="1710"/>
      <c r="K1059" s="1710"/>
      <c r="L1059" s="1710"/>
      <c r="M1059" s="1710"/>
      <c r="N1059" s="1710"/>
      <c r="O1059" s="1710"/>
      <c r="P1059" s="1710"/>
      <c r="Q1059" s="1710"/>
      <c r="R1059" s="1710"/>
      <c r="S1059" s="1710"/>
      <c r="T1059" s="1710"/>
      <c r="U1059" s="1710"/>
      <c r="V1059" s="1710"/>
      <c r="W1059" s="1710"/>
      <c r="X1059" s="1710"/>
      <c r="Y1059" s="1710"/>
      <c r="Z1059" s="1710"/>
      <c r="AA1059" s="1710"/>
      <c r="AB1059" s="1710"/>
      <c r="AC1059" s="1710"/>
      <c r="AD1059" s="1710"/>
      <c r="AE1059" s="1711"/>
      <c r="AF1059" s="58"/>
      <c r="AG1059" s="1199"/>
      <c r="AH1059" s="1199"/>
      <c r="AI1059" s="62"/>
      <c r="AJ1059" s="1706"/>
      <c r="AK1059" s="1707"/>
      <c r="AL1059" s="1707"/>
      <c r="AM1059" s="1707"/>
      <c r="AN1059" s="1707"/>
      <c r="AO1059" s="1707"/>
      <c r="AP1059" s="1707"/>
      <c r="AQ1059" s="1708"/>
      <c r="AR1059" s="1182"/>
      <c r="AS1059" s="1182"/>
      <c r="AT1059" s="1182"/>
      <c r="AU1059" s="1182"/>
      <c r="AV1059" s="1182"/>
      <c r="AW1059" s="1182"/>
      <c r="AX1059" s="1182"/>
      <c r="AY1059" s="1182"/>
      <c r="AZ1059" s="852"/>
      <c r="BA1059" s="3"/>
      <c r="BB1059" s="3"/>
      <c r="BC1059" s="3"/>
      <c r="BD1059" s="3"/>
    </row>
    <row r="1060" spans="1:56" ht="13" customHeight="1">
      <c r="A1060" s="13"/>
      <c r="B1060" s="58"/>
      <c r="C1060" s="62"/>
      <c r="D1060" s="1709"/>
      <c r="E1060" s="1710"/>
      <c r="F1060" s="1710"/>
      <c r="G1060" s="1710"/>
      <c r="H1060" s="1710"/>
      <c r="I1060" s="1710"/>
      <c r="J1060" s="1710"/>
      <c r="K1060" s="1710"/>
      <c r="L1060" s="1710"/>
      <c r="M1060" s="1710"/>
      <c r="N1060" s="1710"/>
      <c r="O1060" s="1710"/>
      <c r="P1060" s="1710"/>
      <c r="Q1060" s="1710"/>
      <c r="R1060" s="1710"/>
      <c r="S1060" s="1710"/>
      <c r="T1060" s="1710"/>
      <c r="U1060" s="1710"/>
      <c r="V1060" s="1710"/>
      <c r="W1060" s="1710"/>
      <c r="X1060" s="1710"/>
      <c r="Y1060" s="1710"/>
      <c r="Z1060" s="1710"/>
      <c r="AA1060" s="1710"/>
      <c r="AB1060" s="1710"/>
      <c r="AC1060" s="1710"/>
      <c r="AD1060" s="1710"/>
      <c r="AE1060" s="1711"/>
      <c r="AF1060" s="813"/>
      <c r="AG1060" s="814"/>
      <c r="AH1060" s="814"/>
      <c r="AI1060" s="815"/>
      <c r="AJ1060" s="1706"/>
      <c r="AK1060" s="1707"/>
      <c r="AL1060" s="1707"/>
      <c r="AM1060" s="1707"/>
      <c r="AN1060" s="1707"/>
      <c r="AO1060" s="1707"/>
      <c r="AP1060" s="1707"/>
      <c r="AQ1060" s="1708"/>
      <c r="AR1060" s="1182"/>
      <c r="AS1060" s="1182"/>
      <c r="AT1060" s="1182"/>
      <c r="AU1060" s="1182"/>
      <c r="AV1060" s="1182"/>
      <c r="AW1060" s="1182"/>
      <c r="AX1060" s="1182"/>
      <c r="AY1060" s="1182"/>
      <c r="AZ1060" s="852">
        <f>ROUNDDOWN(MIN(SUM(AZ1055,AZ1056,AZ1057,AZ1058),BD1060),0)</f>
        <v>2500000</v>
      </c>
      <c r="BA1060" s="3" t="s">
        <v>1742</v>
      </c>
      <c r="BB1060" s="3"/>
      <c r="BC1060" s="3"/>
      <c r="BD1060" s="3" cm="1">
        <f t="array" ref="BD1060">_xlfn.IFS(BA1049,3000000,AND(BA1050&gt;=25%,BA1051&gt;=15),2800000,TRUE,2500000)</f>
        <v>2500000</v>
      </c>
    </row>
    <row r="1061" spans="1:56" ht="13" customHeight="1">
      <c r="A1061" s="13"/>
      <c r="B1061" s="59"/>
      <c r="C1061" s="60"/>
      <c r="D1061" s="97" t="s">
        <v>1735</v>
      </c>
      <c r="E1061" s="6"/>
      <c r="F1061" s="6"/>
      <c r="G1061" s="6"/>
      <c r="H1061" s="6"/>
      <c r="I1061" s="1763">
        <f>AY1012</f>
        <v>112</v>
      </c>
      <c r="J1061" s="1764"/>
      <c r="K1061" s="13"/>
      <c r="L1061" s="6"/>
      <c r="M1061" s="6"/>
      <c r="N1061" s="6"/>
      <c r="O1061" s="6"/>
      <c r="P1061" s="6"/>
      <c r="Q1061" s="6"/>
      <c r="R1061" s="6"/>
      <c r="S1061" s="6"/>
      <c r="T1061" s="6"/>
      <c r="U1061" s="6"/>
      <c r="V1061" s="98" t="s">
        <v>1743</v>
      </c>
      <c r="X1061" s="1736">
        <f>CM761</f>
        <v>13</v>
      </c>
      <c r="Y1061" s="1737"/>
      <c r="AF1061" s="816"/>
      <c r="AG1061" s="817"/>
      <c r="AH1061" s="817"/>
      <c r="AI1061" s="818"/>
      <c r="AJ1061" s="1715"/>
      <c r="AK1061" s="1716"/>
      <c r="AL1061" s="1716"/>
      <c r="AM1061" s="1716"/>
      <c r="AN1061" s="1716"/>
      <c r="AO1061" s="1716"/>
      <c r="AP1061" s="1716"/>
      <c r="AQ1061" s="1717"/>
      <c r="AR1061" s="1182"/>
      <c r="AS1061" s="1182"/>
      <c r="AT1061" s="1182"/>
      <c r="AU1061" s="1182"/>
      <c r="AV1061" s="1182"/>
      <c r="AW1061" s="1182"/>
      <c r="AX1061" s="1182"/>
      <c r="AY1061" s="1182"/>
      <c r="AZ1061" s="852">
        <f>ROUNDDOWN(MAX(0,BA1061*(SUM(AG1102,AL1102,AZ1054)-BD1061))+BF1061,0)</f>
        <v>0</v>
      </c>
      <c r="BA1061" s="1064">
        <f>IF(L1051,7%,5%)</f>
        <v>0.05</v>
      </c>
      <c r="BB1061" s="3" t="s">
        <v>1744</v>
      </c>
      <c r="BC1061" s="3"/>
      <c r="BD1061" s="3">
        <v>6666667</v>
      </c>
    </row>
    <row r="1062" spans="1:56" ht="13" customHeight="1">
      <c r="A1062" s="13"/>
      <c r="B1062" s="77"/>
      <c r="C1062" s="1200"/>
      <c r="D1062" s="1761" t="s">
        <v>1745</v>
      </c>
      <c r="E1062" s="1761"/>
      <c r="F1062" s="1761"/>
      <c r="G1062" s="1761"/>
      <c r="H1062" s="1761"/>
      <c r="I1062" s="1761"/>
      <c r="J1062" s="1761"/>
      <c r="K1062" s="1761"/>
      <c r="L1062" s="1761"/>
      <c r="M1062" s="1761"/>
      <c r="N1062" s="1761"/>
      <c r="O1062" s="1761"/>
      <c r="P1062" s="1761"/>
      <c r="Q1062" s="1761"/>
      <c r="R1062" s="1761"/>
      <c r="S1062" s="1761"/>
      <c r="T1062" s="1761"/>
      <c r="U1062" s="1761"/>
      <c r="V1062" s="1761"/>
      <c r="W1062" s="1761"/>
      <c r="X1062" s="1761"/>
      <c r="Y1062" s="1761"/>
      <c r="Z1062" s="1761"/>
      <c r="AA1062" s="1761"/>
      <c r="AB1062" s="1761"/>
      <c r="AC1062" s="1761"/>
      <c r="AD1062" s="1761"/>
      <c r="AE1062" s="1761"/>
      <c r="AF1062" s="1761"/>
      <c r="AG1062" s="1761"/>
      <c r="AH1062" s="1761"/>
      <c r="AI1062" s="1762"/>
      <c r="AJ1062" s="1772">
        <f>SUM(AJ1001:AQ1061)</f>
        <v>163895046</v>
      </c>
      <c r="AK1062" s="1773"/>
      <c r="AL1062" s="1773"/>
      <c r="AM1062" s="1773"/>
      <c r="AN1062" s="1773"/>
      <c r="AO1062" s="1773"/>
      <c r="AP1062" s="1773"/>
      <c r="AQ1062" s="1774"/>
      <c r="AR1062" s="1182"/>
      <c r="AS1062" s="1182"/>
      <c r="AT1062" s="1182"/>
      <c r="AU1062" s="1182"/>
      <c r="AV1062" s="1182"/>
      <c r="AW1062" s="1182"/>
      <c r="AX1062" s="1182"/>
      <c r="AY1062" s="1182"/>
      <c r="AZ1062" s="1063">
        <v>6000000</v>
      </c>
      <c r="BA1062" s="3" t="s">
        <v>1746</v>
      </c>
      <c r="BB1062" s="3"/>
      <c r="BC1062" s="3"/>
      <c r="BD1062" s="3"/>
    </row>
    <row r="1063" spans="1:56" ht="13"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3" customHeight="1">
      <c r="A1064" s="13"/>
      <c r="B1064" s="1182"/>
      <c r="C1064" s="1182"/>
      <c r="D1064" s="1182"/>
      <c r="E1064" s="1182"/>
      <c r="F1064" s="1182"/>
      <c r="G1064" s="1055" t="s">
        <v>1747</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1748</v>
      </c>
      <c r="BC1064" s="3"/>
      <c r="BD1064" s="3"/>
    </row>
    <row r="1065" spans="1:56" ht="13" customHeight="1">
      <c r="A1065" s="13"/>
      <c r="B1065" s="1182"/>
      <c r="C1065" s="1182"/>
      <c r="D1065" s="1182"/>
      <c r="E1065" s="1182"/>
      <c r="F1065" s="1182"/>
      <c r="G1065" s="1058" t="s">
        <v>1749</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24">
        <f>'Sources and Uses Budget'!S107+'Sources and Uses Budget'!T107</f>
        <v>71877566</v>
      </c>
      <c r="AB1065" s="1324"/>
      <c r="AC1065" s="1324"/>
      <c r="AD1065" s="1324"/>
      <c r="AE1065" s="1324"/>
      <c r="AF1065" s="1324"/>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9375334.7999999989</v>
      </c>
      <c r="BB1065" s="3" t="s">
        <v>1750</v>
      </c>
      <c r="BC1065" s="3"/>
      <c r="BD1065" s="3"/>
    </row>
    <row r="1066" spans="1:56" ht="13" customHeight="1">
      <c r="A1066" s="13"/>
      <c r="B1066" s="1182"/>
      <c r="C1066" s="1182"/>
      <c r="D1066" s="1182"/>
      <c r="E1066" s="1182"/>
      <c r="F1066" s="1182"/>
      <c r="G1066" s="1058"/>
      <c r="H1066" s="1058" t="s">
        <v>1751</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25">
        <f>IFERROR((AA1065-BA1068)/(AJ1062-AJ1054-AJ1058),"")</f>
        <v>0.48787832492203692</v>
      </c>
      <c r="AB1066" s="1326"/>
      <c r="AC1066" s="1326"/>
      <c r="AD1066" s="1326"/>
      <c r="AE1066" s="1326"/>
      <c r="AF1066" s="1327"/>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3" customHeight="1">
      <c r="A1067" s="13"/>
      <c r="B1067" s="1182"/>
      <c r="C1067" s="1182"/>
      <c r="D1067" s="1182"/>
      <c r="E1067" s="1182"/>
      <c r="F1067" s="1182"/>
      <c r="G1067" s="132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28"/>
      <c r="I1067" s="1328"/>
      <c r="J1067" s="1328"/>
      <c r="K1067" s="1328"/>
      <c r="L1067" s="1328"/>
      <c r="M1067" s="1328"/>
      <c r="N1067" s="1328"/>
      <c r="O1067" s="1328"/>
      <c r="P1067" s="1328"/>
      <c r="Q1067" s="1328"/>
      <c r="R1067" s="1328"/>
      <c r="S1067" s="1328"/>
      <c r="T1067" s="1328"/>
      <c r="U1067" s="1328"/>
      <c r="V1067" s="1328"/>
      <c r="W1067" s="1328"/>
      <c r="X1067" s="1328"/>
      <c r="Y1067" s="1328"/>
      <c r="Z1067" s="1328"/>
      <c r="AA1067" s="1328"/>
      <c r="AB1067" s="1328"/>
      <c r="AC1067" s="1328"/>
      <c r="AD1067" s="1328"/>
      <c r="AE1067" s="1328"/>
      <c r="AF1067" s="1328"/>
      <c r="AG1067" s="1328"/>
      <c r="AH1067" s="1328"/>
      <c r="AI1067" s="1328"/>
      <c r="AJ1067" s="1328"/>
      <c r="AK1067" s="1328"/>
      <c r="AL1067" s="1328"/>
      <c r="AM1067" s="1328"/>
      <c r="AN1067" s="1328"/>
      <c r="AO1067" s="1182"/>
      <c r="AP1067" s="1182"/>
      <c r="AQ1067" s="1182"/>
      <c r="AR1067" s="1182"/>
      <c r="AS1067" s="1182"/>
      <c r="AT1067" s="1182"/>
      <c r="AU1067" s="1182"/>
      <c r="AV1067" s="13"/>
      <c r="AW1067" s="13"/>
      <c r="AX1067" s="13"/>
      <c r="AY1067" s="13"/>
      <c r="BA1067" s="1067">
        <f>'Sources and Uses Budget'!$S$104+'Sources and Uses Budget'!$T$104</f>
        <v>9375334</v>
      </c>
      <c r="BB1067" s="3" t="s">
        <v>1752</v>
      </c>
    </row>
    <row r="1068" spans="1:56" ht="13" customHeight="1">
      <c r="A1068" s="13"/>
      <c r="B1068" s="13"/>
      <c r="C1068" s="1201"/>
      <c r="D1068" s="1204"/>
      <c r="E1068" s="1204"/>
      <c r="F1068" s="1204"/>
      <c r="G1068" s="1328"/>
      <c r="H1068" s="1328"/>
      <c r="I1068" s="1328"/>
      <c r="J1068" s="1328"/>
      <c r="K1068" s="1328"/>
      <c r="L1068" s="1328"/>
      <c r="M1068" s="1328"/>
      <c r="N1068" s="1328"/>
      <c r="O1068" s="1328"/>
      <c r="P1068" s="1328"/>
      <c r="Q1068" s="1328"/>
      <c r="R1068" s="1328"/>
      <c r="S1068" s="1328"/>
      <c r="T1068" s="1328"/>
      <c r="U1068" s="1328"/>
      <c r="V1068" s="1328"/>
      <c r="W1068" s="1328"/>
      <c r="X1068" s="1328"/>
      <c r="Y1068" s="1328"/>
      <c r="Z1068" s="1328"/>
      <c r="AA1068" s="1328"/>
      <c r="AB1068" s="1328"/>
      <c r="AC1068" s="1328"/>
      <c r="AD1068" s="1328"/>
      <c r="AE1068" s="1328"/>
      <c r="AF1068" s="1328"/>
      <c r="AG1068" s="1328"/>
      <c r="AH1068" s="1328"/>
      <c r="AI1068" s="1328"/>
      <c r="AJ1068" s="1328"/>
      <c r="AK1068" s="1328"/>
      <c r="AL1068" s="1328"/>
      <c r="AM1068" s="1328"/>
      <c r="AN1068" s="1328"/>
      <c r="AO1068" s="1182"/>
      <c r="AP1068" s="1182"/>
      <c r="AQ1068" s="1182"/>
      <c r="AR1068" s="1182"/>
      <c r="AS1068" s="1182"/>
      <c r="AT1068" s="1182"/>
      <c r="AU1068" s="1182"/>
      <c r="AV1068" s="13"/>
      <c r="AW1068" s="13"/>
      <c r="AX1068" s="13"/>
      <c r="AY1068" s="13"/>
      <c r="BA1068" s="1068">
        <f>MAX($BA$1067-$BA$1064,0)</f>
        <v>6875334</v>
      </c>
      <c r="BB1068" s="3" t="s">
        <v>1753</v>
      </c>
    </row>
    <row r="1069" spans="1:56" ht="13" customHeight="1">
      <c r="A1069" s="1205"/>
      <c r="B1069" s="1054"/>
      <c r="C1069" s="1054"/>
      <c r="D1069" s="1054"/>
      <c r="E1069" s="1054"/>
      <c r="F1069" s="1054"/>
      <c r="G1069" s="1328"/>
      <c r="H1069" s="1328"/>
      <c r="I1069" s="1328"/>
      <c r="J1069" s="1328"/>
      <c r="K1069" s="1328"/>
      <c r="L1069" s="1328"/>
      <c r="M1069" s="1328"/>
      <c r="N1069" s="1328"/>
      <c r="O1069" s="1328"/>
      <c r="P1069" s="1328"/>
      <c r="Q1069" s="1328"/>
      <c r="R1069" s="1328"/>
      <c r="S1069" s="1328"/>
      <c r="T1069" s="1328"/>
      <c r="U1069" s="1328"/>
      <c r="V1069" s="1328"/>
      <c r="W1069" s="1328"/>
      <c r="X1069" s="1328"/>
      <c r="Y1069" s="1328"/>
      <c r="Z1069" s="1328"/>
      <c r="AA1069" s="1328"/>
      <c r="AB1069" s="1328"/>
      <c r="AC1069" s="1328"/>
      <c r="AD1069" s="1328"/>
      <c r="AE1069" s="1328"/>
      <c r="AF1069" s="1328"/>
      <c r="AG1069" s="1328"/>
      <c r="AH1069" s="1328"/>
      <c r="AI1069" s="1328"/>
      <c r="AJ1069" s="1328"/>
      <c r="AK1069" s="1328"/>
      <c r="AL1069" s="1328"/>
      <c r="AM1069" s="1328"/>
      <c r="AN1069" s="1328"/>
      <c r="AO1069" s="1054"/>
      <c r="AP1069" s="1054"/>
      <c r="AQ1069" s="1182"/>
      <c r="AR1069" s="1182"/>
      <c r="AS1069" s="1182"/>
      <c r="AT1069" s="1182"/>
      <c r="AU1069" s="1182"/>
      <c r="AV1069" s="1182"/>
      <c r="AW1069" s="1182"/>
      <c r="AX1069" s="1182"/>
      <c r="AY1069" s="1182"/>
    </row>
    <row r="1070" spans="1:56" ht="13" customHeight="1">
      <c r="A1070" s="1785" t="s">
        <v>1754</v>
      </c>
      <c r="B1070" s="1785"/>
      <c r="C1070" s="1785"/>
      <c r="D1070" s="1785"/>
      <c r="E1070" s="1785"/>
      <c r="F1070" s="1785"/>
      <c r="G1070" s="1785"/>
      <c r="H1070" s="1785"/>
      <c r="I1070" s="1785"/>
      <c r="J1070" s="1785"/>
      <c r="K1070" s="1785"/>
      <c r="L1070" s="1785"/>
      <c r="M1070" s="1785"/>
      <c r="N1070" s="1785"/>
      <c r="O1070" s="1785"/>
      <c r="P1070" s="1785"/>
      <c r="Q1070" s="1785"/>
      <c r="R1070" s="1785"/>
      <c r="S1070" s="1785"/>
      <c r="T1070" s="1785"/>
      <c r="U1070" s="1785"/>
      <c r="V1070" s="1785"/>
      <c r="W1070" s="1785"/>
      <c r="X1070" s="1785"/>
      <c r="Y1070" s="1785"/>
      <c r="Z1070" s="1785"/>
      <c r="AA1070" s="1785"/>
      <c r="AB1070" s="1785"/>
      <c r="AC1070" s="1785"/>
      <c r="AD1070" s="1785"/>
      <c r="AE1070" s="1785"/>
      <c r="AF1070" s="1785"/>
      <c r="AG1070" s="1785"/>
      <c r="AH1070" s="1785"/>
      <c r="AI1070" s="1785"/>
      <c r="AJ1070" s="1785"/>
      <c r="AK1070" s="1785"/>
      <c r="AL1070" s="1785"/>
      <c r="AM1070" s="1785"/>
      <c r="AN1070" s="1785"/>
      <c r="AO1070" s="1785"/>
      <c r="AP1070" s="1785"/>
      <c r="AQ1070" s="1785"/>
      <c r="AR1070" s="12"/>
      <c r="AS1070" s="12"/>
      <c r="AT1070" s="12"/>
      <c r="AV1070" s="1182"/>
      <c r="AW1070" s="1182"/>
      <c r="AX1070" s="1182"/>
      <c r="AY1070" s="1182"/>
    </row>
    <row r="1071" spans="1:56" ht="13"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3" customHeight="1">
      <c r="A1072" s="49" t="s">
        <v>1755</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3" customHeight="1">
      <c r="A1073" s="133" t="s">
        <v>1756</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3" customHeight="1">
      <c r="A1074" s="1387" t="s">
        <v>862</v>
      </c>
      <c r="B1074" s="1387"/>
      <c r="C1074" s="1596">
        <v>1</v>
      </c>
      <c r="D1074" s="1596"/>
      <c r="E1074" s="13" t="s">
        <v>1757</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3" customHeight="1">
      <c r="A1075" s="133"/>
      <c r="B1075" s="13"/>
      <c r="C1075" s="1596"/>
      <c r="D1075" s="1596"/>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3" customHeight="1">
      <c r="A1076" s="1387" t="s">
        <v>826</v>
      </c>
      <c r="B1076" s="1387"/>
      <c r="C1076" s="1596">
        <v>2</v>
      </c>
      <c r="D1076" s="1596"/>
      <c r="E1076" s="1808" t="s">
        <v>1758</v>
      </c>
      <c r="F1076" s="1808"/>
      <c r="G1076" s="1808"/>
      <c r="H1076" s="1808"/>
      <c r="I1076" s="1808"/>
      <c r="J1076" s="1808"/>
      <c r="K1076" s="1808"/>
      <c r="L1076" s="1808"/>
      <c r="M1076" s="1808"/>
      <c r="N1076" s="1808"/>
      <c r="O1076" s="1808"/>
      <c r="P1076" s="1808"/>
      <c r="Q1076" s="1808"/>
      <c r="R1076" s="1808"/>
      <c r="S1076" s="1808"/>
      <c r="T1076" s="1808"/>
      <c r="U1076" s="1808"/>
      <c r="V1076" s="1808"/>
      <c r="W1076" s="1808"/>
      <c r="X1076" s="1808"/>
      <c r="Y1076" s="1808"/>
      <c r="Z1076" s="1808"/>
      <c r="AA1076" s="1808"/>
      <c r="AB1076" s="1808"/>
      <c r="AC1076" s="1808"/>
      <c r="AD1076" s="1808"/>
      <c r="AE1076" s="1808"/>
      <c r="AF1076" s="1808"/>
      <c r="AG1076" s="1808"/>
      <c r="AH1076" s="1808"/>
      <c r="AI1076" s="1808"/>
      <c r="AJ1076" s="1808"/>
      <c r="AK1076" s="1808"/>
      <c r="AL1076" s="1808"/>
      <c r="AM1076" s="1808"/>
      <c r="AN1076" s="1808"/>
      <c r="AO1076" s="1808"/>
      <c r="AP1076" s="1808"/>
      <c r="AQ1076" s="1808"/>
      <c r="AR1076" s="1808"/>
      <c r="AS1076" s="13"/>
      <c r="AT1076" s="13"/>
      <c r="AV1076" s="1182"/>
      <c r="AW1076" s="1182"/>
      <c r="AX1076" s="1182"/>
      <c r="AY1076" s="1182"/>
    </row>
    <row r="1077" spans="1:51" ht="13" customHeight="1">
      <c r="A1077" s="133"/>
      <c r="B1077" s="13"/>
      <c r="C1077" s="1596"/>
      <c r="D1077" s="1596"/>
      <c r="E1077" s="1808"/>
      <c r="F1077" s="1808"/>
      <c r="G1077" s="1808"/>
      <c r="H1077" s="1808"/>
      <c r="I1077" s="1808"/>
      <c r="J1077" s="1808"/>
      <c r="K1077" s="1808"/>
      <c r="L1077" s="1808"/>
      <c r="M1077" s="1808"/>
      <c r="N1077" s="1808"/>
      <c r="O1077" s="1808"/>
      <c r="P1077" s="1808"/>
      <c r="Q1077" s="1808"/>
      <c r="R1077" s="1808"/>
      <c r="S1077" s="1808"/>
      <c r="T1077" s="1808"/>
      <c r="U1077" s="1808"/>
      <c r="V1077" s="1808"/>
      <c r="W1077" s="1808"/>
      <c r="X1077" s="1808"/>
      <c r="Y1077" s="1808"/>
      <c r="Z1077" s="1808"/>
      <c r="AA1077" s="1808"/>
      <c r="AB1077" s="1808"/>
      <c r="AC1077" s="1808"/>
      <c r="AD1077" s="1808"/>
      <c r="AE1077" s="1808"/>
      <c r="AF1077" s="1808"/>
      <c r="AG1077" s="1808"/>
      <c r="AH1077" s="1808"/>
      <c r="AI1077" s="1808"/>
      <c r="AJ1077" s="1808"/>
      <c r="AK1077" s="1808"/>
      <c r="AL1077" s="1808"/>
      <c r="AM1077" s="1808"/>
      <c r="AN1077" s="1808"/>
      <c r="AO1077" s="1808"/>
      <c r="AP1077" s="1808"/>
      <c r="AQ1077" s="1808"/>
      <c r="AR1077" s="1808"/>
      <c r="AS1077" s="13"/>
      <c r="AT1077" s="13"/>
      <c r="AV1077" s="1182"/>
      <c r="AW1077" s="1182"/>
      <c r="AX1077" s="1182"/>
      <c r="AY1077" s="1182"/>
    </row>
    <row r="1078" spans="1:51" ht="13" customHeight="1">
      <c r="A1078" s="133"/>
      <c r="B1078" s="13"/>
      <c r="C1078" s="1596"/>
      <c r="D1078" s="1596"/>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3" customHeight="1">
      <c r="A1079" s="1387" t="s">
        <v>826</v>
      </c>
      <c r="B1079" s="1387"/>
      <c r="C1079" s="1377">
        <v>3</v>
      </c>
      <c r="D1079" s="1377"/>
      <c r="E1079" s="1232" t="s">
        <v>1759</v>
      </c>
      <c r="F1079" s="1232"/>
      <c r="G1079" s="1232"/>
      <c r="H1079" s="1232"/>
      <c r="I1079" s="1232"/>
      <c r="J1079" s="1232"/>
      <c r="K1079" s="1232"/>
      <c r="L1079" s="1232"/>
      <c r="M1079" s="1232"/>
      <c r="N1079" s="1232"/>
      <c r="O1079" s="1232"/>
      <c r="P1079" s="1232"/>
      <c r="Q1079" s="1232"/>
      <c r="R1079" s="1232"/>
      <c r="S1079" s="1232"/>
      <c r="T1079" s="1232"/>
      <c r="U1079" s="1232"/>
      <c r="V1079" s="1232"/>
      <c r="W1079" s="1232"/>
      <c r="X1079" s="1232"/>
      <c r="Y1079" s="1232"/>
      <c r="Z1079" s="1232"/>
      <c r="AA1079" s="1232"/>
      <c r="AB1079" s="1232"/>
      <c r="AC1079" s="1232"/>
      <c r="AD1079" s="1232"/>
      <c r="AE1079" s="1232"/>
      <c r="AF1079" s="1232"/>
      <c r="AG1079" s="1232"/>
      <c r="AH1079" s="1232"/>
      <c r="AI1079" s="1232"/>
      <c r="AJ1079" s="1232"/>
      <c r="AK1079" s="1232"/>
      <c r="AL1079" s="1232"/>
      <c r="AM1079" s="1232"/>
      <c r="AN1079" s="1232"/>
      <c r="AO1079" s="1232"/>
      <c r="AP1079" s="1232"/>
      <c r="AQ1079" s="1232"/>
      <c r="AR1079" s="1232"/>
      <c r="AS1079" s="13"/>
      <c r="AT1079" s="1182"/>
      <c r="AV1079" s="1182"/>
      <c r="AW1079" s="1182"/>
      <c r="AX1079" s="1182"/>
      <c r="AY1079" s="1182"/>
    </row>
    <row r="1080" spans="1:51" ht="13" customHeight="1">
      <c r="A1080" s="1"/>
      <c r="B1080" s="1"/>
      <c r="C1080" s="1377"/>
      <c r="D1080" s="1377"/>
      <c r="E1080" s="1232"/>
      <c r="F1080" s="1232"/>
      <c r="G1080" s="1232"/>
      <c r="H1080" s="1232"/>
      <c r="I1080" s="1232"/>
      <c r="J1080" s="1232"/>
      <c r="K1080" s="1232"/>
      <c r="L1080" s="1232"/>
      <c r="M1080" s="1232"/>
      <c r="N1080" s="1232"/>
      <c r="O1080" s="1232"/>
      <c r="P1080" s="1232"/>
      <c r="Q1080" s="1232"/>
      <c r="R1080" s="1232"/>
      <c r="S1080" s="1232"/>
      <c r="T1080" s="1232"/>
      <c r="U1080" s="1232"/>
      <c r="V1080" s="1232"/>
      <c r="W1080" s="1232"/>
      <c r="X1080" s="1232"/>
      <c r="Y1080" s="1232"/>
      <c r="Z1080" s="1232"/>
      <c r="AA1080" s="1232"/>
      <c r="AB1080" s="1232"/>
      <c r="AC1080" s="1232"/>
      <c r="AD1080" s="1232"/>
      <c r="AE1080" s="1232"/>
      <c r="AF1080" s="1232"/>
      <c r="AG1080" s="1232"/>
      <c r="AH1080" s="1232"/>
      <c r="AI1080" s="1232"/>
      <c r="AJ1080" s="1232"/>
      <c r="AK1080" s="1232"/>
      <c r="AL1080" s="1232"/>
      <c r="AM1080" s="1232"/>
      <c r="AN1080" s="1232"/>
      <c r="AO1080" s="1232"/>
      <c r="AP1080" s="1232"/>
      <c r="AQ1080" s="1232"/>
      <c r="AR1080" s="1232"/>
      <c r="AS1080" s="13"/>
      <c r="AT1080" s="1182"/>
      <c r="AV1080" s="1182"/>
      <c r="AW1080" s="1182"/>
      <c r="AX1080" s="1182"/>
      <c r="AY1080" s="1182"/>
    </row>
    <row r="1081" spans="1:51" ht="13" customHeight="1">
      <c r="A1081" s="1"/>
      <c r="B1081" s="1"/>
      <c r="C1081" s="1377"/>
      <c r="D1081" s="1377"/>
      <c r="E1081" s="1232"/>
      <c r="F1081" s="1232"/>
      <c r="G1081" s="1232"/>
      <c r="H1081" s="1232"/>
      <c r="I1081" s="1232"/>
      <c r="J1081" s="1232"/>
      <c r="K1081" s="1232"/>
      <c r="L1081" s="1232"/>
      <c r="M1081" s="1232"/>
      <c r="N1081" s="1232"/>
      <c r="O1081" s="1232"/>
      <c r="P1081" s="1232"/>
      <c r="Q1081" s="1232"/>
      <c r="R1081" s="1232"/>
      <c r="S1081" s="1232"/>
      <c r="T1081" s="1232"/>
      <c r="U1081" s="1232"/>
      <c r="V1081" s="1232"/>
      <c r="W1081" s="1232"/>
      <c r="X1081" s="1232"/>
      <c r="Y1081" s="1232"/>
      <c r="Z1081" s="1232"/>
      <c r="AA1081" s="1232"/>
      <c r="AB1081" s="1232"/>
      <c r="AC1081" s="1232"/>
      <c r="AD1081" s="1232"/>
      <c r="AE1081" s="1232"/>
      <c r="AF1081" s="1232"/>
      <c r="AG1081" s="1232"/>
      <c r="AH1081" s="1232"/>
      <c r="AI1081" s="1232"/>
      <c r="AJ1081" s="1232"/>
      <c r="AK1081" s="1232"/>
      <c r="AL1081" s="1232"/>
      <c r="AM1081" s="1232"/>
      <c r="AN1081" s="1232"/>
      <c r="AO1081" s="1232"/>
      <c r="AP1081" s="1232"/>
      <c r="AQ1081" s="1232"/>
      <c r="AR1081" s="1232"/>
      <c r="AS1081" s="13"/>
      <c r="AT1081" s="1182"/>
      <c r="AV1081" s="1182"/>
      <c r="AW1081" s="1182"/>
      <c r="AX1081" s="1182"/>
      <c r="AY1081" s="1182"/>
    </row>
    <row r="1082" spans="1:51" ht="13" customHeight="1">
      <c r="A1082" s="1"/>
      <c r="B1082" s="1"/>
      <c r="C1082" s="1377"/>
      <c r="D1082" s="1377"/>
      <c r="E1082" s="1232"/>
      <c r="F1082" s="1232"/>
      <c r="G1082" s="1232"/>
      <c r="H1082" s="1232"/>
      <c r="I1082" s="1232"/>
      <c r="J1082" s="1232"/>
      <c r="K1082" s="1232"/>
      <c r="L1082" s="1232"/>
      <c r="M1082" s="1232"/>
      <c r="N1082" s="1232"/>
      <c r="O1082" s="1232"/>
      <c r="P1082" s="1232"/>
      <c r="Q1082" s="1232"/>
      <c r="R1082" s="1232"/>
      <c r="S1082" s="1232"/>
      <c r="T1082" s="1232"/>
      <c r="U1082" s="1232"/>
      <c r="V1082" s="1232"/>
      <c r="W1082" s="1232"/>
      <c r="X1082" s="1232"/>
      <c r="Y1082" s="1232"/>
      <c r="Z1082" s="1232"/>
      <c r="AA1082" s="1232"/>
      <c r="AB1082" s="1232"/>
      <c r="AC1082" s="1232"/>
      <c r="AD1082" s="1232"/>
      <c r="AE1082" s="1232"/>
      <c r="AF1082" s="1232"/>
      <c r="AG1082" s="1232"/>
      <c r="AH1082" s="1232"/>
      <c r="AI1082" s="1232"/>
      <c r="AJ1082" s="1232"/>
      <c r="AK1082" s="1232"/>
      <c r="AL1082" s="1232"/>
      <c r="AM1082" s="1232"/>
      <c r="AN1082" s="1232"/>
      <c r="AO1082" s="1232"/>
      <c r="AP1082" s="1232"/>
      <c r="AQ1082" s="1232"/>
      <c r="AR1082" s="1232"/>
      <c r="AS1082" s="13"/>
      <c r="AT1082" s="1182"/>
      <c r="AV1082" s="1182"/>
      <c r="AW1082" s="1182"/>
      <c r="AX1082" s="1182"/>
      <c r="AY1082" s="1182"/>
    </row>
    <row r="1083" spans="1:51" ht="13" customHeight="1">
      <c r="A1083" s="2"/>
      <c r="B1083" s="21"/>
      <c r="C1083" s="1377"/>
      <c r="D1083" s="137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3" customHeight="1">
      <c r="A1084" s="1387" t="s">
        <v>826</v>
      </c>
      <c r="B1084" s="1387"/>
      <c r="C1084" s="1377">
        <v>4</v>
      </c>
      <c r="D1084" s="1377"/>
      <c r="E1084" s="1232" t="s">
        <v>1760</v>
      </c>
      <c r="F1084" s="1232"/>
      <c r="G1084" s="1232"/>
      <c r="H1084" s="1232"/>
      <c r="I1084" s="1232"/>
      <c r="J1084" s="1232"/>
      <c r="K1084" s="1232"/>
      <c r="L1084" s="1232"/>
      <c r="M1084" s="1232"/>
      <c r="N1084" s="1232"/>
      <c r="O1084" s="1232"/>
      <c r="P1084" s="1232"/>
      <c r="Q1084" s="1232"/>
      <c r="R1084" s="1232"/>
      <c r="S1084" s="1232"/>
      <c r="T1084" s="1232"/>
      <c r="U1084" s="1232"/>
      <c r="V1084" s="1232"/>
      <c r="W1084" s="1232"/>
      <c r="X1084" s="1232"/>
      <c r="Y1084" s="1232"/>
      <c r="Z1084" s="1232"/>
      <c r="AA1084" s="1232"/>
      <c r="AB1084" s="1232"/>
      <c r="AC1084" s="1232"/>
      <c r="AD1084" s="1232"/>
      <c r="AE1084" s="1232"/>
      <c r="AF1084" s="1232"/>
      <c r="AG1084" s="1232"/>
      <c r="AH1084" s="1232"/>
      <c r="AI1084" s="1232"/>
      <c r="AJ1084" s="1232"/>
      <c r="AK1084" s="1232"/>
      <c r="AL1084" s="1232"/>
      <c r="AM1084" s="1232"/>
      <c r="AN1084" s="1232"/>
      <c r="AO1084" s="1232"/>
      <c r="AP1084" s="1232"/>
      <c r="AQ1084" s="1232"/>
      <c r="AR1084" s="1232"/>
      <c r="AS1084" s="13"/>
      <c r="AT1084" s="1182"/>
    </row>
    <row r="1085" spans="1:51" ht="13" customHeight="1">
      <c r="A1085" s="1"/>
      <c r="B1085" s="1"/>
      <c r="C1085" s="1377"/>
      <c r="D1085" s="1377"/>
      <c r="E1085" s="1232"/>
      <c r="F1085" s="1232"/>
      <c r="G1085" s="1232"/>
      <c r="H1085" s="1232"/>
      <c r="I1085" s="1232"/>
      <c r="J1085" s="1232"/>
      <c r="K1085" s="1232"/>
      <c r="L1085" s="1232"/>
      <c r="M1085" s="1232"/>
      <c r="N1085" s="1232"/>
      <c r="O1085" s="1232"/>
      <c r="P1085" s="1232"/>
      <c r="Q1085" s="1232"/>
      <c r="R1085" s="1232"/>
      <c r="S1085" s="1232"/>
      <c r="T1085" s="1232"/>
      <c r="U1085" s="1232"/>
      <c r="V1085" s="1232"/>
      <c r="W1085" s="1232"/>
      <c r="X1085" s="1232"/>
      <c r="Y1085" s="1232"/>
      <c r="Z1085" s="1232"/>
      <c r="AA1085" s="1232"/>
      <c r="AB1085" s="1232"/>
      <c r="AC1085" s="1232"/>
      <c r="AD1085" s="1232"/>
      <c r="AE1085" s="1232"/>
      <c r="AF1085" s="1232"/>
      <c r="AG1085" s="1232"/>
      <c r="AH1085" s="1232"/>
      <c r="AI1085" s="1232"/>
      <c r="AJ1085" s="1232"/>
      <c r="AK1085" s="1232"/>
      <c r="AL1085" s="1232"/>
      <c r="AM1085" s="1232"/>
      <c r="AN1085" s="1232"/>
      <c r="AO1085" s="1232"/>
      <c r="AP1085" s="1232"/>
      <c r="AQ1085" s="1232"/>
      <c r="AR1085" s="1232"/>
      <c r="AS1085" s="13"/>
      <c r="AT1085" s="1182"/>
    </row>
    <row r="1086" spans="1:51" ht="13" customHeight="1">
      <c r="A1086" s="1"/>
      <c r="B1086" s="1"/>
      <c r="C1086" s="1377"/>
      <c r="D1086" s="1377"/>
      <c r="E1086" s="1232"/>
      <c r="F1086" s="1232"/>
      <c r="G1086" s="1232"/>
      <c r="H1086" s="1232"/>
      <c r="I1086" s="1232"/>
      <c r="J1086" s="1232"/>
      <c r="K1086" s="1232"/>
      <c r="L1086" s="1232"/>
      <c r="M1086" s="1232"/>
      <c r="N1086" s="1232"/>
      <c r="O1086" s="1232"/>
      <c r="P1086" s="1232"/>
      <c r="Q1086" s="1232"/>
      <c r="R1086" s="1232"/>
      <c r="S1086" s="1232"/>
      <c r="T1086" s="1232"/>
      <c r="U1086" s="1232"/>
      <c r="V1086" s="1232"/>
      <c r="W1086" s="1232"/>
      <c r="X1086" s="1232"/>
      <c r="Y1086" s="1232"/>
      <c r="Z1086" s="1232"/>
      <c r="AA1086" s="1232"/>
      <c r="AB1086" s="1232"/>
      <c r="AC1086" s="1232"/>
      <c r="AD1086" s="1232"/>
      <c r="AE1086" s="1232"/>
      <c r="AF1086" s="1232"/>
      <c r="AG1086" s="1232"/>
      <c r="AH1086" s="1232"/>
      <c r="AI1086" s="1232"/>
      <c r="AJ1086" s="1232"/>
      <c r="AK1086" s="1232"/>
      <c r="AL1086" s="1232"/>
      <c r="AM1086" s="1232"/>
      <c r="AN1086" s="1232"/>
      <c r="AO1086" s="1232"/>
      <c r="AP1086" s="1232"/>
      <c r="AQ1086" s="1232"/>
      <c r="AR1086" s="1232"/>
      <c r="AS1086" s="13"/>
      <c r="AT1086" s="1182"/>
    </row>
    <row r="1087" spans="1:51" ht="13" customHeight="1">
      <c r="A1087" s="1"/>
      <c r="B1087" s="1"/>
      <c r="C1087" s="1377"/>
      <c r="D1087" s="1377"/>
      <c r="E1087" s="1232"/>
      <c r="F1087" s="1232"/>
      <c r="G1087" s="1232"/>
      <c r="H1087" s="1232"/>
      <c r="I1087" s="1232"/>
      <c r="J1087" s="1232"/>
      <c r="K1087" s="1232"/>
      <c r="L1087" s="1232"/>
      <c r="M1087" s="1232"/>
      <c r="N1087" s="1232"/>
      <c r="O1087" s="1232"/>
      <c r="P1087" s="1232"/>
      <c r="Q1087" s="1232"/>
      <c r="R1087" s="1232"/>
      <c r="S1087" s="1232"/>
      <c r="T1087" s="1232"/>
      <c r="U1087" s="1232"/>
      <c r="V1087" s="1232"/>
      <c r="W1087" s="1232"/>
      <c r="X1087" s="1232"/>
      <c r="Y1087" s="1232"/>
      <c r="Z1087" s="1232"/>
      <c r="AA1087" s="1232"/>
      <c r="AB1087" s="1232"/>
      <c r="AC1087" s="1232"/>
      <c r="AD1087" s="1232"/>
      <c r="AE1087" s="1232"/>
      <c r="AF1087" s="1232"/>
      <c r="AG1087" s="1232"/>
      <c r="AH1087" s="1232"/>
      <c r="AI1087" s="1232"/>
      <c r="AJ1087" s="1232"/>
      <c r="AK1087" s="1232"/>
      <c r="AL1087" s="1232"/>
      <c r="AM1087" s="1232"/>
      <c r="AN1087" s="1232"/>
      <c r="AO1087" s="1232"/>
      <c r="AP1087" s="1232"/>
      <c r="AQ1087" s="1232"/>
      <c r="AR1087" s="1232"/>
      <c r="AS1087" s="13"/>
      <c r="AT1087" s="1182"/>
    </row>
    <row r="1088" spans="1:51" ht="13" customHeight="1">
      <c r="A1088" s="1"/>
      <c r="B1088" s="1"/>
      <c r="C1088" s="1377"/>
      <c r="D1088" s="1377"/>
      <c r="E1088" s="1232"/>
      <c r="F1088" s="1232"/>
      <c r="G1088" s="1232"/>
      <c r="H1088" s="1232"/>
      <c r="I1088" s="1232"/>
      <c r="J1088" s="1232"/>
      <c r="K1088" s="1232"/>
      <c r="L1088" s="1232"/>
      <c r="M1088" s="1232"/>
      <c r="N1088" s="1232"/>
      <c r="O1088" s="1232"/>
      <c r="P1088" s="1232"/>
      <c r="Q1088" s="1232"/>
      <c r="R1088" s="1232"/>
      <c r="S1088" s="1232"/>
      <c r="T1088" s="1232"/>
      <c r="U1088" s="1232"/>
      <c r="V1088" s="1232"/>
      <c r="W1088" s="1232"/>
      <c r="X1088" s="1232"/>
      <c r="Y1088" s="1232"/>
      <c r="Z1088" s="1232"/>
      <c r="AA1088" s="1232"/>
      <c r="AB1088" s="1232"/>
      <c r="AC1088" s="1232"/>
      <c r="AD1088" s="1232"/>
      <c r="AE1088" s="1232"/>
      <c r="AF1088" s="1232"/>
      <c r="AG1088" s="1232"/>
      <c r="AH1088" s="1232"/>
      <c r="AI1088" s="1232"/>
      <c r="AJ1088" s="1232"/>
      <c r="AK1088" s="1232"/>
      <c r="AL1088" s="1232"/>
      <c r="AM1088" s="1232"/>
      <c r="AN1088" s="1232"/>
      <c r="AO1088" s="1232"/>
      <c r="AP1088" s="1232"/>
      <c r="AQ1088" s="1232"/>
      <c r="AR1088" s="1232"/>
      <c r="AS1088" s="13"/>
      <c r="AT1088" s="1182"/>
    </row>
    <row r="1089" spans="1:45" ht="13" customHeight="1">
      <c r="A1089" s="1"/>
      <c r="B1089" s="1"/>
      <c r="C1089" s="1377"/>
      <c r="D1089" s="137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3" customHeight="1">
      <c r="A1090" s="1387" t="s">
        <v>826</v>
      </c>
      <c r="B1090" s="1387"/>
      <c r="C1090" s="1377">
        <v>5</v>
      </c>
      <c r="D1090" s="1377"/>
      <c r="E1090" s="1232" t="s">
        <v>1761</v>
      </c>
      <c r="F1090" s="1232"/>
      <c r="G1090" s="1232"/>
      <c r="H1090" s="1232"/>
      <c r="I1090" s="1232"/>
      <c r="J1090" s="1232"/>
      <c r="K1090" s="1232"/>
      <c r="L1090" s="1232"/>
      <c r="M1090" s="1232"/>
      <c r="N1090" s="1232"/>
      <c r="O1090" s="1232"/>
      <c r="P1090" s="1232"/>
      <c r="Q1090" s="1232"/>
      <c r="R1090" s="1232"/>
      <c r="S1090" s="1232"/>
      <c r="T1090" s="1232"/>
      <c r="U1090" s="1232"/>
      <c r="V1090" s="1232"/>
      <c r="W1090" s="1232"/>
      <c r="X1090" s="1232"/>
      <c r="Y1090" s="1232"/>
      <c r="Z1090" s="1232"/>
      <c r="AA1090" s="1232"/>
      <c r="AB1090" s="1232"/>
      <c r="AC1090" s="1232"/>
      <c r="AD1090" s="1232"/>
      <c r="AE1090" s="1232"/>
      <c r="AF1090" s="1232"/>
      <c r="AG1090" s="1232"/>
      <c r="AH1090" s="1232"/>
      <c r="AI1090" s="1232"/>
      <c r="AJ1090" s="1232"/>
      <c r="AK1090" s="1232"/>
      <c r="AL1090" s="1232"/>
      <c r="AM1090" s="1232"/>
      <c r="AN1090" s="1232"/>
      <c r="AO1090" s="1232"/>
      <c r="AP1090" s="1232"/>
      <c r="AQ1090" s="1232"/>
      <c r="AR1090" s="1232"/>
      <c r="AS1090" s="13"/>
    </row>
    <row r="1091" spans="1:45" ht="13" customHeight="1">
      <c r="A1091" s="3"/>
      <c r="B1091" s="3"/>
      <c r="C1091" s="1377"/>
      <c r="D1091" s="1377"/>
      <c r="E1091" s="1232"/>
      <c r="F1091" s="1232"/>
      <c r="G1091" s="1232"/>
      <c r="H1091" s="1232"/>
      <c r="I1091" s="1232"/>
      <c r="J1091" s="1232"/>
      <c r="K1091" s="1232"/>
      <c r="L1091" s="1232"/>
      <c r="M1091" s="1232"/>
      <c r="N1091" s="1232"/>
      <c r="O1091" s="1232"/>
      <c r="P1091" s="1232"/>
      <c r="Q1091" s="1232"/>
      <c r="R1091" s="1232"/>
      <c r="S1091" s="1232"/>
      <c r="T1091" s="1232"/>
      <c r="U1091" s="1232"/>
      <c r="V1091" s="1232"/>
      <c r="W1091" s="1232"/>
      <c r="X1091" s="1232"/>
      <c r="Y1091" s="1232"/>
      <c r="Z1091" s="1232"/>
      <c r="AA1091" s="1232"/>
      <c r="AB1091" s="1232"/>
      <c r="AC1091" s="1232"/>
      <c r="AD1091" s="1232"/>
      <c r="AE1091" s="1232"/>
      <c r="AF1091" s="1232"/>
      <c r="AG1091" s="1232"/>
      <c r="AH1091" s="1232"/>
      <c r="AI1091" s="1232"/>
      <c r="AJ1091" s="1232"/>
      <c r="AK1091" s="1232"/>
      <c r="AL1091" s="1232"/>
      <c r="AM1091" s="1232"/>
      <c r="AN1091" s="1232"/>
      <c r="AO1091" s="1232"/>
      <c r="AP1091" s="1232"/>
      <c r="AQ1091" s="1232"/>
      <c r="AR1091" s="1232"/>
      <c r="AS1091" s="13"/>
    </row>
    <row r="1092" spans="1:45" ht="13" customHeight="1">
      <c r="A1092" s="3"/>
      <c r="B1092" s="3"/>
      <c r="C1092" s="1377"/>
      <c r="D1092" s="1377"/>
      <c r="E1092" s="1232"/>
      <c r="F1092" s="1232"/>
      <c r="G1092" s="1232"/>
      <c r="H1092" s="1232"/>
      <c r="I1092" s="1232"/>
      <c r="J1092" s="1232"/>
      <c r="K1092" s="1232"/>
      <c r="L1092" s="1232"/>
      <c r="M1092" s="1232"/>
      <c r="N1092" s="1232"/>
      <c r="O1092" s="1232"/>
      <c r="P1092" s="1232"/>
      <c r="Q1092" s="1232"/>
      <c r="R1092" s="1232"/>
      <c r="S1092" s="1232"/>
      <c r="T1092" s="1232"/>
      <c r="U1092" s="1232"/>
      <c r="V1092" s="1232"/>
      <c r="W1092" s="1232"/>
      <c r="X1092" s="1232"/>
      <c r="Y1092" s="1232"/>
      <c r="Z1092" s="1232"/>
      <c r="AA1092" s="1232"/>
      <c r="AB1092" s="1232"/>
      <c r="AC1092" s="1232"/>
      <c r="AD1092" s="1232"/>
      <c r="AE1092" s="1232"/>
      <c r="AF1092" s="1232"/>
      <c r="AG1092" s="1232"/>
      <c r="AH1092" s="1232"/>
      <c r="AI1092" s="1232"/>
      <c r="AJ1092" s="1232"/>
      <c r="AK1092" s="1232"/>
      <c r="AL1092" s="1232"/>
      <c r="AM1092" s="1232"/>
      <c r="AN1092" s="1232"/>
      <c r="AO1092" s="1232"/>
      <c r="AP1092" s="1232"/>
      <c r="AQ1092" s="1232"/>
      <c r="AR1092" s="1232"/>
      <c r="AS1092" s="13"/>
    </row>
    <row r="1093" spans="1:45" ht="13" customHeight="1">
      <c r="A1093" s="84"/>
      <c r="B1093" s="21"/>
      <c r="C1093" s="1377"/>
      <c r="D1093" s="137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3" customHeight="1">
      <c r="A1094" s="1387" t="s">
        <v>826</v>
      </c>
      <c r="B1094" s="1387"/>
      <c r="C1094" s="1377">
        <v>6</v>
      </c>
      <c r="D1094" s="1377"/>
      <c r="E1094" s="1232" t="s">
        <v>1762</v>
      </c>
      <c r="F1094" s="1232"/>
      <c r="G1094" s="1232"/>
      <c r="H1094" s="1232"/>
      <c r="I1094" s="1232"/>
      <c r="J1094" s="1232"/>
      <c r="K1094" s="1232"/>
      <c r="L1094" s="1232"/>
      <c r="M1094" s="1232"/>
      <c r="N1094" s="1232"/>
      <c r="O1094" s="1232"/>
      <c r="P1094" s="1232"/>
      <c r="Q1094" s="1232"/>
      <c r="R1094" s="1232"/>
      <c r="S1094" s="1232"/>
      <c r="T1094" s="1232"/>
      <c r="U1094" s="1232"/>
      <c r="V1094" s="1232"/>
      <c r="W1094" s="1232"/>
      <c r="X1094" s="1232"/>
      <c r="Y1094" s="1232"/>
      <c r="Z1094" s="1232"/>
      <c r="AA1094" s="1232"/>
      <c r="AB1094" s="1232"/>
      <c r="AC1094" s="1232"/>
      <c r="AD1094" s="1232"/>
      <c r="AE1094" s="1232"/>
      <c r="AF1094" s="1232"/>
      <c r="AG1094" s="1232"/>
      <c r="AH1094" s="1232"/>
      <c r="AI1094" s="1232"/>
      <c r="AJ1094" s="1232"/>
      <c r="AK1094" s="1232"/>
      <c r="AL1094" s="1232"/>
      <c r="AM1094" s="1232"/>
      <c r="AN1094" s="1232"/>
      <c r="AO1094" s="1232"/>
      <c r="AP1094" s="1232"/>
      <c r="AQ1094" s="1232"/>
      <c r="AR1094" s="1232"/>
      <c r="AS1094" s="13"/>
    </row>
    <row r="1095" spans="1:45" ht="13" customHeight="1">
      <c r="A1095" s="1"/>
      <c r="B1095" s="1"/>
      <c r="C1095" s="1"/>
      <c r="D1095" s="1"/>
      <c r="E1095" s="1232"/>
      <c r="F1095" s="1232"/>
      <c r="G1095" s="1232"/>
      <c r="H1095" s="1232"/>
      <c r="I1095" s="1232"/>
      <c r="J1095" s="1232"/>
      <c r="K1095" s="1232"/>
      <c r="L1095" s="1232"/>
      <c r="M1095" s="1232"/>
      <c r="N1095" s="1232"/>
      <c r="O1095" s="1232"/>
      <c r="P1095" s="1232"/>
      <c r="Q1095" s="1232"/>
      <c r="R1095" s="1232"/>
      <c r="S1095" s="1232"/>
      <c r="T1095" s="1232"/>
      <c r="U1095" s="1232"/>
      <c r="V1095" s="1232"/>
      <c r="W1095" s="1232"/>
      <c r="X1095" s="1232"/>
      <c r="Y1095" s="1232"/>
      <c r="Z1095" s="1232"/>
      <c r="AA1095" s="1232"/>
      <c r="AB1095" s="1232"/>
      <c r="AC1095" s="1232"/>
      <c r="AD1095" s="1232"/>
      <c r="AE1095" s="1232"/>
      <c r="AF1095" s="1232"/>
      <c r="AG1095" s="1232"/>
      <c r="AH1095" s="1232"/>
      <c r="AI1095" s="1232"/>
      <c r="AJ1095" s="1232"/>
      <c r="AK1095" s="1232"/>
      <c r="AL1095" s="1232"/>
      <c r="AM1095" s="1232"/>
      <c r="AN1095" s="1232"/>
      <c r="AO1095" s="1232"/>
      <c r="AP1095" s="1232"/>
      <c r="AQ1095" s="1232"/>
      <c r="AR1095" s="1232"/>
      <c r="AS1095" s="13"/>
    </row>
    <row r="1096" spans="1:45" ht="13" customHeight="1">
      <c r="A1096" s="1"/>
      <c r="B1096" s="1"/>
      <c r="C1096" s="1377"/>
      <c r="D1096" s="1377"/>
      <c r="E1096" s="1232"/>
      <c r="F1096" s="1232"/>
      <c r="G1096" s="1232"/>
      <c r="H1096" s="1232"/>
      <c r="I1096" s="1232"/>
      <c r="J1096" s="1232"/>
      <c r="K1096" s="1232"/>
      <c r="L1096" s="1232"/>
      <c r="M1096" s="1232"/>
      <c r="N1096" s="1232"/>
      <c r="O1096" s="1232"/>
      <c r="P1096" s="1232"/>
      <c r="Q1096" s="1232"/>
      <c r="R1096" s="1232"/>
      <c r="S1096" s="1232"/>
      <c r="T1096" s="1232"/>
      <c r="U1096" s="1232"/>
      <c r="V1096" s="1232"/>
      <c r="W1096" s="1232"/>
      <c r="X1096" s="1232"/>
      <c r="Y1096" s="1232"/>
      <c r="Z1096" s="1232"/>
      <c r="AA1096" s="1232"/>
      <c r="AB1096" s="1232"/>
      <c r="AC1096" s="1232"/>
      <c r="AD1096" s="1232"/>
      <c r="AE1096" s="1232"/>
      <c r="AF1096" s="1232"/>
      <c r="AG1096" s="1232"/>
      <c r="AH1096" s="1232"/>
      <c r="AI1096" s="1232"/>
      <c r="AJ1096" s="1232"/>
      <c r="AK1096" s="1232"/>
      <c r="AL1096" s="1232"/>
      <c r="AM1096" s="1232"/>
      <c r="AN1096" s="1232"/>
      <c r="AO1096" s="1232"/>
      <c r="AP1096" s="1232"/>
      <c r="AQ1096" s="1232"/>
      <c r="AR1096" s="1232"/>
      <c r="AS1096" s="13"/>
    </row>
    <row r="1097" spans="1:45" ht="13" customHeight="1">
      <c r="A1097" s="84"/>
      <c r="B1097" s="21"/>
      <c r="C1097" s="1377"/>
      <c r="D1097" s="137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3" customHeight="1">
      <c r="A1098" s="1387" t="s">
        <v>826</v>
      </c>
      <c r="B1098" s="1387"/>
      <c r="C1098" s="1377">
        <v>7</v>
      </c>
      <c r="D1098" s="1377"/>
      <c r="E1098" s="1232" t="s">
        <v>1763</v>
      </c>
      <c r="F1098" s="1232"/>
      <c r="G1098" s="1232"/>
      <c r="H1098" s="1232"/>
      <c r="I1098" s="1232"/>
      <c r="J1098" s="1232"/>
      <c r="K1098" s="1232"/>
      <c r="L1098" s="1232"/>
      <c r="M1098" s="1232"/>
      <c r="N1098" s="1232"/>
      <c r="O1098" s="1232"/>
      <c r="P1098" s="1232"/>
      <c r="Q1098" s="1232"/>
      <c r="R1098" s="1232"/>
      <c r="S1098" s="1232"/>
      <c r="T1098" s="1232"/>
      <c r="U1098" s="1232"/>
      <c r="V1098" s="1232"/>
      <c r="W1098" s="1232"/>
      <c r="X1098" s="1232"/>
      <c r="Y1098" s="1232"/>
      <c r="Z1098" s="1232"/>
      <c r="AA1098" s="1232"/>
      <c r="AB1098" s="1232"/>
      <c r="AC1098" s="1232"/>
      <c r="AD1098" s="1232"/>
      <c r="AE1098" s="1232"/>
      <c r="AF1098" s="1232"/>
      <c r="AG1098" s="1232"/>
      <c r="AH1098" s="1232"/>
      <c r="AI1098" s="1232"/>
      <c r="AJ1098" s="1232"/>
      <c r="AK1098" s="1232"/>
      <c r="AL1098" s="1232"/>
      <c r="AM1098" s="1232"/>
      <c r="AN1098" s="1232"/>
      <c r="AO1098" s="1232"/>
      <c r="AP1098" s="1232"/>
      <c r="AQ1098" s="1232"/>
      <c r="AR1098" s="1232"/>
      <c r="AS1098" s="13"/>
    </row>
    <row r="1099" spans="1:45" ht="13" customHeight="1">
      <c r="A1099" s="1"/>
      <c r="B1099" s="1"/>
      <c r="C1099" s="1377"/>
      <c r="D1099" s="1377"/>
      <c r="E1099" s="1232"/>
      <c r="F1099" s="1232"/>
      <c r="G1099" s="1232"/>
      <c r="H1099" s="1232"/>
      <c r="I1099" s="1232"/>
      <c r="J1099" s="1232"/>
      <c r="K1099" s="1232"/>
      <c r="L1099" s="1232"/>
      <c r="M1099" s="1232"/>
      <c r="N1099" s="1232"/>
      <c r="O1099" s="1232"/>
      <c r="P1099" s="1232"/>
      <c r="Q1099" s="1232"/>
      <c r="R1099" s="1232"/>
      <c r="S1099" s="1232"/>
      <c r="T1099" s="1232"/>
      <c r="U1099" s="1232"/>
      <c r="V1099" s="1232"/>
      <c r="W1099" s="1232"/>
      <c r="X1099" s="1232"/>
      <c r="Y1099" s="1232"/>
      <c r="Z1099" s="1232"/>
      <c r="AA1099" s="1232"/>
      <c r="AB1099" s="1232"/>
      <c r="AC1099" s="1232"/>
      <c r="AD1099" s="1232"/>
      <c r="AE1099" s="1232"/>
      <c r="AF1099" s="1232"/>
      <c r="AG1099" s="1232"/>
      <c r="AH1099" s="1232"/>
      <c r="AI1099" s="1232"/>
      <c r="AJ1099" s="1232"/>
      <c r="AK1099" s="1232"/>
      <c r="AL1099" s="1232"/>
      <c r="AM1099" s="1232"/>
      <c r="AN1099" s="1232"/>
      <c r="AO1099" s="1232"/>
      <c r="AP1099" s="1232"/>
      <c r="AQ1099" s="1232"/>
      <c r="AR1099" s="1232"/>
      <c r="AS1099" s="13"/>
    </row>
    <row r="1100" spans="1:45" ht="13" customHeight="1">
      <c r="A1100" s="1"/>
      <c r="B1100" s="1"/>
      <c r="C1100" s="1377"/>
      <c r="D1100" s="1377"/>
      <c r="E1100" s="1232"/>
      <c r="F1100" s="1232"/>
      <c r="G1100" s="1232"/>
      <c r="H1100" s="1232"/>
      <c r="I1100" s="1232"/>
      <c r="J1100" s="1232"/>
      <c r="K1100" s="1232"/>
      <c r="L1100" s="1232"/>
      <c r="M1100" s="1232"/>
      <c r="N1100" s="1232"/>
      <c r="O1100" s="1232"/>
      <c r="P1100" s="1232"/>
      <c r="Q1100" s="1232"/>
      <c r="R1100" s="1232"/>
      <c r="S1100" s="1232"/>
      <c r="T1100" s="1232"/>
      <c r="U1100" s="1232"/>
      <c r="V1100" s="1232"/>
      <c r="W1100" s="1232"/>
      <c r="X1100" s="1232"/>
      <c r="Y1100" s="1232"/>
      <c r="Z1100" s="1232"/>
      <c r="AA1100" s="1232"/>
      <c r="AB1100" s="1232"/>
      <c r="AC1100" s="1232"/>
      <c r="AD1100" s="1232"/>
      <c r="AE1100" s="1232"/>
      <c r="AF1100" s="1232"/>
      <c r="AG1100" s="1232"/>
      <c r="AH1100" s="1232"/>
      <c r="AI1100" s="1232"/>
      <c r="AJ1100" s="1232"/>
      <c r="AK1100" s="1232"/>
      <c r="AL1100" s="1232"/>
      <c r="AM1100" s="1232"/>
      <c r="AN1100" s="1232"/>
      <c r="AO1100" s="1232"/>
      <c r="AP1100" s="1232"/>
      <c r="AQ1100" s="1232"/>
      <c r="AR1100" s="1232"/>
      <c r="AS1100" s="13"/>
    </row>
    <row r="1101" spans="1:45" ht="13" customHeight="1">
      <c r="A1101" s="1"/>
      <c r="B1101" s="1"/>
      <c r="C1101" s="1377"/>
      <c r="D1101" s="137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3" customHeight="1">
      <c r="A1102" s="84"/>
      <c r="B1102" s="21"/>
      <c r="C1102" s="1377"/>
      <c r="D1102" s="137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3" customHeight="1">
      <c r="A1103" s="1387" t="s">
        <v>826</v>
      </c>
      <c r="B1103" s="1387"/>
      <c r="C1103" s="1377">
        <v>8</v>
      </c>
      <c r="D1103" s="1377"/>
      <c r="E1103" s="1232" t="s">
        <v>1764</v>
      </c>
      <c r="F1103" s="1232"/>
      <c r="G1103" s="1232"/>
      <c r="H1103" s="1232"/>
      <c r="I1103" s="1232"/>
      <c r="J1103" s="1232"/>
      <c r="K1103" s="1232"/>
      <c r="L1103" s="1232"/>
      <c r="M1103" s="1232"/>
      <c r="N1103" s="1232"/>
      <c r="O1103" s="1232"/>
      <c r="P1103" s="1232"/>
      <c r="Q1103" s="1232"/>
      <c r="R1103" s="1232"/>
      <c r="S1103" s="1232"/>
      <c r="T1103" s="1232"/>
      <c r="U1103" s="1232"/>
      <c r="V1103" s="1232"/>
      <c r="W1103" s="1232"/>
      <c r="X1103" s="1232"/>
      <c r="Y1103" s="1232"/>
      <c r="Z1103" s="1232"/>
      <c r="AA1103" s="1232"/>
      <c r="AB1103" s="1232"/>
      <c r="AC1103" s="1232"/>
      <c r="AD1103" s="1232"/>
      <c r="AE1103" s="1232"/>
      <c r="AF1103" s="1232"/>
      <c r="AG1103" s="1232"/>
      <c r="AH1103" s="1232"/>
      <c r="AI1103" s="1232"/>
      <c r="AJ1103" s="1232"/>
      <c r="AK1103" s="1232"/>
      <c r="AL1103" s="1232"/>
      <c r="AM1103" s="1232"/>
      <c r="AN1103" s="1232"/>
      <c r="AO1103" s="1232"/>
      <c r="AP1103" s="1232"/>
      <c r="AQ1103" s="1232"/>
      <c r="AR1103" s="1232"/>
    </row>
    <row r="1104" spans="1:45" ht="13" customHeight="1">
      <c r="A1104" s="84"/>
      <c r="B1104" s="21"/>
      <c r="C1104" s="1377"/>
      <c r="D1104" s="1377"/>
      <c r="E1104" s="1232"/>
      <c r="F1104" s="1232"/>
      <c r="G1104" s="1232"/>
      <c r="H1104" s="1232"/>
      <c r="I1104" s="1232"/>
      <c r="J1104" s="1232"/>
      <c r="K1104" s="1232"/>
      <c r="L1104" s="1232"/>
      <c r="M1104" s="1232"/>
      <c r="N1104" s="1232"/>
      <c r="O1104" s="1232"/>
      <c r="P1104" s="1232"/>
      <c r="Q1104" s="1232"/>
      <c r="R1104" s="1232"/>
      <c r="S1104" s="1232"/>
      <c r="T1104" s="1232"/>
      <c r="U1104" s="1232"/>
      <c r="V1104" s="1232"/>
      <c r="W1104" s="1232"/>
      <c r="X1104" s="1232"/>
      <c r="Y1104" s="1232"/>
      <c r="Z1104" s="1232"/>
      <c r="AA1104" s="1232"/>
      <c r="AB1104" s="1232"/>
      <c r="AC1104" s="1232"/>
      <c r="AD1104" s="1232"/>
      <c r="AE1104" s="1232"/>
      <c r="AF1104" s="1232"/>
      <c r="AG1104" s="1232"/>
      <c r="AH1104" s="1232"/>
      <c r="AI1104" s="1232"/>
      <c r="AJ1104" s="1232"/>
      <c r="AK1104" s="1232"/>
      <c r="AL1104" s="1232"/>
      <c r="AM1104" s="1232"/>
      <c r="AN1104" s="1232"/>
      <c r="AO1104" s="1232"/>
      <c r="AP1104" s="1232"/>
      <c r="AQ1104" s="1232"/>
      <c r="AR1104" s="1232"/>
    </row>
    <row r="1105" spans="1:44" ht="13" customHeight="1">
      <c r="A1105" s="84"/>
      <c r="B1105" s="21"/>
      <c r="C1105" s="1377"/>
      <c r="D1105" s="137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3" customHeight="1">
      <c r="A1106" s="1387" t="s">
        <v>826</v>
      </c>
      <c r="B1106" s="1387"/>
      <c r="C1106" s="1596">
        <v>9</v>
      </c>
      <c r="D1106" s="1596"/>
      <c r="E1106" s="1232" t="s">
        <v>1765</v>
      </c>
      <c r="F1106" s="1232"/>
      <c r="G1106" s="1232"/>
      <c r="H1106" s="1232"/>
      <c r="I1106" s="1232"/>
      <c r="J1106" s="1232"/>
      <c r="K1106" s="1232"/>
      <c r="L1106" s="1232"/>
      <c r="M1106" s="1232"/>
      <c r="N1106" s="1232"/>
      <c r="O1106" s="1232"/>
      <c r="P1106" s="1232"/>
      <c r="Q1106" s="1232"/>
      <c r="R1106" s="1232"/>
      <c r="S1106" s="1232"/>
      <c r="T1106" s="1232"/>
      <c r="U1106" s="1232"/>
      <c r="V1106" s="1232"/>
      <c r="W1106" s="1232"/>
      <c r="X1106" s="1232"/>
      <c r="Y1106" s="1232"/>
      <c r="Z1106" s="1232"/>
      <c r="AA1106" s="1232"/>
      <c r="AB1106" s="1232"/>
      <c r="AC1106" s="1232"/>
      <c r="AD1106" s="1232"/>
      <c r="AE1106" s="1232"/>
      <c r="AF1106" s="1232"/>
      <c r="AG1106" s="1232"/>
      <c r="AH1106" s="1232"/>
      <c r="AI1106" s="1232"/>
      <c r="AJ1106" s="1232"/>
      <c r="AK1106" s="1232"/>
      <c r="AL1106" s="1232"/>
      <c r="AM1106" s="1232"/>
      <c r="AN1106" s="1232"/>
      <c r="AO1106" s="1232"/>
      <c r="AP1106" s="1232"/>
      <c r="AQ1106" s="1232"/>
      <c r="AR1106" s="1232"/>
    </row>
    <row r="1107" spans="1:44" ht="13" customHeight="1">
      <c r="A1107" s="1"/>
      <c r="B1107" s="1"/>
      <c r="C1107" s="1596"/>
      <c r="D1107" s="1596"/>
      <c r="E1107" s="1232"/>
      <c r="F1107" s="1232"/>
      <c r="G1107" s="1232"/>
      <c r="H1107" s="1232"/>
      <c r="I1107" s="1232"/>
      <c r="J1107" s="1232"/>
      <c r="K1107" s="1232"/>
      <c r="L1107" s="1232"/>
      <c r="M1107" s="1232"/>
      <c r="N1107" s="1232"/>
      <c r="O1107" s="1232"/>
      <c r="P1107" s="1232"/>
      <c r="Q1107" s="1232"/>
      <c r="R1107" s="1232"/>
      <c r="S1107" s="1232"/>
      <c r="T1107" s="1232"/>
      <c r="U1107" s="1232"/>
      <c r="V1107" s="1232"/>
      <c r="W1107" s="1232"/>
      <c r="X1107" s="1232"/>
      <c r="Y1107" s="1232"/>
      <c r="Z1107" s="1232"/>
      <c r="AA1107" s="1232"/>
      <c r="AB1107" s="1232"/>
      <c r="AC1107" s="1232"/>
      <c r="AD1107" s="1232"/>
      <c r="AE1107" s="1232"/>
      <c r="AF1107" s="1232"/>
      <c r="AG1107" s="1232"/>
      <c r="AH1107" s="1232"/>
      <c r="AI1107" s="1232"/>
      <c r="AJ1107" s="1232"/>
      <c r="AK1107" s="1232"/>
      <c r="AL1107" s="1232"/>
      <c r="AM1107" s="1232"/>
      <c r="AN1107" s="1232"/>
      <c r="AO1107" s="1232"/>
      <c r="AP1107" s="1232"/>
      <c r="AQ1107" s="1232"/>
      <c r="AR1107" s="1232"/>
    </row>
    <row r="1108" spans="1:44" ht="13" customHeight="1">
      <c r="A1108" s="84"/>
      <c r="B1108" s="21"/>
      <c r="C1108" s="1596"/>
      <c r="D1108" s="1596"/>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3" customHeight="1">
      <c r="A1109" s="1387" t="s">
        <v>826</v>
      </c>
      <c r="B1109" s="1387"/>
      <c r="C1109" s="1596">
        <v>10</v>
      </c>
      <c r="D1109" s="1596"/>
      <c r="E1109" s="1308" t="s">
        <v>1766</v>
      </c>
      <c r="F1109" s="1308"/>
      <c r="G1109" s="1308"/>
      <c r="H1109" s="1308"/>
      <c r="I1109" s="1308"/>
      <c r="J1109" s="1308"/>
      <c r="K1109" s="1308"/>
      <c r="L1109" s="1308"/>
      <c r="M1109" s="1308"/>
      <c r="N1109" s="1308"/>
      <c r="O1109" s="1308"/>
      <c r="P1109" s="1308"/>
      <c r="Q1109" s="1308"/>
      <c r="R1109" s="1308"/>
      <c r="S1109" s="1308"/>
      <c r="T1109" s="1308"/>
      <c r="U1109" s="1308"/>
      <c r="V1109" s="1308"/>
      <c r="W1109" s="1308"/>
      <c r="X1109" s="1308"/>
      <c r="Y1109" s="1308"/>
      <c r="Z1109" s="1308"/>
      <c r="AA1109" s="1308"/>
      <c r="AB1109" s="1308"/>
      <c r="AC1109" s="1308"/>
      <c r="AD1109" s="1308"/>
      <c r="AE1109" s="1308"/>
      <c r="AF1109" s="1308"/>
      <c r="AG1109" s="1308"/>
      <c r="AH1109" s="1308"/>
      <c r="AI1109" s="1308"/>
      <c r="AJ1109" s="1308"/>
      <c r="AK1109" s="1308"/>
      <c r="AL1109" s="1308"/>
      <c r="AM1109" s="1308"/>
      <c r="AN1109" s="1308"/>
      <c r="AO1109" s="1308"/>
      <c r="AP1109" s="1308"/>
      <c r="AQ1109" s="1308"/>
      <c r="AR1109" s="1308"/>
    </row>
    <row r="1110" spans="1:44" ht="13" customHeight="1">
      <c r="A1110" s="1"/>
      <c r="B1110" s="1"/>
      <c r="C1110" s="1206"/>
      <c r="D1110" s="1043"/>
      <c r="E1110" s="1308"/>
      <c r="F1110" s="1308"/>
      <c r="G1110" s="1308"/>
      <c r="H1110" s="1308"/>
      <c r="I1110" s="1308"/>
      <c r="J1110" s="1308"/>
      <c r="K1110" s="1308"/>
      <c r="L1110" s="1308"/>
      <c r="M1110" s="1308"/>
      <c r="N1110" s="1308"/>
      <c r="O1110" s="1308"/>
      <c r="P1110" s="1308"/>
      <c r="Q1110" s="1308"/>
      <c r="R1110" s="1308"/>
      <c r="S1110" s="1308"/>
      <c r="T1110" s="1308"/>
      <c r="U1110" s="1308"/>
      <c r="V1110" s="1308"/>
      <c r="W1110" s="1308"/>
      <c r="X1110" s="1308"/>
      <c r="Y1110" s="1308"/>
      <c r="Z1110" s="1308"/>
      <c r="AA1110" s="1308"/>
      <c r="AB1110" s="1308"/>
      <c r="AC1110" s="1308"/>
      <c r="AD1110" s="1308"/>
      <c r="AE1110" s="1308"/>
      <c r="AF1110" s="1308"/>
      <c r="AG1110" s="1308"/>
      <c r="AH1110" s="1308"/>
      <c r="AI1110" s="1308"/>
      <c r="AJ1110" s="1308"/>
      <c r="AK1110" s="1308"/>
      <c r="AL1110" s="1308"/>
      <c r="AM1110" s="1308"/>
      <c r="AN1110" s="1308"/>
      <c r="AO1110" s="1308"/>
      <c r="AP1110" s="1308"/>
      <c r="AQ1110" s="1308"/>
      <c r="AR1110" s="1308"/>
    </row>
    <row r="1111" spans="1:44" ht="13"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3" customHeight="1">
      <c r="A1112" s="1387" t="s">
        <v>826</v>
      </c>
      <c r="B1112" s="1387"/>
      <c r="C1112" s="1596">
        <v>11</v>
      </c>
      <c r="D1112" s="1596"/>
      <c r="E1112" s="1308" t="s">
        <v>1767</v>
      </c>
      <c r="F1112" s="1308"/>
      <c r="G1112" s="1308"/>
      <c r="H1112" s="1308"/>
      <c r="I1112" s="1308"/>
      <c r="J1112" s="1308"/>
      <c r="K1112" s="1308"/>
      <c r="L1112" s="1308"/>
      <c r="M1112" s="1308"/>
      <c r="N1112" s="1308"/>
      <c r="O1112" s="1308"/>
      <c r="P1112" s="1308"/>
      <c r="Q1112" s="1308"/>
      <c r="R1112" s="1308"/>
      <c r="S1112" s="1308"/>
      <c r="T1112" s="1308"/>
      <c r="U1112" s="1308"/>
      <c r="V1112" s="1308"/>
      <c r="W1112" s="1308"/>
      <c r="X1112" s="1308"/>
      <c r="Y1112" s="1308"/>
      <c r="Z1112" s="1308"/>
      <c r="AA1112" s="1308"/>
      <c r="AB1112" s="1308"/>
      <c r="AC1112" s="1308"/>
      <c r="AD1112" s="1308"/>
      <c r="AE1112" s="1308"/>
      <c r="AF1112" s="1308"/>
      <c r="AG1112" s="1308"/>
      <c r="AH1112" s="1308"/>
      <c r="AI1112" s="1308"/>
      <c r="AJ1112" s="1308"/>
      <c r="AK1112" s="1308"/>
      <c r="AL1112" s="1308"/>
      <c r="AM1112" s="1308"/>
      <c r="AN1112" s="1308"/>
      <c r="AO1112" s="1308"/>
      <c r="AP1112" s="1308"/>
      <c r="AQ1112" s="1308"/>
      <c r="AR1112" s="1308"/>
    </row>
    <row r="1113" spans="1:44" ht="13" customHeight="1">
      <c r="A1113" s="1"/>
      <c r="B1113" s="1"/>
      <c r="C1113" s="1206"/>
      <c r="D1113" s="1043"/>
      <c r="E1113" s="1308"/>
      <c r="F1113" s="1308"/>
      <c r="G1113" s="1308"/>
      <c r="H1113" s="1308"/>
      <c r="I1113" s="1308"/>
      <c r="J1113" s="1308"/>
      <c r="K1113" s="1308"/>
      <c r="L1113" s="1308"/>
      <c r="M1113" s="1308"/>
      <c r="N1113" s="1308"/>
      <c r="O1113" s="1308"/>
      <c r="P1113" s="1308"/>
      <c r="Q1113" s="1308"/>
      <c r="R1113" s="1308"/>
      <c r="S1113" s="1308"/>
      <c r="T1113" s="1308"/>
      <c r="U1113" s="1308"/>
      <c r="V1113" s="1308"/>
      <c r="W1113" s="1308"/>
      <c r="X1113" s="1308"/>
      <c r="Y1113" s="1308"/>
      <c r="Z1113" s="1308"/>
      <c r="AA1113" s="1308"/>
      <c r="AB1113" s="1308"/>
      <c r="AC1113" s="1308"/>
      <c r="AD1113" s="1308"/>
      <c r="AE1113" s="1308"/>
      <c r="AF1113" s="1308"/>
      <c r="AG1113" s="1308"/>
      <c r="AH1113" s="1308"/>
      <c r="AI1113" s="1308"/>
      <c r="AJ1113" s="1308"/>
      <c r="AK1113" s="1308"/>
      <c r="AL1113" s="1308"/>
      <c r="AM1113" s="1308"/>
      <c r="AN1113" s="1308"/>
      <c r="AO1113" s="1308"/>
      <c r="AP1113" s="1308"/>
      <c r="AQ1113" s="1308"/>
      <c r="AR1113" s="1308"/>
    </row>
    <row r="1114" spans="1:44" ht="13"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3"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3"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3"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3"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3"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3"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3"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3"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3"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3"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3"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3"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3"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3"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3"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3"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3"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87" t="s">
        <v>826</v>
      </c>
      <c r="B1134" s="1387"/>
      <c r="C1134" s="1206">
        <v>9</v>
      </c>
      <c r="D1134" s="1241" t="s">
        <v>1768</v>
      </c>
      <c r="E1134" s="1241"/>
      <c r="F1134" s="1241"/>
      <c r="G1134" s="1241"/>
      <c r="H1134" s="1241"/>
      <c r="I1134" s="1241"/>
      <c r="J1134" s="1241"/>
      <c r="K1134" s="1241"/>
      <c r="L1134" s="1241"/>
      <c r="M1134" s="1241"/>
      <c r="N1134" s="1241"/>
      <c r="O1134" s="1241"/>
      <c r="P1134" s="1241"/>
      <c r="Q1134" s="1241"/>
      <c r="R1134" s="1241"/>
      <c r="S1134" s="1241"/>
      <c r="T1134" s="1241"/>
      <c r="U1134" s="1241"/>
      <c r="V1134" s="1241"/>
      <c r="W1134" s="1241"/>
      <c r="X1134" s="1241"/>
      <c r="Y1134" s="1241"/>
      <c r="Z1134" s="1241"/>
      <c r="AA1134" s="1241"/>
      <c r="AB1134" s="1241"/>
      <c r="AC1134" s="1241"/>
      <c r="AD1134" s="1241"/>
      <c r="AE1134" s="1241"/>
      <c r="AF1134" s="1241"/>
      <c r="AG1134" s="1241"/>
      <c r="AH1134" s="1241"/>
      <c r="AI1134" s="1241"/>
      <c r="AJ1134" s="1241"/>
      <c r="AK1134" s="1241"/>
    </row>
    <row r="1135" spans="1:37" ht="0" hidden="1" customHeight="1">
      <c r="A1135" s="84"/>
      <c r="B1135" s="21"/>
      <c r="C1135" s="1206"/>
      <c r="D1135" s="1241"/>
      <c r="E1135" s="1241"/>
      <c r="F1135" s="1241"/>
      <c r="G1135" s="1241"/>
      <c r="H1135" s="1241"/>
      <c r="I1135" s="1241"/>
      <c r="J1135" s="1241"/>
      <c r="K1135" s="1241"/>
      <c r="L1135" s="1241"/>
      <c r="M1135" s="1241"/>
      <c r="N1135" s="1241"/>
      <c r="O1135" s="1241"/>
      <c r="P1135" s="1241"/>
      <c r="Q1135" s="1241"/>
      <c r="R1135" s="1241"/>
      <c r="S1135" s="1241"/>
      <c r="T1135" s="1241"/>
      <c r="U1135" s="1241"/>
      <c r="V1135" s="1241"/>
      <c r="W1135" s="1241"/>
      <c r="X1135" s="1241"/>
      <c r="Y1135" s="1241"/>
      <c r="Z1135" s="1241"/>
      <c r="AA1135" s="1241"/>
      <c r="AB1135" s="1241"/>
      <c r="AC1135" s="1241"/>
      <c r="AD1135" s="1241"/>
      <c r="AE1135" s="1241"/>
      <c r="AF1135" s="1241"/>
      <c r="AG1135" s="1241"/>
      <c r="AH1135" s="1241"/>
      <c r="AI1135" s="1241"/>
      <c r="AJ1135" s="1241"/>
      <c r="AK1135" s="1241"/>
    </row>
    <row r="1136" spans="1:37" ht="0" hidden="1" customHeight="1">
      <c r="D1136" s="1241"/>
      <c r="E1136" s="1241"/>
      <c r="F1136" s="1241"/>
      <c r="G1136" s="1241"/>
      <c r="H1136" s="1241"/>
      <c r="I1136" s="1241"/>
      <c r="J1136" s="1241"/>
      <c r="K1136" s="1241"/>
      <c r="L1136" s="1241"/>
      <c r="M1136" s="1241"/>
      <c r="N1136" s="1241"/>
      <c r="O1136" s="1241"/>
      <c r="P1136" s="1241"/>
      <c r="Q1136" s="1241"/>
      <c r="R1136" s="1241"/>
      <c r="S1136" s="1241"/>
      <c r="T1136" s="1241"/>
      <c r="U1136" s="1241"/>
      <c r="V1136" s="1241"/>
      <c r="W1136" s="1241"/>
      <c r="X1136" s="1241"/>
      <c r="Y1136" s="1241"/>
      <c r="Z1136" s="1241"/>
      <c r="AA1136" s="1241"/>
      <c r="AB1136" s="1241"/>
      <c r="AC1136" s="1241"/>
      <c r="AD1136" s="1241"/>
      <c r="AE1136" s="1241"/>
      <c r="AF1136" s="1241"/>
      <c r="AG1136" s="1241"/>
      <c r="AH1136" s="1241"/>
      <c r="AI1136" s="1241"/>
      <c r="AJ1136" s="1241"/>
      <c r="AK1136" s="1241"/>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C1089:D1089"/>
    <mergeCell ref="C1090:D1090"/>
    <mergeCell ref="A1079:B1079"/>
    <mergeCell ref="C1098:D1098"/>
    <mergeCell ref="AA344:AK344"/>
    <mergeCell ref="AA347:AK347"/>
    <mergeCell ref="AA346:AK346"/>
    <mergeCell ref="AA345:AK345"/>
    <mergeCell ref="AA348:AF348"/>
    <mergeCell ref="AA350:AK350"/>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AA979:AG979"/>
    <mergeCell ref="AF1032:AI1033"/>
    <mergeCell ref="M979:S979"/>
    <mergeCell ref="AA980:AG980"/>
    <mergeCell ref="T981:Z981"/>
    <mergeCell ref="M984:S984"/>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P679:R679"/>
    <mergeCell ref="Q639:S639"/>
    <mergeCell ref="T640:V640"/>
    <mergeCell ref="AK641:AN641"/>
    <mergeCell ref="G663:L663"/>
    <mergeCell ref="H664:R664"/>
    <mergeCell ref="AC741:AG741"/>
    <mergeCell ref="AG657:AH657"/>
    <mergeCell ref="H696:R696"/>
    <mergeCell ref="X739:AB739"/>
    <mergeCell ref="AH740:AJ740"/>
    <mergeCell ref="G736:J736"/>
    <mergeCell ref="O745:S745"/>
    <mergeCell ref="AK738:AO738"/>
    <mergeCell ref="AE971:AK971"/>
    <mergeCell ref="M970:S970"/>
    <mergeCell ref="AK757:AO757"/>
    <mergeCell ref="AK759:AO759"/>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AO645:AS645"/>
    <mergeCell ref="T744:W744"/>
    <mergeCell ref="G667:R667"/>
    <mergeCell ref="O758:S758"/>
    <mergeCell ref="K753:N753"/>
    <mergeCell ref="T748:W748"/>
    <mergeCell ref="G749:J749"/>
    <mergeCell ref="O750:S750"/>
    <mergeCell ref="AC755:AG755"/>
    <mergeCell ref="T760:W760"/>
    <mergeCell ref="T746:W746"/>
    <mergeCell ref="O748:S748"/>
    <mergeCell ref="K749:N749"/>
    <mergeCell ref="X748:AB748"/>
    <mergeCell ref="AA952:AF952"/>
    <mergeCell ref="AE970:AK970"/>
    <mergeCell ref="A69:AT70"/>
    <mergeCell ref="A72:AT73"/>
    <mergeCell ref="A552:AT553"/>
    <mergeCell ref="A488:AT489"/>
    <mergeCell ref="A360:AT361"/>
    <mergeCell ref="I401:N401"/>
    <mergeCell ref="M366:N366"/>
    <mergeCell ref="J394:U394"/>
    <mergeCell ref="Q643:S643"/>
    <mergeCell ref="AI340:AK340"/>
    <mergeCell ref="AH512:AK512"/>
    <mergeCell ref="AM572:AS572"/>
    <mergeCell ref="AM574:AS574"/>
    <mergeCell ref="Z588:AK588"/>
    <mergeCell ref="G593:R593"/>
    <mergeCell ref="AG583:AH583"/>
    <mergeCell ref="H598:R598"/>
    <mergeCell ref="AG615:AH615"/>
    <mergeCell ref="C571:L571"/>
    <mergeCell ref="AE573:AH573"/>
    <mergeCell ref="G586:R586"/>
    <mergeCell ref="AH543:AK543"/>
    <mergeCell ref="AM566:AS566"/>
    <mergeCell ref="AE572:AH572"/>
    <mergeCell ref="B632:L634"/>
    <mergeCell ref="AI563:AL563"/>
    <mergeCell ref="G597:L597"/>
    <mergeCell ref="G589:L589"/>
    <mergeCell ref="P605:R605"/>
    <mergeCell ref="G605:L605"/>
    <mergeCell ref="Z563:AD563"/>
    <mergeCell ref="O543:AA54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13:AT14"/>
    <mergeCell ref="EM644:EQ644"/>
    <mergeCell ref="AM564:AS564"/>
    <mergeCell ref="AI570:AL570"/>
    <mergeCell ref="Z576:AK576"/>
    <mergeCell ref="Z579:AK579"/>
    <mergeCell ref="AI572:AL572"/>
    <mergeCell ref="T569:V569"/>
    <mergeCell ref="M644:P644"/>
    <mergeCell ref="H614:R614"/>
    <mergeCell ref="G618:R618"/>
    <mergeCell ref="Q636:S636"/>
    <mergeCell ref="Q637:S637"/>
    <mergeCell ref="Z635:AB635"/>
    <mergeCell ref="W642:Y642"/>
    <mergeCell ref="C642:L642"/>
    <mergeCell ref="C638:L638"/>
    <mergeCell ref="N623:O623"/>
    <mergeCell ref="H622:R622"/>
    <mergeCell ref="P597:R597"/>
    <mergeCell ref="Z596:AK596"/>
    <mergeCell ref="AA606:AK606"/>
    <mergeCell ref="C636:L636"/>
    <mergeCell ref="Z618:AK618"/>
    <mergeCell ref="AF636:AJ636"/>
    <mergeCell ref="N607:O607"/>
    <mergeCell ref="Z603:AK603"/>
    <mergeCell ref="G611:R611"/>
    <mergeCell ref="AK636:AN636"/>
    <mergeCell ref="AI621:AK621"/>
    <mergeCell ref="M573:P573"/>
    <mergeCell ref="Z612:AK612"/>
    <mergeCell ref="Z617:AK617"/>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Z632:AB634"/>
    <mergeCell ref="AI589:AK589"/>
    <mergeCell ref="AK635:AN635"/>
    <mergeCell ref="AM573:AS573"/>
    <mergeCell ref="AE571:AH571"/>
    <mergeCell ref="AC511:AF511"/>
    <mergeCell ref="AC521:AF521"/>
    <mergeCell ref="AA688:AK688"/>
    <mergeCell ref="H590:R590"/>
    <mergeCell ref="Z587:AK587"/>
    <mergeCell ref="G609:R609"/>
    <mergeCell ref="AG607:AH607"/>
    <mergeCell ref="DO782:DS782"/>
    <mergeCell ref="DU761:DY761"/>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AK734:AO734"/>
    <mergeCell ref="DJ742:DN742"/>
    <mergeCell ref="CP797:CT797"/>
    <mergeCell ref="CP795:CT795"/>
    <mergeCell ref="DO733:DS733"/>
    <mergeCell ref="AK758:AO758"/>
    <mergeCell ref="CG744:CH744"/>
    <mergeCell ref="CI748:CJ748"/>
    <mergeCell ref="DJ738:DN738"/>
    <mergeCell ref="DJ735:DN735"/>
    <mergeCell ref="DJ734:DN734"/>
    <mergeCell ref="CI733:CJ733"/>
    <mergeCell ref="CZ740:DD740"/>
    <mergeCell ref="DO781:DS781"/>
    <mergeCell ref="DJ759:DN759"/>
    <mergeCell ref="CP785:CT785"/>
    <mergeCell ref="CP781:CT781"/>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DZ729:ED729"/>
    <mergeCell ref="DZ730:ED730"/>
    <mergeCell ref="DU725:DY725"/>
    <mergeCell ref="DU747:DY747"/>
    <mergeCell ref="DZ747:ED747"/>
    <mergeCell ref="EO740:ES740"/>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CP761:CT761"/>
    <mergeCell ref="DO747:DS747"/>
    <mergeCell ref="CZ783:DD783"/>
    <mergeCell ref="CZ784:DD784"/>
    <mergeCell ref="DE784:DI784"/>
    <mergeCell ref="DJ754:DN754"/>
    <mergeCell ref="DE758:DI758"/>
    <mergeCell ref="DO762:DS762"/>
    <mergeCell ref="DE761:DI761"/>
    <mergeCell ref="DO759:DS759"/>
    <mergeCell ref="DO760:DS760"/>
    <mergeCell ref="EZ760:FD760"/>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K759:CL759"/>
    <mergeCell ref="CP783:CT783"/>
    <mergeCell ref="CP784:CT784"/>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EE747:EI747"/>
    <mergeCell ref="DO761:DS761"/>
    <mergeCell ref="DJ758:DN758"/>
    <mergeCell ref="DO757:DS757"/>
    <mergeCell ref="DE756:DI756"/>
    <mergeCell ref="DJ756:DN756"/>
    <mergeCell ref="DO756:DS756"/>
    <mergeCell ref="DE755:DI755"/>
    <mergeCell ref="EJ754:EN754"/>
    <mergeCell ref="EO754:ES754"/>
    <mergeCell ref="EJ747:EN747"/>
    <mergeCell ref="DJ746:DN746"/>
    <mergeCell ref="EO745:ES745"/>
    <mergeCell ref="EO748:ES748"/>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EJ743:EN743"/>
    <mergeCell ref="EO743:ES743"/>
    <mergeCell ref="DZ743:ED743"/>
    <mergeCell ref="ET745:EX745"/>
    <mergeCell ref="EJ761:EN761"/>
    <mergeCell ref="DO748:DS748"/>
    <mergeCell ref="DJ748:DN748"/>
    <mergeCell ref="DE759:DI759"/>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H661:EL661"/>
    <mergeCell ref="EM661:EQ661"/>
    <mergeCell ref="EW663:FA663"/>
    <mergeCell ref="EJ737:EN737"/>
    <mergeCell ref="EJ725:EN725"/>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O728:DS728"/>
    <mergeCell ref="DX653:EB653"/>
    <mergeCell ref="EW649:FA649"/>
    <mergeCell ref="EW674:FA674"/>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M678:EQ678"/>
    <mergeCell ref="EW668:FA668"/>
    <mergeCell ref="DX669:EB669"/>
    <mergeCell ref="ER661:EV661"/>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R677:EV677"/>
    <mergeCell ref="ER676:EV676"/>
    <mergeCell ref="EE733:EI733"/>
    <mergeCell ref="EE734:EI734"/>
    <mergeCell ref="EM649:EQ649"/>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DX672:EB67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EW676:FA676"/>
    <mergeCell ref="FE733:FI733"/>
    <mergeCell ref="EZ732:FD732"/>
    <mergeCell ref="FY733:GC733"/>
    <mergeCell ref="FT732:FX732"/>
    <mergeCell ref="FY732:GC732"/>
    <mergeCell ref="FJ732:FN732"/>
    <mergeCell ref="FO732:FS732"/>
    <mergeCell ref="FE732:FI732"/>
    <mergeCell ref="FE734:FI734"/>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J748:FN748"/>
    <mergeCell ref="FE741:FI741"/>
    <mergeCell ref="DZ740:ED740"/>
    <mergeCell ref="EE740:EI740"/>
    <mergeCell ref="EJ740:EN740"/>
    <mergeCell ref="DU739:DY739"/>
    <mergeCell ref="EO739:ES739"/>
    <mergeCell ref="DZ736:ED736"/>
    <mergeCell ref="EZ734:FD734"/>
    <mergeCell ref="ET737:EX737"/>
    <mergeCell ref="DU734:DY734"/>
    <mergeCell ref="FT757:FX757"/>
    <mergeCell ref="FJ755:FN755"/>
    <mergeCell ref="FO755:FS755"/>
    <mergeCell ref="FT755:FX755"/>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EE736:EI736"/>
    <mergeCell ref="EJ736:EN736"/>
    <mergeCell ref="EO735:ES735"/>
    <mergeCell ref="FY735:GC735"/>
    <mergeCell ref="FE735:FI735"/>
    <mergeCell ref="FJ735:FN735"/>
    <mergeCell ref="FO735:FS735"/>
    <mergeCell ref="FT735:FX735"/>
    <mergeCell ref="FJ734:FN734"/>
    <mergeCell ref="FO734:FS734"/>
    <mergeCell ref="FT734:FX734"/>
    <mergeCell ref="EZ736:FD736"/>
    <mergeCell ref="FE736:FI736"/>
    <mergeCell ref="FJ736:FN736"/>
    <mergeCell ref="FO736:FS736"/>
    <mergeCell ref="FT736:FX736"/>
    <mergeCell ref="FY734:GC734"/>
    <mergeCell ref="FT759:FX759"/>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D994:Q994"/>
    <mergeCell ref="AB994:AI994"/>
    <mergeCell ref="G746:J746"/>
    <mergeCell ref="O746:S746"/>
    <mergeCell ref="T747:W747"/>
    <mergeCell ref="AG764:AJ764"/>
    <mergeCell ref="M981:S981"/>
    <mergeCell ref="U951:Z951"/>
    <mergeCell ref="T758:W758"/>
    <mergeCell ref="B736:F736"/>
    <mergeCell ref="K745:N745"/>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B757:F757"/>
    <mergeCell ref="AH759:AJ759"/>
    <mergeCell ref="K754:N754"/>
    <mergeCell ref="T754:W754"/>
    <mergeCell ref="K755:N755"/>
    <mergeCell ref="AH758:AJ758"/>
    <mergeCell ref="B760:F760"/>
    <mergeCell ref="B759:F759"/>
    <mergeCell ref="B750:F750"/>
    <mergeCell ref="B751:F75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AB966:AK966"/>
    <mergeCell ref="I957:T957"/>
    <mergeCell ref="AC904:AH904"/>
    <mergeCell ref="AA942:AF942"/>
    <mergeCell ref="Z909:AE909"/>
    <mergeCell ref="AA947:AF947"/>
    <mergeCell ref="AA950:AF950"/>
    <mergeCell ref="AA938:AF938"/>
    <mergeCell ref="U939:Z939"/>
    <mergeCell ref="AA939:AF939"/>
    <mergeCell ref="J857:V857"/>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U953:Z953"/>
    <mergeCell ref="AG838:AJ838"/>
    <mergeCell ref="U840:X840"/>
    <mergeCell ref="M840:P840"/>
    <mergeCell ref="F947:T947"/>
    <mergeCell ref="F938:T938"/>
    <mergeCell ref="U948:Z948"/>
    <mergeCell ref="U949:Z949"/>
    <mergeCell ref="U952:Z952"/>
    <mergeCell ref="U950:Z950"/>
    <mergeCell ref="AC902:AH902"/>
    <mergeCell ref="W857:AC857"/>
    <mergeCell ref="F951:T951"/>
    <mergeCell ref="Y837:AB837"/>
    <mergeCell ref="W850:AC850"/>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DJ733:DN733"/>
    <mergeCell ref="DO730:DS730"/>
    <mergeCell ref="EJ732:EN732"/>
    <mergeCell ref="ET744:EX744"/>
    <mergeCell ref="DE736:DI736"/>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DZ739:ED739"/>
    <mergeCell ref="EJ733:EN733"/>
    <mergeCell ref="EE739:EI739"/>
    <mergeCell ref="EJ739:EN739"/>
    <mergeCell ref="DU740:DY740"/>
    <mergeCell ref="DZ734:ED734"/>
    <mergeCell ref="DU736:DY736"/>
    <mergeCell ref="ET731:EX731"/>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O741:DS741"/>
    <mergeCell ref="DO742:DS742"/>
    <mergeCell ref="EE741:EI741"/>
    <mergeCell ref="ET740:EX740"/>
    <mergeCell ref="DU738:DY738"/>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EO731:ES731"/>
    <mergeCell ref="T738:W738"/>
    <mergeCell ref="EJ734:EN734"/>
    <mergeCell ref="DO738:DS738"/>
    <mergeCell ref="CZ727:DD727"/>
    <mergeCell ref="EO729:ES729"/>
    <mergeCell ref="DO729:DS729"/>
    <mergeCell ref="CU729:CY729"/>
    <mergeCell ref="DJ731:DN731"/>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DX676:EB676"/>
    <mergeCell ref="EC676:EG676"/>
    <mergeCell ref="DX654:EB654"/>
    <mergeCell ref="EC654:EG654"/>
    <mergeCell ref="DX656:EB656"/>
    <mergeCell ref="DO726:DS726"/>
    <mergeCell ref="AO644:AS644"/>
    <mergeCell ref="CZ726:DD726"/>
    <mergeCell ref="CZ725:DD725"/>
    <mergeCell ref="DJ726:DN726"/>
    <mergeCell ref="DU731:DY731"/>
    <mergeCell ref="CP729:CT729"/>
    <mergeCell ref="EE727:EI727"/>
    <mergeCell ref="CI731:CJ731"/>
    <mergeCell ref="AC730:AG730"/>
    <mergeCell ref="AK730:AO730"/>
    <mergeCell ref="AK729:AO729"/>
    <mergeCell ref="CI734:CJ734"/>
    <mergeCell ref="CG734:CH734"/>
    <mergeCell ref="CM735:CN735"/>
    <mergeCell ref="CK734:CL734"/>
    <mergeCell ref="Z692:AK692"/>
    <mergeCell ref="AK728:AO728"/>
    <mergeCell ref="W708:AK708"/>
    <mergeCell ref="CG727:CH727"/>
    <mergeCell ref="CI729:CJ729"/>
    <mergeCell ref="DJ732:DN732"/>
    <mergeCell ref="DE728:DI728"/>
    <mergeCell ref="DE732:DI732"/>
    <mergeCell ref="CU727:CY727"/>
    <mergeCell ref="CG726:CH726"/>
    <mergeCell ref="CM731:CN731"/>
    <mergeCell ref="CM733:CN733"/>
    <mergeCell ref="CG728:CH728"/>
    <mergeCell ref="T722:W725"/>
    <mergeCell ref="Z694:AK694"/>
    <mergeCell ref="AE707:AI707"/>
    <mergeCell ref="X732:AB732"/>
    <mergeCell ref="CM730:CN730"/>
    <mergeCell ref="CZ729:DD729"/>
    <mergeCell ref="DJ727:DN727"/>
    <mergeCell ref="CU725:CY725"/>
    <mergeCell ref="CZ732:DD732"/>
    <mergeCell ref="AC722:AG725"/>
    <mergeCell ref="CU728:CY728"/>
    <mergeCell ref="EH660:EL660"/>
    <mergeCell ref="Z687:AE687"/>
    <mergeCell ref="Z678:AK678"/>
    <mergeCell ref="AM569:AS569"/>
    <mergeCell ref="Z639:AB639"/>
    <mergeCell ref="AF632:AJ634"/>
    <mergeCell ref="Z695:AE695"/>
    <mergeCell ref="AK638:AN638"/>
    <mergeCell ref="AM570:AS570"/>
    <mergeCell ref="AO639:AS639"/>
    <mergeCell ref="AI671:AK671"/>
    <mergeCell ref="B649:AN649"/>
    <mergeCell ref="G651:R651"/>
    <mergeCell ref="M642:P642"/>
    <mergeCell ref="Z669:AK669"/>
    <mergeCell ref="Q642:S642"/>
    <mergeCell ref="AK644:AN644"/>
    <mergeCell ref="G604:R604"/>
    <mergeCell ref="Z585:AK585"/>
    <mergeCell ref="T637:V637"/>
    <mergeCell ref="M582:R582"/>
    <mergeCell ref="AI679:AK679"/>
    <mergeCell ref="Z684:AK684"/>
    <mergeCell ref="Z691:AK691"/>
    <mergeCell ref="AA656:AK656"/>
    <mergeCell ref="AK645:AN645"/>
    <mergeCell ref="H672:R672"/>
    <mergeCell ref="G686:R686"/>
    <mergeCell ref="P687:R687"/>
    <mergeCell ref="C646:L646"/>
    <mergeCell ref="Z683:AK683"/>
    <mergeCell ref="DX645:EB645"/>
    <mergeCell ref="G659:R659"/>
    <mergeCell ref="G660:R660"/>
    <mergeCell ref="P621:R621"/>
    <mergeCell ref="W640:Y640"/>
    <mergeCell ref="Q635:S635"/>
    <mergeCell ref="Z619:AK619"/>
    <mergeCell ref="G679:L679"/>
    <mergeCell ref="M635:P635"/>
    <mergeCell ref="M637:P637"/>
    <mergeCell ref="W636:Y636"/>
    <mergeCell ref="P671:R671"/>
    <mergeCell ref="AC643:AE643"/>
    <mergeCell ref="W643:Y643"/>
    <mergeCell ref="Z605:AE605"/>
    <mergeCell ref="AF637:AJ637"/>
    <mergeCell ref="Z652:AK652"/>
    <mergeCell ref="AC640:AE640"/>
    <mergeCell ref="AI605:AK605"/>
    <mergeCell ref="A625:AT626"/>
    <mergeCell ref="AK639:AN639"/>
    <mergeCell ref="Z621:AE621"/>
    <mergeCell ref="AG665:AH665"/>
    <mergeCell ref="Z642:AB642"/>
    <mergeCell ref="AO640:AS640"/>
    <mergeCell ref="Z643:AB643"/>
    <mergeCell ref="AK632:AN634"/>
    <mergeCell ref="C641:L641"/>
    <mergeCell ref="P613:R613"/>
    <mergeCell ref="Z611:AK611"/>
    <mergeCell ref="AC641:AE641"/>
    <mergeCell ref="B647:AN647"/>
    <mergeCell ref="B648:AN648"/>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DJ729:DN729"/>
    <mergeCell ref="CK729:CL729"/>
    <mergeCell ref="CM726:CN726"/>
    <mergeCell ref="Z653:AK653"/>
    <mergeCell ref="CM728:CN728"/>
    <mergeCell ref="T728:W728"/>
    <mergeCell ref="AI687:AK687"/>
    <mergeCell ref="Z671:AE671"/>
    <mergeCell ref="Z670:AK670"/>
    <mergeCell ref="AO648:AS648"/>
    <mergeCell ref="W644:Y644"/>
    <mergeCell ref="AC645:AE645"/>
    <mergeCell ref="Z668:AK668"/>
    <mergeCell ref="CK728:CL728"/>
    <mergeCell ref="AG689:AH689"/>
    <mergeCell ref="AI695:AK695"/>
    <mergeCell ref="Z676:AK676"/>
    <mergeCell ref="AA680:AK680"/>
    <mergeCell ref="CP727:CT727"/>
    <mergeCell ref="CI725:CJ725"/>
    <mergeCell ref="T646:V646"/>
    <mergeCell ref="T636:V636"/>
    <mergeCell ref="AK640:AN640"/>
    <mergeCell ref="C645:L645"/>
    <mergeCell ref="C640:L640"/>
    <mergeCell ref="M640:P640"/>
    <mergeCell ref="Q641:S641"/>
    <mergeCell ref="AF639:AJ639"/>
    <mergeCell ref="Z637:AB637"/>
    <mergeCell ref="AC512:AF512"/>
    <mergeCell ref="G595:R595"/>
    <mergeCell ref="AH549:AK549"/>
    <mergeCell ref="AC543:AF543"/>
    <mergeCell ref="AI562:AL562"/>
    <mergeCell ref="AI566:AL566"/>
    <mergeCell ref="AH542:AK542"/>
    <mergeCell ref="C572:L572"/>
    <mergeCell ref="M572:P572"/>
    <mergeCell ref="M570:P570"/>
    <mergeCell ref="M571:P571"/>
    <mergeCell ref="AI569:AL569"/>
    <mergeCell ref="Q572:S572"/>
    <mergeCell ref="AE569:AH569"/>
    <mergeCell ref="M568:P568"/>
    <mergeCell ref="Q571:S571"/>
    <mergeCell ref="AI573:AL573"/>
    <mergeCell ref="AE570:AH570"/>
    <mergeCell ref="T573:V573"/>
    <mergeCell ref="C568:L568"/>
    <mergeCell ref="Z568:AD568"/>
    <mergeCell ref="W632:Y634"/>
    <mergeCell ref="B528:H550"/>
    <mergeCell ref="AH531:AK531"/>
    <mergeCell ref="AE562:AH562"/>
    <mergeCell ref="AH532:AK532"/>
    <mergeCell ref="AH533:AK533"/>
    <mergeCell ref="N591:O591"/>
    <mergeCell ref="Q565:S565"/>
    <mergeCell ref="Z651:AK651"/>
    <mergeCell ref="Z667:AK667"/>
    <mergeCell ref="AI663:AK663"/>
    <mergeCell ref="Z663:AE663"/>
    <mergeCell ref="T641:V641"/>
    <mergeCell ref="Q646:S646"/>
    <mergeCell ref="H656:R656"/>
    <mergeCell ref="Z640:AB640"/>
    <mergeCell ref="Z641:AB641"/>
    <mergeCell ref="G617:R617"/>
    <mergeCell ref="M569:P569"/>
    <mergeCell ref="AA598:AK598"/>
    <mergeCell ref="AI597:AK597"/>
    <mergeCell ref="Z604:AK604"/>
    <mergeCell ref="Z597:AE597"/>
    <mergeCell ref="N665:O665"/>
    <mergeCell ref="M641:P641"/>
    <mergeCell ref="G652:R652"/>
    <mergeCell ref="C639:L639"/>
    <mergeCell ref="Z586:AK586"/>
    <mergeCell ref="Z578:AK578"/>
    <mergeCell ref="T568:V568"/>
    <mergeCell ref="AA622:AK622"/>
    <mergeCell ref="M639:P639"/>
    <mergeCell ref="M636:P636"/>
    <mergeCell ref="Z613:AE613"/>
    <mergeCell ref="G670:R670"/>
    <mergeCell ref="G613:L613"/>
    <mergeCell ref="AH520:AK520"/>
    <mergeCell ref="M565:P565"/>
    <mergeCell ref="AH528:AK528"/>
    <mergeCell ref="AC545:AF545"/>
    <mergeCell ref="O534:AA534"/>
    <mergeCell ref="AC537:AF537"/>
    <mergeCell ref="W473:Y473"/>
    <mergeCell ref="T559:V561"/>
    <mergeCell ref="Z565:AD565"/>
    <mergeCell ref="Z567:AD567"/>
    <mergeCell ref="C566:L566"/>
    <mergeCell ref="Q563:S563"/>
    <mergeCell ref="Q559:S561"/>
    <mergeCell ref="M563:P563"/>
    <mergeCell ref="C563:L563"/>
    <mergeCell ref="T567:V567"/>
    <mergeCell ref="AC538:AF538"/>
    <mergeCell ref="AE563:AH563"/>
    <mergeCell ref="AH538:AK538"/>
    <mergeCell ref="AH509:AK509"/>
    <mergeCell ref="G482:V482"/>
    <mergeCell ref="AH534:AK534"/>
    <mergeCell ref="W566:Y566"/>
    <mergeCell ref="AE566:AH566"/>
    <mergeCell ref="C565:L565"/>
    <mergeCell ref="M567:P567"/>
    <mergeCell ref="W562:Y562"/>
    <mergeCell ref="T645:V645"/>
    <mergeCell ref="AI571:AL571"/>
    <mergeCell ref="Z571:AD571"/>
    <mergeCell ref="N615:O615"/>
    <mergeCell ref="G578:R578"/>
    <mergeCell ref="Z569:AD569"/>
    <mergeCell ref="G594:R594"/>
    <mergeCell ref="W568:Y568"/>
    <mergeCell ref="P580:R580"/>
    <mergeCell ref="AI613:AK613"/>
    <mergeCell ref="G612:R612"/>
    <mergeCell ref="G585:R585"/>
    <mergeCell ref="C569:L569"/>
    <mergeCell ref="W571:Y571"/>
    <mergeCell ref="W572:Y572"/>
    <mergeCell ref="AC637:AE637"/>
    <mergeCell ref="M632:P634"/>
    <mergeCell ref="W637:Y637"/>
    <mergeCell ref="Z601:AK601"/>
    <mergeCell ref="AK637:AN637"/>
    <mergeCell ref="H606:R606"/>
    <mergeCell ref="W573:Y573"/>
    <mergeCell ref="AF582:AK582"/>
    <mergeCell ref="Z593:AK593"/>
    <mergeCell ref="G587:R587"/>
    <mergeCell ref="G602:R602"/>
    <mergeCell ref="Z602:AK602"/>
    <mergeCell ref="G596:R596"/>
    <mergeCell ref="C573:L573"/>
    <mergeCell ref="G603:R603"/>
    <mergeCell ref="AG591:AH591"/>
    <mergeCell ref="Z589:AE589"/>
    <mergeCell ref="Z594:AK594"/>
    <mergeCell ref="Q569:S569"/>
    <mergeCell ref="AO641:AS641"/>
    <mergeCell ref="AC632:AE634"/>
    <mergeCell ref="N657:O657"/>
    <mergeCell ref="AH727:AJ727"/>
    <mergeCell ref="AE710:AF710"/>
    <mergeCell ref="X726:AB726"/>
    <mergeCell ref="G727:J727"/>
    <mergeCell ref="M645:P645"/>
    <mergeCell ref="M646:P646"/>
    <mergeCell ref="W646:Y646"/>
    <mergeCell ref="Z662:AK662"/>
    <mergeCell ref="P655:R655"/>
    <mergeCell ref="AI655:AK655"/>
    <mergeCell ref="G662:R662"/>
    <mergeCell ref="G661:R661"/>
    <mergeCell ref="Z677:AK677"/>
    <mergeCell ref="E715:AK715"/>
    <mergeCell ref="W714:AK714"/>
    <mergeCell ref="AA672:AK672"/>
    <mergeCell ref="T643:V643"/>
    <mergeCell ref="T644:V644"/>
    <mergeCell ref="J713:O713"/>
    <mergeCell ref="G671:L671"/>
    <mergeCell ref="G678:R678"/>
    <mergeCell ref="B726:F726"/>
    <mergeCell ref="G676:R676"/>
    <mergeCell ref="G668:R668"/>
    <mergeCell ref="T642:V642"/>
    <mergeCell ref="AF642:AJ642"/>
    <mergeCell ref="W645:Y645"/>
    <mergeCell ref="G685:R685"/>
    <mergeCell ref="M638:P638"/>
    <mergeCell ref="K738:N738"/>
    <mergeCell ref="AH737:AJ737"/>
    <mergeCell ref="O738:S738"/>
    <mergeCell ref="G692:R692"/>
    <mergeCell ref="AG673:AH673"/>
    <mergeCell ref="Z685:AK685"/>
    <mergeCell ref="G744:J744"/>
    <mergeCell ref="AC732:AG732"/>
    <mergeCell ref="AC738:AG738"/>
    <mergeCell ref="T733:W733"/>
    <mergeCell ref="O728:S728"/>
    <mergeCell ref="K727:N727"/>
    <mergeCell ref="K739:N739"/>
    <mergeCell ref="X738:AB738"/>
    <mergeCell ref="AC736:AG736"/>
    <mergeCell ref="AC740:AG740"/>
    <mergeCell ref="X741:AB741"/>
    <mergeCell ref="G740:J740"/>
    <mergeCell ref="AH743:AJ743"/>
    <mergeCell ref="X742:AB742"/>
    <mergeCell ref="G684:R684"/>
    <mergeCell ref="O730:S730"/>
    <mergeCell ref="J712:X712"/>
    <mergeCell ref="T741:W741"/>
    <mergeCell ref="O742:S742"/>
    <mergeCell ref="X728:AB728"/>
    <mergeCell ref="O727:S727"/>
    <mergeCell ref="G735:J735"/>
    <mergeCell ref="X722:AB725"/>
    <mergeCell ref="AE702:AF702"/>
    <mergeCell ref="CK744:CL744"/>
    <mergeCell ref="CG733:CH733"/>
    <mergeCell ref="CP747:CT747"/>
    <mergeCell ref="CM746:CN746"/>
    <mergeCell ref="CU744:CY744"/>
    <mergeCell ref="CU735:CY735"/>
    <mergeCell ref="CK732:CL732"/>
    <mergeCell ref="CZ733:DD733"/>
    <mergeCell ref="CG742:CH742"/>
    <mergeCell ref="CK733:CL733"/>
    <mergeCell ref="CG741:CH741"/>
    <mergeCell ref="CG740:CH740"/>
    <mergeCell ref="CM747:CN747"/>
    <mergeCell ref="CU745:CY745"/>
    <mergeCell ref="CZ746:DD746"/>
    <mergeCell ref="CI746:CJ746"/>
    <mergeCell ref="CI745:CJ745"/>
    <mergeCell ref="CU738:CY738"/>
    <mergeCell ref="CK736:CL736"/>
    <mergeCell ref="CM741:CN741"/>
    <mergeCell ref="CM743:CN743"/>
    <mergeCell ref="CI740:CJ740"/>
    <mergeCell ref="CG745:CH745"/>
    <mergeCell ref="CM745:CN745"/>
    <mergeCell ref="CG735:CH735"/>
    <mergeCell ref="CZ736:DD736"/>
    <mergeCell ref="CI743:CJ743"/>
    <mergeCell ref="DE738:DI738"/>
    <mergeCell ref="CM738:CN738"/>
    <mergeCell ref="CK735:CL735"/>
    <mergeCell ref="CK743:CL743"/>
    <mergeCell ref="CP740:CT740"/>
    <mergeCell ref="CM737:CN737"/>
    <mergeCell ref="CP735:CT735"/>
    <mergeCell ref="CI735:CJ735"/>
    <mergeCell ref="CZ743:DD743"/>
    <mergeCell ref="CU742:CY742"/>
    <mergeCell ref="CZ737:DD737"/>
    <mergeCell ref="CZ739:DD739"/>
    <mergeCell ref="CK731:CL731"/>
    <mergeCell ref="CM736:CN736"/>
    <mergeCell ref="CU734:CY734"/>
    <mergeCell ref="CZ734:DD734"/>
    <mergeCell ref="CZ731:DD731"/>
    <mergeCell ref="CP731:CT731"/>
    <mergeCell ref="CU732:CY732"/>
    <mergeCell ref="CU733:CY733"/>
    <mergeCell ref="CP738:CT738"/>
    <mergeCell ref="CU739:CY739"/>
    <mergeCell ref="CM740:CN740"/>
    <mergeCell ref="CP734:CT734"/>
    <mergeCell ref="CK740:CL740"/>
    <mergeCell ref="CZ735:DD735"/>
    <mergeCell ref="CM732:CN732"/>
    <mergeCell ref="CU731:CY731"/>
    <mergeCell ref="CI742:CJ742"/>
    <mergeCell ref="CP741:CT741"/>
    <mergeCell ref="CK738:CL738"/>
    <mergeCell ref="CP739:CT739"/>
    <mergeCell ref="CZ749:DD749"/>
    <mergeCell ref="CU741:CY741"/>
    <mergeCell ref="CZ748:DD748"/>
    <mergeCell ref="CU749:CY749"/>
    <mergeCell ref="CZ747:DD747"/>
    <mergeCell ref="CK746:CL746"/>
    <mergeCell ref="CI739:CJ739"/>
    <mergeCell ref="CI736:CJ736"/>
    <mergeCell ref="AH736:AJ736"/>
    <mergeCell ref="AK739:AO739"/>
    <mergeCell ref="N697:O697"/>
    <mergeCell ref="AA696:AK696"/>
    <mergeCell ref="AE703:AI703"/>
    <mergeCell ref="G730:J730"/>
    <mergeCell ref="T734:W734"/>
    <mergeCell ref="AK737:AO737"/>
    <mergeCell ref="G738:J738"/>
    <mergeCell ref="K722:N725"/>
    <mergeCell ref="G732:J732"/>
    <mergeCell ref="T737:W737"/>
    <mergeCell ref="T730:W730"/>
    <mergeCell ref="K737:N737"/>
    <mergeCell ref="CG730:CH730"/>
    <mergeCell ref="AC744:AG744"/>
    <mergeCell ref="CG737:CH737"/>
    <mergeCell ref="CG731:CH731"/>
    <mergeCell ref="CK742:CL742"/>
    <mergeCell ref="K726:N726"/>
    <mergeCell ref="G726:J726"/>
    <mergeCell ref="CU730:CY730"/>
    <mergeCell ref="CZ730:DD730"/>
    <mergeCell ref="AE706:AI706"/>
    <mergeCell ref="CK749:CL749"/>
    <mergeCell ref="CM749:CN749"/>
    <mergeCell ref="CP732:CT732"/>
    <mergeCell ref="CM742:CN742"/>
    <mergeCell ref="X731:AB731"/>
    <mergeCell ref="T727:W727"/>
    <mergeCell ref="O732:S732"/>
    <mergeCell ref="K728:N728"/>
    <mergeCell ref="AC727:AG727"/>
    <mergeCell ref="CI727:CJ727"/>
    <mergeCell ref="G687:L687"/>
    <mergeCell ref="X736:AB736"/>
    <mergeCell ref="CP744:CT744"/>
    <mergeCell ref="CP733:CT733"/>
    <mergeCell ref="CI741:CJ741"/>
    <mergeCell ref="CK739:CL739"/>
    <mergeCell ref="CK737:CL737"/>
    <mergeCell ref="CG746:CH746"/>
    <mergeCell ref="G728:J728"/>
    <mergeCell ref="O722:S725"/>
    <mergeCell ref="G722:J725"/>
    <mergeCell ref="T739:W739"/>
    <mergeCell ref="CG749:CH749"/>
    <mergeCell ref="CI726:CJ726"/>
    <mergeCell ref="CI732:CJ732"/>
    <mergeCell ref="X733:AB733"/>
    <mergeCell ref="CM744:CN744"/>
    <mergeCell ref="CP736:CT736"/>
    <mergeCell ref="O739:S739"/>
    <mergeCell ref="CP749:CT749"/>
    <mergeCell ref="CI737:CJ737"/>
    <mergeCell ref="CP737:CT737"/>
    <mergeCell ref="C845:AJ845"/>
    <mergeCell ref="W854:AC854"/>
    <mergeCell ref="M838:P838"/>
    <mergeCell ref="C840:L840"/>
    <mergeCell ref="W865:AC865"/>
    <mergeCell ref="Y839:AB839"/>
    <mergeCell ref="AC893:AH893"/>
    <mergeCell ref="W886:AC886"/>
    <mergeCell ref="BD908:BE908"/>
    <mergeCell ref="BD910:BE910"/>
    <mergeCell ref="AC895:AH895"/>
    <mergeCell ref="O795:S795"/>
    <mergeCell ref="Q834:T834"/>
    <mergeCell ref="Y831:AB832"/>
    <mergeCell ref="M837:P837"/>
    <mergeCell ref="Z823:AE823"/>
    <mergeCell ref="Z816:AE816"/>
    <mergeCell ref="AC836:AF836"/>
    <mergeCell ref="AG837:AJ837"/>
    <mergeCell ref="AG834:AJ834"/>
    <mergeCell ref="AG833:AJ833"/>
    <mergeCell ref="W875:AC875"/>
    <mergeCell ref="T799:W799"/>
    <mergeCell ref="T795:W795"/>
    <mergeCell ref="T796:W796"/>
    <mergeCell ref="T797:W797"/>
    <mergeCell ref="O803:S803"/>
    <mergeCell ref="AC799:AG799"/>
    <mergeCell ref="J802:N802"/>
    <mergeCell ref="J797:N797"/>
    <mergeCell ref="X803:AB803"/>
    <mergeCell ref="O800:S800"/>
    <mergeCell ref="AC800:AG800"/>
    <mergeCell ref="O737:S737"/>
    <mergeCell ref="AK727:AO727"/>
    <mergeCell ref="K735:N735"/>
    <mergeCell ref="X796:AB796"/>
    <mergeCell ref="Q837:T837"/>
    <mergeCell ref="AK735:AO735"/>
    <mergeCell ref="AH732:AJ732"/>
    <mergeCell ref="T729:W729"/>
    <mergeCell ref="B762:AH763"/>
    <mergeCell ref="X782:AB782"/>
    <mergeCell ref="T781:W781"/>
    <mergeCell ref="J781:N781"/>
    <mergeCell ref="O781:S781"/>
    <mergeCell ref="J784:N784"/>
    <mergeCell ref="U831:X832"/>
    <mergeCell ref="Q831:T832"/>
    <mergeCell ref="Z817:AE817"/>
    <mergeCell ref="Y833:AB833"/>
    <mergeCell ref="AC833:AF833"/>
    <mergeCell ref="AC735:AG735"/>
    <mergeCell ref="AC729:AG729"/>
    <mergeCell ref="AH728:AJ728"/>
    <mergeCell ref="AH729:AJ729"/>
    <mergeCell ref="K732:N732"/>
    <mergeCell ref="B744:F744"/>
    <mergeCell ref="O747:S747"/>
    <mergeCell ref="O744:S744"/>
    <mergeCell ref="AK736:AO736"/>
    <mergeCell ref="O741:S741"/>
    <mergeCell ref="AH741:AJ741"/>
    <mergeCell ref="G741:J741"/>
    <mergeCell ref="W884:AC884"/>
    <mergeCell ref="T866:V866"/>
    <mergeCell ref="T868:V868"/>
    <mergeCell ref="W876:AC876"/>
    <mergeCell ref="T802:W802"/>
    <mergeCell ref="T800:W800"/>
    <mergeCell ref="O785:S785"/>
    <mergeCell ref="W880:AC880"/>
    <mergeCell ref="BD913:BE913"/>
    <mergeCell ref="BD915:BF915"/>
    <mergeCell ref="BD914:BF914"/>
    <mergeCell ref="BD919:BE919"/>
    <mergeCell ref="BD912:BE912"/>
    <mergeCell ref="AC898:AH898"/>
    <mergeCell ref="AC903:AH903"/>
    <mergeCell ref="Z908:AE908"/>
    <mergeCell ref="AC897:AH897"/>
    <mergeCell ref="BD911:BE911"/>
    <mergeCell ref="BD909:BE909"/>
    <mergeCell ref="AC896:AH896"/>
    <mergeCell ref="W860:AC860"/>
    <mergeCell ref="W862:AC862"/>
    <mergeCell ref="W883:AC883"/>
    <mergeCell ref="M887:V887"/>
    <mergeCell ref="M883:V883"/>
    <mergeCell ref="W859:AC859"/>
    <mergeCell ref="W863:AC863"/>
    <mergeCell ref="M886:V886"/>
    <mergeCell ref="W878:AC878"/>
    <mergeCell ref="W855:AC855"/>
    <mergeCell ref="W853:AC853"/>
    <mergeCell ref="M854:V854"/>
    <mergeCell ref="J799:N799"/>
    <mergeCell ref="X800:AB800"/>
    <mergeCell ref="U836:X836"/>
    <mergeCell ref="AG836:AJ836"/>
    <mergeCell ref="Z815:AE815"/>
    <mergeCell ref="AC797:AG797"/>
    <mergeCell ref="AC798:AG798"/>
    <mergeCell ref="Z826:AE826"/>
    <mergeCell ref="T803:W803"/>
    <mergeCell ref="W870:AC870"/>
    <mergeCell ref="Q838:T838"/>
    <mergeCell ref="AG839:AJ839"/>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85:AC885"/>
    <mergeCell ref="M869:V869"/>
    <mergeCell ref="AA940:AF940"/>
    <mergeCell ref="U941:Z941"/>
    <mergeCell ref="AA941:AF941"/>
    <mergeCell ref="W867:AC867"/>
    <mergeCell ref="U932:Z932"/>
    <mergeCell ref="AW927:AY927"/>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AH757:AJ757"/>
    <mergeCell ref="K746:N746"/>
    <mergeCell ref="T752:W752"/>
    <mergeCell ref="O755:S755"/>
    <mergeCell ref="T755:W755"/>
    <mergeCell ref="AC756:AG756"/>
    <mergeCell ref="T750:W750"/>
    <mergeCell ref="X753:AB753"/>
    <mergeCell ref="AC747:AG747"/>
    <mergeCell ref="B738:F738"/>
    <mergeCell ref="O777:S780"/>
    <mergeCell ref="T745:W745"/>
    <mergeCell ref="X747:AB747"/>
    <mergeCell ref="G748:J748"/>
    <mergeCell ref="B761:F761"/>
    <mergeCell ref="Q835:T835"/>
    <mergeCell ref="M836:P836"/>
    <mergeCell ref="M835:P835"/>
    <mergeCell ref="J805:N805"/>
    <mergeCell ref="J803:N803"/>
    <mergeCell ref="AC782:AG782"/>
    <mergeCell ref="X785:AB785"/>
    <mergeCell ref="C836:H836"/>
    <mergeCell ref="O801:S801"/>
    <mergeCell ref="J798:N798"/>
    <mergeCell ref="U834:X834"/>
    <mergeCell ref="Y809:AC809"/>
    <mergeCell ref="Y808:AC808"/>
    <mergeCell ref="AC804:AG804"/>
    <mergeCell ref="AC796:AG796"/>
    <mergeCell ref="O799:S799"/>
    <mergeCell ref="O802:S802"/>
    <mergeCell ref="Z821:AE821"/>
    <mergeCell ref="C806:AN807"/>
    <mergeCell ref="J801:N801"/>
    <mergeCell ref="X801:AB801"/>
    <mergeCell ref="T791:W794"/>
    <mergeCell ref="O784:S784"/>
    <mergeCell ref="O797:S797"/>
    <mergeCell ref="J783:N783"/>
    <mergeCell ref="AC784:AG784"/>
    <mergeCell ref="C834:H834"/>
    <mergeCell ref="K760:N760"/>
    <mergeCell ref="O805:S805"/>
    <mergeCell ref="O796:S796"/>
    <mergeCell ref="J800:N800"/>
    <mergeCell ref="Z814:AE814"/>
    <mergeCell ref="X799:AB799"/>
    <mergeCell ref="X777:AB780"/>
    <mergeCell ref="T777:W780"/>
    <mergeCell ref="AC801:AG801"/>
    <mergeCell ref="X783:AB783"/>
    <mergeCell ref="X784:AB784"/>
    <mergeCell ref="X740:AB740"/>
    <mergeCell ref="K742:N742"/>
    <mergeCell ref="AH748:AJ748"/>
    <mergeCell ref="G742:J742"/>
    <mergeCell ref="O743:S743"/>
    <mergeCell ref="O749:S749"/>
    <mergeCell ref="AH756:AJ756"/>
    <mergeCell ref="C833:H833"/>
    <mergeCell ref="Z822:AE822"/>
    <mergeCell ref="Z825:AE825"/>
    <mergeCell ref="P824:Y824"/>
    <mergeCell ref="B741:F741"/>
    <mergeCell ref="O791:S794"/>
    <mergeCell ref="M833:P833"/>
    <mergeCell ref="AC785:AG785"/>
    <mergeCell ref="T740:W740"/>
    <mergeCell ref="K747:N747"/>
    <mergeCell ref="AC742:AG742"/>
    <mergeCell ref="AC743:AG743"/>
    <mergeCell ref="B758:F758"/>
    <mergeCell ref="O760:S760"/>
    <mergeCell ref="AH734:AJ734"/>
    <mergeCell ref="G621:L621"/>
    <mergeCell ref="AA614:AK614"/>
    <mergeCell ref="X802:AB802"/>
    <mergeCell ref="T784:W784"/>
    <mergeCell ref="T782:W782"/>
    <mergeCell ref="G669:R669"/>
    <mergeCell ref="B728:F728"/>
    <mergeCell ref="O782:S782"/>
    <mergeCell ref="B730:F730"/>
    <mergeCell ref="AG681:AH681"/>
    <mergeCell ref="B733:F733"/>
    <mergeCell ref="B732:F732"/>
    <mergeCell ref="B735:F735"/>
    <mergeCell ref="O731:S731"/>
    <mergeCell ref="O798:S798"/>
    <mergeCell ref="H688:R688"/>
    <mergeCell ref="B731:F731"/>
    <mergeCell ref="AF638:AJ638"/>
    <mergeCell ref="G693:R693"/>
    <mergeCell ref="M643:P643"/>
    <mergeCell ref="G654:R654"/>
    <mergeCell ref="Z660:AK660"/>
    <mergeCell ref="G729:J729"/>
    <mergeCell ref="G760:J760"/>
    <mergeCell ref="X730:AB730"/>
    <mergeCell ref="Z693:AK693"/>
    <mergeCell ref="K734:N734"/>
    <mergeCell ref="O726:S726"/>
    <mergeCell ref="B737:F737"/>
    <mergeCell ref="B739:F739"/>
    <mergeCell ref="B729:F729"/>
    <mergeCell ref="T735:W735"/>
    <mergeCell ref="K733:N733"/>
    <mergeCell ref="P663:R663"/>
    <mergeCell ref="W641:Y641"/>
    <mergeCell ref="Z638:AB638"/>
    <mergeCell ref="T638:V638"/>
    <mergeCell ref="T639:V639"/>
    <mergeCell ref="AC636:AE636"/>
    <mergeCell ref="C637:L637"/>
    <mergeCell ref="G655:L655"/>
    <mergeCell ref="Q638:S638"/>
    <mergeCell ref="G601:R601"/>
    <mergeCell ref="Q573:S573"/>
    <mergeCell ref="AG599:AH599"/>
    <mergeCell ref="G675:R675"/>
    <mergeCell ref="G677:R677"/>
    <mergeCell ref="G683:R683"/>
    <mergeCell ref="O735:S735"/>
    <mergeCell ref="P695:R695"/>
    <mergeCell ref="R713:T713"/>
    <mergeCell ref="T726:W726"/>
    <mergeCell ref="O729:S729"/>
    <mergeCell ref="K730:N730"/>
    <mergeCell ref="K731:N731"/>
    <mergeCell ref="T731:W731"/>
    <mergeCell ref="K729:N729"/>
    <mergeCell ref="AE701:AF701"/>
    <mergeCell ref="N681:O681"/>
    <mergeCell ref="G695:L695"/>
    <mergeCell ref="A717:AT719"/>
    <mergeCell ref="Z686:AK686"/>
    <mergeCell ref="H347:R347"/>
    <mergeCell ref="AG402:AJ402"/>
    <mergeCell ref="AG400:AJ400"/>
    <mergeCell ref="K413:AJ413"/>
    <mergeCell ref="AC395:AJ395"/>
    <mergeCell ref="K412:AJ412"/>
    <mergeCell ref="P355:AE355"/>
    <mergeCell ref="W477:Y477"/>
    <mergeCell ref="Q500:AK500"/>
    <mergeCell ref="AC465:AF465"/>
    <mergeCell ref="Q402:U402"/>
    <mergeCell ref="Z443:AA443"/>
    <mergeCell ref="M367:N367"/>
    <mergeCell ref="D453:AF453"/>
    <mergeCell ref="M365:N365"/>
    <mergeCell ref="Z441:AA441"/>
    <mergeCell ref="Q495:AK495"/>
    <mergeCell ref="Q494:AK494"/>
    <mergeCell ref="AG458:AJ458"/>
    <mergeCell ref="I430:K430"/>
    <mergeCell ref="AG452:AJ452"/>
    <mergeCell ref="AG453:AJ453"/>
    <mergeCell ref="N379:Q379"/>
    <mergeCell ref="D460:AJ461"/>
    <mergeCell ref="S497:AK498"/>
    <mergeCell ref="AG456:AJ456"/>
    <mergeCell ref="AC463:AF463"/>
    <mergeCell ref="P434:Q434"/>
    <mergeCell ref="D450:AF450"/>
    <mergeCell ref="S410:U410"/>
    <mergeCell ref="AG410:AJ410"/>
    <mergeCell ref="AC396:AJ396"/>
    <mergeCell ref="AH508:AK508"/>
    <mergeCell ref="AI398:AJ398"/>
    <mergeCell ref="P356:Z356"/>
    <mergeCell ref="J395:U395"/>
    <mergeCell ref="T407:AJ407"/>
    <mergeCell ref="AG449:AJ449"/>
    <mergeCell ref="H340:M340"/>
    <mergeCell ref="H350:R350"/>
    <mergeCell ref="H344:R344"/>
    <mergeCell ref="AA342:AK342"/>
    <mergeCell ref="H348:M348"/>
    <mergeCell ref="AH547:AK547"/>
    <mergeCell ref="W481:Y481"/>
    <mergeCell ref="Q403:U403"/>
    <mergeCell ref="AD421:AE421"/>
    <mergeCell ref="H423:AE424"/>
    <mergeCell ref="AE434:AF434"/>
    <mergeCell ref="AG457:AJ457"/>
    <mergeCell ref="AH536:AK536"/>
    <mergeCell ref="H342:R342"/>
    <mergeCell ref="Q501:AK501"/>
    <mergeCell ref="AC510:AF510"/>
    <mergeCell ref="B522:H524"/>
    <mergeCell ref="B525:H527"/>
    <mergeCell ref="D415:AJ416"/>
    <mergeCell ref="D454:AF454"/>
    <mergeCell ref="P433:Q433"/>
    <mergeCell ref="AA340:AF340"/>
    <mergeCell ref="N372:O372"/>
    <mergeCell ref="Q400:U400"/>
    <mergeCell ref="N381:Q381"/>
    <mergeCell ref="AH527:AK527"/>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AA332:AF332"/>
    <mergeCell ref="H329:R329"/>
    <mergeCell ref="H332:M332"/>
    <mergeCell ref="AA339:AK339"/>
    <mergeCell ref="H333:M333"/>
    <mergeCell ref="AA308:AF308"/>
    <mergeCell ref="AI308:AK308"/>
    <mergeCell ref="H306:R306"/>
    <mergeCell ref="AA309:AF309"/>
    <mergeCell ref="AG388:AH388"/>
    <mergeCell ref="S401:U401"/>
    <mergeCell ref="AG399:AJ399"/>
    <mergeCell ref="H346:R346"/>
    <mergeCell ref="P354:AE354"/>
    <mergeCell ref="R421:S421"/>
    <mergeCell ref="Q438:R438"/>
    <mergeCell ref="D457:AF457"/>
    <mergeCell ref="AG454:AJ454"/>
    <mergeCell ref="H345:R345"/>
    <mergeCell ref="L285:S285"/>
    <mergeCell ref="L287:Q287"/>
    <mergeCell ref="AA298:AK298"/>
    <mergeCell ref="H316:M316"/>
    <mergeCell ref="H338:R338"/>
    <mergeCell ref="H339:R339"/>
    <mergeCell ref="P340:R340"/>
    <mergeCell ref="AA333:AF333"/>
    <mergeCell ref="AF427:AH427"/>
    <mergeCell ref="H337:R337"/>
    <mergeCell ref="AI332:AK332"/>
    <mergeCell ref="AA329:AK329"/>
    <mergeCell ref="H326:R326"/>
    <mergeCell ref="P332:R332"/>
    <mergeCell ref="R420:S420"/>
    <mergeCell ref="AJ366:AK366"/>
    <mergeCell ref="AA331:AK331"/>
    <mergeCell ref="H301:M301"/>
    <mergeCell ref="H318:R318"/>
    <mergeCell ref="AA324:AF324"/>
    <mergeCell ref="P358:AE358"/>
    <mergeCell ref="AA307:AK307"/>
    <mergeCell ref="AA301:AF301"/>
    <mergeCell ref="AA326:AK326"/>
    <mergeCell ref="AA341:AF341"/>
    <mergeCell ref="AA337:AK337"/>
    <mergeCell ref="AA336:AK336"/>
    <mergeCell ref="H341:M341"/>
    <mergeCell ref="AI324:AK324"/>
    <mergeCell ref="H323:R323"/>
    <mergeCell ref="H325:M325"/>
    <mergeCell ref="AA328:AK328"/>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15:R315"/>
    <mergeCell ref="AA313:AK313"/>
    <mergeCell ref="AA318:AK318"/>
    <mergeCell ref="AA316:AF316"/>
    <mergeCell ref="AA314:AK314"/>
    <mergeCell ref="AA321:AK321"/>
    <mergeCell ref="M263:AE263"/>
    <mergeCell ref="AA299:AK299"/>
    <mergeCell ref="AH271:AK271"/>
    <mergeCell ref="T276:X276"/>
    <mergeCell ref="AA300:AF300"/>
    <mergeCell ref="AI300:AK300"/>
    <mergeCell ref="H305:R305"/>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P324:R324"/>
    <mergeCell ref="H336:R336"/>
    <mergeCell ref="AA338:AK338"/>
    <mergeCell ref="AA330:AK330"/>
    <mergeCell ref="H334:R334"/>
    <mergeCell ref="H322:R322"/>
    <mergeCell ref="AF260:AK260"/>
    <mergeCell ref="M253:AE253"/>
    <mergeCell ref="M256:R256"/>
    <mergeCell ref="AA320:AK320"/>
    <mergeCell ref="AA315:AK315"/>
    <mergeCell ref="AA312:AK312"/>
    <mergeCell ref="H320:R320"/>
    <mergeCell ref="H317:M317"/>
    <mergeCell ref="P316:R316"/>
    <mergeCell ref="H314:R314"/>
    <mergeCell ref="P308:R308"/>
    <mergeCell ref="H302:R302"/>
    <mergeCell ref="Y287:AD287"/>
    <mergeCell ref="AA304:AK304"/>
    <mergeCell ref="AF268:AK268"/>
    <mergeCell ref="AC270:AE270"/>
    <mergeCell ref="M271:AE271"/>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79:H279"/>
    <mergeCell ref="X279:AC279"/>
    <mergeCell ref="AA297:AK297"/>
    <mergeCell ref="H296:R296"/>
    <mergeCell ref="U264:W264"/>
    <mergeCell ref="M273:AE273"/>
    <mergeCell ref="AB285:AD285"/>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F150:T150"/>
    <mergeCell ref="AI178:AK178"/>
    <mergeCell ref="AH255:AK255"/>
    <mergeCell ref="T189:AE189"/>
    <mergeCell ref="W243:X243"/>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D204:M204"/>
    <mergeCell ref="T197:U197"/>
    <mergeCell ref="Y120:AK120"/>
    <mergeCell ref="O160:T160"/>
    <mergeCell ref="W270:X270"/>
    <mergeCell ref="M272:R272"/>
    <mergeCell ref="M274:T274"/>
    <mergeCell ref="W262:X262"/>
    <mergeCell ref="M261:AE261"/>
    <mergeCell ref="AC262:AE262"/>
    <mergeCell ref="M243:T243"/>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M247:T247"/>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C356:AE356"/>
    <mergeCell ref="P352:AE352"/>
    <mergeCell ref="AA349:AF349"/>
    <mergeCell ref="P353:AE353"/>
    <mergeCell ref="AE433:AF433"/>
    <mergeCell ref="N380:Q380"/>
    <mergeCell ref="V391:W391"/>
    <mergeCell ref="J376:K376"/>
    <mergeCell ref="S414:AJ414"/>
    <mergeCell ref="AC394:AJ394"/>
    <mergeCell ref="S411:U411"/>
    <mergeCell ref="AE411:AJ411"/>
    <mergeCell ref="V397:AJ397"/>
    <mergeCell ref="D452:AF452"/>
    <mergeCell ref="P348:R348"/>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D451:AF451"/>
    <mergeCell ref="AF439:AG439"/>
    <mergeCell ref="I427:K427"/>
    <mergeCell ref="S422:T422"/>
    <mergeCell ref="D456:AF456"/>
    <mergeCell ref="AG446:AJ446"/>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C635:L635"/>
    <mergeCell ref="P589:R589"/>
    <mergeCell ref="AG455:AJ455"/>
    <mergeCell ref="W475:Y475"/>
    <mergeCell ref="E429:AJ429"/>
    <mergeCell ref="D446:AF446"/>
    <mergeCell ref="AC515:AF515"/>
    <mergeCell ref="D455:AF455"/>
    <mergeCell ref="AC513:AF513"/>
    <mergeCell ref="AH530:AK530"/>
    <mergeCell ref="M559:P561"/>
    <mergeCell ref="AC544:AF544"/>
    <mergeCell ref="D476:V476"/>
    <mergeCell ref="AC520:AF520"/>
    <mergeCell ref="AC550:AF550"/>
    <mergeCell ref="AH526:AK526"/>
    <mergeCell ref="AH535:AK535"/>
    <mergeCell ref="W478:Y478"/>
    <mergeCell ref="D479:V479"/>
    <mergeCell ref="O540:AA540"/>
    <mergeCell ref="AH513:AK513"/>
    <mergeCell ref="M562:P562"/>
    <mergeCell ref="AC536:AF536"/>
    <mergeCell ref="C562:L562"/>
    <mergeCell ref="AC541:AF541"/>
    <mergeCell ref="D477:V477"/>
    <mergeCell ref="W479:Y479"/>
    <mergeCell ref="Q493:AK493"/>
    <mergeCell ref="W482:Y482"/>
    <mergeCell ref="AH510:AK510"/>
    <mergeCell ref="AC507:AK507"/>
    <mergeCell ref="W476:Y476"/>
    <mergeCell ref="B511:H516"/>
    <mergeCell ref="D459:AF459"/>
    <mergeCell ref="AC522:AF522"/>
    <mergeCell ref="AH525:AK525"/>
    <mergeCell ref="AC529:AF529"/>
    <mergeCell ref="AC525:AF525"/>
    <mergeCell ref="CK760:CL760"/>
    <mergeCell ref="CP755:CT755"/>
    <mergeCell ref="CM739:CN739"/>
    <mergeCell ref="CG756:CH756"/>
    <mergeCell ref="CK730:CL730"/>
    <mergeCell ref="AG697:AH697"/>
    <mergeCell ref="CK727:CL727"/>
    <mergeCell ref="CG732:CH732"/>
    <mergeCell ref="CG738:CH738"/>
    <mergeCell ref="CG736:CH736"/>
    <mergeCell ref="CI757:CJ757"/>
    <mergeCell ref="CK757:CL757"/>
    <mergeCell ref="CM757:CN757"/>
    <mergeCell ref="AH747:AJ747"/>
    <mergeCell ref="AK750:AO750"/>
    <mergeCell ref="CP753:CT753"/>
    <mergeCell ref="CK752:CL752"/>
    <mergeCell ref="CM752:CN752"/>
    <mergeCell ref="AK747:AO747"/>
    <mergeCell ref="CG753:CH753"/>
    <mergeCell ref="CI753:CJ753"/>
    <mergeCell ref="CP728:CT728"/>
    <mergeCell ref="CI728:CJ728"/>
    <mergeCell ref="CI730:CJ730"/>
    <mergeCell ref="CG729:CH729"/>
    <mergeCell ref="CK747:CL747"/>
    <mergeCell ref="CP742:CT742"/>
    <mergeCell ref="AH753:AJ753"/>
    <mergeCell ref="AH754:AJ754"/>
    <mergeCell ref="AH755:AJ755"/>
    <mergeCell ref="AH735:AJ735"/>
    <mergeCell ref="AK754:AO754"/>
    <mergeCell ref="M564:P564"/>
    <mergeCell ref="C567:L567"/>
    <mergeCell ref="B559:L561"/>
    <mergeCell ref="AI568:AL568"/>
    <mergeCell ref="T566:V566"/>
    <mergeCell ref="AI564:AL564"/>
    <mergeCell ref="T565:V565"/>
    <mergeCell ref="W564:Y564"/>
    <mergeCell ref="Q564:S564"/>
    <mergeCell ref="C570:L570"/>
    <mergeCell ref="AH529:AK529"/>
    <mergeCell ref="AC524:AF524"/>
    <mergeCell ref="AH517:AK517"/>
    <mergeCell ref="O537:AA537"/>
    <mergeCell ref="AH541:AK541"/>
    <mergeCell ref="T564:V564"/>
    <mergeCell ref="W559:Y561"/>
    <mergeCell ref="AE564:AH564"/>
    <mergeCell ref="AE567:AH567"/>
    <mergeCell ref="W570:Y570"/>
    <mergeCell ref="Q568:S568"/>
    <mergeCell ref="W563:Y563"/>
    <mergeCell ref="Z566:AD566"/>
    <mergeCell ref="Q566:S566"/>
    <mergeCell ref="C564:L564"/>
    <mergeCell ref="AC526:AF526"/>
    <mergeCell ref="AH544:AK544"/>
    <mergeCell ref="Q570:S570"/>
    <mergeCell ref="AC540:AF540"/>
    <mergeCell ref="AC539:AF539"/>
    <mergeCell ref="AC547:AF547"/>
    <mergeCell ref="Z564:AD564"/>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CI750:CJ750"/>
    <mergeCell ref="CK750:CL750"/>
    <mergeCell ref="AH546:AK546"/>
    <mergeCell ref="AF641:AJ641"/>
    <mergeCell ref="AC533:AF533"/>
    <mergeCell ref="CG750:CH750"/>
    <mergeCell ref="AA581:AK581"/>
    <mergeCell ref="Z570:AD570"/>
    <mergeCell ref="W569:Y569"/>
    <mergeCell ref="T749:W749"/>
    <mergeCell ref="X781:AB781"/>
    <mergeCell ref="X729:AB729"/>
    <mergeCell ref="X735:AB735"/>
    <mergeCell ref="AE704:AI704"/>
    <mergeCell ref="CG739:CH739"/>
    <mergeCell ref="CP730:CT730"/>
    <mergeCell ref="CP726:CT726"/>
    <mergeCell ref="W474:Y474"/>
    <mergeCell ref="L516:AB516"/>
    <mergeCell ref="O528:AA528"/>
    <mergeCell ref="Q502:AK502"/>
    <mergeCell ref="AH524:AK524"/>
    <mergeCell ref="AC549:AF549"/>
    <mergeCell ref="X750:AB750"/>
    <mergeCell ref="AH750:AJ750"/>
    <mergeCell ref="Z636:AB636"/>
    <mergeCell ref="CM761:CN761"/>
    <mergeCell ref="T571:V571"/>
    <mergeCell ref="Z572:AD572"/>
    <mergeCell ref="Z573:AD573"/>
    <mergeCell ref="Z580:AE580"/>
    <mergeCell ref="AF640:AJ640"/>
    <mergeCell ref="AC639:AE639"/>
    <mergeCell ref="AM571:AS571"/>
    <mergeCell ref="AO636:AS636"/>
    <mergeCell ref="AO632:AS634"/>
    <mergeCell ref="AC638:AE638"/>
    <mergeCell ref="AI567:AL567"/>
    <mergeCell ref="AC528:AF528"/>
    <mergeCell ref="AC535:AF535"/>
    <mergeCell ref="AM565:AS565"/>
    <mergeCell ref="W638:Y638"/>
    <mergeCell ref="G580:L580"/>
    <mergeCell ref="AH548:AK548"/>
    <mergeCell ref="AC523:AF523"/>
    <mergeCell ref="G577:R577"/>
    <mergeCell ref="N599:O599"/>
    <mergeCell ref="G610:R610"/>
    <mergeCell ref="G576:R576"/>
    <mergeCell ref="AC464:AF464"/>
    <mergeCell ref="D474:V474"/>
    <mergeCell ref="Q499:AK499"/>
    <mergeCell ref="AH503:AK503"/>
    <mergeCell ref="D473:V473"/>
    <mergeCell ref="AC517:AF517"/>
    <mergeCell ref="CM750:CN750"/>
    <mergeCell ref="B497:P498"/>
    <mergeCell ref="AC514:AF514"/>
    <mergeCell ref="Q497:R498"/>
    <mergeCell ref="Q496:AK496"/>
    <mergeCell ref="AM568:AS568"/>
    <mergeCell ref="AH537:AK537"/>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CZ738:DD738"/>
    <mergeCell ref="DE735:DI735"/>
    <mergeCell ref="DE740:DI740"/>
    <mergeCell ref="DO734:DS734"/>
    <mergeCell ref="EE730:EI730"/>
    <mergeCell ref="DZ726:ED726"/>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49:DN749"/>
    <mergeCell ref="CI747:CJ747"/>
    <mergeCell ref="Z577:AK577"/>
    <mergeCell ref="AH523:AK523"/>
    <mergeCell ref="AK642:AN642"/>
    <mergeCell ref="AK643:AN643"/>
    <mergeCell ref="DJ736:DN736"/>
    <mergeCell ref="DE745:DI745"/>
    <mergeCell ref="DE725:DI725"/>
    <mergeCell ref="DJ750:DN750"/>
    <mergeCell ref="DO725:DS725"/>
    <mergeCell ref="EE726:EI726"/>
    <mergeCell ref="ET726:EX726"/>
    <mergeCell ref="DU733:DY733"/>
    <mergeCell ref="DZ733:ED733"/>
    <mergeCell ref="DZ731:ED731"/>
    <mergeCell ref="EW644:FA644"/>
    <mergeCell ref="ER645:EV645"/>
    <mergeCell ref="ET757:EX757"/>
    <mergeCell ref="DU758:DY758"/>
    <mergeCell ref="DZ758:ED758"/>
    <mergeCell ref="EE758:EI758"/>
    <mergeCell ref="EJ758:EN758"/>
    <mergeCell ref="EO758:ES758"/>
    <mergeCell ref="ET758:EX758"/>
    <mergeCell ref="EZ757:FD757"/>
    <mergeCell ref="EZ754:FD754"/>
    <mergeCell ref="ET753:EX753"/>
    <mergeCell ref="DU754:DY754"/>
    <mergeCell ref="DZ754:ED754"/>
    <mergeCell ref="EE754:EI754"/>
    <mergeCell ref="EM671:EQ671"/>
    <mergeCell ref="ER671:EV671"/>
    <mergeCell ref="EW671:FA671"/>
    <mergeCell ref="EZ752:FD752"/>
    <mergeCell ref="DU751:DY751"/>
    <mergeCell ref="DZ751:ED751"/>
    <mergeCell ref="EE751:EI75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FT754:FX754"/>
    <mergeCell ref="FY754:GC754"/>
    <mergeCell ref="FY756:GC756"/>
    <mergeCell ref="FE757:FI757"/>
    <mergeCell ref="FJ757:FN757"/>
    <mergeCell ref="FO757:FS757"/>
    <mergeCell ref="FY753:GC753"/>
    <mergeCell ref="FY751:GC751"/>
    <mergeCell ref="FE752:FI752"/>
    <mergeCell ref="FJ752:FN752"/>
    <mergeCell ref="EC666:EG666"/>
    <mergeCell ref="EH666:EL666"/>
    <mergeCell ref="EM666:EQ666"/>
    <mergeCell ref="ER666:EV666"/>
    <mergeCell ref="EW666:FA666"/>
    <mergeCell ref="EC673:EG673"/>
    <mergeCell ref="EH673:EL673"/>
    <mergeCell ref="EM673:EQ673"/>
    <mergeCell ref="ER673:EV673"/>
    <mergeCell ref="EW673:FA673"/>
    <mergeCell ref="EZ756:FD756"/>
    <mergeCell ref="FY757:GC757"/>
    <mergeCell ref="FE754:FI754"/>
    <mergeCell ref="FJ754:FN754"/>
    <mergeCell ref="FO754:FS754"/>
    <mergeCell ref="DU749:DY749"/>
    <mergeCell ref="DZ749:ED749"/>
    <mergeCell ref="ET754:EX754"/>
    <mergeCell ref="DU755:DY755"/>
    <mergeCell ref="DZ755:ED755"/>
    <mergeCell ref="EM667:EQ667"/>
    <mergeCell ref="ER667:EV667"/>
    <mergeCell ref="EW667:FA667"/>
    <mergeCell ref="DX668:EB668"/>
    <mergeCell ref="EE732:EI732"/>
    <mergeCell ref="EC667:EG667"/>
    <mergeCell ref="EC668:EG668"/>
    <mergeCell ref="FO752:FS752"/>
    <mergeCell ref="FT752:FX752"/>
    <mergeCell ref="FY752:GC752"/>
    <mergeCell ref="EJ751:EN751"/>
    <mergeCell ref="EO751:ES751"/>
    <mergeCell ref="FY750:GC750"/>
    <mergeCell ref="EZ751:FD751"/>
    <mergeCell ref="CU751:CY751"/>
    <mergeCell ref="ET751:EX751"/>
    <mergeCell ref="DU752:DY752"/>
    <mergeCell ref="DZ752:ED752"/>
    <mergeCell ref="EE752:EI752"/>
    <mergeCell ref="DZ742:ED742"/>
    <mergeCell ref="EE743:EI743"/>
    <mergeCell ref="EJ742:EN742"/>
    <mergeCell ref="CZ756:DD756"/>
    <mergeCell ref="EW670:FA670"/>
    <mergeCell ref="DX671:EB671"/>
    <mergeCell ref="EC671:EG671"/>
    <mergeCell ref="EH671:EL671"/>
    <mergeCell ref="EZ755:FD755"/>
    <mergeCell ref="FE755:FI755"/>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CU757:CY757"/>
    <mergeCell ref="CZ757:DD757"/>
    <mergeCell ref="DE757:DI757"/>
    <mergeCell ref="ET752:EX752"/>
    <mergeCell ref="CZ755:DD755"/>
    <mergeCell ref="DJ757:DN757"/>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P757:CT757"/>
    <mergeCell ref="CP752:CT752"/>
    <mergeCell ref="CZ751:DD751"/>
    <mergeCell ref="DE751:DI751"/>
    <mergeCell ref="DJ755:DN755"/>
    <mergeCell ref="CU752:CY752"/>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U755:CY755"/>
    <mergeCell ref="DE801:DI80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EO802:ES802"/>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AM567:AS567"/>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s>
  <phoneticPr fontId="0" type="noConversion"/>
  <conditionalFormatting sqref="B1069:F1069 AO1069:AP1069">
    <cfRule type="expression" dxfId="110" priority="11">
      <formula>0=$B$1069</formula>
    </cfRule>
  </conditionalFormatting>
  <conditionalFormatting sqref="C563:C573">
    <cfRule type="expression" dxfId="109" priority="1">
      <formula>$AT563="!"</formula>
    </cfRule>
  </conditionalFormatting>
  <conditionalFormatting sqref="C636:C646">
    <cfRule type="expression" dxfId="108" priority="27">
      <formula>$AT636="!"</formula>
    </cfRule>
  </conditionalFormatting>
  <conditionalFormatting sqref="C903:T904">
    <cfRule type="expression" dxfId="107" priority="13">
      <formula>AND(AC903&lt;&gt;"",OR(C903="Other (Specify):",C903=""))</formula>
    </cfRule>
  </conditionalFormatting>
  <conditionalFormatting sqref="D213">
    <cfRule type="expression" dxfId="106" priority="269">
      <formula>AND($Q$212&gt;0,$T$212&lt;75%)</formula>
    </cfRule>
  </conditionalFormatting>
  <conditionalFormatting sqref="D216">
    <cfRule type="expression" dxfId="105" priority="36">
      <formula>NOT($D$211="At-Risk")</formula>
    </cfRule>
  </conditionalFormatting>
  <conditionalFormatting sqref="D215:U215">
    <cfRule type="expression" dxfId="104" priority="40">
      <formula>NOT(OR($D$214="Seniors",$D$211="Seniors"))</formula>
    </cfRule>
  </conditionalFormatting>
  <conditionalFormatting sqref="D214:Z214">
    <cfRule type="expression" dxfId="103" priority="270">
      <formula>AND($Q$212&gt;0,$T$212&lt;75%)</formula>
    </cfRule>
  </conditionalFormatting>
  <conditionalFormatting sqref="E715:AK715">
    <cfRule type="expression" dxfId="102" priority="26">
      <formula>AND($W$714="Other",OR($E$715="(specify here)",$E$715=""))</formula>
    </cfRule>
  </conditionalFormatting>
  <conditionalFormatting sqref="F839:L839">
    <cfRule type="expression" dxfId="101" priority="21">
      <formula>AND(OR(M839&lt;&gt;"",$Q$819&lt;&gt;"",$U$819&lt;&gt;"",$Y$819&lt;&gt;"",$AC$819&lt;&gt;"",$AG$819&lt;&gt;"",SUM($M$839:$AJ$839)&gt;0),OR(F839="(specify here)",F839=""))</formula>
    </cfRule>
  </conditionalFormatting>
  <conditionalFormatting sqref="F466:AB466">
    <cfRule type="expression" dxfId="100" priority="10">
      <formula>$AC$463=""</formula>
    </cfRule>
  </conditionalFormatting>
  <conditionalFormatting sqref="G1064:AN1069">
    <cfRule type="expression" dxfId="99" priority="7">
      <formula>OR($Z$205="15% set-aside",$Z$205="15% set-aside with qualifying low value rehab")</formula>
    </cfRule>
  </conditionalFormatting>
  <conditionalFormatting sqref="L516:X516">
    <cfRule type="expression" dxfId="98" priority="35">
      <formula>AND(NOT(AC516="N/A"),AH516&lt;&gt;"",OR(L516="(specify here)",L516=""))</formula>
    </cfRule>
  </conditionalFormatting>
  <conditionalFormatting sqref="M854:V854">
    <cfRule type="expression" dxfId="97" priority="20">
      <formula>AND(W854&lt;&gt;"",OR(M854="(specify here)",M854=""))</formula>
    </cfRule>
  </conditionalFormatting>
  <conditionalFormatting sqref="M869:V869">
    <cfRule type="expression" dxfId="96" priority="19">
      <formula>AND(W869&lt;&gt;"",OR(M869="(specify here)",M869=""))</formula>
    </cfRule>
  </conditionalFormatting>
  <conditionalFormatting sqref="M880:V880">
    <cfRule type="expression" dxfId="95" priority="18">
      <formula>AND(W880&lt;&gt;"",OR(M880="(specify here)",M880=""))</formula>
    </cfRule>
  </conditionalFormatting>
  <conditionalFormatting sqref="M883:V887">
    <cfRule type="expression" dxfId="94" priority="17">
      <formula>AND(W883&lt;&gt;"",OR(M883="(specify here)",M883=""))</formula>
    </cfRule>
  </conditionalFormatting>
  <conditionalFormatting sqref="O528:AA528">
    <cfRule type="expression" dxfId="93" priority="34">
      <formula>AND(OR(AND(NOT(AC528="N/A"),AH528&lt;&gt;""),AND(NOT(AC529="N/A"),AH529&lt;&gt;""),AND(NOT(AC530="N/A"),AH530&lt;&gt;"")),OR(O528="(specify here)",O528=""))</formula>
    </cfRule>
  </conditionalFormatting>
  <conditionalFormatting sqref="O531:AA531">
    <cfRule type="expression" dxfId="92" priority="33">
      <formula>AND(OR(AND(NOT(AC531="N/A"),AH531&lt;&gt;""),AND(NOT(AC532="N/A"),AH532&lt;&gt;""),AND(NOT(AC533="N/A"),AH533&lt;&gt;"")),OR(O531="(specify here)",O531=""))</formula>
    </cfRule>
  </conditionalFormatting>
  <conditionalFormatting sqref="O534:AA534">
    <cfRule type="expression" dxfId="91" priority="32">
      <formula>AND(OR(AND(NOT(AC534="N/A"),AH534&lt;&gt;""),AND(NOT(AC535="N/A"),AH535&lt;&gt;""),AND(NOT(AC536="N/A"),AH536&lt;&gt;"")),OR(O534="(specify here)",O534=""))</formula>
    </cfRule>
  </conditionalFormatting>
  <conditionalFormatting sqref="O537:AA537">
    <cfRule type="expression" dxfId="90" priority="31">
      <formula>AND(OR(AND(NOT(AC537="N/A"),AH537&lt;&gt;""),AND(NOT(AC538="N/A"),AH538&lt;&gt;""),AND(NOT(AC539="N/A"),AH539&lt;&gt;"")),OR(O537="(specify here)",O537=""))</formula>
    </cfRule>
  </conditionalFormatting>
  <conditionalFormatting sqref="O540:AA540">
    <cfRule type="expression" dxfId="89" priority="30">
      <formula>AND(OR(AND(NOT(AC540="N/A"),AH540&lt;&gt;""),AND(NOT(AC541="N/A"),AH541&lt;&gt;""),AND(NOT(AC542="N/A"),AH542&lt;&gt;"")),OR(O540="(specify here)",O540=""))</formula>
    </cfRule>
  </conditionalFormatting>
  <conditionalFormatting sqref="O543:AA543">
    <cfRule type="expression" dxfId="88" priority="29">
      <formula>AND(OR(AND(NOT(AC543="N/A"),AH543&lt;&gt;""),AND(NOT(AC544="N/A"),AH544&lt;&gt;""),AND(NOT(AC545="N/A"),AH545&lt;&gt;"")),OR(O543="(specify here)",O543=""))</formula>
    </cfRule>
  </conditionalFormatting>
  <conditionalFormatting sqref="P824:Y824">
    <cfRule type="expression" dxfId="87" priority="22">
      <formula>AND(Z824&lt;&gt;"",OR(P824="(specify here)",P824=""))</formula>
    </cfRule>
  </conditionalFormatting>
  <conditionalFormatting sqref="Q563:AS573 Q636:Z646 AC636:AS646">
    <cfRule type="expression" dxfId="86" priority="28">
      <formula>$AT563="!"</formula>
    </cfRule>
  </conditionalFormatting>
  <conditionalFormatting sqref="T212:U212">
    <cfRule type="expression" dxfId="85" priority="9">
      <formula>AND($T$212=0,$Q$212="")</formula>
    </cfRule>
  </conditionalFormatting>
  <conditionalFormatting sqref="U903:U904">
    <cfRule type="expression" dxfId="84" priority="266">
      <formula>AND(AU887&lt;&gt;"",OR(U903="Other (Specify):",U903=""))</formula>
    </cfRule>
  </conditionalFormatting>
  <conditionalFormatting sqref="V903:AB904">
    <cfRule type="expression" dxfId="83" priority="267">
      <formula>AND(AV897&lt;&gt;"",OR(V903="Other (Specify):",V903=""))</formula>
    </cfRule>
  </conditionalFormatting>
  <conditionalFormatting sqref="W983:AG983">
    <cfRule type="expression" dxfId="82" priority="12">
      <formula>AND($AA$962&lt;&gt;"",OR($W$961="",$W$961="(specify here)"))</formula>
    </cfRule>
  </conditionalFormatting>
  <conditionalFormatting sqref="Y224">
    <cfRule type="expression" dxfId="81" priority="4">
      <formula>$AC$463=""</formula>
    </cfRule>
  </conditionalFormatting>
  <conditionalFormatting sqref="Y516:AB516">
    <cfRule type="expression" dxfId="80" priority="268">
      <formula>AND(NOT(AP516="N/A"),AU515&lt;&gt;"",OR(Y516="(specify here)",Y516=""))</formula>
    </cfRule>
  </conditionalFormatting>
  <conditionalFormatting sqref="AA927:AF927">
    <cfRule type="expression" dxfId="79" priority="6">
      <formula>NOT($AA$927=$AW$927)</formula>
    </cfRule>
  </conditionalFormatting>
  <conditionalFormatting sqref="AA1066:AF1066">
    <cfRule type="expression" dxfId="78" priority="8">
      <formula>OR($Z$205="15% set-aside",$Z$205="15% set-aside with qualifying low value rehab")</formula>
    </cfRule>
  </conditionalFormatting>
  <conditionalFormatting sqref="AA215:AO215">
    <cfRule type="expression" dxfId="77" priority="41">
      <formula>NOT(OR($D$214="Seniors",$D$211="Seniors"))</formula>
    </cfRule>
  </conditionalFormatting>
  <conditionalFormatting sqref="AB216:AM216">
    <cfRule type="expression" dxfId="76" priority="37">
      <formula>NOT($D$211="At-Risk")</formula>
    </cfRule>
  </conditionalFormatting>
  <conditionalFormatting sqref="AF1030">
    <cfRule type="cellIs" dxfId="75" priority="47" stopIfTrue="1" operator="equal">
      <formula>"Please Enter Amount:"</formula>
    </cfRule>
  </conditionalFormatting>
  <conditionalFormatting sqref="AF1035">
    <cfRule type="cellIs" dxfId="74" priority="44" stopIfTrue="1" operator="equal">
      <formula>"Please Enter Amount:"</formula>
    </cfRule>
  </conditionalFormatting>
  <conditionalFormatting sqref="AF1042">
    <cfRule type="cellIs" dxfId="73" priority="45" stopIfTrue="1" operator="equal">
      <formula>"Please Enter Amount:"</formula>
    </cfRule>
  </conditionalFormatting>
  <conditionalFormatting sqref="AG450:AJ450">
    <cfRule type="expression" dxfId="72" priority="51" stopIfTrue="1">
      <formula>"iserror(d31)"</formula>
    </cfRule>
  </conditionalFormatting>
  <conditionalFormatting sqref="AJ1054">
    <cfRule type="cellIs" dxfId="71" priority="50" stopIfTrue="1" operator="equal">
      <formula>"#DIV/0!"</formula>
    </cfRule>
  </conditionalFormatting>
  <conditionalFormatting sqref="AX305:BT306">
    <cfRule type="expression" dxfId="70" priority="5">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6" zoomScaleNormal="100" workbookViewId="0">
      <selection activeCell="A70" sqref="A70"/>
    </sheetView>
  </sheetViews>
  <sheetFormatPr defaultColWidth="0" defaultRowHeight="11.5" zeroHeight="1"/>
  <cols>
    <col min="1" max="1" width="35.453125" style="128" customWidth="1"/>
    <col min="2" max="12" width="12.1796875" style="112" customWidth="1"/>
    <col min="13" max="17" width="11.453125" style="112" customWidth="1"/>
    <col min="18" max="18" width="12.453125" style="112" customWidth="1"/>
    <col min="19" max="20" width="12.1796875" style="112" customWidth="1"/>
    <col min="21" max="21" width="0.453125" style="114" customWidth="1"/>
    <col min="22" max="16383" width="8.81640625" style="112" hidden="1"/>
    <col min="16384" max="16384" width="0.1796875" style="112" customWidth="1"/>
  </cols>
  <sheetData>
    <row r="1" spans="1:21" s="78" customFormat="1" ht="13.5">
      <c r="A1" s="117" t="s">
        <v>1769</v>
      </c>
      <c r="B1" s="91"/>
      <c r="C1" s="91"/>
      <c r="D1" s="91"/>
      <c r="E1" s="92"/>
      <c r="F1" s="1236" t="s">
        <v>1770</v>
      </c>
      <c r="G1" s="1237"/>
      <c r="H1" s="1237"/>
      <c r="I1" s="1237"/>
      <c r="J1" s="1237"/>
      <c r="K1" s="1237"/>
      <c r="L1" s="1237"/>
      <c r="M1" s="1237"/>
      <c r="N1" s="1237"/>
      <c r="O1" s="1237"/>
      <c r="P1" s="1237"/>
      <c r="Q1" s="1237"/>
      <c r="R1" s="1238"/>
      <c r="S1" s="80"/>
      <c r="T1" s="79"/>
      <c r="U1" s="81"/>
    </row>
    <row r="2" spans="1:21" s="101" customFormat="1" ht="71.25" customHeight="1">
      <c r="A2" s="100"/>
      <c r="B2" s="101" t="s">
        <v>1771</v>
      </c>
      <c r="C2" s="101" t="s">
        <v>1772</v>
      </c>
      <c r="D2" s="101" t="s">
        <v>1773</v>
      </c>
      <c r="E2" s="101" t="s">
        <v>1774</v>
      </c>
      <c r="F2" s="102" t="str">
        <f>Application!B635&amp;Application!C635</f>
        <v>1)Citibank Permanent Loan (Tranche A)</v>
      </c>
      <c r="G2" s="102" t="str">
        <f>Application!B636&amp;Application!C636</f>
        <v>2)Citibank Permenant Loan (Tranche B)</v>
      </c>
      <c r="H2" s="102" t="str">
        <f>Application!B637&amp;Application!C637</f>
        <v>3)Jefferies LLC B- Bond</v>
      </c>
      <c r="I2" s="102" t="str">
        <f>Application!B638&amp;Application!C638</f>
        <v>4)Deferred Developere Fee</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1775</v>
      </c>
      <c r="S2" s="101" t="s">
        <v>1776</v>
      </c>
      <c r="T2" s="101" t="s">
        <v>1777</v>
      </c>
      <c r="U2" s="103"/>
    </row>
    <row r="3" spans="1:21" s="105" customFormat="1" ht="12">
      <c r="A3" s="104" t="s">
        <v>1778</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1779</v>
      </c>
      <c r="B4" s="245">
        <f>SUM(C4+D4)</f>
        <v>2900000</v>
      </c>
      <c r="C4" s="868">
        <v>2900000</v>
      </c>
      <c r="D4" s="868"/>
      <c r="E4" s="868">
        <f>C4</f>
        <v>2900000</v>
      </c>
      <c r="F4" s="868"/>
      <c r="G4" s="868"/>
      <c r="H4" s="868"/>
      <c r="I4" s="868"/>
      <c r="J4" s="868"/>
      <c r="K4" s="868"/>
      <c r="L4" s="868"/>
      <c r="M4" s="868"/>
      <c r="N4" s="868"/>
      <c r="O4" s="868"/>
      <c r="P4" s="868"/>
      <c r="Q4" s="868"/>
      <c r="R4" s="416">
        <f>SUM(E4:Q4)</f>
        <v>2900000</v>
      </c>
      <c r="S4" s="1209"/>
      <c r="T4" s="1209"/>
      <c r="U4" s="1208"/>
    </row>
    <row r="5" spans="1:21" s="105" customFormat="1">
      <c r="A5" s="195" t="s">
        <v>696</v>
      </c>
      <c r="B5" s="245">
        <f>SUM(C5+D5)</f>
        <v>0</v>
      </c>
      <c r="C5" s="868"/>
      <c r="D5" s="868"/>
      <c r="E5" s="868">
        <f>C5</f>
        <v>0</v>
      </c>
      <c r="F5" s="868"/>
      <c r="G5" s="868"/>
      <c r="H5" s="868"/>
      <c r="I5" s="868"/>
      <c r="J5" s="868"/>
      <c r="K5" s="868"/>
      <c r="L5" s="868"/>
      <c r="M5" s="868"/>
      <c r="N5" s="868"/>
      <c r="O5" s="868"/>
      <c r="P5" s="868"/>
      <c r="Q5" s="868"/>
      <c r="R5" s="416">
        <f>SUM(E5:Q5)</f>
        <v>0</v>
      </c>
      <c r="S5" s="1209"/>
      <c r="T5" s="1209"/>
      <c r="U5" s="1208"/>
    </row>
    <row r="6" spans="1:21" s="105" customFormat="1">
      <c r="A6" s="195" t="s">
        <v>1780</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1781</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1782</v>
      </c>
      <c r="B8" s="245">
        <f>SUM(C8:D8)</f>
        <v>2900000</v>
      </c>
      <c r="C8" s="245">
        <f t="shared" ref="C8:Q8" si="0">SUM(C4:C7)</f>
        <v>2900000</v>
      </c>
      <c r="D8" s="245">
        <f t="shared" si="0"/>
        <v>0</v>
      </c>
      <c r="E8" s="245">
        <f t="shared" si="0"/>
        <v>2900000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2900000</v>
      </c>
      <c r="S8" s="1209"/>
      <c r="T8" s="1209"/>
      <c r="U8" s="1208"/>
    </row>
    <row r="9" spans="1:21" s="105" customFormat="1">
      <c r="A9" s="195" t="s">
        <v>1783</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1784</v>
      </c>
      <c r="B10" s="245">
        <f>SUM(C10+D10)</f>
        <v>500000</v>
      </c>
      <c r="C10" s="868">
        <v>500000</v>
      </c>
      <c r="D10" s="868"/>
      <c r="E10" s="868">
        <f>C10</f>
        <v>500000</v>
      </c>
      <c r="F10" s="868"/>
      <c r="G10" s="868"/>
      <c r="H10" s="868"/>
      <c r="I10" s="868"/>
      <c r="J10" s="868"/>
      <c r="K10" s="868"/>
      <c r="L10" s="868"/>
      <c r="M10" s="868"/>
      <c r="N10" s="868"/>
      <c r="O10" s="868"/>
      <c r="P10" s="868"/>
      <c r="Q10" s="868"/>
      <c r="R10" s="416">
        <f>SUM(E10:Q10)</f>
        <v>500000</v>
      </c>
      <c r="S10" s="868">
        <v>500000</v>
      </c>
      <c r="T10" s="868"/>
      <c r="U10" s="1208"/>
    </row>
    <row r="11" spans="1:21" s="105" customFormat="1">
      <c r="A11" s="106" t="s">
        <v>1785</v>
      </c>
      <c r="B11" s="245">
        <f>SUM(C11:D11)</f>
        <v>500000</v>
      </c>
      <c r="C11" s="245">
        <f t="shared" ref="C11:Q11" si="1">SUM(C9:C10)</f>
        <v>500000</v>
      </c>
      <c r="D11" s="245">
        <f t="shared" si="1"/>
        <v>0</v>
      </c>
      <c r="E11" s="245">
        <f t="shared" si="1"/>
        <v>500000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500000</v>
      </c>
      <c r="S11" s="1209"/>
      <c r="T11" s="107">
        <f>SUM(T9:T10)</f>
        <v>0</v>
      </c>
      <c r="U11" s="1208"/>
    </row>
    <row r="12" spans="1:21" s="105" customFormat="1">
      <c r="A12" s="106" t="s">
        <v>1786</v>
      </c>
      <c r="B12" s="245">
        <f t="shared" ref="B12:Q12" si="2">SUM(B8+B11)</f>
        <v>3400000</v>
      </c>
      <c r="C12" s="245">
        <f t="shared" si="2"/>
        <v>3400000</v>
      </c>
      <c r="D12" s="245">
        <f t="shared" si="2"/>
        <v>0</v>
      </c>
      <c r="E12" s="245">
        <f t="shared" si="2"/>
        <v>3400000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3400000</v>
      </c>
      <c r="S12" s="1209"/>
      <c r="T12" s="1209"/>
      <c r="U12" s="1208"/>
    </row>
    <row r="13" spans="1:21" s="105" customFormat="1">
      <c r="A13" s="197" t="s">
        <v>1787</v>
      </c>
      <c r="B13" s="245">
        <f>SUM(C13+D13)</f>
        <v>0</v>
      </c>
      <c r="C13" s="868"/>
      <c r="D13" s="868"/>
      <c r="E13" s="868"/>
      <c r="F13" s="868"/>
      <c r="G13" s="868"/>
      <c r="H13" s="868"/>
      <c r="I13" s="868"/>
      <c r="J13" s="868"/>
      <c r="K13" s="868"/>
      <c r="L13" s="868"/>
      <c r="M13" s="868"/>
      <c r="N13" s="868"/>
      <c r="O13" s="868"/>
      <c r="P13" s="868"/>
      <c r="Q13" s="868"/>
      <c r="R13" s="416">
        <f>SUM(E13:Q13)</f>
        <v>0</v>
      </c>
      <c r="S13" s="868"/>
      <c r="T13" s="868"/>
      <c r="U13" s="1208"/>
    </row>
    <row r="14" spans="1:21" s="105" customFormat="1" ht="23">
      <c r="A14" s="198" t="s">
        <v>1788</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1789</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ht="12">
      <c r="A16" s="104" t="s">
        <v>1790</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1791</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1792</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1793</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1794</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1795</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1796</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1797</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1798</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1799</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1800</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1801</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ht="12">
      <c r="A28" s="104" t="s">
        <v>1802</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1791</v>
      </c>
      <c r="B29" s="245">
        <f t="shared" ref="B29:B38" si="6">SUM(C29+D29)</f>
        <v>1000000</v>
      </c>
      <c r="C29" s="868">
        <v>1000000</v>
      </c>
      <c r="D29" s="868"/>
      <c r="E29" s="868">
        <f>C29</f>
        <v>1000000</v>
      </c>
      <c r="F29" s="868"/>
      <c r="G29" s="868"/>
      <c r="H29" s="868"/>
      <c r="I29" s="868"/>
      <c r="J29" s="868"/>
      <c r="K29" s="868"/>
      <c r="L29" s="868"/>
      <c r="M29" s="868"/>
      <c r="N29" s="868"/>
      <c r="O29" s="868"/>
      <c r="P29" s="868"/>
      <c r="Q29" s="868"/>
      <c r="R29" s="416">
        <f t="shared" ref="R29:R37" si="7">SUM(E29:Q29)</f>
        <v>1000000</v>
      </c>
      <c r="S29" s="868">
        <v>1000000</v>
      </c>
      <c r="T29" s="868"/>
      <c r="U29" s="1208"/>
    </row>
    <row r="30" spans="1:21" s="105" customFormat="1">
      <c r="A30" s="195" t="s">
        <v>1792</v>
      </c>
      <c r="B30" s="245">
        <f t="shared" si="6"/>
        <v>39228678</v>
      </c>
      <c r="C30" s="868">
        <v>39228678</v>
      </c>
      <c r="D30" s="868"/>
      <c r="E30" s="868">
        <f>C30-F30-G30-H30</f>
        <v>2886256</v>
      </c>
      <c r="F30" s="868">
        <v>14500000</v>
      </c>
      <c r="G30" s="868">
        <v>14842422</v>
      </c>
      <c r="H30" s="868">
        <v>7000000</v>
      </c>
      <c r="I30" s="868"/>
      <c r="J30" s="868"/>
      <c r="K30" s="868"/>
      <c r="L30" s="868"/>
      <c r="M30" s="868"/>
      <c r="N30" s="868"/>
      <c r="O30" s="868"/>
      <c r="P30" s="868"/>
      <c r="Q30" s="868"/>
      <c r="R30" s="416">
        <f t="shared" si="7"/>
        <v>39228678</v>
      </c>
      <c r="S30" s="868">
        <f>R30</f>
        <v>39228678</v>
      </c>
      <c r="T30" s="868"/>
      <c r="U30" s="1208"/>
    </row>
    <row r="31" spans="1:21" s="105" customFormat="1">
      <c r="A31" s="195" t="s">
        <v>1793</v>
      </c>
      <c r="B31" s="245">
        <f t="shared" si="6"/>
        <v>2443721</v>
      </c>
      <c r="C31" s="868">
        <v>2443721</v>
      </c>
      <c r="D31" s="868"/>
      <c r="E31" s="868">
        <f t="shared" ref="E31:E33" si="8">C31</f>
        <v>2443721</v>
      </c>
      <c r="F31" s="868"/>
      <c r="G31" s="868"/>
      <c r="H31" s="868"/>
      <c r="I31" s="868"/>
      <c r="J31" s="868"/>
      <c r="K31" s="868"/>
      <c r="L31" s="868"/>
      <c r="M31" s="868"/>
      <c r="N31" s="868"/>
      <c r="O31" s="868"/>
      <c r="P31" s="868"/>
      <c r="Q31" s="868"/>
      <c r="R31" s="416">
        <f t="shared" si="7"/>
        <v>2443721</v>
      </c>
      <c r="S31" s="868">
        <f>R31</f>
        <v>2443721</v>
      </c>
      <c r="T31" s="868"/>
      <c r="U31" s="1208"/>
    </row>
    <row r="32" spans="1:21" s="105" customFormat="1">
      <c r="A32" s="195" t="s">
        <v>1794</v>
      </c>
      <c r="B32" s="245">
        <f t="shared" si="6"/>
        <v>1629147</v>
      </c>
      <c r="C32" s="868">
        <v>1629147</v>
      </c>
      <c r="D32" s="868"/>
      <c r="E32" s="868">
        <f t="shared" si="8"/>
        <v>1629147</v>
      </c>
      <c r="F32" s="868"/>
      <c r="G32" s="868"/>
      <c r="H32" s="868"/>
      <c r="I32" s="868"/>
      <c r="J32" s="868"/>
      <c r="K32" s="868"/>
      <c r="L32" s="868"/>
      <c r="M32" s="868"/>
      <c r="N32" s="868"/>
      <c r="O32" s="868"/>
      <c r="P32" s="868"/>
      <c r="Q32" s="868"/>
      <c r="R32" s="416">
        <f t="shared" si="7"/>
        <v>1629147</v>
      </c>
      <c r="S32" s="868">
        <f>R32</f>
        <v>1629147</v>
      </c>
      <c r="T32" s="868"/>
      <c r="U32" s="1208"/>
    </row>
    <row r="33" spans="1:21" s="105" customFormat="1">
      <c r="A33" s="195" t="s">
        <v>1795</v>
      </c>
      <c r="B33" s="245">
        <f t="shared" si="6"/>
        <v>1629147</v>
      </c>
      <c r="C33" s="868">
        <v>1629147</v>
      </c>
      <c r="D33" s="868"/>
      <c r="E33" s="868">
        <f t="shared" si="8"/>
        <v>1629147</v>
      </c>
      <c r="F33" s="868"/>
      <c r="G33" s="868"/>
      <c r="H33" s="868"/>
      <c r="I33" s="868"/>
      <c r="J33" s="868"/>
      <c r="K33" s="868"/>
      <c r="L33" s="868"/>
      <c r="M33" s="868"/>
      <c r="N33" s="868"/>
      <c r="O33" s="868"/>
      <c r="P33" s="868"/>
      <c r="Q33" s="868"/>
      <c r="R33" s="416">
        <f t="shared" si="7"/>
        <v>1629147</v>
      </c>
      <c r="S33" s="868">
        <f>R33</f>
        <v>1629147</v>
      </c>
      <c r="T33" s="868"/>
      <c r="U33" s="1208"/>
    </row>
    <row r="34" spans="1:21" s="105" customFormat="1">
      <c r="A34" s="195" t="s">
        <v>1796</v>
      </c>
      <c r="B34" s="245">
        <f t="shared" si="6"/>
        <v>0</v>
      </c>
      <c r="C34" s="868"/>
      <c r="D34" s="868"/>
      <c r="E34" s="868"/>
      <c r="F34" s="868"/>
      <c r="G34" s="868"/>
      <c r="H34" s="868"/>
      <c r="I34" s="868"/>
      <c r="J34" s="868"/>
      <c r="K34" s="868"/>
      <c r="L34" s="868"/>
      <c r="M34" s="868"/>
      <c r="N34" s="868"/>
      <c r="O34" s="868"/>
      <c r="P34" s="868"/>
      <c r="Q34" s="868"/>
      <c r="R34" s="416">
        <f t="shared" si="7"/>
        <v>0</v>
      </c>
      <c r="S34" s="868"/>
      <c r="T34" s="868"/>
      <c r="U34" s="1208"/>
    </row>
    <row r="35" spans="1:21" s="105" customFormat="1">
      <c r="A35" s="195" t="s">
        <v>1797</v>
      </c>
      <c r="B35" s="245">
        <f t="shared" si="6"/>
        <v>464307</v>
      </c>
      <c r="C35" s="868">
        <v>464307</v>
      </c>
      <c r="D35" s="868"/>
      <c r="E35" s="868">
        <f>C35</f>
        <v>464307</v>
      </c>
      <c r="F35" s="868"/>
      <c r="G35" s="868"/>
      <c r="H35" s="868"/>
      <c r="I35" s="868"/>
      <c r="J35" s="868"/>
      <c r="K35" s="868"/>
      <c r="L35" s="868"/>
      <c r="M35" s="868"/>
      <c r="N35" s="868"/>
      <c r="O35" s="868"/>
      <c r="P35" s="868"/>
      <c r="Q35" s="868"/>
      <c r="R35" s="416">
        <f t="shared" si="7"/>
        <v>464307</v>
      </c>
      <c r="S35" s="868">
        <f>R35</f>
        <v>464307</v>
      </c>
      <c r="T35" s="868"/>
      <c r="U35" s="1208"/>
    </row>
    <row r="36" spans="1:21" s="105" customFormat="1">
      <c r="A36" s="195" t="s">
        <v>1798</v>
      </c>
      <c r="B36" s="245">
        <f t="shared" si="6"/>
        <v>0</v>
      </c>
      <c r="C36" s="868"/>
      <c r="D36" s="868"/>
      <c r="E36" s="868"/>
      <c r="F36" s="868"/>
      <c r="G36" s="868"/>
      <c r="H36" s="868"/>
      <c r="I36" s="868"/>
      <c r="J36" s="868"/>
      <c r="K36" s="868"/>
      <c r="L36" s="868"/>
      <c r="M36" s="868"/>
      <c r="N36" s="868"/>
      <c r="O36" s="868"/>
      <c r="P36" s="868"/>
      <c r="Q36" s="868"/>
      <c r="R36" s="416">
        <f t="shared" si="7"/>
        <v>0</v>
      </c>
      <c r="S36" s="868"/>
      <c r="T36" s="868"/>
      <c r="U36" s="1208"/>
    </row>
    <row r="37" spans="1:21" s="105" customFormat="1">
      <c r="A37" s="1032" t="s">
        <v>1799</v>
      </c>
      <c r="B37" s="245">
        <f t="shared" si="6"/>
        <v>0</v>
      </c>
      <c r="C37" s="868"/>
      <c r="D37" s="868"/>
      <c r="E37" s="868"/>
      <c r="F37" s="868"/>
      <c r="G37" s="868"/>
      <c r="H37" s="868"/>
      <c r="I37" s="868"/>
      <c r="J37" s="868"/>
      <c r="K37" s="868"/>
      <c r="L37" s="868"/>
      <c r="M37" s="868"/>
      <c r="N37" s="868"/>
      <c r="O37" s="868"/>
      <c r="P37" s="868"/>
      <c r="Q37" s="868"/>
      <c r="R37" s="416">
        <f t="shared" si="7"/>
        <v>0</v>
      </c>
      <c r="S37" s="868"/>
      <c r="T37" s="868"/>
      <c r="U37" s="1208"/>
    </row>
    <row r="38" spans="1:21" s="105" customFormat="1">
      <c r="A38" s="106" t="s">
        <v>1803</v>
      </c>
      <c r="B38" s="245">
        <f t="shared" si="6"/>
        <v>46395000</v>
      </c>
      <c r="C38" s="245">
        <f>SUM(C29:C37)</f>
        <v>46395000</v>
      </c>
      <c r="D38" s="245">
        <f t="shared" ref="D38:Q38" si="9">SUM(D29:D37)</f>
        <v>0</v>
      </c>
      <c r="E38" s="245">
        <f t="shared" si="9"/>
        <v>10052578</v>
      </c>
      <c r="F38" s="245">
        <f t="shared" si="9"/>
        <v>14500000</v>
      </c>
      <c r="G38" s="245">
        <f t="shared" si="9"/>
        <v>14842422</v>
      </c>
      <c r="H38" s="245">
        <f t="shared" si="9"/>
        <v>7000000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46395000</v>
      </c>
      <c r="S38" s="107">
        <f>SUM(S29:S37)</f>
        <v>46395000</v>
      </c>
      <c r="T38" s="107">
        <f>SUM(T29:T37)</f>
        <v>0</v>
      </c>
      <c r="U38" s="1208"/>
    </row>
    <row r="39" spans="1:21" s="105" customFormat="1" ht="12">
      <c r="A39" s="104" t="s">
        <v>1804</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1805</v>
      </c>
      <c r="B40" s="245">
        <f>SUM(C40+D40)</f>
        <v>1170000</v>
      </c>
      <c r="C40" s="868">
        <v>1170000</v>
      </c>
      <c r="D40" s="868"/>
      <c r="E40" s="868">
        <f>C40</f>
        <v>1170000</v>
      </c>
      <c r="F40" s="868"/>
      <c r="G40" s="868"/>
      <c r="H40" s="868"/>
      <c r="I40" s="868"/>
      <c r="J40" s="868"/>
      <c r="K40" s="868"/>
      <c r="L40" s="868"/>
      <c r="M40" s="868"/>
      <c r="N40" s="868"/>
      <c r="O40" s="868"/>
      <c r="P40" s="868"/>
      <c r="Q40" s="868"/>
      <c r="R40" s="416">
        <f>SUM(E40:Q40)</f>
        <v>1170000</v>
      </c>
      <c r="S40" s="868">
        <f>R40</f>
        <v>1170000</v>
      </c>
      <c r="T40" s="868"/>
      <c r="U40" s="1208"/>
    </row>
    <row r="41" spans="1:21" s="105" customFormat="1">
      <c r="A41" s="195" t="s">
        <v>1806</v>
      </c>
      <c r="B41" s="245">
        <f>SUM(C41+D41)</f>
        <v>0</v>
      </c>
      <c r="C41" s="868"/>
      <c r="D41" s="868"/>
      <c r="E41" s="868"/>
      <c r="F41" s="868"/>
      <c r="G41" s="868"/>
      <c r="H41" s="868"/>
      <c r="I41" s="868"/>
      <c r="J41" s="868"/>
      <c r="K41" s="868"/>
      <c r="L41" s="868"/>
      <c r="M41" s="868"/>
      <c r="N41" s="868"/>
      <c r="O41" s="868"/>
      <c r="P41" s="868"/>
      <c r="Q41" s="868"/>
      <c r="R41" s="416">
        <f>SUM(E41:Q41)</f>
        <v>0</v>
      </c>
      <c r="S41" s="868"/>
      <c r="T41" s="868"/>
      <c r="U41" s="1208"/>
    </row>
    <row r="42" spans="1:21" s="105" customFormat="1">
      <c r="A42" s="106" t="s">
        <v>1807</v>
      </c>
      <c r="B42" s="245">
        <f>SUM(C42:D42)</f>
        <v>1170000</v>
      </c>
      <c r="C42" s="245">
        <f>SUM(C39:C41)</f>
        <v>1170000</v>
      </c>
      <c r="D42" s="245">
        <f>SUM(D39:D41)</f>
        <v>0</v>
      </c>
      <c r="E42" s="245">
        <f t="shared" ref="E42:T42" si="10">SUM(E40:E41)</f>
        <v>1170000</v>
      </c>
      <c r="F42" s="245">
        <f t="shared" si="10"/>
        <v>0</v>
      </c>
      <c r="G42" s="245">
        <f t="shared" si="10"/>
        <v>0</v>
      </c>
      <c r="H42" s="245">
        <f t="shared" si="10"/>
        <v>0</v>
      </c>
      <c r="I42" s="245">
        <f t="shared" si="10"/>
        <v>0</v>
      </c>
      <c r="J42" s="245">
        <f t="shared" si="10"/>
        <v>0</v>
      </c>
      <c r="K42" s="245">
        <f t="shared" si="10"/>
        <v>0</v>
      </c>
      <c r="L42" s="245">
        <f t="shared" si="10"/>
        <v>0</v>
      </c>
      <c r="M42" s="245">
        <f t="shared" si="10"/>
        <v>0</v>
      </c>
      <c r="N42" s="245">
        <f t="shared" si="10"/>
        <v>0</v>
      </c>
      <c r="O42" s="245">
        <f t="shared" si="10"/>
        <v>0</v>
      </c>
      <c r="P42" s="245">
        <f t="shared" si="10"/>
        <v>0</v>
      </c>
      <c r="Q42" s="245">
        <f t="shared" si="10"/>
        <v>0</v>
      </c>
      <c r="R42" s="245">
        <f>SUM(R40:R41)</f>
        <v>1170000</v>
      </c>
      <c r="S42" s="107">
        <f t="shared" si="10"/>
        <v>1170000</v>
      </c>
      <c r="T42" s="107">
        <f t="shared" si="10"/>
        <v>0</v>
      </c>
      <c r="U42" s="1208"/>
    </row>
    <row r="43" spans="1:21" s="105" customFormat="1">
      <c r="A43" s="106" t="s">
        <v>1808</v>
      </c>
      <c r="B43" s="245">
        <f>SUM(C43:D43)</f>
        <v>650000</v>
      </c>
      <c r="C43" s="868">
        <v>650000</v>
      </c>
      <c r="D43" s="868"/>
      <c r="E43" s="868">
        <f>C43</f>
        <v>650000</v>
      </c>
      <c r="F43" s="868"/>
      <c r="G43" s="868"/>
      <c r="H43" s="868"/>
      <c r="I43" s="868"/>
      <c r="J43" s="868"/>
      <c r="K43" s="868"/>
      <c r="L43" s="868"/>
      <c r="M43" s="868"/>
      <c r="N43" s="868"/>
      <c r="O43" s="868"/>
      <c r="P43" s="868"/>
      <c r="Q43" s="868"/>
      <c r="R43" s="416">
        <f>SUM(E43:Q43)</f>
        <v>650000</v>
      </c>
      <c r="S43" s="868">
        <f>R43</f>
        <v>650000</v>
      </c>
      <c r="T43" s="868"/>
      <c r="U43" s="1208"/>
    </row>
    <row r="44" spans="1:21" s="105" customFormat="1" ht="12">
      <c r="A44" s="104" t="s">
        <v>1809</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1810</v>
      </c>
      <c r="B45" s="245">
        <f t="shared" ref="B45:B53" si="11">SUM(C45+D45)</f>
        <v>4591492</v>
      </c>
      <c r="C45" s="868">
        <v>4591492</v>
      </c>
      <c r="D45" s="868"/>
      <c r="E45" s="868">
        <f>C45</f>
        <v>4591492</v>
      </c>
      <c r="F45" s="868"/>
      <c r="G45" s="868"/>
      <c r="H45" s="868"/>
      <c r="I45" s="868"/>
      <c r="J45" s="868"/>
      <c r="K45" s="868"/>
      <c r="L45" s="868"/>
      <c r="M45" s="868"/>
      <c r="N45" s="868"/>
      <c r="O45" s="868"/>
      <c r="P45" s="868"/>
      <c r="Q45" s="868"/>
      <c r="R45" s="416">
        <f t="shared" ref="R45:R53" si="12">SUM(E45:Q45)</f>
        <v>4591492</v>
      </c>
      <c r="S45" s="868">
        <v>2794331</v>
      </c>
      <c r="T45" s="868"/>
      <c r="U45" s="1208"/>
    </row>
    <row r="46" spans="1:21" s="105" customFormat="1">
      <c r="A46" s="195" t="s">
        <v>1811</v>
      </c>
      <c r="B46" s="245">
        <f t="shared" si="11"/>
        <v>397595</v>
      </c>
      <c r="C46" s="868">
        <v>397595</v>
      </c>
      <c r="D46" s="868"/>
      <c r="E46" s="868">
        <f t="shared" ref="E46:E53" si="13">C46</f>
        <v>397595</v>
      </c>
      <c r="F46" s="868"/>
      <c r="G46" s="868"/>
      <c r="H46" s="868"/>
      <c r="I46" s="868"/>
      <c r="J46" s="868"/>
      <c r="K46" s="868"/>
      <c r="L46" s="868"/>
      <c r="M46" s="868"/>
      <c r="N46" s="868"/>
      <c r="O46" s="868"/>
      <c r="P46" s="868"/>
      <c r="Q46" s="868"/>
      <c r="R46" s="416">
        <f t="shared" si="12"/>
        <v>397595</v>
      </c>
      <c r="S46" s="868">
        <v>298196</v>
      </c>
      <c r="T46" s="868"/>
      <c r="U46" s="1208"/>
    </row>
    <row r="47" spans="1:21" s="105" customFormat="1">
      <c r="A47" s="1210" t="s">
        <v>1812</v>
      </c>
      <c r="B47" s="245">
        <f t="shared" si="11"/>
        <v>0</v>
      </c>
      <c r="C47" s="868"/>
      <c r="D47" s="868"/>
      <c r="E47" s="868">
        <f t="shared" si="13"/>
        <v>0</v>
      </c>
      <c r="F47" s="868"/>
      <c r="G47" s="868"/>
      <c r="H47" s="868"/>
      <c r="I47" s="868"/>
      <c r="J47" s="868"/>
      <c r="K47" s="868"/>
      <c r="L47" s="868"/>
      <c r="M47" s="868"/>
      <c r="N47" s="868"/>
      <c r="O47" s="868"/>
      <c r="P47" s="868"/>
      <c r="Q47" s="868"/>
      <c r="R47" s="416">
        <f t="shared" si="12"/>
        <v>0</v>
      </c>
      <c r="S47" s="868"/>
      <c r="T47" s="868"/>
      <c r="U47" s="1208"/>
    </row>
    <row r="48" spans="1:21" s="105" customFormat="1">
      <c r="A48" s="195" t="s">
        <v>1813</v>
      </c>
      <c r="B48" s="245">
        <f t="shared" si="11"/>
        <v>0</v>
      </c>
      <c r="C48" s="868"/>
      <c r="D48" s="868"/>
      <c r="E48" s="868">
        <f t="shared" si="13"/>
        <v>0</v>
      </c>
      <c r="F48" s="868"/>
      <c r="G48" s="868"/>
      <c r="H48" s="868"/>
      <c r="I48" s="868"/>
      <c r="J48" s="868"/>
      <c r="K48" s="868"/>
      <c r="L48" s="868"/>
      <c r="M48" s="868"/>
      <c r="N48" s="868"/>
      <c r="O48" s="868"/>
      <c r="P48" s="868"/>
      <c r="Q48" s="868"/>
      <c r="R48" s="416">
        <f t="shared" si="12"/>
        <v>0</v>
      </c>
      <c r="S48" s="868"/>
      <c r="T48" s="868"/>
      <c r="U48" s="1208"/>
    </row>
    <row r="49" spans="1:21" s="105" customFormat="1">
      <c r="A49" s="195" t="s">
        <v>1814</v>
      </c>
      <c r="B49" s="245">
        <f t="shared" si="11"/>
        <v>99399</v>
      </c>
      <c r="C49" s="868">
        <v>99399</v>
      </c>
      <c r="D49" s="868"/>
      <c r="E49" s="868">
        <f t="shared" si="13"/>
        <v>99399</v>
      </c>
      <c r="F49" s="868"/>
      <c r="G49" s="868"/>
      <c r="H49" s="868"/>
      <c r="I49" s="868"/>
      <c r="J49" s="868"/>
      <c r="K49" s="868"/>
      <c r="L49" s="868"/>
      <c r="M49" s="868"/>
      <c r="N49" s="868"/>
      <c r="O49" s="868"/>
      <c r="P49" s="868"/>
      <c r="Q49" s="868"/>
      <c r="R49" s="416">
        <f t="shared" si="12"/>
        <v>99399</v>
      </c>
      <c r="S49" s="868">
        <f>R49</f>
        <v>99399</v>
      </c>
      <c r="T49" s="868"/>
      <c r="U49" s="1208"/>
    </row>
    <row r="50" spans="1:21" s="105" customFormat="1">
      <c r="A50" s="195" t="s">
        <v>1815</v>
      </c>
      <c r="B50" s="245">
        <f t="shared" si="11"/>
        <v>100000</v>
      </c>
      <c r="C50" s="868">
        <v>100000</v>
      </c>
      <c r="D50" s="868"/>
      <c r="E50" s="868">
        <f t="shared" si="13"/>
        <v>100000</v>
      </c>
      <c r="F50" s="868"/>
      <c r="G50" s="868"/>
      <c r="H50" s="868"/>
      <c r="I50" s="868"/>
      <c r="J50" s="868"/>
      <c r="K50" s="868"/>
      <c r="L50" s="868"/>
      <c r="M50" s="868"/>
      <c r="N50" s="868"/>
      <c r="O50" s="868"/>
      <c r="P50" s="868"/>
      <c r="Q50" s="868"/>
      <c r="R50" s="416">
        <f t="shared" si="12"/>
        <v>100000</v>
      </c>
      <c r="S50" s="868">
        <v>75000</v>
      </c>
      <c r="T50" s="868"/>
      <c r="U50" s="1208"/>
    </row>
    <row r="51" spans="1:21" s="105" customFormat="1">
      <c r="A51" s="195" t="s">
        <v>1816</v>
      </c>
      <c r="B51" s="245">
        <f t="shared" si="11"/>
        <v>120000</v>
      </c>
      <c r="C51" s="868">
        <v>120000</v>
      </c>
      <c r="D51" s="868"/>
      <c r="E51" s="868">
        <f t="shared" si="13"/>
        <v>120000</v>
      </c>
      <c r="F51" s="868"/>
      <c r="G51" s="868"/>
      <c r="H51" s="868"/>
      <c r="I51" s="868"/>
      <c r="J51" s="868"/>
      <c r="K51" s="868"/>
      <c r="L51" s="868"/>
      <c r="M51" s="868"/>
      <c r="N51" s="868"/>
      <c r="O51" s="868"/>
      <c r="P51" s="868"/>
      <c r="Q51" s="868"/>
      <c r="R51" s="416">
        <f t="shared" si="12"/>
        <v>120000</v>
      </c>
      <c r="S51" s="868">
        <f>R51</f>
        <v>120000</v>
      </c>
      <c r="T51" s="868"/>
      <c r="U51" s="1208"/>
    </row>
    <row r="52" spans="1:21" s="105" customFormat="1">
      <c r="A52" s="195" t="s">
        <v>1581</v>
      </c>
      <c r="B52" s="245">
        <f t="shared" si="11"/>
        <v>469000</v>
      </c>
      <c r="C52" s="868">
        <v>469000</v>
      </c>
      <c r="D52" s="868"/>
      <c r="E52" s="868">
        <f t="shared" si="13"/>
        <v>469000</v>
      </c>
      <c r="F52" s="868"/>
      <c r="G52" s="868"/>
      <c r="H52" s="868"/>
      <c r="I52" s="868"/>
      <c r="J52" s="868"/>
      <c r="K52" s="868"/>
      <c r="L52" s="868"/>
      <c r="M52" s="868"/>
      <c r="N52" s="868"/>
      <c r="O52" s="868"/>
      <c r="P52" s="868"/>
      <c r="Q52" s="868"/>
      <c r="R52" s="416">
        <f t="shared" si="12"/>
        <v>469000</v>
      </c>
      <c r="S52" s="868">
        <f>R52</f>
        <v>469000</v>
      </c>
      <c r="T52" s="868"/>
      <c r="U52" s="1208"/>
    </row>
    <row r="53" spans="1:21" s="105" customFormat="1" ht="34.5">
      <c r="A53" s="1032" t="s">
        <v>2784</v>
      </c>
      <c r="B53" s="245">
        <f t="shared" si="11"/>
        <v>1600000</v>
      </c>
      <c r="C53" s="868">
        <f>1400000+200000</f>
        <v>1600000</v>
      </c>
      <c r="D53" s="868"/>
      <c r="E53" s="868">
        <f t="shared" si="13"/>
        <v>1600000</v>
      </c>
      <c r="F53" s="868"/>
      <c r="G53" s="868"/>
      <c r="H53" s="868"/>
      <c r="I53" s="868"/>
      <c r="J53" s="868"/>
      <c r="K53" s="868"/>
      <c r="L53" s="868"/>
      <c r="M53" s="868"/>
      <c r="N53" s="868"/>
      <c r="O53" s="868"/>
      <c r="P53" s="868"/>
      <c r="Q53" s="868"/>
      <c r="R53" s="416">
        <f t="shared" si="12"/>
        <v>1600000</v>
      </c>
      <c r="S53" s="868">
        <f>1050000+200000</f>
        <v>1250000</v>
      </c>
      <c r="T53" s="868"/>
      <c r="U53" s="1208"/>
    </row>
    <row r="54" spans="1:21" s="109" customFormat="1">
      <c r="A54" s="106" t="s">
        <v>1817</v>
      </c>
      <c r="B54" s="107">
        <f>SUM(C54:D54)</f>
        <v>7377486</v>
      </c>
      <c r="C54" s="107">
        <f t="shared" ref="C54:T54" si="14">SUM(C45:C53)</f>
        <v>7377486</v>
      </c>
      <c r="D54" s="107">
        <f t="shared" si="14"/>
        <v>0</v>
      </c>
      <c r="E54" s="107">
        <f t="shared" si="14"/>
        <v>7377486</v>
      </c>
      <c r="F54" s="107">
        <f t="shared" si="14"/>
        <v>0</v>
      </c>
      <c r="G54" s="107">
        <f t="shared" si="14"/>
        <v>0</v>
      </c>
      <c r="H54" s="107">
        <f t="shared" si="14"/>
        <v>0</v>
      </c>
      <c r="I54" s="107">
        <f t="shared" si="14"/>
        <v>0</v>
      </c>
      <c r="J54" s="107">
        <f t="shared" si="14"/>
        <v>0</v>
      </c>
      <c r="K54" s="107">
        <f t="shared" si="14"/>
        <v>0</v>
      </c>
      <c r="L54" s="107">
        <f t="shared" si="14"/>
        <v>0</v>
      </c>
      <c r="M54" s="107">
        <f t="shared" si="14"/>
        <v>0</v>
      </c>
      <c r="N54" s="107">
        <f t="shared" si="14"/>
        <v>0</v>
      </c>
      <c r="O54" s="107">
        <f t="shared" si="14"/>
        <v>0</v>
      </c>
      <c r="P54" s="107">
        <f t="shared" si="14"/>
        <v>0</v>
      </c>
      <c r="Q54" s="107">
        <f t="shared" si="14"/>
        <v>0</v>
      </c>
      <c r="R54" s="245">
        <f t="shared" si="14"/>
        <v>7377486</v>
      </c>
      <c r="S54" s="107">
        <f t="shared" si="14"/>
        <v>5105926</v>
      </c>
      <c r="T54" s="107">
        <f t="shared" si="14"/>
        <v>0</v>
      </c>
      <c r="U54" s="108"/>
    </row>
    <row r="55" spans="1:21" s="105" customFormat="1" ht="12">
      <c r="A55" s="104" t="s">
        <v>1383</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1818</v>
      </c>
      <c r="B56" s="245">
        <f t="shared" ref="B56:B61" si="15">SUM(C56+D56)</f>
        <v>0</v>
      </c>
      <c r="C56" s="868"/>
      <c r="D56" s="868"/>
      <c r="E56" s="868"/>
      <c r="F56" s="868"/>
      <c r="G56" s="868"/>
      <c r="H56" s="868"/>
      <c r="I56" s="868"/>
      <c r="J56" s="868"/>
      <c r="K56" s="868"/>
      <c r="L56" s="868"/>
      <c r="M56" s="868"/>
      <c r="N56" s="868"/>
      <c r="O56" s="868"/>
      <c r="P56" s="868"/>
      <c r="Q56" s="868"/>
      <c r="R56" s="416">
        <f t="shared" ref="R56:R61" si="16">SUM(E56:Q56)</f>
        <v>0</v>
      </c>
      <c r="S56" s="1209"/>
      <c r="T56" s="1209"/>
      <c r="U56" s="1208"/>
    </row>
    <row r="57" spans="1:21" s="130" customFormat="1">
      <c r="A57" s="1210" t="s">
        <v>1812</v>
      </c>
      <c r="B57" s="1211">
        <f t="shared" si="15"/>
        <v>0</v>
      </c>
      <c r="C57" s="1212"/>
      <c r="D57" s="1212"/>
      <c r="E57" s="1212"/>
      <c r="F57" s="1212"/>
      <c r="G57" s="1212"/>
      <c r="H57" s="1212"/>
      <c r="I57" s="1212"/>
      <c r="J57" s="1212"/>
      <c r="K57" s="1212"/>
      <c r="L57" s="1212"/>
      <c r="M57" s="1212"/>
      <c r="N57" s="1212"/>
      <c r="O57" s="1212"/>
      <c r="P57" s="1212"/>
      <c r="Q57" s="1212"/>
      <c r="R57" s="416">
        <f t="shared" si="16"/>
        <v>0</v>
      </c>
      <c r="S57" s="1213"/>
      <c r="T57" s="1213"/>
      <c r="U57" s="1214"/>
    </row>
    <row r="58" spans="1:21" s="105" customFormat="1">
      <c r="A58" s="195" t="s">
        <v>1815</v>
      </c>
      <c r="B58" s="245">
        <f t="shared" si="15"/>
        <v>10000</v>
      </c>
      <c r="C58" s="868">
        <v>10000</v>
      </c>
      <c r="D58" s="868"/>
      <c r="E58" s="868">
        <f>C58</f>
        <v>10000</v>
      </c>
      <c r="F58" s="868"/>
      <c r="G58" s="868"/>
      <c r="H58" s="868"/>
      <c r="I58" s="868"/>
      <c r="J58" s="868"/>
      <c r="K58" s="868"/>
      <c r="L58" s="868"/>
      <c r="M58" s="868"/>
      <c r="N58" s="868"/>
      <c r="O58" s="868"/>
      <c r="P58" s="868"/>
      <c r="Q58" s="868"/>
      <c r="R58" s="416">
        <f t="shared" si="16"/>
        <v>10000</v>
      </c>
      <c r="S58" s="1209"/>
      <c r="T58" s="1209"/>
      <c r="U58" s="1208"/>
    </row>
    <row r="59" spans="1:21" s="105" customFormat="1">
      <c r="A59" s="195" t="s">
        <v>1816</v>
      </c>
      <c r="B59" s="245">
        <f t="shared" si="15"/>
        <v>0</v>
      </c>
      <c r="C59" s="868"/>
      <c r="D59" s="868"/>
      <c r="E59" s="868">
        <f t="shared" ref="E59:E61" si="17">C59</f>
        <v>0</v>
      </c>
      <c r="F59" s="868"/>
      <c r="G59" s="868"/>
      <c r="H59" s="868"/>
      <c r="I59" s="868"/>
      <c r="J59" s="868"/>
      <c r="K59" s="868"/>
      <c r="L59" s="868"/>
      <c r="M59" s="868"/>
      <c r="N59" s="868"/>
      <c r="O59" s="868"/>
      <c r="P59" s="868"/>
      <c r="Q59" s="868"/>
      <c r="R59" s="416">
        <f t="shared" si="16"/>
        <v>0</v>
      </c>
      <c r="S59" s="1209"/>
      <c r="T59" s="1209"/>
      <c r="U59" s="1208"/>
    </row>
    <row r="60" spans="1:21" s="105" customFormat="1">
      <c r="A60" s="195" t="s">
        <v>1581</v>
      </c>
      <c r="B60" s="245">
        <f t="shared" si="15"/>
        <v>0</v>
      </c>
      <c r="C60" s="868"/>
      <c r="D60" s="868"/>
      <c r="E60" s="868">
        <f t="shared" si="17"/>
        <v>0</v>
      </c>
      <c r="F60" s="868"/>
      <c r="G60" s="868"/>
      <c r="H60" s="868"/>
      <c r="I60" s="868"/>
      <c r="J60" s="868"/>
      <c r="K60" s="868"/>
      <c r="L60" s="868"/>
      <c r="M60" s="868"/>
      <c r="N60" s="868"/>
      <c r="O60" s="868"/>
      <c r="P60" s="868"/>
      <c r="Q60" s="868"/>
      <c r="R60" s="416">
        <f t="shared" si="16"/>
        <v>0</v>
      </c>
      <c r="S60" s="1209"/>
      <c r="T60" s="1209"/>
      <c r="U60" s="1208"/>
    </row>
    <row r="61" spans="1:21" s="105" customFormat="1" ht="23">
      <c r="A61" s="1032" t="s">
        <v>2801</v>
      </c>
      <c r="B61" s="245">
        <f t="shared" si="15"/>
        <v>85000</v>
      </c>
      <c r="C61" s="868">
        <v>85000</v>
      </c>
      <c r="D61" s="868"/>
      <c r="E61" s="868">
        <f t="shared" si="17"/>
        <v>85000</v>
      </c>
      <c r="F61" s="868"/>
      <c r="G61" s="868"/>
      <c r="H61" s="868"/>
      <c r="I61" s="868"/>
      <c r="J61" s="868"/>
      <c r="K61" s="868"/>
      <c r="L61" s="868"/>
      <c r="M61" s="868"/>
      <c r="N61" s="868"/>
      <c r="O61" s="868"/>
      <c r="P61" s="868"/>
      <c r="Q61" s="868"/>
      <c r="R61" s="416">
        <f t="shared" si="16"/>
        <v>85000</v>
      </c>
      <c r="S61" s="1209"/>
      <c r="T61" s="1209"/>
      <c r="U61" s="1208"/>
    </row>
    <row r="62" spans="1:21" s="105" customFormat="1" ht="13.75" customHeight="1">
      <c r="A62" s="106" t="s">
        <v>1819</v>
      </c>
      <c r="B62" s="245">
        <f>SUM(C62:D62)</f>
        <v>95000</v>
      </c>
      <c r="C62" s="245">
        <f t="shared" ref="C62:R62" si="18">SUM(C56:C61)</f>
        <v>95000</v>
      </c>
      <c r="D62" s="245">
        <f t="shared" si="18"/>
        <v>0</v>
      </c>
      <c r="E62" s="245">
        <f t="shared" si="18"/>
        <v>95000</v>
      </c>
      <c r="F62" s="245">
        <f t="shared" si="18"/>
        <v>0</v>
      </c>
      <c r="G62" s="245">
        <f t="shared" si="18"/>
        <v>0</v>
      </c>
      <c r="H62" s="245">
        <f t="shared" si="18"/>
        <v>0</v>
      </c>
      <c r="I62" s="245">
        <f t="shared" si="18"/>
        <v>0</v>
      </c>
      <c r="J62" s="245">
        <f t="shared" si="18"/>
        <v>0</v>
      </c>
      <c r="K62" s="245">
        <f t="shared" si="18"/>
        <v>0</v>
      </c>
      <c r="L62" s="245">
        <f t="shared" si="18"/>
        <v>0</v>
      </c>
      <c r="M62" s="245">
        <f t="shared" si="18"/>
        <v>0</v>
      </c>
      <c r="N62" s="245">
        <f t="shared" si="18"/>
        <v>0</v>
      </c>
      <c r="O62" s="245">
        <f t="shared" si="18"/>
        <v>0</v>
      </c>
      <c r="P62" s="245">
        <f t="shared" si="18"/>
        <v>0</v>
      </c>
      <c r="Q62" s="245">
        <f t="shared" si="18"/>
        <v>0</v>
      </c>
      <c r="R62" s="245">
        <f t="shared" si="18"/>
        <v>95000</v>
      </c>
      <c r="S62" s="1209"/>
      <c r="T62" s="1209"/>
      <c r="U62" s="1208"/>
    </row>
    <row r="63" spans="1:21" s="105" customFormat="1">
      <c r="A63" s="110" t="s">
        <v>1820</v>
      </c>
      <c r="B63" s="245">
        <f t="shared" ref="B63:R63" si="19">SUM(B8+B11+B13+B14+B15+B26+B27+B38+B42+B43+B54+B62)</f>
        <v>59087486</v>
      </c>
      <c r="C63" s="245">
        <f t="shared" si="19"/>
        <v>59087486</v>
      </c>
      <c r="D63" s="245">
        <f t="shared" si="19"/>
        <v>0</v>
      </c>
      <c r="E63" s="245">
        <f t="shared" si="19"/>
        <v>22745064</v>
      </c>
      <c r="F63" s="245">
        <f t="shared" si="19"/>
        <v>14500000</v>
      </c>
      <c r="G63" s="245">
        <f t="shared" si="19"/>
        <v>14842422</v>
      </c>
      <c r="H63" s="245">
        <f t="shared" si="19"/>
        <v>7000000</v>
      </c>
      <c r="I63" s="245">
        <f t="shared" si="19"/>
        <v>0</v>
      </c>
      <c r="J63" s="245">
        <f t="shared" si="19"/>
        <v>0</v>
      </c>
      <c r="K63" s="245">
        <f t="shared" si="19"/>
        <v>0</v>
      </c>
      <c r="L63" s="245">
        <f t="shared" si="19"/>
        <v>0</v>
      </c>
      <c r="M63" s="245">
        <f t="shared" si="19"/>
        <v>0</v>
      </c>
      <c r="N63" s="245">
        <f t="shared" si="19"/>
        <v>0</v>
      </c>
      <c r="O63" s="245">
        <f t="shared" si="19"/>
        <v>0</v>
      </c>
      <c r="P63" s="245">
        <f t="shared" si="19"/>
        <v>0</v>
      </c>
      <c r="Q63" s="245">
        <f t="shared" si="19"/>
        <v>0</v>
      </c>
      <c r="R63" s="245">
        <f t="shared" si="19"/>
        <v>59087486</v>
      </c>
      <c r="S63" s="245">
        <f>SUM(S10+S13+S14+S15+S26+S27+S38+S42+S43+S54)</f>
        <v>53820926</v>
      </c>
      <c r="T63" s="245">
        <f>SUM(T11+T13+T14+T15+T26+T27+T38+T42+T43+T54)</f>
        <v>0</v>
      </c>
      <c r="U63" s="1208"/>
    </row>
    <row r="64" spans="1:21" s="105" customFormat="1" ht="24">
      <c r="A64" s="104" t="s">
        <v>1821</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1822</v>
      </c>
      <c r="B65" s="245">
        <f>SUM(C65+D65)</f>
        <v>100000</v>
      </c>
      <c r="C65" s="868">
        <v>100000</v>
      </c>
      <c r="D65" s="868"/>
      <c r="E65" s="868">
        <f>C65</f>
        <v>100000</v>
      </c>
      <c r="F65" s="868"/>
      <c r="G65" s="868"/>
      <c r="H65" s="868"/>
      <c r="I65" s="868"/>
      <c r="J65" s="868"/>
      <c r="K65" s="868"/>
      <c r="L65" s="868"/>
      <c r="M65" s="868"/>
      <c r="N65" s="868"/>
      <c r="O65" s="868"/>
      <c r="P65" s="868"/>
      <c r="Q65" s="868"/>
      <c r="R65" s="416">
        <f>SUM(E65:Q65)</f>
        <v>100000</v>
      </c>
      <c r="S65" s="868">
        <f>R65</f>
        <v>100000</v>
      </c>
      <c r="T65" s="868"/>
      <c r="U65" s="1208"/>
    </row>
    <row r="66" spans="1:21" s="105" customFormat="1" ht="24" customHeight="1">
      <c r="A66" s="195" t="s">
        <v>1823</v>
      </c>
      <c r="B66" s="245">
        <f>SUM(C66+D66)</f>
        <v>0</v>
      </c>
      <c r="C66" s="868"/>
      <c r="D66" s="868"/>
      <c r="E66" s="868">
        <f t="shared" ref="E66:E69" si="20">C66</f>
        <v>0</v>
      </c>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1824</v>
      </c>
      <c r="B67" s="245">
        <f>SUM(C67+D67)</f>
        <v>0</v>
      </c>
      <c r="C67" s="868"/>
      <c r="D67" s="868"/>
      <c r="E67" s="868">
        <f t="shared" si="20"/>
        <v>0</v>
      </c>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1825</v>
      </c>
      <c r="B68" s="245">
        <f>SUM(C68+D68)</f>
        <v>0</v>
      </c>
      <c r="C68" s="868"/>
      <c r="D68" s="868"/>
      <c r="E68" s="868">
        <f t="shared" si="20"/>
        <v>0</v>
      </c>
      <c r="F68" s="868"/>
      <c r="G68" s="868"/>
      <c r="H68" s="868"/>
      <c r="I68" s="868"/>
      <c r="J68" s="868"/>
      <c r="K68" s="868"/>
      <c r="L68" s="868"/>
      <c r="M68" s="868"/>
      <c r="N68" s="868"/>
      <c r="O68" s="868"/>
      <c r="P68" s="868"/>
      <c r="Q68" s="868"/>
      <c r="R68" s="416">
        <f>SUM(E68:Q68)</f>
        <v>0</v>
      </c>
      <c r="S68" s="868"/>
      <c r="T68" s="868"/>
      <c r="U68" s="1208"/>
    </row>
    <row r="69" spans="1:21" s="105" customFormat="1" ht="23">
      <c r="A69" s="1032" t="s">
        <v>2803</v>
      </c>
      <c r="B69" s="245">
        <f>SUM(C69+D69)</f>
        <v>219000</v>
      </c>
      <c r="C69" s="868">
        <f>75000+44000+50000+50000</f>
        <v>219000</v>
      </c>
      <c r="D69" s="868"/>
      <c r="E69" s="868">
        <f t="shared" si="20"/>
        <v>219000</v>
      </c>
      <c r="F69" s="868"/>
      <c r="G69" s="868"/>
      <c r="H69" s="868"/>
      <c r="I69" s="868"/>
      <c r="J69" s="868"/>
      <c r="K69" s="868"/>
      <c r="L69" s="868"/>
      <c r="M69" s="868"/>
      <c r="N69" s="868"/>
      <c r="O69" s="868"/>
      <c r="P69" s="868"/>
      <c r="Q69" s="868"/>
      <c r="R69" s="416">
        <f>SUM(E69:Q69)</f>
        <v>219000</v>
      </c>
      <c r="S69" s="868">
        <v>75000</v>
      </c>
      <c r="T69" s="868"/>
      <c r="U69" s="1208"/>
    </row>
    <row r="70" spans="1:21" s="105" customFormat="1">
      <c r="A70" s="106" t="s">
        <v>1826</v>
      </c>
      <c r="B70" s="245">
        <f>SUM(C70:D70)</f>
        <v>319000</v>
      </c>
      <c r="C70" s="245">
        <f>SUM(C65:C69)</f>
        <v>319000</v>
      </c>
      <c r="D70" s="245">
        <f>SUM(D65:D69)</f>
        <v>0</v>
      </c>
      <c r="E70" s="245">
        <f t="shared" ref="E70:T70" si="21">SUM(E65:E69)</f>
        <v>319000</v>
      </c>
      <c r="F70" s="245">
        <f t="shared" si="21"/>
        <v>0</v>
      </c>
      <c r="G70" s="245">
        <f t="shared" si="21"/>
        <v>0</v>
      </c>
      <c r="H70" s="245">
        <f t="shared" si="21"/>
        <v>0</v>
      </c>
      <c r="I70" s="245">
        <f t="shared" si="21"/>
        <v>0</v>
      </c>
      <c r="J70" s="245">
        <f t="shared" si="21"/>
        <v>0</v>
      </c>
      <c r="K70" s="245">
        <f t="shared" si="21"/>
        <v>0</v>
      </c>
      <c r="L70" s="245">
        <f t="shared" si="21"/>
        <v>0</v>
      </c>
      <c r="M70" s="245">
        <f t="shared" si="21"/>
        <v>0</v>
      </c>
      <c r="N70" s="245">
        <f t="shared" si="21"/>
        <v>0</v>
      </c>
      <c r="O70" s="245">
        <f t="shared" si="21"/>
        <v>0</v>
      </c>
      <c r="P70" s="245">
        <f t="shared" si="21"/>
        <v>0</v>
      </c>
      <c r="Q70" s="245">
        <f t="shared" si="21"/>
        <v>0</v>
      </c>
      <c r="R70" s="245">
        <f t="shared" si="21"/>
        <v>319000</v>
      </c>
      <c r="S70" s="107">
        <f t="shared" si="21"/>
        <v>175000</v>
      </c>
      <c r="T70" s="107">
        <f t="shared" si="21"/>
        <v>0</v>
      </c>
      <c r="U70" s="1208"/>
    </row>
    <row r="71" spans="1:21" s="105" customFormat="1" ht="12">
      <c r="A71" s="104" t="s">
        <v>1827</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1828</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1829</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1830</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c r="A75" s="195" t="s">
        <v>1831</v>
      </c>
      <c r="B75" s="245">
        <f>SUM(C75+D75)</f>
        <v>745545</v>
      </c>
      <c r="C75" s="868">
        <v>745545</v>
      </c>
      <c r="D75" s="868"/>
      <c r="E75" s="868">
        <f>C75</f>
        <v>745545</v>
      </c>
      <c r="F75" s="868"/>
      <c r="G75" s="868"/>
      <c r="H75" s="868"/>
      <c r="I75" s="868"/>
      <c r="J75" s="868"/>
      <c r="K75" s="868"/>
      <c r="L75" s="868"/>
      <c r="M75" s="868"/>
      <c r="N75" s="868"/>
      <c r="O75" s="868"/>
      <c r="P75" s="868"/>
      <c r="Q75" s="868"/>
      <c r="R75" s="416">
        <f>SUM(E75:Q75)</f>
        <v>745545</v>
      </c>
      <c r="S75" s="1209"/>
      <c r="T75" s="1209"/>
      <c r="U75" s="1208"/>
    </row>
    <row r="76" spans="1:21" s="105" customFormat="1">
      <c r="A76" s="1032" t="s">
        <v>1799</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c r="A77" s="106" t="s">
        <v>1832</v>
      </c>
      <c r="B77" s="245">
        <f>SUM(C77:D77)</f>
        <v>745545</v>
      </c>
      <c r="C77" s="245">
        <f>SUM(C72:C76)</f>
        <v>745545</v>
      </c>
      <c r="D77" s="245">
        <f>SUM(D72:D76)</f>
        <v>0</v>
      </c>
      <c r="E77" s="245">
        <f t="shared" ref="E77:Q77" si="22">SUM(E72:E76)</f>
        <v>745545</v>
      </c>
      <c r="F77" s="245">
        <f t="shared" si="22"/>
        <v>0</v>
      </c>
      <c r="G77" s="245">
        <f t="shared" si="22"/>
        <v>0</v>
      </c>
      <c r="H77" s="245">
        <f t="shared" si="22"/>
        <v>0</v>
      </c>
      <c r="I77" s="245">
        <f t="shared" si="22"/>
        <v>0</v>
      </c>
      <c r="J77" s="245">
        <f t="shared" si="22"/>
        <v>0</v>
      </c>
      <c r="K77" s="245">
        <f t="shared" si="22"/>
        <v>0</v>
      </c>
      <c r="L77" s="245">
        <f t="shared" si="22"/>
        <v>0</v>
      </c>
      <c r="M77" s="245">
        <f t="shared" si="22"/>
        <v>0</v>
      </c>
      <c r="N77" s="245">
        <f t="shared" si="22"/>
        <v>0</v>
      </c>
      <c r="O77" s="245">
        <f t="shared" si="22"/>
        <v>0</v>
      </c>
      <c r="P77" s="245">
        <f t="shared" si="22"/>
        <v>0</v>
      </c>
      <c r="Q77" s="245">
        <f t="shared" si="22"/>
        <v>0</v>
      </c>
      <c r="R77" s="245">
        <f>SUM(R72:R76)</f>
        <v>745545</v>
      </c>
      <c r="S77" s="1209"/>
      <c r="T77" s="1209"/>
      <c r="U77" s="1208"/>
    </row>
    <row r="78" spans="1:21" s="105" customFormat="1" ht="12">
      <c r="A78" s="104" t="s">
        <v>1833</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1834</v>
      </c>
      <c r="B79" s="245">
        <f>SUM(C79:D79)</f>
        <v>2344750</v>
      </c>
      <c r="C79" s="868">
        <v>2344750</v>
      </c>
      <c r="D79" s="868"/>
      <c r="E79" s="868">
        <f>C79</f>
        <v>2344750</v>
      </c>
      <c r="F79" s="868"/>
      <c r="G79" s="868"/>
      <c r="H79" s="868"/>
      <c r="I79" s="868"/>
      <c r="J79" s="868"/>
      <c r="K79" s="868"/>
      <c r="L79" s="868"/>
      <c r="M79" s="868"/>
      <c r="N79" s="868"/>
      <c r="O79" s="868"/>
      <c r="P79" s="868"/>
      <c r="Q79" s="868"/>
      <c r="R79" s="416">
        <f>SUM(E79:Q79)</f>
        <v>2344750</v>
      </c>
      <c r="S79" s="868" cm="1">
        <f t="array" ref="S79:S80">R79:R80</f>
        <v>2344750</v>
      </c>
      <c r="T79" s="868"/>
      <c r="U79" s="1208"/>
    </row>
    <row r="80" spans="1:21" s="105" customFormat="1">
      <c r="A80" s="195" t="s">
        <v>1835</v>
      </c>
      <c r="B80" s="245">
        <f>SUM(C80:D80)</f>
        <v>664031</v>
      </c>
      <c r="C80" s="868">
        <v>664031</v>
      </c>
      <c r="D80" s="868"/>
      <c r="E80" s="868">
        <f>C80</f>
        <v>664031</v>
      </c>
      <c r="F80" s="868"/>
      <c r="G80" s="868"/>
      <c r="H80" s="868"/>
      <c r="I80" s="868"/>
      <c r="J80" s="868"/>
      <c r="K80" s="868"/>
      <c r="L80" s="868"/>
      <c r="M80" s="868"/>
      <c r="N80" s="868"/>
      <c r="O80" s="868"/>
      <c r="P80" s="868"/>
      <c r="Q80" s="868"/>
      <c r="R80" s="416">
        <f>SUM(E80:Q80)</f>
        <v>664031</v>
      </c>
      <c r="S80" s="868">
        <v>664031</v>
      </c>
      <c r="T80" s="868"/>
      <c r="U80" s="1208"/>
    </row>
    <row r="81" spans="1:21" s="105" customFormat="1">
      <c r="A81" s="106" t="s">
        <v>1836</v>
      </c>
      <c r="B81" s="245">
        <f>SUM(C81:D81)</f>
        <v>3008781</v>
      </c>
      <c r="C81" s="1215">
        <f>SUM(C79:C80)</f>
        <v>3008781</v>
      </c>
      <c r="D81" s="1215">
        <f t="shared" ref="D81:T81" si="23">SUM(D79:D80)</f>
        <v>0</v>
      </c>
      <c r="E81" s="1215">
        <f t="shared" si="23"/>
        <v>3008781</v>
      </c>
      <c r="F81" s="1215">
        <f t="shared" si="23"/>
        <v>0</v>
      </c>
      <c r="G81" s="1215">
        <f t="shared" si="23"/>
        <v>0</v>
      </c>
      <c r="H81" s="1215">
        <f t="shared" si="23"/>
        <v>0</v>
      </c>
      <c r="I81" s="1215">
        <f t="shared" si="23"/>
        <v>0</v>
      </c>
      <c r="J81" s="1215">
        <f t="shared" si="23"/>
        <v>0</v>
      </c>
      <c r="K81" s="1215">
        <f t="shared" si="23"/>
        <v>0</v>
      </c>
      <c r="L81" s="1215">
        <f t="shared" si="23"/>
        <v>0</v>
      </c>
      <c r="M81" s="1215">
        <f t="shared" si="23"/>
        <v>0</v>
      </c>
      <c r="N81" s="1215">
        <f t="shared" si="23"/>
        <v>0</v>
      </c>
      <c r="O81" s="1215">
        <f t="shared" si="23"/>
        <v>0</v>
      </c>
      <c r="P81" s="1215">
        <f t="shared" si="23"/>
        <v>0</v>
      </c>
      <c r="Q81" s="1215">
        <f t="shared" si="23"/>
        <v>0</v>
      </c>
      <c r="R81" s="1215">
        <f t="shared" si="23"/>
        <v>3008781</v>
      </c>
      <c r="S81" s="1215">
        <f t="shared" si="23"/>
        <v>3008781</v>
      </c>
      <c r="T81" s="1215">
        <f t="shared" si="23"/>
        <v>0</v>
      </c>
      <c r="U81" s="1208"/>
    </row>
    <row r="82" spans="1:21" s="105" customFormat="1" ht="12">
      <c r="A82" s="104" t="s">
        <v>1837</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5" customHeight="1">
      <c r="A83" s="195" t="s">
        <v>1838</v>
      </c>
      <c r="B83" s="245">
        <f t="shared" ref="B83:B95" si="24">SUM(C83+D83)</f>
        <v>117776</v>
      </c>
      <c r="C83" s="868">
        <v>117776</v>
      </c>
      <c r="D83" s="868"/>
      <c r="E83" s="868">
        <f>C83</f>
        <v>117776</v>
      </c>
      <c r="F83" s="868"/>
      <c r="G83" s="868"/>
      <c r="H83" s="868"/>
      <c r="I83" s="868"/>
      <c r="J83" s="868"/>
      <c r="K83" s="868"/>
      <c r="L83" s="868"/>
      <c r="M83" s="868"/>
      <c r="N83" s="868"/>
      <c r="O83" s="868"/>
      <c r="P83" s="868"/>
      <c r="Q83" s="868"/>
      <c r="R83" s="416">
        <f t="shared" ref="R83:R95" si="25">SUM(E83:Q83)</f>
        <v>117776</v>
      </c>
      <c r="S83" s="1209"/>
      <c r="T83" s="1209"/>
      <c r="U83" s="1208"/>
    </row>
    <row r="84" spans="1:21" s="105" customFormat="1">
      <c r="A84" s="195" t="s">
        <v>1839</v>
      </c>
      <c r="B84" s="245">
        <f t="shared" si="24"/>
        <v>50000</v>
      </c>
      <c r="C84" s="868">
        <v>50000</v>
      </c>
      <c r="D84" s="868"/>
      <c r="E84" s="868">
        <f t="shared" ref="E84:E95" si="26">C84</f>
        <v>50000</v>
      </c>
      <c r="F84" s="868"/>
      <c r="G84" s="868"/>
      <c r="H84" s="868"/>
      <c r="I84" s="868"/>
      <c r="J84" s="868"/>
      <c r="K84" s="868"/>
      <c r="L84" s="868"/>
      <c r="M84" s="868"/>
      <c r="N84" s="868"/>
      <c r="O84" s="868"/>
      <c r="P84" s="868"/>
      <c r="Q84" s="868"/>
      <c r="R84" s="416">
        <f t="shared" si="25"/>
        <v>50000</v>
      </c>
      <c r="S84" s="868" cm="1">
        <f t="array" ref="S84:S86">R84:R86</f>
        <v>50000</v>
      </c>
      <c r="T84" s="868"/>
      <c r="U84" s="1208"/>
    </row>
    <row r="85" spans="1:21" s="105" customFormat="1">
      <c r="A85" s="195" t="s">
        <v>1840</v>
      </c>
      <c r="B85" s="245">
        <f t="shared" si="24"/>
        <v>3159535</v>
      </c>
      <c r="C85" s="868">
        <v>3159535</v>
      </c>
      <c r="D85" s="868"/>
      <c r="E85" s="868">
        <f t="shared" si="26"/>
        <v>3159535</v>
      </c>
      <c r="F85" s="868"/>
      <c r="G85" s="868"/>
      <c r="H85" s="868"/>
      <c r="I85" s="868"/>
      <c r="J85" s="868"/>
      <c r="K85" s="868"/>
      <c r="L85" s="868"/>
      <c r="M85" s="868"/>
      <c r="N85" s="868"/>
      <c r="O85" s="868"/>
      <c r="P85" s="868"/>
      <c r="Q85" s="868"/>
      <c r="R85" s="416">
        <f t="shared" si="25"/>
        <v>3159535</v>
      </c>
      <c r="S85" s="868">
        <v>3159535</v>
      </c>
      <c r="T85" s="868"/>
      <c r="U85" s="1208"/>
    </row>
    <row r="86" spans="1:21" s="105" customFormat="1">
      <c r="A86" s="195" t="s">
        <v>1841</v>
      </c>
      <c r="B86" s="245">
        <f t="shared" si="24"/>
        <v>795465</v>
      </c>
      <c r="C86" s="868">
        <v>795465</v>
      </c>
      <c r="D86" s="868"/>
      <c r="E86" s="868">
        <f t="shared" si="26"/>
        <v>795465</v>
      </c>
      <c r="F86" s="868"/>
      <c r="G86" s="868"/>
      <c r="H86" s="868"/>
      <c r="I86" s="868"/>
      <c r="J86" s="868"/>
      <c r="K86" s="868"/>
      <c r="L86" s="868"/>
      <c r="M86" s="868"/>
      <c r="N86" s="868"/>
      <c r="O86" s="868"/>
      <c r="P86" s="868"/>
      <c r="Q86" s="868"/>
      <c r="R86" s="416">
        <f t="shared" si="25"/>
        <v>795465</v>
      </c>
      <c r="S86" s="868">
        <v>795465</v>
      </c>
      <c r="T86" s="868"/>
      <c r="U86" s="1208"/>
    </row>
    <row r="87" spans="1:21" s="105" customFormat="1">
      <c r="A87" s="195" t="s">
        <v>1842</v>
      </c>
      <c r="B87" s="245">
        <f t="shared" si="24"/>
        <v>0</v>
      </c>
      <c r="C87" s="868"/>
      <c r="D87" s="868"/>
      <c r="E87" s="868">
        <f t="shared" si="26"/>
        <v>0</v>
      </c>
      <c r="F87" s="868"/>
      <c r="G87" s="868"/>
      <c r="H87" s="868"/>
      <c r="I87" s="868"/>
      <c r="J87" s="868"/>
      <c r="K87" s="868"/>
      <c r="L87" s="868"/>
      <c r="M87" s="868"/>
      <c r="N87" s="868"/>
      <c r="O87" s="868"/>
      <c r="P87" s="868"/>
      <c r="Q87" s="868"/>
      <c r="R87" s="416">
        <f t="shared" si="25"/>
        <v>0</v>
      </c>
      <c r="S87" s="868"/>
      <c r="T87" s="868"/>
      <c r="U87" s="1208"/>
    </row>
    <row r="88" spans="1:21" s="105" customFormat="1">
      <c r="A88" s="195" t="s">
        <v>1843</v>
      </c>
      <c r="B88" s="245">
        <f t="shared" si="24"/>
        <v>150000</v>
      </c>
      <c r="C88" s="868">
        <v>150000</v>
      </c>
      <c r="D88" s="868"/>
      <c r="E88" s="868">
        <f t="shared" si="26"/>
        <v>150000</v>
      </c>
      <c r="F88" s="868"/>
      <c r="G88" s="868"/>
      <c r="H88" s="868"/>
      <c r="I88" s="868"/>
      <c r="J88" s="868"/>
      <c r="K88" s="868"/>
      <c r="L88" s="868"/>
      <c r="M88" s="868"/>
      <c r="N88" s="868"/>
      <c r="O88" s="868"/>
      <c r="P88" s="868"/>
      <c r="Q88" s="868"/>
      <c r="R88" s="416">
        <f t="shared" si="25"/>
        <v>150000</v>
      </c>
      <c r="S88" s="1209"/>
      <c r="T88" s="1209"/>
      <c r="U88" s="1208"/>
    </row>
    <row r="89" spans="1:21" s="105" customFormat="1">
      <c r="A89" s="195" t="s">
        <v>1844</v>
      </c>
      <c r="B89" s="245">
        <f t="shared" si="24"/>
        <v>150000</v>
      </c>
      <c r="C89" s="868">
        <v>150000</v>
      </c>
      <c r="D89" s="868"/>
      <c r="E89" s="868">
        <f t="shared" si="26"/>
        <v>150000</v>
      </c>
      <c r="F89" s="868"/>
      <c r="G89" s="868"/>
      <c r="H89" s="868"/>
      <c r="I89" s="868"/>
      <c r="J89" s="868"/>
      <c r="K89" s="868"/>
      <c r="L89" s="868"/>
      <c r="M89" s="868"/>
      <c r="N89" s="868"/>
      <c r="O89" s="868"/>
      <c r="P89" s="868"/>
      <c r="Q89" s="868"/>
      <c r="R89" s="416">
        <f t="shared" si="25"/>
        <v>150000</v>
      </c>
      <c r="S89" s="868" cm="1">
        <f t="array" ref="S89:S92">R89:R92</f>
        <v>150000</v>
      </c>
      <c r="T89" s="868"/>
      <c r="U89" s="1208"/>
    </row>
    <row r="90" spans="1:21" s="105" customFormat="1">
      <c r="A90" s="195" t="s">
        <v>1845</v>
      </c>
      <c r="B90" s="245">
        <f t="shared" si="24"/>
        <v>15000</v>
      </c>
      <c r="C90" s="868">
        <v>15000</v>
      </c>
      <c r="D90" s="868"/>
      <c r="E90" s="868">
        <f t="shared" si="26"/>
        <v>15000</v>
      </c>
      <c r="F90" s="868"/>
      <c r="G90" s="868"/>
      <c r="H90" s="868"/>
      <c r="I90" s="868"/>
      <c r="J90" s="868"/>
      <c r="K90" s="868"/>
      <c r="L90" s="868"/>
      <c r="M90" s="868"/>
      <c r="N90" s="868"/>
      <c r="O90" s="868"/>
      <c r="P90" s="868"/>
      <c r="Q90" s="868"/>
      <c r="R90" s="416">
        <f t="shared" si="25"/>
        <v>15000</v>
      </c>
      <c r="S90" s="868">
        <v>15000</v>
      </c>
      <c r="T90" s="868"/>
      <c r="U90" s="1208"/>
    </row>
    <row r="91" spans="1:21" s="105" customFormat="1">
      <c r="A91" s="195" t="s">
        <v>1846</v>
      </c>
      <c r="B91" s="245">
        <f t="shared" si="24"/>
        <v>50000</v>
      </c>
      <c r="C91" s="868">
        <v>50000</v>
      </c>
      <c r="D91" s="868"/>
      <c r="E91" s="868">
        <f t="shared" si="26"/>
        <v>50000</v>
      </c>
      <c r="F91" s="868"/>
      <c r="G91" s="868"/>
      <c r="H91" s="868"/>
      <c r="I91" s="868"/>
      <c r="J91" s="868"/>
      <c r="K91" s="868"/>
      <c r="L91" s="868"/>
      <c r="M91" s="868"/>
      <c r="N91" s="868"/>
      <c r="O91" s="868"/>
      <c r="P91" s="868"/>
      <c r="Q91" s="868"/>
      <c r="R91" s="416">
        <f t="shared" si="25"/>
        <v>50000</v>
      </c>
      <c r="S91" s="868">
        <v>50000</v>
      </c>
      <c r="T91" s="868"/>
      <c r="U91" s="1208"/>
    </row>
    <row r="92" spans="1:21" s="105" customFormat="1">
      <c r="A92" s="195" t="s">
        <v>1847</v>
      </c>
      <c r="B92" s="245">
        <f t="shared" si="24"/>
        <v>20000</v>
      </c>
      <c r="C92" s="868">
        <v>20000</v>
      </c>
      <c r="D92" s="868"/>
      <c r="E92" s="868">
        <f t="shared" si="26"/>
        <v>20000</v>
      </c>
      <c r="F92" s="868"/>
      <c r="G92" s="868"/>
      <c r="H92" s="868"/>
      <c r="I92" s="868"/>
      <c r="J92" s="868"/>
      <c r="K92" s="868"/>
      <c r="L92" s="868"/>
      <c r="M92" s="868"/>
      <c r="N92" s="868"/>
      <c r="O92" s="868"/>
      <c r="P92" s="868"/>
      <c r="Q92" s="868"/>
      <c r="R92" s="416">
        <f t="shared" si="25"/>
        <v>20000</v>
      </c>
      <c r="S92" s="868">
        <v>20000</v>
      </c>
      <c r="T92" s="868"/>
      <c r="U92" s="1208"/>
    </row>
    <row r="93" spans="1:21" s="105" customFormat="1">
      <c r="A93" s="1032" t="s">
        <v>1848</v>
      </c>
      <c r="B93" s="245">
        <f t="shared" si="24"/>
        <v>13525</v>
      </c>
      <c r="C93" s="868">
        <f>6000+7525</f>
        <v>13525</v>
      </c>
      <c r="D93" s="868"/>
      <c r="E93" s="868">
        <f>C93</f>
        <v>13525</v>
      </c>
      <c r="F93" s="868"/>
      <c r="G93" s="868"/>
      <c r="H93" s="868"/>
      <c r="I93" s="868"/>
      <c r="J93" s="868"/>
      <c r="K93" s="868"/>
      <c r="L93" s="868"/>
      <c r="M93" s="868"/>
      <c r="N93" s="868"/>
      <c r="O93" s="868"/>
      <c r="P93" s="868"/>
      <c r="Q93" s="868"/>
      <c r="R93" s="416">
        <f t="shared" si="25"/>
        <v>13525</v>
      </c>
      <c r="S93" s="868">
        <v>7525</v>
      </c>
      <c r="T93" s="868"/>
      <c r="U93" s="1208"/>
    </row>
    <row r="94" spans="1:21" s="105" customFormat="1">
      <c r="A94" s="1032" t="s">
        <v>1849</v>
      </c>
      <c r="B94" s="245">
        <f t="shared" si="24"/>
        <v>500000</v>
      </c>
      <c r="C94" s="868">
        <v>500000</v>
      </c>
      <c r="D94" s="868"/>
      <c r="E94" s="868">
        <f t="shared" si="26"/>
        <v>500000</v>
      </c>
      <c r="F94" s="868"/>
      <c r="G94" s="868"/>
      <c r="H94" s="868"/>
      <c r="I94" s="868"/>
      <c r="J94" s="868"/>
      <c r="K94" s="868"/>
      <c r="L94" s="868"/>
      <c r="M94" s="868"/>
      <c r="N94" s="868"/>
      <c r="O94" s="868"/>
      <c r="P94" s="868"/>
      <c r="Q94" s="868"/>
      <c r="R94" s="416">
        <f t="shared" si="25"/>
        <v>500000</v>
      </c>
      <c r="S94" s="868" cm="1">
        <f t="array" ref="S94:S95">R94:R95</f>
        <v>500000</v>
      </c>
      <c r="T94" s="868"/>
      <c r="U94" s="1208"/>
    </row>
    <row r="95" spans="1:21" s="105" customFormat="1">
      <c r="A95" s="1032" t="s">
        <v>1850</v>
      </c>
      <c r="B95" s="245">
        <f t="shared" si="24"/>
        <v>750000</v>
      </c>
      <c r="C95" s="868">
        <v>750000</v>
      </c>
      <c r="D95" s="868"/>
      <c r="E95" s="868">
        <f t="shared" si="26"/>
        <v>750000</v>
      </c>
      <c r="F95" s="868"/>
      <c r="G95" s="868"/>
      <c r="H95" s="868"/>
      <c r="I95" s="868"/>
      <c r="J95" s="868"/>
      <c r="K95" s="868"/>
      <c r="L95" s="868"/>
      <c r="M95" s="868"/>
      <c r="N95" s="868"/>
      <c r="O95" s="868"/>
      <c r="P95" s="868"/>
      <c r="Q95" s="868"/>
      <c r="R95" s="416">
        <f t="shared" si="25"/>
        <v>750000</v>
      </c>
      <c r="S95" s="868">
        <v>750000</v>
      </c>
      <c r="T95" s="868"/>
      <c r="U95" s="1208"/>
    </row>
    <row r="96" spans="1:21" s="105" customFormat="1">
      <c r="A96" s="106" t="s">
        <v>1851</v>
      </c>
      <c r="B96" s="245">
        <f>SUM(C96:D96)</f>
        <v>5771301</v>
      </c>
      <c r="C96" s="245">
        <f t="shared" ref="C96:R96" si="27">SUM(C83:C95)</f>
        <v>5771301</v>
      </c>
      <c r="D96" s="245">
        <f t="shared" si="27"/>
        <v>0</v>
      </c>
      <c r="E96" s="245">
        <f t="shared" si="27"/>
        <v>5771301</v>
      </c>
      <c r="F96" s="245">
        <f t="shared" si="27"/>
        <v>0</v>
      </c>
      <c r="G96" s="245">
        <f t="shared" si="27"/>
        <v>0</v>
      </c>
      <c r="H96" s="245">
        <f t="shared" si="27"/>
        <v>0</v>
      </c>
      <c r="I96" s="245">
        <f t="shared" si="27"/>
        <v>0</v>
      </c>
      <c r="J96" s="245">
        <f t="shared" si="27"/>
        <v>0</v>
      </c>
      <c r="K96" s="245">
        <f t="shared" si="27"/>
        <v>0</v>
      </c>
      <c r="L96" s="245">
        <f t="shared" si="27"/>
        <v>0</v>
      </c>
      <c r="M96" s="245">
        <f t="shared" si="27"/>
        <v>0</v>
      </c>
      <c r="N96" s="245">
        <f t="shared" si="27"/>
        <v>0</v>
      </c>
      <c r="O96" s="245">
        <f t="shared" si="27"/>
        <v>0</v>
      </c>
      <c r="P96" s="245">
        <f t="shared" si="27"/>
        <v>0</v>
      </c>
      <c r="Q96" s="245">
        <f t="shared" si="27"/>
        <v>0</v>
      </c>
      <c r="R96" s="245">
        <f t="shared" si="27"/>
        <v>5771301</v>
      </c>
      <c r="S96" s="107">
        <f>SUM(S84:S87,S89:S95)</f>
        <v>5497525</v>
      </c>
      <c r="T96" s="245">
        <f>SUM(T84:T87,T89:T95)</f>
        <v>0</v>
      </c>
      <c r="U96" s="1208"/>
    </row>
    <row r="97" spans="1:21" s="105" customFormat="1">
      <c r="A97" s="106" t="s">
        <v>1852</v>
      </c>
      <c r="B97" s="245">
        <f>SUM(C97:D97)</f>
        <v>68932113</v>
      </c>
      <c r="C97" s="245">
        <f t="shared" ref="C97:R97" si="28">SUM(C63+C70+C77+C81+C96)</f>
        <v>68932113</v>
      </c>
      <c r="D97" s="245">
        <f t="shared" si="28"/>
        <v>0</v>
      </c>
      <c r="E97" s="245">
        <f t="shared" si="28"/>
        <v>32589691</v>
      </c>
      <c r="F97" s="245">
        <f t="shared" si="28"/>
        <v>14500000</v>
      </c>
      <c r="G97" s="245">
        <f t="shared" si="28"/>
        <v>14842422</v>
      </c>
      <c r="H97" s="245">
        <f t="shared" si="28"/>
        <v>7000000</v>
      </c>
      <c r="I97" s="245">
        <f t="shared" si="28"/>
        <v>0</v>
      </c>
      <c r="J97" s="245">
        <f t="shared" si="28"/>
        <v>0</v>
      </c>
      <c r="K97" s="245">
        <f t="shared" si="28"/>
        <v>0</v>
      </c>
      <c r="L97" s="245">
        <f t="shared" si="28"/>
        <v>0</v>
      </c>
      <c r="M97" s="245">
        <f t="shared" si="28"/>
        <v>0</v>
      </c>
      <c r="N97" s="245">
        <f t="shared" si="28"/>
        <v>0</v>
      </c>
      <c r="O97" s="245">
        <f t="shared" si="28"/>
        <v>0</v>
      </c>
      <c r="P97" s="245">
        <f t="shared" si="28"/>
        <v>0</v>
      </c>
      <c r="Q97" s="245">
        <f t="shared" si="28"/>
        <v>0</v>
      </c>
      <c r="R97" s="245">
        <f t="shared" si="28"/>
        <v>68932113</v>
      </c>
      <c r="S97" s="245">
        <f>SUM(S63+S70+S81+S96)</f>
        <v>62502232</v>
      </c>
      <c r="T97" s="245">
        <f>SUM(T63+T70+T81+T96)</f>
        <v>0</v>
      </c>
      <c r="U97" s="1208"/>
    </row>
    <row r="98" spans="1:21" s="105" customFormat="1" ht="12">
      <c r="A98" s="104" t="s">
        <v>1853</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1854</v>
      </c>
      <c r="B99" s="245">
        <f>SUM(C99+D99)</f>
        <v>9375334</v>
      </c>
      <c r="C99" s="868">
        <v>9375334</v>
      </c>
      <c r="D99" s="868"/>
      <c r="E99" s="868">
        <f>B99-I99</f>
        <v>3005838</v>
      </c>
      <c r="F99" s="868"/>
      <c r="G99" s="868"/>
      <c r="H99" s="868"/>
      <c r="I99" s="868">
        <v>6369496</v>
      </c>
      <c r="J99" s="868"/>
      <c r="K99" s="868"/>
      <c r="L99" s="868"/>
      <c r="M99" s="868"/>
      <c r="N99" s="868"/>
      <c r="O99" s="868"/>
      <c r="P99" s="868"/>
      <c r="Q99" s="868"/>
      <c r="R99" s="416">
        <f>SUM(E99:Q99)</f>
        <v>9375334</v>
      </c>
      <c r="S99" s="868">
        <f>R99</f>
        <v>9375334</v>
      </c>
      <c r="T99" s="868"/>
      <c r="U99" s="1208"/>
    </row>
    <row r="100" spans="1:21" s="105" customFormat="1">
      <c r="A100" s="195" t="s">
        <v>1855</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1856</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1857</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1799</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1858</v>
      </c>
      <c r="B104" s="245">
        <f>SUM(C104:D104)</f>
        <v>9375334</v>
      </c>
      <c r="C104" s="245">
        <f>SUM(C99:C103)</f>
        <v>9375334</v>
      </c>
      <c r="D104" s="245">
        <f t="shared" ref="D104:T104" si="29">SUM(D99:D103)</f>
        <v>0</v>
      </c>
      <c r="E104" s="245">
        <f t="shared" si="29"/>
        <v>3005838</v>
      </c>
      <c r="F104" s="245">
        <f t="shared" si="29"/>
        <v>0</v>
      </c>
      <c r="G104" s="245">
        <f t="shared" si="29"/>
        <v>0</v>
      </c>
      <c r="H104" s="245">
        <f t="shared" si="29"/>
        <v>0</v>
      </c>
      <c r="I104" s="245">
        <f t="shared" si="29"/>
        <v>6369496</v>
      </c>
      <c r="J104" s="245">
        <f t="shared" si="29"/>
        <v>0</v>
      </c>
      <c r="K104" s="245">
        <f t="shared" si="29"/>
        <v>0</v>
      </c>
      <c r="L104" s="245">
        <f t="shared" si="29"/>
        <v>0</v>
      </c>
      <c r="M104" s="245">
        <f t="shared" si="29"/>
        <v>0</v>
      </c>
      <c r="N104" s="245">
        <f t="shared" si="29"/>
        <v>0</v>
      </c>
      <c r="O104" s="245">
        <f t="shared" si="29"/>
        <v>0</v>
      </c>
      <c r="P104" s="245">
        <f t="shared" si="29"/>
        <v>0</v>
      </c>
      <c r="Q104" s="245">
        <f t="shared" si="29"/>
        <v>0</v>
      </c>
      <c r="R104" s="245">
        <f t="shared" si="29"/>
        <v>9375334</v>
      </c>
      <c r="S104" s="107">
        <f t="shared" si="29"/>
        <v>9375334</v>
      </c>
      <c r="T104" s="107">
        <f t="shared" si="29"/>
        <v>0</v>
      </c>
      <c r="U104" s="1208"/>
    </row>
    <row r="105" spans="1:21" s="105" customFormat="1">
      <c r="A105" s="106" t="s">
        <v>1859</v>
      </c>
      <c r="B105" s="107">
        <f>SUM(C105:D105)</f>
        <v>78307447</v>
      </c>
      <c r="C105" s="107">
        <f t="shared" ref="C105:R105" si="30">SUM(C97+C104)</f>
        <v>78307447</v>
      </c>
      <c r="D105" s="107">
        <f t="shared" si="30"/>
        <v>0</v>
      </c>
      <c r="E105" s="107">
        <f t="shared" si="30"/>
        <v>35595529</v>
      </c>
      <c r="F105" s="107">
        <f t="shared" si="30"/>
        <v>14500000</v>
      </c>
      <c r="G105" s="107">
        <f t="shared" si="30"/>
        <v>14842422</v>
      </c>
      <c r="H105" s="107">
        <f t="shared" si="30"/>
        <v>7000000</v>
      </c>
      <c r="I105" s="107">
        <f t="shared" si="30"/>
        <v>6369496</v>
      </c>
      <c r="J105" s="107">
        <f t="shared" si="30"/>
        <v>0</v>
      </c>
      <c r="K105" s="107">
        <f t="shared" si="30"/>
        <v>0</v>
      </c>
      <c r="L105" s="107">
        <f t="shared" si="30"/>
        <v>0</v>
      </c>
      <c r="M105" s="107">
        <f t="shared" si="30"/>
        <v>0</v>
      </c>
      <c r="N105" s="107">
        <f t="shared" si="30"/>
        <v>0</v>
      </c>
      <c r="O105" s="107">
        <f t="shared" si="30"/>
        <v>0</v>
      </c>
      <c r="P105" s="107">
        <f t="shared" si="30"/>
        <v>0</v>
      </c>
      <c r="Q105" s="107">
        <f t="shared" si="30"/>
        <v>0</v>
      </c>
      <c r="R105" s="245">
        <f t="shared" si="30"/>
        <v>78307447</v>
      </c>
      <c r="S105" s="107">
        <f>S97+S104</f>
        <v>71877566</v>
      </c>
      <c r="T105" s="107">
        <f>T97+T104</f>
        <v>0</v>
      </c>
      <c r="U105" s="1208"/>
    </row>
    <row r="106" spans="1:21">
      <c r="A106" s="414" t="s">
        <v>1860</v>
      </c>
      <c r="B106" s="1216"/>
      <c r="C106" s="1216"/>
      <c r="D106" s="1216"/>
      <c r="E106" s="229"/>
      <c r="F106" s="229"/>
      <c r="G106" s="229"/>
      <c r="H106" s="230" t="s">
        <v>1861</v>
      </c>
      <c r="I106" s="230"/>
      <c r="J106" s="230"/>
      <c r="K106" s="229"/>
      <c r="L106" s="229"/>
      <c r="M106" s="229"/>
      <c r="N106" s="229"/>
      <c r="O106" s="229"/>
      <c r="P106" s="229"/>
      <c r="Q106" s="229"/>
      <c r="R106" s="113" t="s">
        <v>1862</v>
      </c>
      <c r="S106" s="868"/>
      <c r="T106" s="868"/>
      <c r="U106" s="231"/>
    </row>
    <row r="107" spans="1:21">
      <c r="A107" s="1216" t="s">
        <v>1863</v>
      </c>
      <c r="B107" s="229"/>
      <c r="C107" s="1216"/>
      <c r="D107" s="1216"/>
      <c r="E107" s="229"/>
      <c r="F107" s="229"/>
      <c r="G107" s="229"/>
      <c r="H107" s="229"/>
      <c r="I107" s="115" t="s">
        <v>1864</v>
      </c>
      <c r="J107" s="115"/>
      <c r="K107" s="229"/>
      <c r="L107" s="229"/>
      <c r="M107" s="229"/>
      <c r="N107" s="229"/>
      <c r="O107" s="229"/>
      <c r="P107" s="229"/>
      <c r="Q107" s="229"/>
      <c r="R107" s="113" t="s">
        <v>1865</v>
      </c>
      <c r="S107" s="107">
        <f>S105+S106</f>
        <v>71877566</v>
      </c>
      <c r="T107" s="107">
        <f>T105+T106</f>
        <v>0</v>
      </c>
      <c r="U107" s="231"/>
    </row>
    <row r="108" spans="1:21" s="129" customFormat="1">
      <c r="A108" s="115" t="s">
        <v>1866</v>
      </c>
      <c r="B108" s="1216"/>
      <c r="C108" s="1216"/>
      <c r="D108" s="1216"/>
      <c r="E108" s="1217">
        <f>Application!AO648</f>
        <v>35595529</v>
      </c>
      <c r="F108" s="1217">
        <f>Application!AO635</f>
        <v>14500000</v>
      </c>
      <c r="G108" s="1217">
        <f>Application!AO636</f>
        <v>14842422</v>
      </c>
      <c r="H108" s="1217">
        <f>Application!AO637</f>
        <v>7000000</v>
      </c>
      <c r="I108" s="1217">
        <f>Application!AO638</f>
        <v>6369496</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1867</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1868</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1869</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1870</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1871</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1872</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1873</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1874</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5">
      <c r="A121" s="241" t="s">
        <v>1875</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1876</v>
      </c>
      <c r="B122" s="229"/>
      <c r="C122" s="229"/>
      <c r="D122" s="1240" t="s">
        <v>1877</v>
      </c>
      <c r="E122" s="1240"/>
      <c r="F122" s="1240"/>
      <c r="G122" s="229"/>
      <c r="H122" s="229"/>
      <c r="I122" s="229"/>
      <c r="J122" s="229"/>
      <c r="K122" s="229"/>
      <c r="L122" s="229"/>
      <c r="M122" s="229"/>
      <c r="N122" s="229"/>
      <c r="O122" s="229"/>
      <c r="P122" s="229"/>
      <c r="Q122" s="229"/>
      <c r="R122" s="229"/>
      <c r="S122" s="229"/>
      <c r="T122" s="229"/>
      <c r="U122" s="231"/>
    </row>
    <row r="123" spans="1:21">
      <c r="A123" s="229" t="s">
        <v>1878</v>
      </c>
      <c r="B123" s="238"/>
      <c r="C123" s="229"/>
      <c r="D123" s="1230" t="s">
        <v>1879</v>
      </c>
      <c r="E123" s="1231"/>
      <c r="F123" s="1231"/>
      <c r="G123" s="1231"/>
      <c r="H123" s="1231"/>
      <c r="I123" s="1231"/>
      <c r="J123" s="1231"/>
      <c r="K123" s="1231"/>
      <c r="L123" s="1231"/>
      <c r="M123" s="1231"/>
      <c r="N123" s="1231"/>
      <c r="O123" s="1231"/>
      <c r="P123" s="1231"/>
      <c r="Q123" s="1231"/>
      <c r="R123" s="1231"/>
      <c r="S123" s="1231"/>
      <c r="T123" s="229"/>
      <c r="U123" s="231"/>
    </row>
    <row r="124" spans="1:21" ht="12.5">
      <c r="A124" s="357" t="s">
        <v>1880</v>
      </c>
      <c r="B124" s="238"/>
      <c r="C124" s="357"/>
      <c r="D124" s="1231"/>
      <c r="E124" s="1231"/>
      <c r="F124" s="1231"/>
      <c r="G124" s="1231"/>
      <c r="H124" s="1231"/>
      <c r="I124" s="1231"/>
      <c r="J124" s="1231"/>
      <c r="K124" s="1231"/>
      <c r="L124" s="1231"/>
      <c r="M124" s="1231"/>
      <c r="N124" s="1231"/>
      <c r="O124" s="1231"/>
      <c r="P124" s="1231"/>
      <c r="Q124" s="1231"/>
      <c r="R124" s="1231"/>
      <c r="S124" s="1231"/>
      <c r="T124" s="229"/>
      <c r="U124" s="231"/>
    </row>
    <row r="125" spans="1:21" ht="12.5">
      <c r="A125" s="357" t="s">
        <v>1881</v>
      </c>
      <c r="B125" s="238"/>
      <c r="C125" s="357"/>
      <c r="D125" s="1231"/>
      <c r="E125" s="1231"/>
      <c r="F125" s="1231"/>
      <c r="G125" s="1231"/>
      <c r="H125" s="1231"/>
      <c r="I125" s="1231"/>
      <c r="J125" s="1231"/>
      <c r="K125" s="1231"/>
      <c r="L125" s="1231"/>
      <c r="M125" s="1231"/>
      <c r="N125" s="1231"/>
      <c r="O125" s="1231"/>
      <c r="P125" s="1231"/>
      <c r="Q125" s="1231"/>
      <c r="R125" s="1231"/>
      <c r="S125" s="1231"/>
      <c r="T125" s="229"/>
      <c r="U125" s="231"/>
    </row>
    <row r="126" spans="1:21" ht="12.5">
      <c r="A126" s="357" t="s">
        <v>1882</v>
      </c>
      <c r="B126" s="238"/>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1883</v>
      </c>
      <c r="B127" s="238"/>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1884</v>
      </c>
      <c r="B128" s="238"/>
      <c r="C128" s="357"/>
      <c r="D128" s="1235"/>
      <c r="E128" s="1235"/>
      <c r="F128" s="1235"/>
      <c r="G128" s="1235"/>
      <c r="H128" s="1235"/>
      <c r="I128" s="357"/>
      <c r="J128" s="1229"/>
      <c r="K128" s="1229"/>
      <c r="L128" s="357"/>
      <c r="M128" s="357"/>
      <c r="N128" s="357"/>
      <c r="O128" s="357"/>
      <c r="P128" s="357"/>
      <c r="Q128" s="357"/>
      <c r="R128" s="357"/>
      <c r="S128" s="357"/>
      <c r="T128" s="229"/>
      <c r="U128" s="231"/>
    </row>
    <row r="129" spans="1:21" ht="12.5">
      <c r="A129" s="357" t="s">
        <v>1068</v>
      </c>
      <c r="B129" s="238"/>
      <c r="C129" s="357"/>
      <c r="D129" s="1239" t="s">
        <v>1885</v>
      </c>
      <c r="E129" s="1239"/>
      <c r="F129" s="1239"/>
      <c r="G129" s="1239"/>
      <c r="H129" s="1239"/>
      <c r="I129" s="357"/>
      <c r="J129" s="357" t="s">
        <v>1886</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1887</v>
      </c>
      <c r="B131" s="239">
        <f>SUM(B123:B129)</f>
        <v>0</v>
      </c>
      <c r="C131" s="357"/>
      <c r="D131" s="1233"/>
      <c r="E131" s="1233"/>
      <c r="F131" s="1233"/>
      <c r="G131" s="1233"/>
      <c r="H131" s="1233"/>
      <c r="I131" s="357"/>
      <c r="J131" s="1233"/>
      <c r="K131" s="1233"/>
      <c r="L131" s="1233"/>
      <c r="M131" s="1233"/>
      <c r="N131" s="357"/>
      <c r="O131" s="357"/>
      <c r="P131" s="357"/>
      <c r="Q131" s="357"/>
      <c r="R131" s="357"/>
      <c r="S131" s="357"/>
      <c r="T131" s="229"/>
      <c r="U131" s="231"/>
    </row>
    <row r="132" spans="1:21" ht="12" customHeight="1">
      <c r="A132" s="1219"/>
      <c r="B132" s="357"/>
      <c r="C132" s="357"/>
      <c r="D132" s="1232" t="s">
        <v>1888</v>
      </c>
      <c r="E132" s="1232"/>
      <c r="F132" s="1232"/>
      <c r="G132" s="1232"/>
      <c r="H132" s="1232"/>
      <c r="I132" s="357"/>
      <c r="J132" s="1232" t="s">
        <v>1889</v>
      </c>
      <c r="K132" s="1232"/>
      <c r="L132" s="1232"/>
      <c r="M132" s="1232"/>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1890</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1891</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234"/>
      <c r="B138" s="1235"/>
      <c r="C138" s="1235"/>
      <c r="D138" s="233"/>
      <c r="E138" s="1229"/>
      <c r="F138" s="1229"/>
      <c r="G138" s="357"/>
      <c r="H138" s="357"/>
      <c r="I138" s="357"/>
      <c r="J138" s="357"/>
      <c r="K138" s="357"/>
      <c r="L138" s="357"/>
      <c r="M138" s="357"/>
      <c r="N138" s="357"/>
      <c r="O138" s="357"/>
      <c r="P138" s="357"/>
      <c r="Q138" s="357"/>
      <c r="R138" s="357"/>
      <c r="S138" s="357"/>
      <c r="T138" s="235"/>
      <c r="U138" s="236"/>
    </row>
    <row r="139" spans="1:21" ht="13">
      <c r="A139" s="1228" t="s">
        <v>1892</v>
      </c>
      <c r="B139" s="1228"/>
      <c r="C139" s="1228"/>
      <c r="D139" s="233"/>
      <c r="E139" s="357" t="s">
        <v>1886</v>
      </c>
      <c r="F139" s="357"/>
      <c r="G139" s="357"/>
      <c r="H139" s="357"/>
      <c r="I139" s="357"/>
      <c r="J139" s="357"/>
      <c r="K139" s="357"/>
      <c r="L139" s="357"/>
      <c r="M139" s="357"/>
      <c r="N139" s="357"/>
      <c r="O139" s="357"/>
      <c r="P139" s="357"/>
      <c r="Q139" s="357"/>
      <c r="R139" s="357"/>
      <c r="S139" s="357"/>
      <c r="T139" s="235"/>
      <c r="U139" s="236"/>
    </row>
    <row r="140" spans="1:21" ht="13">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7" workbookViewId="0">
      <selection activeCell="C5" sqref="C5"/>
    </sheetView>
  </sheetViews>
  <sheetFormatPr defaultColWidth="0" defaultRowHeight="11.5" zeroHeight="1"/>
  <cols>
    <col min="1" max="1" width="32.453125" style="300" customWidth="1"/>
    <col min="2" max="3" width="12.1796875" style="296" customWidth="1"/>
    <col min="4" max="6" width="12.81640625" style="296" customWidth="1"/>
    <col min="7" max="9" width="12.1796875" style="296" customWidth="1"/>
    <col min="10" max="10" width="12.1796875" style="297" customWidth="1"/>
    <col min="11" max="11" width="8.81640625" style="298" hidden="1" customWidth="1"/>
    <col min="12" max="21" width="8.81640625" style="296" hidden="1" customWidth="1"/>
    <col min="22" max="23" width="0" style="296" hidden="1"/>
    <col min="24" max="256" width="8.81640625" style="296" hidden="1"/>
    <col min="257" max="257" width="32.453125" style="296" hidden="1" customWidth="1"/>
    <col min="258" max="259" width="12.1796875" style="296" hidden="1" customWidth="1"/>
    <col min="260" max="260" width="12.81640625" style="296" hidden="1" customWidth="1"/>
    <col min="261" max="266" width="12.1796875" style="296" hidden="1" customWidth="1"/>
    <col min="267" max="277" width="8.81640625" style="296" hidden="1" customWidth="1"/>
    <col min="278" max="512" width="8.81640625" style="296" hidden="1"/>
    <col min="513" max="513" width="32.453125" style="296" hidden="1" customWidth="1"/>
    <col min="514" max="515" width="12.1796875" style="296" hidden="1" customWidth="1"/>
    <col min="516" max="516" width="12.81640625" style="296" hidden="1" customWidth="1"/>
    <col min="517" max="522" width="12.1796875" style="296" hidden="1" customWidth="1"/>
    <col min="523" max="533" width="8.81640625" style="296" hidden="1" customWidth="1"/>
    <col min="534" max="768" width="8.81640625" style="296" hidden="1"/>
    <col min="769" max="769" width="32.453125" style="296" hidden="1" customWidth="1"/>
    <col min="770" max="771" width="12.1796875" style="296" hidden="1" customWidth="1"/>
    <col min="772" max="772" width="12.81640625" style="296" hidden="1" customWidth="1"/>
    <col min="773" max="778" width="12.1796875" style="296" hidden="1" customWidth="1"/>
    <col min="779" max="789" width="8.81640625" style="296" hidden="1" customWidth="1"/>
    <col min="790" max="1024" width="8.81640625" style="296" hidden="1"/>
    <col min="1025" max="1025" width="32.453125" style="296" hidden="1" customWidth="1"/>
    <col min="1026" max="1027" width="12.1796875" style="296" hidden="1" customWidth="1"/>
    <col min="1028" max="1028" width="12.81640625" style="296" hidden="1" customWidth="1"/>
    <col min="1029" max="1034" width="12.1796875" style="296" hidden="1" customWidth="1"/>
    <col min="1035" max="1045" width="8.81640625" style="296" hidden="1" customWidth="1"/>
    <col min="1046" max="1280" width="8.81640625" style="296" hidden="1"/>
    <col min="1281" max="1281" width="32.453125" style="296" hidden="1" customWidth="1"/>
    <col min="1282" max="1283" width="12.1796875" style="296" hidden="1" customWidth="1"/>
    <col min="1284" max="1284" width="12.81640625" style="296" hidden="1" customWidth="1"/>
    <col min="1285" max="1290" width="12.1796875" style="296" hidden="1" customWidth="1"/>
    <col min="1291" max="1301" width="8.81640625" style="296" hidden="1" customWidth="1"/>
    <col min="1302" max="1536" width="8.81640625" style="296" hidden="1"/>
    <col min="1537" max="1537" width="32.453125" style="296" hidden="1" customWidth="1"/>
    <col min="1538" max="1539" width="12.1796875" style="296" hidden="1" customWidth="1"/>
    <col min="1540" max="1540" width="12.81640625" style="296" hidden="1" customWidth="1"/>
    <col min="1541" max="1546" width="12.1796875" style="296" hidden="1" customWidth="1"/>
    <col min="1547" max="1557" width="8.81640625" style="296" hidden="1" customWidth="1"/>
    <col min="1558" max="1792" width="8.81640625" style="296" hidden="1"/>
    <col min="1793" max="1793" width="32.453125" style="296" hidden="1" customWidth="1"/>
    <col min="1794" max="1795" width="12.1796875" style="296" hidden="1" customWidth="1"/>
    <col min="1796" max="1796" width="12.81640625" style="296" hidden="1" customWidth="1"/>
    <col min="1797" max="1802" width="12.1796875" style="296" hidden="1" customWidth="1"/>
    <col min="1803" max="1813" width="8.81640625" style="296" hidden="1" customWidth="1"/>
    <col min="1814" max="2048" width="8.81640625" style="296" hidden="1"/>
    <col min="2049" max="2049" width="32.453125" style="296" hidden="1" customWidth="1"/>
    <col min="2050" max="2051" width="12.1796875" style="296" hidden="1" customWidth="1"/>
    <col min="2052" max="2052" width="12.81640625" style="296" hidden="1" customWidth="1"/>
    <col min="2053" max="2058" width="12.1796875" style="296" hidden="1" customWidth="1"/>
    <col min="2059" max="2069" width="8.81640625" style="296" hidden="1" customWidth="1"/>
    <col min="2070" max="2304" width="8.81640625" style="296" hidden="1"/>
    <col min="2305" max="2305" width="32.453125" style="296" hidden="1" customWidth="1"/>
    <col min="2306" max="2307" width="12.1796875" style="296" hidden="1" customWidth="1"/>
    <col min="2308" max="2308" width="12.81640625" style="296" hidden="1" customWidth="1"/>
    <col min="2309" max="2314" width="12.1796875" style="296" hidden="1" customWidth="1"/>
    <col min="2315" max="2325" width="8.81640625" style="296" hidden="1" customWidth="1"/>
    <col min="2326" max="2560" width="8.81640625" style="296" hidden="1"/>
    <col min="2561" max="2561" width="32.453125" style="296" hidden="1" customWidth="1"/>
    <col min="2562" max="2563" width="12.1796875" style="296" hidden="1" customWidth="1"/>
    <col min="2564" max="2564" width="12.81640625" style="296" hidden="1" customWidth="1"/>
    <col min="2565" max="2570" width="12.1796875" style="296" hidden="1" customWidth="1"/>
    <col min="2571" max="2581" width="8.81640625" style="296" hidden="1" customWidth="1"/>
    <col min="2582" max="2816" width="8.81640625" style="296" hidden="1"/>
    <col min="2817" max="2817" width="32.453125" style="296" hidden="1" customWidth="1"/>
    <col min="2818" max="2819" width="12.1796875" style="296" hidden="1" customWidth="1"/>
    <col min="2820" max="2820" width="12.81640625" style="296" hidden="1" customWidth="1"/>
    <col min="2821" max="2826" width="12.1796875" style="296" hidden="1" customWidth="1"/>
    <col min="2827" max="2837" width="8.81640625" style="296" hidden="1" customWidth="1"/>
    <col min="2838" max="3072" width="8.81640625" style="296" hidden="1"/>
    <col min="3073" max="3073" width="32.453125" style="296" hidden="1" customWidth="1"/>
    <col min="3074" max="3075" width="12.1796875" style="296" hidden="1" customWidth="1"/>
    <col min="3076" max="3076" width="12.81640625" style="296" hidden="1" customWidth="1"/>
    <col min="3077" max="3082" width="12.1796875" style="296" hidden="1" customWidth="1"/>
    <col min="3083" max="3093" width="8.81640625" style="296" hidden="1" customWidth="1"/>
    <col min="3094" max="3328" width="8.81640625" style="296" hidden="1"/>
    <col min="3329" max="3329" width="32.453125" style="296" hidden="1" customWidth="1"/>
    <col min="3330" max="3331" width="12.1796875" style="296" hidden="1" customWidth="1"/>
    <col min="3332" max="3332" width="12.81640625" style="296" hidden="1" customWidth="1"/>
    <col min="3333" max="3338" width="12.1796875" style="296" hidden="1" customWidth="1"/>
    <col min="3339" max="3349" width="8.81640625" style="296" hidden="1" customWidth="1"/>
    <col min="3350" max="3584" width="8.81640625" style="296" hidden="1"/>
    <col min="3585" max="3585" width="32.453125" style="296" hidden="1" customWidth="1"/>
    <col min="3586" max="3587" width="12.1796875" style="296" hidden="1" customWidth="1"/>
    <col min="3588" max="3588" width="12.81640625" style="296" hidden="1" customWidth="1"/>
    <col min="3589" max="3594" width="12.1796875" style="296" hidden="1" customWidth="1"/>
    <col min="3595" max="3605" width="8.81640625" style="296" hidden="1" customWidth="1"/>
    <col min="3606" max="3840" width="8.81640625" style="296" hidden="1"/>
    <col min="3841" max="3841" width="32.453125" style="296" hidden="1" customWidth="1"/>
    <col min="3842" max="3843" width="12.1796875" style="296" hidden="1" customWidth="1"/>
    <col min="3844" max="3844" width="12.81640625" style="296" hidden="1" customWidth="1"/>
    <col min="3845" max="3850" width="12.1796875" style="296" hidden="1" customWidth="1"/>
    <col min="3851" max="3861" width="8.81640625" style="296" hidden="1" customWidth="1"/>
    <col min="3862" max="4096" width="8.81640625" style="296" hidden="1"/>
    <col min="4097" max="4097" width="32.453125" style="296" hidden="1" customWidth="1"/>
    <col min="4098" max="4099" width="12.1796875" style="296" hidden="1" customWidth="1"/>
    <col min="4100" max="4100" width="12.81640625" style="296" hidden="1" customWidth="1"/>
    <col min="4101" max="4106" width="12.1796875" style="296" hidden="1" customWidth="1"/>
    <col min="4107" max="4117" width="8.81640625" style="296" hidden="1" customWidth="1"/>
    <col min="4118" max="4352" width="8.81640625" style="296" hidden="1"/>
    <col min="4353" max="4353" width="32.453125" style="296" hidden="1" customWidth="1"/>
    <col min="4354" max="4355" width="12.1796875" style="296" hidden="1" customWidth="1"/>
    <col min="4356" max="4356" width="12.81640625" style="296" hidden="1" customWidth="1"/>
    <col min="4357" max="4362" width="12.1796875" style="296" hidden="1" customWidth="1"/>
    <col min="4363" max="4373" width="8.81640625" style="296" hidden="1" customWidth="1"/>
    <col min="4374" max="4608" width="8.81640625" style="296" hidden="1"/>
    <col min="4609" max="4609" width="32.453125" style="296" hidden="1" customWidth="1"/>
    <col min="4610" max="4611" width="12.1796875" style="296" hidden="1" customWidth="1"/>
    <col min="4612" max="4612" width="12.81640625" style="296" hidden="1" customWidth="1"/>
    <col min="4613" max="4618" width="12.1796875" style="296" hidden="1" customWidth="1"/>
    <col min="4619" max="4629" width="8.81640625" style="296" hidden="1" customWidth="1"/>
    <col min="4630" max="4864" width="8.81640625" style="296" hidden="1"/>
    <col min="4865" max="4865" width="32.453125" style="296" hidden="1" customWidth="1"/>
    <col min="4866" max="4867" width="12.1796875" style="296" hidden="1" customWidth="1"/>
    <col min="4868" max="4868" width="12.81640625" style="296" hidden="1" customWidth="1"/>
    <col min="4869" max="4874" width="12.1796875" style="296" hidden="1" customWidth="1"/>
    <col min="4875" max="4885" width="8.81640625" style="296" hidden="1" customWidth="1"/>
    <col min="4886" max="5120" width="8.81640625" style="296" hidden="1"/>
    <col min="5121" max="5121" width="32.453125" style="296" hidden="1" customWidth="1"/>
    <col min="5122" max="5123" width="12.1796875" style="296" hidden="1" customWidth="1"/>
    <col min="5124" max="5124" width="12.81640625" style="296" hidden="1" customWidth="1"/>
    <col min="5125" max="5130" width="12.1796875" style="296" hidden="1" customWidth="1"/>
    <col min="5131" max="5141" width="8.81640625" style="296" hidden="1" customWidth="1"/>
    <col min="5142" max="5376" width="8.81640625" style="296" hidden="1"/>
    <col min="5377" max="5377" width="32.453125" style="296" hidden="1" customWidth="1"/>
    <col min="5378" max="5379" width="12.1796875" style="296" hidden="1" customWidth="1"/>
    <col min="5380" max="5380" width="12.81640625" style="296" hidden="1" customWidth="1"/>
    <col min="5381" max="5386" width="12.1796875" style="296" hidden="1" customWidth="1"/>
    <col min="5387" max="5397" width="8.81640625" style="296" hidden="1" customWidth="1"/>
    <col min="5398" max="5632" width="8.81640625" style="296" hidden="1"/>
    <col min="5633" max="5633" width="32.453125" style="296" hidden="1" customWidth="1"/>
    <col min="5634" max="5635" width="12.1796875" style="296" hidden="1" customWidth="1"/>
    <col min="5636" max="5636" width="12.81640625" style="296" hidden="1" customWidth="1"/>
    <col min="5637" max="5642" width="12.1796875" style="296" hidden="1" customWidth="1"/>
    <col min="5643" max="5653" width="8.81640625" style="296" hidden="1" customWidth="1"/>
    <col min="5654" max="5888" width="8.81640625" style="296" hidden="1"/>
    <col min="5889" max="5889" width="32.453125" style="296" hidden="1" customWidth="1"/>
    <col min="5890" max="5891" width="12.1796875" style="296" hidden="1" customWidth="1"/>
    <col min="5892" max="5892" width="12.81640625" style="296" hidden="1" customWidth="1"/>
    <col min="5893" max="5898" width="12.1796875" style="296" hidden="1" customWidth="1"/>
    <col min="5899" max="5909" width="8.81640625" style="296" hidden="1" customWidth="1"/>
    <col min="5910" max="6144" width="8.81640625" style="296" hidden="1"/>
    <col min="6145" max="6145" width="32.453125" style="296" hidden="1" customWidth="1"/>
    <col min="6146" max="6147" width="12.1796875" style="296" hidden="1" customWidth="1"/>
    <col min="6148" max="6148" width="12.81640625" style="296" hidden="1" customWidth="1"/>
    <col min="6149" max="6154" width="12.1796875" style="296" hidden="1" customWidth="1"/>
    <col min="6155" max="6165" width="8.81640625" style="296" hidden="1" customWidth="1"/>
    <col min="6166" max="6400" width="8.81640625" style="296" hidden="1"/>
    <col min="6401" max="6401" width="32.453125" style="296" hidden="1" customWidth="1"/>
    <col min="6402" max="6403" width="12.1796875" style="296" hidden="1" customWidth="1"/>
    <col min="6404" max="6404" width="12.81640625" style="296" hidden="1" customWidth="1"/>
    <col min="6405" max="6410" width="12.1796875" style="296" hidden="1" customWidth="1"/>
    <col min="6411" max="6421" width="8.81640625" style="296" hidden="1" customWidth="1"/>
    <col min="6422" max="6656" width="8.81640625" style="296" hidden="1"/>
    <col min="6657" max="6657" width="32.453125" style="296" hidden="1" customWidth="1"/>
    <col min="6658" max="6659" width="12.1796875" style="296" hidden="1" customWidth="1"/>
    <col min="6660" max="6660" width="12.81640625" style="296" hidden="1" customWidth="1"/>
    <col min="6661" max="6666" width="12.1796875" style="296" hidden="1" customWidth="1"/>
    <col min="6667" max="6677" width="8.81640625" style="296" hidden="1" customWidth="1"/>
    <col min="6678" max="6912" width="8.81640625" style="296" hidden="1"/>
    <col min="6913" max="6913" width="32.453125" style="296" hidden="1" customWidth="1"/>
    <col min="6914" max="6915" width="12.1796875" style="296" hidden="1" customWidth="1"/>
    <col min="6916" max="6916" width="12.81640625" style="296" hidden="1" customWidth="1"/>
    <col min="6917" max="6922" width="12.1796875" style="296" hidden="1" customWidth="1"/>
    <col min="6923" max="6933" width="8.81640625" style="296" hidden="1" customWidth="1"/>
    <col min="6934" max="7168" width="8.81640625" style="296" hidden="1"/>
    <col min="7169" max="7169" width="32.453125" style="296" hidden="1" customWidth="1"/>
    <col min="7170" max="7171" width="12.1796875" style="296" hidden="1" customWidth="1"/>
    <col min="7172" max="7172" width="12.81640625" style="296" hidden="1" customWidth="1"/>
    <col min="7173" max="7178" width="12.1796875" style="296" hidden="1" customWidth="1"/>
    <col min="7179" max="7189" width="8.81640625" style="296" hidden="1" customWidth="1"/>
    <col min="7190" max="7424" width="8.81640625" style="296" hidden="1"/>
    <col min="7425" max="7425" width="32.453125" style="296" hidden="1" customWidth="1"/>
    <col min="7426" max="7427" width="12.1796875" style="296" hidden="1" customWidth="1"/>
    <col min="7428" max="7428" width="12.81640625" style="296" hidden="1" customWidth="1"/>
    <col min="7429" max="7434" width="12.1796875" style="296" hidden="1" customWidth="1"/>
    <col min="7435" max="7445" width="8.81640625" style="296" hidden="1" customWidth="1"/>
    <col min="7446" max="7680" width="8.81640625" style="296" hidden="1"/>
    <col min="7681" max="7681" width="32.453125" style="296" hidden="1" customWidth="1"/>
    <col min="7682" max="7683" width="12.1796875" style="296" hidden="1" customWidth="1"/>
    <col min="7684" max="7684" width="12.81640625" style="296" hidden="1" customWidth="1"/>
    <col min="7685" max="7690" width="12.1796875" style="296" hidden="1" customWidth="1"/>
    <col min="7691" max="7701" width="8.81640625" style="296" hidden="1" customWidth="1"/>
    <col min="7702" max="7936" width="8.81640625" style="296" hidden="1"/>
    <col min="7937" max="7937" width="32.453125" style="296" hidden="1" customWidth="1"/>
    <col min="7938" max="7939" width="12.1796875" style="296" hidden="1" customWidth="1"/>
    <col min="7940" max="7940" width="12.81640625" style="296" hidden="1" customWidth="1"/>
    <col min="7941" max="7946" width="12.1796875" style="296" hidden="1" customWidth="1"/>
    <col min="7947" max="7957" width="8.81640625" style="296" hidden="1" customWidth="1"/>
    <col min="7958" max="8192" width="8.81640625" style="296" hidden="1"/>
    <col min="8193" max="8193" width="32.453125" style="296" hidden="1" customWidth="1"/>
    <col min="8194" max="8195" width="12.1796875" style="296" hidden="1" customWidth="1"/>
    <col min="8196" max="8196" width="12.81640625" style="296" hidden="1" customWidth="1"/>
    <col min="8197" max="8202" width="12.1796875" style="296" hidden="1" customWidth="1"/>
    <col min="8203" max="8213" width="8.81640625" style="296" hidden="1" customWidth="1"/>
    <col min="8214" max="8448" width="8.81640625" style="296" hidden="1"/>
    <col min="8449" max="8449" width="32.453125" style="296" hidden="1" customWidth="1"/>
    <col min="8450" max="8451" width="12.1796875" style="296" hidden="1" customWidth="1"/>
    <col min="8452" max="8452" width="12.81640625" style="296" hidden="1" customWidth="1"/>
    <col min="8453" max="8458" width="12.1796875" style="296" hidden="1" customWidth="1"/>
    <col min="8459" max="8469" width="8.81640625" style="296" hidden="1" customWidth="1"/>
    <col min="8470" max="8704" width="8.81640625" style="296" hidden="1"/>
    <col min="8705" max="8705" width="32.453125" style="296" hidden="1" customWidth="1"/>
    <col min="8706" max="8707" width="12.1796875" style="296" hidden="1" customWidth="1"/>
    <col min="8708" max="8708" width="12.81640625" style="296" hidden="1" customWidth="1"/>
    <col min="8709" max="8714" width="12.1796875" style="296" hidden="1" customWidth="1"/>
    <col min="8715" max="8725" width="8.81640625" style="296" hidden="1" customWidth="1"/>
    <col min="8726" max="8960" width="8.81640625" style="296" hidden="1"/>
    <col min="8961" max="8961" width="32.453125" style="296" hidden="1" customWidth="1"/>
    <col min="8962" max="8963" width="12.1796875" style="296" hidden="1" customWidth="1"/>
    <col min="8964" max="8964" width="12.81640625" style="296" hidden="1" customWidth="1"/>
    <col min="8965" max="8970" width="12.1796875" style="296" hidden="1" customWidth="1"/>
    <col min="8971" max="8981" width="8.81640625" style="296" hidden="1" customWidth="1"/>
    <col min="8982" max="9216" width="8.81640625" style="296" hidden="1"/>
    <col min="9217" max="9217" width="32.453125" style="296" hidden="1" customWidth="1"/>
    <col min="9218" max="9219" width="12.1796875" style="296" hidden="1" customWidth="1"/>
    <col min="9220" max="9220" width="12.81640625" style="296" hidden="1" customWidth="1"/>
    <col min="9221" max="9226" width="12.1796875" style="296" hidden="1" customWidth="1"/>
    <col min="9227" max="9237" width="8.81640625" style="296" hidden="1" customWidth="1"/>
    <col min="9238" max="9472" width="8.81640625" style="296" hidden="1"/>
    <col min="9473" max="9473" width="32.453125" style="296" hidden="1" customWidth="1"/>
    <col min="9474" max="9475" width="12.1796875" style="296" hidden="1" customWidth="1"/>
    <col min="9476" max="9476" width="12.81640625" style="296" hidden="1" customWidth="1"/>
    <col min="9477" max="9482" width="12.1796875" style="296" hidden="1" customWidth="1"/>
    <col min="9483" max="9493" width="8.81640625" style="296" hidden="1" customWidth="1"/>
    <col min="9494" max="9728" width="8.81640625" style="296" hidden="1"/>
    <col min="9729" max="9729" width="32.453125" style="296" hidden="1" customWidth="1"/>
    <col min="9730" max="9731" width="12.1796875" style="296" hidden="1" customWidth="1"/>
    <col min="9732" max="9732" width="12.81640625" style="296" hidden="1" customWidth="1"/>
    <col min="9733" max="9738" width="12.1796875" style="296" hidden="1" customWidth="1"/>
    <col min="9739" max="9749" width="8.81640625" style="296" hidden="1" customWidth="1"/>
    <col min="9750" max="9984" width="8.81640625" style="296" hidden="1"/>
    <col min="9985" max="9985" width="32.453125" style="296" hidden="1" customWidth="1"/>
    <col min="9986" max="9987" width="12.1796875" style="296" hidden="1" customWidth="1"/>
    <col min="9988" max="9988" width="12.81640625" style="296" hidden="1" customWidth="1"/>
    <col min="9989" max="9994" width="12.1796875" style="296" hidden="1" customWidth="1"/>
    <col min="9995" max="10005" width="8.81640625" style="296" hidden="1" customWidth="1"/>
    <col min="10006" max="10240" width="8.81640625" style="296" hidden="1"/>
    <col min="10241" max="10241" width="32.453125" style="296" hidden="1" customWidth="1"/>
    <col min="10242" max="10243" width="12.1796875" style="296" hidden="1" customWidth="1"/>
    <col min="10244" max="10244" width="12.81640625" style="296" hidden="1" customWidth="1"/>
    <col min="10245" max="10250" width="12.1796875" style="296" hidden="1" customWidth="1"/>
    <col min="10251" max="10261" width="8.81640625" style="296" hidden="1" customWidth="1"/>
    <col min="10262" max="10496" width="8.81640625" style="296" hidden="1"/>
    <col min="10497" max="10497" width="32.453125" style="296" hidden="1" customWidth="1"/>
    <col min="10498" max="10499" width="12.1796875" style="296" hidden="1" customWidth="1"/>
    <col min="10500" max="10500" width="12.81640625" style="296" hidden="1" customWidth="1"/>
    <col min="10501" max="10506" width="12.1796875" style="296" hidden="1" customWidth="1"/>
    <col min="10507" max="10517" width="8.81640625" style="296" hidden="1" customWidth="1"/>
    <col min="10518" max="10752" width="8.81640625" style="296" hidden="1"/>
    <col min="10753" max="10753" width="32.453125" style="296" hidden="1" customWidth="1"/>
    <col min="10754" max="10755" width="12.1796875" style="296" hidden="1" customWidth="1"/>
    <col min="10756" max="10756" width="12.81640625" style="296" hidden="1" customWidth="1"/>
    <col min="10757" max="10762" width="12.1796875" style="296" hidden="1" customWidth="1"/>
    <col min="10763" max="10773" width="8.81640625" style="296" hidden="1" customWidth="1"/>
    <col min="10774" max="11008" width="8.81640625" style="296" hidden="1"/>
    <col min="11009" max="11009" width="32.453125" style="296" hidden="1" customWidth="1"/>
    <col min="11010" max="11011" width="12.1796875" style="296" hidden="1" customWidth="1"/>
    <col min="11012" max="11012" width="12.81640625" style="296" hidden="1" customWidth="1"/>
    <col min="11013" max="11018" width="12.1796875" style="296" hidden="1" customWidth="1"/>
    <col min="11019" max="11029" width="8.81640625" style="296" hidden="1" customWidth="1"/>
    <col min="11030" max="11264" width="8.81640625" style="296" hidden="1"/>
    <col min="11265" max="11265" width="32.453125" style="296" hidden="1" customWidth="1"/>
    <col min="11266" max="11267" width="12.1796875" style="296" hidden="1" customWidth="1"/>
    <col min="11268" max="11268" width="12.81640625" style="296" hidden="1" customWidth="1"/>
    <col min="11269" max="11274" width="12.1796875" style="296" hidden="1" customWidth="1"/>
    <col min="11275" max="11285" width="8.81640625" style="296" hidden="1" customWidth="1"/>
    <col min="11286" max="11520" width="8.81640625" style="296" hidden="1"/>
    <col min="11521" max="11521" width="32.453125" style="296" hidden="1" customWidth="1"/>
    <col min="11522" max="11523" width="12.1796875" style="296" hidden="1" customWidth="1"/>
    <col min="11524" max="11524" width="12.81640625" style="296" hidden="1" customWidth="1"/>
    <col min="11525" max="11530" width="12.1796875" style="296" hidden="1" customWidth="1"/>
    <col min="11531" max="11541" width="8.81640625" style="296" hidden="1" customWidth="1"/>
    <col min="11542" max="11776" width="8.81640625" style="296" hidden="1"/>
    <col min="11777" max="11777" width="32.453125" style="296" hidden="1" customWidth="1"/>
    <col min="11778" max="11779" width="12.1796875" style="296" hidden="1" customWidth="1"/>
    <col min="11780" max="11780" width="12.81640625" style="296" hidden="1" customWidth="1"/>
    <col min="11781" max="11786" width="12.1796875" style="296" hidden="1" customWidth="1"/>
    <col min="11787" max="11797" width="8.81640625" style="296" hidden="1" customWidth="1"/>
    <col min="11798" max="12032" width="8.81640625" style="296" hidden="1"/>
    <col min="12033" max="12033" width="32.453125" style="296" hidden="1" customWidth="1"/>
    <col min="12034" max="12035" width="12.1796875" style="296" hidden="1" customWidth="1"/>
    <col min="12036" max="12036" width="12.81640625" style="296" hidden="1" customWidth="1"/>
    <col min="12037" max="12042" width="12.1796875" style="296" hidden="1" customWidth="1"/>
    <col min="12043" max="12053" width="8.81640625" style="296" hidden="1" customWidth="1"/>
    <col min="12054" max="12288" width="8.81640625" style="296" hidden="1"/>
    <col min="12289" max="12289" width="32.453125" style="296" hidden="1" customWidth="1"/>
    <col min="12290" max="12291" width="12.1796875" style="296" hidden="1" customWidth="1"/>
    <col min="12292" max="12292" width="12.81640625" style="296" hidden="1" customWidth="1"/>
    <col min="12293" max="12298" width="12.1796875" style="296" hidden="1" customWidth="1"/>
    <col min="12299" max="12309" width="8.81640625" style="296" hidden="1" customWidth="1"/>
    <col min="12310" max="12544" width="8.81640625" style="296" hidden="1"/>
    <col min="12545" max="12545" width="32.453125" style="296" hidden="1" customWidth="1"/>
    <col min="12546" max="12547" width="12.1796875" style="296" hidden="1" customWidth="1"/>
    <col min="12548" max="12548" width="12.81640625" style="296" hidden="1" customWidth="1"/>
    <col min="12549" max="12554" width="12.1796875" style="296" hidden="1" customWidth="1"/>
    <col min="12555" max="12565" width="8.81640625" style="296" hidden="1" customWidth="1"/>
    <col min="12566" max="12800" width="8.81640625" style="296" hidden="1"/>
    <col min="12801" max="12801" width="32.453125" style="296" hidden="1" customWidth="1"/>
    <col min="12802" max="12803" width="12.1796875" style="296" hidden="1" customWidth="1"/>
    <col min="12804" max="12804" width="12.81640625" style="296" hidden="1" customWidth="1"/>
    <col min="12805" max="12810" width="12.1796875" style="296" hidden="1" customWidth="1"/>
    <col min="12811" max="12821" width="8.81640625" style="296" hidden="1" customWidth="1"/>
    <col min="12822" max="13056" width="8.81640625" style="296" hidden="1"/>
    <col min="13057" max="13057" width="32.453125" style="296" hidden="1" customWidth="1"/>
    <col min="13058" max="13059" width="12.1796875" style="296" hidden="1" customWidth="1"/>
    <col min="13060" max="13060" width="12.81640625" style="296" hidden="1" customWidth="1"/>
    <col min="13061" max="13066" width="12.1796875" style="296" hidden="1" customWidth="1"/>
    <col min="13067" max="13077" width="8.81640625" style="296" hidden="1" customWidth="1"/>
    <col min="13078" max="13312" width="8.81640625" style="296" hidden="1"/>
    <col min="13313" max="13313" width="32.453125" style="296" hidden="1" customWidth="1"/>
    <col min="13314" max="13315" width="12.1796875" style="296" hidden="1" customWidth="1"/>
    <col min="13316" max="13316" width="12.81640625" style="296" hidden="1" customWidth="1"/>
    <col min="13317" max="13322" width="12.1796875" style="296" hidden="1" customWidth="1"/>
    <col min="13323" max="13333" width="8.81640625" style="296" hidden="1" customWidth="1"/>
    <col min="13334" max="13568" width="8.81640625" style="296" hidden="1"/>
    <col min="13569" max="13569" width="32.453125" style="296" hidden="1" customWidth="1"/>
    <col min="13570" max="13571" width="12.1796875" style="296" hidden="1" customWidth="1"/>
    <col min="13572" max="13572" width="12.81640625" style="296" hidden="1" customWidth="1"/>
    <col min="13573" max="13578" width="12.1796875" style="296" hidden="1" customWidth="1"/>
    <col min="13579" max="13589" width="8.81640625" style="296" hidden="1" customWidth="1"/>
    <col min="13590" max="13824" width="8.81640625" style="296" hidden="1"/>
    <col min="13825" max="13825" width="32.453125" style="296" hidden="1" customWidth="1"/>
    <col min="13826" max="13827" width="12.1796875" style="296" hidden="1" customWidth="1"/>
    <col min="13828" max="13828" width="12.81640625" style="296" hidden="1" customWidth="1"/>
    <col min="13829" max="13834" width="12.1796875" style="296" hidden="1" customWidth="1"/>
    <col min="13835" max="13845" width="8.81640625" style="296" hidden="1" customWidth="1"/>
    <col min="13846" max="14080" width="8.81640625" style="296" hidden="1"/>
    <col min="14081" max="14081" width="32.453125" style="296" hidden="1" customWidth="1"/>
    <col min="14082" max="14083" width="12.1796875" style="296" hidden="1" customWidth="1"/>
    <col min="14084" max="14084" width="12.81640625" style="296" hidden="1" customWidth="1"/>
    <col min="14085" max="14090" width="12.1796875" style="296" hidden="1" customWidth="1"/>
    <col min="14091" max="14101" width="8.81640625" style="296" hidden="1" customWidth="1"/>
    <col min="14102" max="14336" width="8.81640625" style="296" hidden="1"/>
    <col min="14337" max="14337" width="32.453125" style="296" hidden="1" customWidth="1"/>
    <col min="14338" max="14339" width="12.1796875" style="296" hidden="1" customWidth="1"/>
    <col min="14340" max="14340" width="12.81640625" style="296" hidden="1" customWidth="1"/>
    <col min="14341" max="14346" width="12.1796875" style="296" hidden="1" customWidth="1"/>
    <col min="14347" max="14357" width="8.81640625" style="296" hidden="1" customWidth="1"/>
    <col min="14358" max="14592" width="8.81640625" style="296" hidden="1"/>
    <col min="14593" max="14593" width="32.453125" style="296" hidden="1" customWidth="1"/>
    <col min="14594" max="14595" width="12.1796875" style="296" hidden="1" customWidth="1"/>
    <col min="14596" max="14596" width="12.81640625" style="296" hidden="1" customWidth="1"/>
    <col min="14597" max="14602" width="12.1796875" style="296" hidden="1" customWidth="1"/>
    <col min="14603" max="14613" width="8.81640625" style="296" hidden="1" customWidth="1"/>
    <col min="14614" max="14848" width="8.81640625" style="296" hidden="1"/>
    <col min="14849" max="14849" width="32.453125" style="296" hidden="1" customWidth="1"/>
    <col min="14850" max="14851" width="12.1796875" style="296" hidden="1" customWidth="1"/>
    <col min="14852" max="14852" width="12.81640625" style="296" hidden="1" customWidth="1"/>
    <col min="14853" max="14858" width="12.1796875" style="296" hidden="1" customWidth="1"/>
    <col min="14859" max="14869" width="8.81640625" style="296" hidden="1" customWidth="1"/>
    <col min="14870" max="15104" width="8.81640625" style="296" hidden="1"/>
    <col min="15105" max="15105" width="32.453125" style="296" hidden="1" customWidth="1"/>
    <col min="15106" max="15107" width="12.1796875" style="296" hidden="1" customWidth="1"/>
    <col min="15108" max="15108" width="12.81640625" style="296" hidden="1" customWidth="1"/>
    <col min="15109" max="15114" width="12.1796875" style="296" hidden="1" customWidth="1"/>
    <col min="15115" max="15125" width="8.81640625" style="296" hidden="1" customWidth="1"/>
    <col min="15126" max="15360" width="8.81640625" style="296" hidden="1"/>
    <col min="15361" max="15361" width="32.453125" style="296" hidden="1" customWidth="1"/>
    <col min="15362" max="15363" width="12.1796875" style="296" hidden="1" customWidth="1"/>
    <col min="15364" max="15364" width="12.81640625" style="296" hidden="1" customWidth="1"/>
    <col min="15365" max="15370" width="12.1796875" style="296" hidden="1" customWidth="1"/>
    <col min="15371" max="15381" width="8.81640625" style="296" hidden="1" customWidth="1"/>
    <col min="15382" max="15616" width="8.81640625" style="296" hidden="1"/>
    <col min="15617" max="15617" width="32.453125" style="296" hidden="1" customWidth="1"/>
    <col min="15618" max="15619" width="12.1796875" style="296" hidden="1" customWidth="1"/>
    <col min="15620" max="15620" width="12.81640625" style="296" hidden="1" customWidth="1"/>
    <col min="15621" max="15626" width="12.1796875" style="296" hidden="1" customWidth="1"/>
    <col min="15627" max="15637" width="8.81640625" style="296" hidden="1" customWidth="1"/>
    <col min="15638" max="15872" width="8.81640625" style="296" hidden="1"/>
    <col min="15873" max="15873" width="32.453125" style="296" hidden="1" customWidth="1"/>
    <col min="15874" max="15875" width="12.1796875" style="296" hidden="1" customWidth="1"/>
    <col min="15876" max="15876" width="12.81640625" style="296" hidden="1" customWidth="1"/>
    <col min="15877" max="15882" width="12.1796875" style="296" hidden="1" customWidth="1"/>
    <col min="15883" max="15893" width="8.81640625" style="296" hidden="1" customWidth="1"/>
    <col min="15894" max="16128" width="8.81640625" style="296" hidden="1"/>
    <col min="16129" max="16129" width="32.453125" style="296" hidden="1" customWidth="1"/>
    <col min="16130" max="16131" width="12.1796875" style="296" hidden="1" customWidth="1"/>
    <col min="16132" max="16132" width="12.81640625" style="296" hidden="1" customWidth="1"/>
    <col min="16133" max="16138" width="12.1796875" style="296" hidden="1" customWidth="1"/>
    <col min="16139" max="16149" width="8.81640625" style="296" hidden="1" customWidth="1"/>
    <col min="16150" max="16384" width="8.81640625" style="296" hidden="1"/>
  </cols>
  <sheetData>
    <row r="1" spans="1:11" s="259" customFormat="1" ht="13">
      <c r="A1" s="1811" t="s">
        <v>1893</v>
      </c>
      <c r="B1" s="1812"/>
      <c r="C1" s="1812"/>
      <c r="D1" s="1812"/>
      <c r="E1" s="1812"/>
      <c r="F1" s="1812"/>
      <c r="G1" s="1812"/>
      <c r="H1" s="1812"/>
      <c r="I1" s="1812"/>
      <c r="J1" s="1813"/>
      <c r="K1" s="258"/>
    </row>
    <row r="2" spans="1:11" s="304" customFormat="1" ht="69">
      <c r="A2" s="301"/>
      <c r="B2" s="302" t="s">
        <v>1894</v>
      </c>
      <c r="C2" s="302" t="s">
        <v>1895</v>
      </c>
      <c r="D2" s="302" t="s">
        <v>1896</v>
      </c>
      <c r="E2" s="302" t="s">
        <v>1897</v>
      </c>
      <c r="F2" s="302" t="s">
        <v>1898</v>
      </c>
      <c r="G2" s="302" t="s">
        <v>1899</v>
      </c>
      <c r="H2" s="302" t="s">
        <v>1900</v>
      </c>
      <c r="I2" s="302" t="s">
        <v>1901</v>
      </c>
      <c r="J2" s="302" t="s">
        <v>1902</v>
      </c>
      <c r="K2" s="303"/>
    </row>
    <row r="3" spans="1:11" s="263" customFormat="1" ht="12">
      <c r="A3" s="260" t="s">
        <v>1778</v>
      </c>
      <c r="B3" s="261"/>
      <c r="C3" s="261"/>
      <c r="D3" s="261"/>
      <c r="E3" s="261"/>
      <c r="F3" s="261"/>
      <c r="G3" s="261"/>
      <c r="H3" s="261"/>
      <c r="I3" s="261"/>
      <c r="J3" s="261"/>
      <c r="K3" s="262"/>
    </row>
    <row r="4" spans="1:11" s="263" customFormat="1">
      <c r="A4" s="267" t="s">
        <v>1779</v>
      </c>
      <c r="B4" s="264">
        <f>'Sources and Uses Budget'!C4</f>
        <v>2900000</v>
      </c>
      <c r="C4" s="265" cm="1">
        <f t="array" ref="C4:C7">B4:B7</f>
        <v>2900000</v>
      </c>
      <c r="D4" s="265"/>
      <c r="E4" s="266"/>
      <c r="F4" s="266"/>
      <c r="G4" s="266"/>
      <c r="H4" s="266"/>
      <c r="I4" s="266"/>
      <c r="J4" s="266"/>
      <c r="K4" s="262"/>
    </row>
    <row r="5" spans="1:11" s="263" customFormat="1">
      <c r="A5" s="267" t="s">
        <v>696</v>
      </c>
      <c r="B5" s="264">
        <f>'Sources and Uses Budget'!C5</f>
        <v>0</v>
      </c>
      <c r="C5" s="265">
        <v>0</v>
      </c>
      <c r="D5" s="265"/>
      <c r="E5" s="266"/>
      <c r="F5" s="266"/>
      <c r="G5" s="266"/>
      <c r="H5" s="266"/>
      <c r="I5" s="266"/>
      <c r="J5" s="266"/>
      <c r="K5" s="262"/>
    </row>
    <row r="6" spans="1:11" s="263" customFormat="1">
      <c r="A6" s="267" t="s">
        <v>1780</v>
      </c>
      <c r="B6" s="264">
        <f>'Sources and Uses Budget'!C6</f>
        <v>0</v>
      </c>
      <c r="C6" s="265">
        <v>0</v>
      </c>
      <c r="D6" s="265"/>
      <c r="E6" s="266"/>
      <c r="F6" s="266"/>
      <c r="G6" s="266"/>
      <c r="H6" s="266"/>
      <c r="I6" s="266"/>
      <c r="J6" s="266"/>
      <c r="K6" s="262"/>
    </row>
    <row r="7" spans="1:11" s="263" customFormat="1">
      <c r="A7" s="267" t="s">
        <v>1781</v>
      </c>
      <c r="B7" s="264">
        <f>'Sources and Uses Budget'!C7</f>
        <v>0</v>
      </c>
      <c r="C7" s="265">
        <v>0</v>
      </c>
      <c r="D7" s="265"/>
      <c r="E7" s="266"/>
      <c r="F7" s="266"/>
      <c r="G7" s="266"/>
      <c r="H7" s="266"/>
      <c r="I7" s="266"/>
      <c r="J7" s="266"/>
      <c r="K7" s="262"/>
    </row>
    <row r="8" spans="1:11" s="263" customFormat="1">
      <c r="A8" s="268" t="s">
        <v>1782</v>
      </c>
      <c r="B8" s="264">
        <f>'Sources and Uses Budget'!C8</f>
        <v>2900000</v>
      </c>
      <c r="C8" s="264">
        <f>SUM(C4:C7)</f>
        <v>2900000</v>
      </c>
      <c r="D8" s="264">
        <f>SUM(D4:D7)</f>
        <v>0</v>
      </c>
      <c r="E8" s="266"/>
      <c r="F8" s="266"/>
      <c r="G8" s="266"/>
      <c r="H8" s="266"/>
      <c r="I8" s="266"/>
      <c r="J8" s="266"/>
      <c r="K8" s="262"/>
    </row>
    <row r="9" spans="1:11" s="263" customFormat="1">
      <c r="A9" s="267" t="s">
        <v>1783</v>
      </c>
      <c r="B9" s="264">
        <f>'Sources and Uses Budget'!C9</f>
        <v>0</v>
      </c>
      <c r="C9" s="265"/>
      <c r="D9" s="265"/>
      <c r="E9" s="266"/>
      <c r="F9" s="266"/>
      <c r="G9" s="266"/>
      <c r="H9" s="264">
        <f>'Sources and Uses Budget'!T9</f>
        <v>0</v>
      </c>
      <c r="I9" s="265"/>
      <c r="J9" s="265"/>
      <c r="K9" s="262"/>
    </row>
    <row r="10" spans="1:11" s="263" customFormat="1">
      <c r="A10" s="267" t="s">
        <v>1784</v>
      </c>
      <c r="B10" s="264">
        <f>'Sources and Uses Budget'!C10</f>
        <v>500000</v>
      </c>
      <c r="C10" s="265">
        <f>B10</f>
        <v>500000</v>
      </c>
      <c r="D10" s="265"/>
      <c r="E10" s="264">
        <f>'Sources and Uses Budget'!S10</f>
        <v>500000</v>
      </c>
      <c r="F10" s="265">
        <f>E10</f>
        <v>500000</v>
      </c>
      <c r="G10" s="265"/>
      <c r="H10" s="264">
        <f>'Sources and Uses Budget'!T10</f>
        <v>0</v>
      </c>
      <c r="I10" s="265"/>
      <c r="J10" s="265"/>
      <c r="K10" s="262"/>
    </row>
    <row r="11" spans="1:11" s="263" customFormat="1">
      <c r="A11" s="268" t="s">
        <v>1785</v>
      </c>
      <c r="B11" s="264">
        <f>'Sources and Uses Budget'!C11</f>
        <v>500000</v>
      </c>
      <c r="C11" s="264">
        <f>SUM(C9:C10)</f>
        <v>500000</v>
      </c>
      <c r="D11" s="264">
        <f>SUM(D9:D10)</f>
        <v>0</v>
      </c>
      <c r="E11" s="266"/>
      <c r="F11" s="266"/>
      <c r="G11" s="266"/>
      <c r="H11" s="264">
        <f>'Sources and Uses Budget'!T11</f>
        <v>0</v>
      </c>
      <c r="I11" s="264">
        <f>SUM(I9:I10)</f>
        <v>0</v>
      </c>
      <c r="J11" s="264">
        <f>SUM(J9:J10)</f>
        <v>0</v>
      </c>
      <c r="K11" s="262"/>
    </row>
    <row r="12" spans="1:11" s="263" customFormat="1">
      <c r="A12" s="268" t="s">
        <v>1786</v>
      </c>
      <c r="B12" s="264">
        <f>'Sources and Uses Budget'!C12</f>
        <v>3400000</v>
      </c>
      <c r="C12" s="264">
        <f>SUM(C8+C11)</f>
        <v>3400000</v>
      </c>
      <c r="D12" s="264">
        <f>SUM(D8+D11)</f>
        <v>0</v>
      </c>
      <c r="E12" s="266"/>
      <c r="F12" s="266"/>
      <c r="G12" s="266"/>
      <c r="H12" s="266"/>
      <c r="I12" s="266"/>
      <c r="J12" s="266"/>
      <c r="K12" s="262"/>
    </row>
    <row r="13" spans="1:11" s="263" customFormat="1">
      <c r="A13" s="269" t="s">
        <v>1787</v>
      </c>
      <c r="B13" s="264">
        <f>'Sources and Uses Budget'!C13</f>
        <v>0</v>
      </c>
      <c r="C13" s="265"/>
      <c r="D13" s="265"/>
      <c r="E13" s="264">
        <f>'Sources and Uses Budget'!S13</f>
        <v>0</v>
      </c>
      <c r="F13" s="265"/>
      <c r="G13" s="265"/>
      <c r="H13" s="264">
        <f>'Sources and Uses Budget'!T13</f>
        <v>0</v>
      </c>
      <c r="I13" s="265"/>
      <c r="J13" s="265"/>
      <c r="K13" s="262"/>
    </row>
    <row r="14" spans="1:11" s="263" customFormat="1" ht="23">
      <c r="A14" s="267" t="s">
        <v>1903</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1789</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1790</v>
      </c>
      <c r="B16" s="261"/>
      <c r="C16" s="261"/>
      <c r="D16" s="261"/>
      <c r="E16" s="261"/>
      <c r="F16" s="261"/>
      <c r="G16" s="261"/>
      <c r="H16" s="261"/>
      <c r="I16" s="261"/>
      <c r="J16" s="261"/>
      <c r="K16" s="262"/>
    </row>
    <row r="17" spans="1:11" s="263" customFormat="1">
      <c r="A17" s="267" t="s">
        <v>1791</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1792</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1793</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1794</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1795</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1796</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1797</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1798</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1800</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1801</v>
      </c>
      <c r="B27" s="264">
        <f>'Sources and Uses Budget'!C27</f>
        <v>0</v>
      </c>
      <c r="C27" s="265"/>
      <c r="D27" s="265"/>
      <c r="E27" s="264">
        <f>'Sources and Uses Budget'!S27</f>
        <v>0</v>
      </c>
      <c r="F27" s="265"/>
      <c r="G27" s="265"/>
      <c r="H27" s="264">
        <f>'Sources and Uses Budget'!T27</f>
        <v>0</v>
      </c>
      <c r="I27" s="265"/>
      <c r="J27" s="265"/>
      <c r="K27" s="262"/>
    </row>
    <row r="28" spans="1:11" s="263" customFormat="1" ht="12">
      <c r="A28" s="260" t="s">
        <v>1802</v>
      </c>
      <c r="B28" s="261"/>
      <c r="C28" s="261"/>
      <c r="D28" s="261"/>
      <c r="E28" s="261"/>
      <c r="F28" s="261"/>
      <c r="G28" s="261"/>
      <c r="H28" s="261"/>
      <c r="I28" s="261"/>
      <c r="J28" s="261"/>
      <c r="K28" s="262"/>
    </row>
    <row r="29" spans="1:11" s="263" customFormat="1">
      <c r="A29" s="195" t="s">
        <v>1791</v>
      </c>
      <c r="B29" s="264">
        <f>'Sources and Uses Budget'!C29</f>
        <v>1000000</v>
      </c>
      <c r="C29" s="265" cm="1">
        <f t="array" ref="C29:C37">B29:B37</f>
        <v>1000000</v>
      </c>
      <c r="D29" s="265"/>
      <c r="E29" s="264">
        <f>'Sources and Uses Budget'!S29</f>
        <v>1000000</v>
      </c>
      <c r="F29" s="265" cm="1">
        <f t="array" ref="F29:F37">E29:E37</f>
        <v>1000000</v>
      </c>
      <c r="G29" s="265"/>
      <c r="H29" s="264">
        <f>'Sources and Uses Budget'!T29</f>
        <v>0</v>
      </c>
      <c r="I29" s="265"/>
      <c r="J29" s="265"/>
      <c r="K29" s="262"/>
    </row>
    <row r="30" spans="1:11" s="263" customFormat="1">
      <c r="A30" s="195" t="s">
        <v>1792</v>
      </c>
      <c r="B30" s="264">
        <f>'Sources and Uses Budget'!C30</f>
        <v>39228678</v>
      </c>
      <c r="C30" s="265">
        <v>39228678</v>
      </c>
      <c r="D30" s="265"/>
      <c r="E30" s="264">
        <f>'Sources and Uses Budget'!S30</f>
        <v>39228678</v>
      </c>
      <c r="F30" s="265">
        <v>39228678</v>
      </c>
      <c r="G30" s="265"/>
      <c r="H30" s="264">
        <f>'Sources and Uses Budget'!T30</f>
        <v>0</v>
      </c>
      <c r="I30" s="265"/>
      <c r="J30" s="265"/>
      <c r="K30" s="262"/>
    </row>
    <row r="31" spans="1:11" s="263" customFormat="1">
      <c r="A31" s="195" t="s">
        <v>1793</v>
      </c>
      <c r="B31" s="264">
        <f>'Sources and Uses Budget'!C31</f>
        <v>2443721</v>
      </c>
      <c r="C31" s="265">
        <v>2443721</v>
      </c>
      <c r="D31" s="265"/>
      <c r="E31" s="264">
        <f>'Sources and Uses Budget'!S31</f>
        <v>2443721</v>
      </c>
      <c r="F31" s="265">
        <v>2443721</v>
      </c>
      <c r="G31" s="265"/>
      <c r="H31" s="264">
        <f>'Sources and Uses Budget'!T31</f>
        <v>0</v>
      </c>
      <c r="I31" s="265"/>
      <c r="J31" s="265"/>
      <c r="K31" s="262"/>
    </row>
    <row r="32" spans="1:11" s="263" customFormat="1">
      <c r="A32" s="195" t="s">
        <v>1794</v>
      </c>
      <c r="B32" s="264">
        <f>'Sources and Uses Budget'!C32</f>
        <v>1629147</v>
      </c>
      <c r="C32" s="265">
        <v>1629147</v>
      </c>
      <c r="D32" s="265"/>
      <c r="E32" s="264">
        <f>'Sources and Uses Budget'!S32</f>
        <v>1629147</v>
      </c>
      <c r="F32" s="265">
        <v>1629147</v>
      </c>
      <c r="G32" s="265"/>
      <c r="H32" s="264">
        <f>'Sources and Uses Budget'!T32</f>
        <v>0</v>
      </c>
      <c r="I32" s="265"/>
      <c r="J32" s="265"/>
      <c r="K32" s="262"/>
    </row>
    <row r="33" spans="1:11" s="263" customFormat="1">
      <c r="A33" s="195" t="s">
        <v>1795</v>
      </c>
      <c r="B33" s="264">
        <f>'Sources and Uses Budget'!C33</f>
        <v>1629147</v>
      </c>
      <c r="C33" s="265">
        <v>1629147</v>
      </c>
      <c r="D33" s="265"/>
      <c r="E33" s="264">
        <f>'Sources and Uses Budget'!S33</f>
        <v>1629147</v>
      </c>
      <c r="F33" s="265">
        <v>1629147</v>
      </c>
      <c r="G33" s="265"/>
      <c r="H33" s="264">
        <f>'Sources and Uses Budget'!T33</f>
        <v>0</v>
      </c>
      <c r="I33" s="265"/>
      <c r="J33" s="265"/>
      <c r="K33" s="262"/>
    </row>
    <row r="34" spans="1:11" s="263" customFormat="1">
      <c r="A34" s="195" t="s">
        <v>1796</v>
      </c>
      <c r="B34" s="264">
        <f>'Sources and Uses Budget'!C34</f>
        <v>0</v>
      </c>
      <c r="C34" s="265">
        <v>0</v>
      </c>
      <c r="D34" s="265"/>
      <c r="E34" s="264">
        <f>'Sources and Uses Budget'!S34</f>
        <v>0</v>
      </c>
      <c r="F34" s="265">
        <v>0</v>
      </c>
      <c r="G34" s="265"/>
      <c r="H34" s="264">
        <f>'Sources and Uses Budget'!T34</f>
        <v>0</v>
      </c>
      <c r="I34" s="265"/>
      <c r="J34" s="265"/>
      <c r="K34" s="262"/>
    </row>
    <row r="35" spans="1:11" s="263" customFormat="1">
      <c r="A35" s="195" t="s">
        <v>1797</v>
      </c>
      <c r="B35" s="264">
        <f>'Sources and Uses Budget'!C35</f>
        <v>464307</v>
      </c>
      <c r="C35" s="265">
        <v>464307</v>
      </c>
      <c r="D35" s="265"/>
      <c r="E35" s="264">
        <f>'Sources and Uses Budget'!S35</f>
        <v>464307</v>
      </c>
      <c r="F35" s="265">
        <v>464307</v>
      </c>
      <c r="G35" s="265"/>
      <c r="H35" s="264">
        <f>'Sources and Uses Budget'!T35</f>
        <v>0</v>
      </c>
      <c r="I35" s="265"/>
      <c r="J35" s="265"/>
      <c r="K35" s="262"/>
    </row>
    <row r="36" spans="1:11" s="263" customFormat="1">
      <c r="A36" s="409" t="s">
        <v>1798</v>
      </c>
      <c r="B36" s="264">
        <f>'Sources and Uses Budget'!C36</f>
        <v>0</v>
      </c>
      <c r="C36" s="265">
        <v>0</v>
      </c>
      <c r="D36" s="265"/>
      <c r="E36" s="264">
        <f>'Sources and Uses Budget'!S36</f>
        <v>0</v>
      </c>
      <c r="F36" s="265">
        <v>0</v>
      </c>
      <c r="G36" s="265"/>
      <c r="H36" s="264">
        <f>'Sources and Uses Budget'!T36</f>
        <v>0</v>
      </c>
      <c r="I36" s="265"/>
      <c r="J36" s="265"/>
      <c r="K36" s="262"/>
    </row>
    <row r="37" spans="1:11" s="263" customFormat="1">
      <c r="A37" s="267" t="str">
        <f>'Sources and Uses Budget'!$A37</f>
        <v>Other: (Specify)</v>
      </c>
      <c r="B37" s="264">
        <f>'Sources and Uses Budget'!C37</f>
        <v>0</v>
      </c>
      <c r="C37" s="265">
        <v>0</v>
      </c>
      <c r="D37" s="265"/>
      <c r="E37" s="264">
        <f>'Sources and Uses Budget'!S37</f>
        <v>0</v>
      </c>
      <c r="F37" s="265">
        <v>0</v>
      </c>
      <c r="G37" s="265"/>
      <c r="H37" s="264">
        <f>'Sources and Uses Budget'!T37</f>
        <v>0</v>
      </c>
      <c r="I37" s="265"/>
      <c r="J37" s="265"/>
      <c r="K37" s="262"/>
    </row>
    <row r="38" spans="1:11" s="263" customFormat="1">
      <c r="A38" s="268" t="s">
        <v>1803</v>
      </c>
      <c r="B38" s="264">
        <f>'Sources and Uses Budget'!C38</f>
        <v>46395000</v>
      </c>
      <c r="C38" s="264">
        <f>SUM(C29:C37)</f>
        <v>46395000</v>
      </c>
      <c r="D38" s="264">
        <f>SUM(D29:D37)</f>
        <v>0</v>
      </c>
      <c r="E38" s="264">
        <f>'Sources and Uses Budget'!S38</f>
        <v>46395000</v>
      </c>
      <c r="F38" s="270">
        <f>SUM(F29:F37)</f>
        <v>46395000</v>
      </c>
      <c r="G38" s="270">
        <f>SUM(G29:G37)</f>
        <v>0</v>
      </c>
      <c r="H38" s="264">
        <f>'Sources and Uses Budget'!T38</f>
        <v>0</v>
      </c>
      <c r="I38" s="270">
        <f>SUM(I29:I37)</f>
        <v>0</v>
      </c>
      <c r="J38" s="270">
        <f>SUM(J29:J37)</f>
        <v>0</v>
      </c>
      <c r="K38" s="262"/>
    </row>
    <row r="39" spans="1:11" s="263" customFormat="1" ht="12">
      <c r="A39" s="260" t="s">
        <v>1804</v>
      </c>
      <c r="B39" s="261"/>
      <c r="C39" s="261"/>
      <c r="D39" s="261"/>
      <c r="E39" s="261"/>
      <c r="F39" s="261"/>
      <c r="G39" s="261"/>
      <c r="H39" s="261"/>
      <c r="I39" s="261"/>
      <c r="J39" s="261"/>
      <c r="K39" s="262"/>
    </row>
    <row r="40" spans="1:11" s="263" customFormat="1">
      <c r="A40" s="267" t="s">
        <v>1805</v>
      </c>
      <c r="B40" s="264">
        <f>'Sources and Uses Budget'!C40</f>
        <v>1170000</v>
      </c>
      <c r="C40" s="265">
        <f>B40</f>
        <v>1170000</v>
      </c>
      <c r="D40" s="265"/>
      <c r="E40" s="264">
        <f>'Sources and Uses Budget'!S40</f>
        <v>1170000</v>
      </c>
      <c r="F40" s="265">
        <f>E40</f>
        <v>1170000</v>
      </c>
      <c r="G40" s="265"/>
      <c r="H40" s="264">
        <f>'Sources and Uses Budget'!T40</f>
        <v>0</v>
      </c>
      <c r="I40" s="265"/>
      <c r="J40" s="265"/>
      <c r="K40" s="262"/>
    </row>
    <row r="41" spans="1:11" s="263" customFormat="1">
      <c r="A41" s="267" t="s">
        <v>1806</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1807</v>
      </c>
      <c r="B42" s="264">
        <f>'Sources and Uses Budget'!C42</f>
        <v>1170000</v>
      </c>
      <c r="C42" s="264">
        <f>SUM(C39:C41)</f>
        <v>1170000</v>
      </c>
      <c r="D42" s="264">
        <f>SUM(D39:D41)</f>
        <v>0</v>
      </c>
      <c r="E42" s="264">
        <f>'Sources and Uses Budget'!S42</f>
        <v>1170000</v>
      </c>
      <c r="F42" s="270">
        <f>SUM(F40:F41)</f>
        <v>1170000</v>
      </c>
      <c r="G42" s="270">
        <f>SUM(G40:G41)</f>
        <v>0</v>
      </c>
      <c r="H42" s="264">
        <f>'Sources and Uses Budget'!T42</f>
        <v>0</v>
      </c>
      <c r="I42" s="270">
        <f>SUM(I40:I41)</f>
        <v>0</v>
      </c>
      <c r="J42" s="270">
        <f>SUM(J40:J41)</f>
        <v>0</v>
      </c>
      <c r="K42" s="262"/>
    </row>
    <row r="43" spans="1:11" s="263" customFormat="1">
      <c r="A43" s="268" t="s">
        <v>1808</v>
      </c>
      <c r="B43" s="264">
        <f>'Sources and Uses Budget'!C43</f>
        <v>650000</v>
      </c>
      <c r="C43" s="265">
        <f>B43</f>
        <v>650000</v>
      </c>
      <c r="D43" s="265"/>
      <c r="E43" s="264">
        <f>'Sources and Uses Budget'!S43</f>
        <v>650000</v>
      </c>
      <c r="F43" s="265">
        <f>E43</f>
        <v>650000</v>
      </c>
      <c r="G43" s="265"/>
      <c r="H43" s="264">
        <f>'Sources and Uses Budget'!T43</f>
        <v>0</v>
      </c>
      <c r="I43" s="265"/>
      <c r="J43" s="265"/>
      <c r="K43" s="262"/>
    </row>
    <row r="44" spans="1:11" s="263" customFormat="1" ht="12">
      <c r="A44" s="260" t="s">
        <v>1809</v>
      </c>
      <c r="B44" s="261"/>
      <c r="C44" s="261"/>
      <c r="D44" s="261"/>
      <c r="E44" s="261"/>
      <c r="F44" s="261"/>
      <c r="G44" s="261"/>
      <c r="H44" s="261"/>
      <c r="I44" s="261"/>
      <c r="J44" s="261"/>
      <c r="K44" s="262"/>
    </row>
    <row r="45" spans="1:11" s="263" customFormat="1">
      <c r="A45" s="267" t="s">
        <v>1810</v>
      </c>
      <c r="B45" s="264">
        <f>'Sources and Uses Budget'!C45</f>
        <v>4591492</v>
      </c>
      <c r="C45" s="265" cm="1">
        <f t="array" ref="C45:C52">B45:B52</f>
        <v>4591492</v>
      </c>
      <c r="D45" s="265"/>
      <c r="E45" s="264">
        <f>'Sources and Uses Budget'!S45</f>
        <v>2794331</v>
      </c>
      <c r="F45" s="265" cm="1">
        <f t="array" ref="F45:F53">E45:E53</f>
        <v>2794331</v>
      </c>
      <c r="G45" s="265"/>
      <c r="H45" s="264">
        <f>'Sources and Uses Budget'!T45</f>
        <v>0</v>
      </c>
      <c r="I45" s="265"/>
      <c r="J45" s="265"/>
      <c r="K45" s="262"/>
    </row>
    <row r="46" spans="1:11" s="263" customFormat="1">
      <c r="A46" s="267" t="s">
        <v>1811</v>
      </c>
      <c r="B46" s="264">
        <f>'Sources and Uses Budget'!C46</f>
        <v>397595</v>
      </c>
      <c r="C46" s="265">
        <v>397595</v>
      </c>
      <c r="D46" s="265"/>
      <c r="E46" s="264">
        <f>'Sources and Uses Budget'!S46</f>
        <v>298196</v>
      </c>
      <c r="F46" s="265">
        <v>298196</v>
      </c>
      <c r="G46" s="265"/>
      <c r="H46" s="264">
        <f>'Sources and Uses Budget'!T46</f>
        <v>0</v>
      </c>
      <c r="I46" s="265"/>
      <c r="J46" s="265"/>
      <c r="K46" s="262"/>
    </row>
    <row r="47" spans="1:11" s="263" customFormat="1" ht="12" customHeight="1">
      <c r="A47" s="267" t="s">
        <v>1812</v>
      </c>
      <c r="B47" s="264">
        <f>'Sources and Uses Budget'!C47</f>
        <v>0</v>
      </c>
      <c r="C47" s="265">
        <v>0</v>
      </c>
      <c r="D47" s="265"/>
      <c r="E47" s="264">
        <f>'Sources and Uses Budget'!S47</f>
        <v>0</v>
      </c>
      <c r="F47" s="265">
        <v>0</v>
      </c>
      <c r="G47" s="265"/>
      <c r="H47" s="264">
        <f>'Sources and Uses Budget'!T47</f>
        <v>0</v>
      </c>
      <c r="I47" s="265"/>
      <c r="J47" s="265"/>
      <c r="K47" s="262"/>
    </row>
    <row r="48" spans="1:11" s="263" customFormat="1">
      <c r="A48" s="267" t="s">
        <v>1813</v>
      </c>
      <c r="B48" s="264">
        <f>'Sources and Uses Budget'!C48</f>
        <v>0</v>
      </c>
      <c r="C48" s="265">
        <v>0</v>
      </c>
      <c r="D48" s="265"/>
      <c r="E48" s="264">
        <f>'Sources and Uses Budget'!S48</f>
        <v>0</v>
      </c>
      <c r="F48" s="265">
        <v>0</v>
      </c>
      <c r="G48" s="265"/>
      <c r="H48" s="264">
        <f>'Sources and Uses Budget'!T48</f>
        <v>0</v>
      </c>
      <c r="I48" s="265"/>
      <c r="J48" s="265"/>
      <c r="K48" s="262"/>
    </row>
    <row r="49" spans="1:11" s="263" customFormat="1">
      <c r="A49" s="195" t="s">
        <v>1814</v>
      </c>
      <c r="B49" s="264">
        <f>'Sources and Uses Budget'!C49</f>
        <v>99399</v>
      </c>
      <c r="C49" s="265">
        <v>99399</v>
      </c>
      <c r="D49" s="265"/>
      <c r="E49" s="264">
        <f>'Sources and Uses Budget'!S49</f>
        <v>99399</v>
      </c>
      <c r="F49" s="265">
        <v>99399</v>
      </c>
      <c r="G49" s="265"/>
      <c r="H49" s="264">
        <f>'Sources and Uses Budget'!T49</f>
        <v>0</v>
      </c>
      <c r="I49" s="265"/>
      <c r="J49" s="265"/>
      <c r="K49" s="262"/>
    </row>
    <row r="50" spans="1:11" s="263" customFormat="1">
      <c r="A50" s="267" t="s">
        <v>1815</v>
      </c>
      <c r="B50" s="264">
        <f>'Sources and Uses Budget'!C50</f>
        <v>100000</v>
      </c>
      <c r="C50" s="265">
        <v>100000</v>
      </c>
      <c r="D50" s="265"/>
      <c r="E50" s="264">
        <f>'Sources and Uses Budget'!S50</f>
        <v>75000</v>
      </c>
      <c r="F50" s="265">
        <v>75000</v>
      </c>
      <c r="G50" s="265"/>
      <c r="H50" s="264">
        <f>'Sources and Uses Budget'!T50</f>
        <v>0</v>
      </c>
      <c r="I50" s="265"/>
      <c r="J50" s="265"/>
      <c r="K50" s="262"/>
    </row>
    <row r="51" spans="1:11" s="263" customFormat="1">
      <c r="A51" s="267" t="s">
        <v>1816</v>
      </c>
      <c r="B51" s="264">
        <f>'Sources and Uses Budget'!C51</f>
        <v>120000</v>
      </c>
      <c r="C51" s="265">
        <v>120000</v>
      </c>
      <c r="D51" s="265"/>
      <c r="E51" s="264">
        <f>'Sources and Uses Budget'!S51</f>
        <v>120000</v>
      </c>
      <c r="F51" s="265">
        <v>120000</v>
      </c>
      <c r="G51" s="265"/>
      <c r="H51" s="264">
        <f>'Sources and Uses Budget'!T51</f>
        <v>0</v>
      </c>
      <c r="I51" s="265"/>
      <c r="J51" s="265"/>
      <c r="K51" s="262"/>
    </row>
    <row r="52" spans="1:11" s="263" customFormat="1">
      <c r="A52" s="267" t="s">
        <v>1581</v>
      </c>
      <c r="B52" s="264">
        <f>'Sources and Uses Budget'!C52</f>
        <v>469000</v>
      </c>
      <c r="C52" s="265">
        <v>469000</v>
      </c>
      <c r="D52" s="265"/>
      <c r="E52" s="264">
        <f>'Sources and Uses Budget'!S52</f>
        <v>469000</v>
      </c>
      <c r="F52" s="265">
        <v>469000</v>
      </c>
      <c r="G52" s="265"/>
      <c r="H52" s="264">
        <f>'Sources and Uses Budget'!T52</f>
        <v>0</v>
      </c>
      <c r="I52" s="265"/>
      <c r="J52" s="265"/>
      <c r="K52" s="262"/>
    </row>
    <row r="53" spans="1:11" s="263" customFormat="1" ht="34.5">
      <c r="A53" s="267" t="str">
        <f>'Sources and Uses Budget'!$A53</f>
        <v>Other: (B- Bond Interest During Construction+Construction Monitoring +Inspections)</v>
      </c>
      <c r="B53" s="264">
        <f>'Sources and Uses Budget'!C53</f>
        <v>1600000</v>
      </c>
      <c r="C53" s="265">
        <f>B53</f>
        <v>1600000</v>
      </c>
      <c r="D53" s="265"/>
      <c r="E53" s="264">
        <f>'Sources and Uses Budget'!S53</f>
        <v>1250000</v>
      </c>
      <c r="F53" s="265">
        <v>1250000</v>
      </c>
      <c r="G53" s="265"/>
      <c r="H53" s="264">
        <f>'Sources and Uses Budget'!T53</f>
        <v>0</v>
      </c>
      <c r="I53" s="265"/>
      <c r="J53" s="265"/>
      <c r="K53" s="262"/>
    </row>
    <row r="54" spans="1:11" s="272" customFormat="1">
      <c r="A54" s="268" t="s">
        <v>1817</v>
      </c>
      <c r="B54" s="264">
        <f>'Sources and Uses Budget'!C54</f>
        <v>7377486</v>
      </c>
      <c r="C54" s="270">
        <f>SUM(C45:C53)</f>
        <v>7377486</v>
      </c>
      <c r="D54" s="270">
        <f>SUM(D45:D53)</f>
        <v>0</v>
      </c>
      <c r="E54" s="264">
        <f>'Sources and Uses Budget'!S54</f>
        <v>5105926</v>
      </c>
      <c r="F54" s="270">
        <f>SUM(F45:F53)</f>
        <v>5105926</v>
      </c>
      <c r="G54" s="270">
        <f>SUM(G45:G53)</f>
        <v>0</v>
      </c>
      <c r="H54" s="264">
        <f>'Sources and Uses Budget'!T54</f>
        <v>0</v>
      </c>
      <c r="I54" s="270">
        <f>SUM(I45:I53)</f>
        <v>0</v>
      </c>
      <c r="J54" s="270">
        <f>SUM(J45:J53)</f>
        <v>0</v>
      </c>
      <c r="K54" s="271"/>
    </row>
    <row r="55" spans="1:11" s="263" customFormat="1" ht="12">
      <c r="A55" s="260" t="s">
        <v>1383</v>
      </c>
      <c r="B55" s="261"/>
      <c r="C55" s="261"/>
      <c r="D55" s="261"/>
      <c r="E55" s="261"/>
      <c r="F55" s="261"/>
      <c r="G55" s="261"/>
      <c r="H55" s="261"/>
      <c r="I55" s="261"/>
      <c r="J55" s="261"/>
      <c r="K55" s="262"/>
    </row>
    <row r="56" spans="1:11" s="263" customFormat="1">
      <c r="A56" s="267" t="s">
        <v>1818</v>
      </c>
      <c r="B56" s="264">
        <f>'Sources and Uses Budget'!C56</f>
        <v>0</v>
      </c>
      <c r="C56" s="265" cm="1">
        <f t="array" ref="C56:C61">B56:B61</f>
        <v>0</v>
      </c>
      <c r="D56" s="265"/>
      <c r="E56" s="266"/>
      <c r="F56" s="266"/>
      <c r="G56" s="266"/>
      <c r="H56" s="266"/>
      <c r="I56" s="266"/>
      <c r="J56" s="266"/>
      <c r="K56" s="262"/>
    </row>
    <row r="57" spans="1:11" s="263" customFormat="1" ht="12" customHeight="1">
      <c r="A57" s="267" t="s">
        <v>1812</v>
      </c>
      <c r="B57" s="264">
        <f>'Sources and Uses Budget'!C57</f>
        <v>0</v>
      </c>
      <c r="C57" s="265">
        <v>0</v>
      </c>
      <c r="D57" s="265"/>
      <c r="E57" s="266"/>
      <c r="F57" s="266"/>
      <c r="G57" s="266"/>
      <c r="H57" s="266"/>
      <c r="I57" s="266"/>
      <c r="J57" s="266"/>
      <c r="K57" s="262"/>
    </row>
    <row r="58" spans="1:11" s="263" customFormat="1">
      <c r="A58" s="267" t="s">
        <v>1815</v>
      </c>
      <c r="B58" s="264">
        <f>'Sources and Uses Budget'!C58</f>
        <v>10000</v>
      </c>
      <c r="C58" s="265">
        <v>10000</v>
      </c>
      <c r="D58" s="265"/>
      <c r="E58" s="266"/>
      <c r="F58" s="266"/>
      <c r="G58" s="266"/>
      <c r="H58" s="266"/>
      <c r="I58" s="266"/>
      <c r="J58" s="266"/>
      <c r="K58" s="262"/>
    </row>
    <row r="59" spans="1:11" s="263" customFormat="1">
      <c r="A59" s="267" t="s">
        <v>1816</v>
      </c>
      <c r="B59" s="264">
        <f>'Sources and Uses Budget'!C59</f>
        <v>0</v>
      </c>
      <c r="C59" s="265">
        <v>0</v>
      </c>
      <c r="D59" s="265"/>
      <c r="E59" s="266"/>
      <c r="F59" s="266"/>
      <c r="G59" s="266"/>
      <c r="H59" s="266"/>
      <c r="I59" s="266"/>
      <c r="J59" s="266"/>
      <c r="K59" s="262"/>
    </row>
    <row r="60" spans="1:11" s="263" customFormat="1">
      <c r="A60" s="267" t="s">
        <v>1581</v>
      </c>
      <c r="B60" s="264">
        <f>'Sources and Uses Budget'!C60</f>
        <v>0</v>
      </c>
      <c r="C60" s="265">
        <v>0</v>
      </c>
      <c r="D60" s="265"/>
      <c r="E60" s="266"/>
      <c r="F60" s="266"/>
      <c r="G60" s="266"/>
      <c r="H60" s="266"/>
      <c r="I60" s="266"/>
      <c r="J60" s="266"/>
      <c r="K60" s="262"/>
    </row>
    <row r="61" spans="1:11" s="263" customFormat="1" ht="23">
      <c r="A61" s="267" t="str">
        <f>'Sources and Uses Budget'!$A61</f>
        <v>Legal for Perm Loan + B Bond Underwriter and other fees</v>
      </c>
      <c r="B61" s="264">
        <f>'Sources and Uses Budget'!C61</f>
        <v>85000</v>
      </c>
      <c r="C61" s="265">
        <v>85000</v>
      </c>
      <c r="D61" s="265"/>
      <c r="E61" s="266"/>
      <c r="F61" s="266"/>
      <c r="G61" s="266"/>
      <c r="H61" s="266"/>
      <c r="I61" s="266"/>
      <c r="J61" s="266"/>
      <c r="K61" s="262"/>
    </row>
    <row r="62" spans="1:11" s="263" customFormat="1" ht="13.75" customHeight="1">
      <c r="A62" s="268" t="s">
        <v>1819</v>
      </c>
      <c r="B62" s="264">
        <f>'Sources and Uses Budget'!C62</f>
        <v>95000</v>
      </c>
      <c r="C62" s="264">
        <f>SUM(C56:C61)</f>
        <v>95000</v>
      </c>
      <c r="D62" s="264">
        <f>SUM(D56:D61)</f>
        <v>0</v>
      </c>
      <c r="E62" s="266"/>
      <c r="F62" s="266"/>
      <c r="G62" s="266"/>
      <c r="H62" s="266"/>
      <c r="I62" s="266"/>
      <c r="J62" s="266"/>
      <c r="K62" s="262"/>
    </row>
    <row r="63" spans="1:11" s="263" customFormat="1">
      <c r="A63" s="273" t="s">
        <v>1820</v>
      </c>
      <c r="B63" s="264">
        <f>'Sources and Uses Budget'!C63</f>
        <v>59087486</v>
      </c>
      <c r="C63" s="264">
        <f>SUM(C8+C11+C13+C14+C15+C26+C27+C38+C42+C43+C54+C62)</f>
        <v>59087486</v>
      </c>
      <c r="D63" s="264">
        <f>SUM(D8+D11+D13+D14+D15+D26+D27+D38+D42+D43+D54+D62)</f>
        <v>0</v>
      </c>
      <c r="E63" s="264">
        <f>'Sources and Uses Budget'!S63</f>
        <v>53820926</v>
      </c>
      <c r="F63" s="264">
        <f>SUM(F10+F13+F14+F15+F26+F27+F38+F42+F43+F54)</f>
        <v>53820926</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1821</v>
      </c>
      <c r="B64" s="261"/>
      <c r="C64" s="261"/>
      <c r="D64" s="261"/>
      <c r="E64" s="261"/>
      <c r="F64" s="261"/>
      <c r="G64" s="261"/>
      <c r="H64" s="261"/>
      <c r="I64" s="261"/>
      <c r="J64" s="261"/>
      <c r="K64" s="262"/>
    </row>
    <row r="65" spans="1:11" s="263" customFormat="1">
      <c r="A65" s="195" t="s">
        <v>1822</v>
      </c>
      <c r="B65" s="264">
        <f>'Sources and Uses Budget'!C65</f>
        <v>100000</v>
      </c>
      <c r="C65" s="265" cm="1">
        <f t="array" ref="C65:C69">B65:B69</f>
        <v>100000</v>
      </c>
      <c r="D65" s="265"/>
      <c r="E65" s="264">
        <f>'Sources and Uses Budget'!S65</f>
        <v>100000</v>
      </c>
      <c r="F65" s="265" cm="1">
        <f t="array" ref="F65:F69">E65:E69</f>
        <v>100000</v>
      </c>
      <c r="G65" s="265"/>
      <c r="H65" s="264">
        <f>'Sources and Uses Budget'!T65</f>
        <v>0</v>
      </c>
      <c r="I65" s="265"/>
      <c r="J65" s="265"/>
      <c r="K65" s="262"/>
    </row>
    <row r="66" spans="1:11" s="263" customFormat="1" ht="23">
      <c r="A66" s="195" t="s">
        <v>1823</v>
      </c>
      <c r="B66" s="264">
        <f>'Sources and Uses Budget'!C66</f>
        <v>0</v>
      </c>
      <c r="C66" s="265">
        <v>0</v>
      </c>
      <c r="D66" s="265"/>
      <c r="E66" s="264">
        <f>'Sources and Uses Budget'!S66</f>
        <v>0</v>
      </c>
      <c r="F66" s="265">
        <v>0</v>
      </c>
      <c r="G66" s="265"/>
      <c r="H66" s="264">
        <f>'Sources and Uses Budget'!T66</f>
        <v>0</v>
      </c>
      <c r="I66" s="265"/>
      <c r="J66" s="265"/>
      <c r="K66" s="262"/>
    </row>
    <row r="67" spans="1:11" s="263" customFormat="1" ht="23">
      <c r="A67" s="195" t="s">
        <v>1824</v>
      </c>
      <c r="B67" s="264">
        <f>'Sources and Uses Budget'!C67</f>
        <v>0</v>
      </c>
      <c r="C67" s="265">
        <v>0</v>
      </c>
      <c r="D67" s="265"/>
      <c r="E67" s="264">
        <f>'Sources and Uses Budget'!S67</f>
        <v>0</v>
      </c>
      <c r="F67" s="265">
        <v>0</v>
      </c>
      <c r="G67" s="265"/>
      <c r="H67" s="264">
        <f>'Sources and Uses Budget'!T67</f>
        <v>0</v>
      </c>
      <c r="I67" s="265"/>
      <c r="J67" s="265"/>
      <c r="K67" s="262"/>
    </row>
    <row r="68" spans="1:11" s="263" customFormat="1">
      <c r="A68" s="195" t="s">
        <v>1825</v>
      </c>
      <c r="B68" s="264">
        <f>'Sources and Uses Budget'!C68</f>
        <v>0</v>
      </c>
      <c r="C68" s="265">
        <v>0</v>
      </c>
      <c r="D68" s="265"/>
      <c r="E68" s="264">
        <f>'Sources and Uses Budget'!S68</f>
        <v>0</v>
      </c>
      <c r="F68" s="265">
        <v>0</v>
      </c>
      <c r="G68" s="265"/>
      <c r="H68" s="264">
        <f>'Sources and Uses Budget'!T68</f>
        <v>0</v>
      </c>
      <c r="I68" s="265"/>
      <c r="J68" s="265"/>
      <c r="K68" s="262"/>
    </row>
    <row r="69" spans="1:11" s="263" customFormat="1" ht="23">
      <c r="A69" s="267" t="str">
        <f>'Sources and Uses Budget'!$A69</f>
        <v>Lender Legal + Partnership Legal + Bond Issuer Legal + MGP Legal</v>
      </c>
      <c r="B69" s="264">
        <f>'Sources and Uses Budget'!C69</f>
        <v>219000</v>
      </c>
      <c r="C69" s="265">
        <v>219000</v>
      </c>
      <c r="D69" s="265"/>
      <c r="E69" s="264">
        <f>'Sources and Uses Budget'!S69</f>
        <v>75000</v>
      </c>
      <c r="F69" s="265">
        <v>75000</v>
      </c>
      <c r="G69" s="265"/>
      <c r="H69" s="264">
        <f>'Sources and Uses Budget'!T69</f>
        <v>0</v>
      </c>
      <c r="I69" s="265"/>
      <c r="J69" s="265"/>
      <c r="K69" s="262"/>
    </row>
    <row r="70" spans="1:11" s="263" customFormat="1">
      <c r="A70" s="268" t="s">
        <v>1904</v>
      </c>
      <c r="B70" s="264">
        <f>'Sources and Uses Budget'!C70</f>
        <v>319000</v>
      </c>
      <c r="C70" s="264">
        <f>SUM(C64:C69)</f>
        <v>319000</v>
      </c>
      <c r="D70" s="264">
        <f>SUM(D64:D69)</f>
        <v>0</v>
      </c>
      <c r="E70" s="264">
        <f>'Sources and Uses Budget'!S70</f>
        <v>175000</v>
      </c>
      <c r="F70" s="270">
        <f>SUM(F65:F69)</f>
        <v>175000</v>
      </c>
      <c r="G70" s="270">
        <f>SUM(G65:G69)</f>
        <v>0</v>
      </c>
      <c r="H70" s="264">
        <f>'Sources and Uses Budget'!T70</f>
        <v>0</v>
      </c>
      <c r="I70" s="270">
        <f>SUM(I65:I69)</f>
        <v>0</v>
      </c>
      <c r="J70" s="270">
        <f>SUM(J65:J69)</f>
        <v>0</v>
      </c>
      <c r="K70" s="262"/>
    </row>
    <row r="71" spans="1:11" s="263" customFormat="1" ht="12">
      <c r="A71" s="260" t="s">
        <v>1827</v>
      </c>
      <c r="B71" s="261"/>
      <c r="C71" s="261"/>
      <c r="D71" s="261"/>
      <c r="E71" s="261"/>
      <c r="F71" s="261"/>
      <c r="G71" s="261"/>
      <c r="H71" s="261"/>
      <c r="I71" s="261"/>
      <c r="J71" s="261"/>
      <c r="K71" s="262"/>
    </row>
    <row r="72" spans="1:11" s="263" customFormat="1">
      <c r="A72" s="267" t="s">
        <v>1828</v>
      </c>
      <c r="B72" s="264">
        <f>'Sources and Uses Budget'!C72</f>
        <v>0</v>
      </c>
      <c r="C72" s="265" cm="1">
        <f t="array" ref="C72:C76">B72:B76</f>
        <v>0</v>
      </c>
      <c r="D72" s="265"/>
      <c r="E72" s="266"/>
      <c r="F72" s="266"/>
      <c r="G72" s="266"/>
      <c r="H72" s="266"/>
      <c r="I72" s="266"/>
      <c r="J72" s="266"/>
      <c r="K72" s="262"/>
    </row>
    <row r="73" spans="1:11" s="263" customFormat="1">
      <c r="A73" s="267" t="s">
        <v>1829</v>
      </c>
      <c r="B73" s="264">
        <f>'Sources and Uses Budget'!C73</f>
        <v>0</v>
      </c>
      <c r="C73" s="265">
        <v>0</v>
      </c>
      <c r="D73" s="265"/>
      <c r="E73" s="266"/>
      <c r="F73" s="266"/>
      <c r="G73" s="266"/>
      <c r="H73" s="266"/>
      <c r="I73" s="266"/>
      <c r="J73" s="266"/>
      <c r="K73" s="262"/>
    </row>
    <row r="74" spans="1:11" s="263" customFormat="1">
      <c r="A74" s="269" t="s">
        <v>1830</v>
      </c>
      <c r="B74" s="264">
        <f>'Sources and Uses Budget'!C74</f>
        <v>0</v>
      </c>
      <c r="C74" s="265">
        <v>0</v>
      </c>
      <c r="D74" s="265"/>
      <c r="E74" s="266"/>
      <c r="F74" s="266"/>
      <c r="G74" s="266"/>
      <c r="H74" s="266"/>
      <c r="I74" s="266"/>
      <c r="J74" s="266"/>
      <c r="K74" s="262"/>
    </row>
    <row r="75" spans="1:11" s="263" customFormat="1">
      <c r="A75" s="267" t="s">
        <v>1831</v>
      </c>
      <c r="B75" s="264">
        <f>'Sources and Uses Budget'!C75</f>
        <v>745545</v>
      </c>
      <c r="C75" s="265">
        <v>745545</v>
      </c>
      <c r="D75" s="265"/>
      <c r="E75" s="266"/>
      <c r="F75" s="266"/>
      <c r="G75" s="266"/>
      <c r="H75" s="266"/>
      <c r="I75" s="266"/>
      <c r="J75" s="266"/>
      <c r="K75" s="262"/>
    </row>
    <row r="76" spans="1:11" s="263" customFormat="1">
      <c r="A76" s="267" t="str">
        <f>'Sources and Uses Budget'!$A76</f>
        <v>Other: (Specify)</v>
      </c>
      <c r="B76" s="264">
        <f>'Sources and Uses Budget'!C76</f>
        <v>0</v>
      </c>
      <c r="C76" s="265">
        <v>0</v>
      </c>
      <c r="D76" s="265"/>
      <c r="E76" s="266"/>
      <c r="F76" s="266"/>
      <c r="G76" s="266"/>
      <c r="H76" s="266"/>
      <c r="I76" s="266"/>
      <c r="J76" s="266"/>
      <c r="K76" s="262"/>
    </row>
    <row r="77" spans="1:11" s="263" customFormat="1">
      <c r="A77" s="268" t="s">
        <v>1832</v>
      </c>
      <c r="B77" s="264">
        <f>'Sources and Uses Budget'!C77</f>
        <v>745545</v>
      </c>
      <c r="C77" s="264">
        <f>SUM(C72:C76)</f>
        <v>745545</v>
      </c>
      <c r="D77" s="264">
        <f>SUM(D72:D76)</f>
        <v>0</v>
      </c>
      <c r="E77" s="266"/>
      <c r="F77" s="266"/>
      <c r="G77" s="266"/>
      <c r="H77" s="266"/>
      <c r="I77" s="266"/>
      <c r="J77" s="266"/>
      <c r="K77" s="262"/>
    </row>
    <row r="78" spans="1:11" s="263" customFormat="1" ht="12">
      <c r="A78" s="260" t="s">
        <v>1833</v>
      </c>
      <c r="B78" s="261"/>
      <c r="C78" s="261"/>
      <c r="D78" s="261"/>
      <c r="E78" s="261"/>
      <c r="F78" s="261"/>
      <c r="G78" s="261"/>
      <c r="H78" s="261"/>
      <c r="I78" s="261"/>
      <c r="J78" s="261"/>
      <c r="K78" s="262"/>
    </row>
    <row r="79" spans="1:11" s="263" customFormat="1">
      <c r="A79" s="267" t="s">
        <v>1834</v>
      </c>
      <c r="B79" s="264">
        <f>'Sources and Uses Budget'!C79</f>
        <v>2344750</v>
      </c>
      <c r="C79" s="265" cm="1">
        <f t="array" ref="C79:C80">B79:B80</f>
        <v>2344750</v>
      </c>
      <c r="D79" s="265"/>
      <c r="E79" s="264">
        <f>'Sources and Uses Budget'!S79</f>
        <v>2344750</v>
      </c>
      <c r="F79" s="265" cm="1">
        <f t="array" ref="F79:F80">E79:E80</f>
        <v>2344750</v>
      </c>
      <c r="G79" s="265"/>
      <c r="H79" s="264">
        <f>'Sources and Uses Budget'!T79</f>
        <v>0</v>
      </c>
      <c r="I79" s="265"/>
      <c r="J79" s="265"/>
      <c r="K79" s="262"/>
    </row>
    <row r="80" spans="1:11" s="263" customFormat="1">
      <c r="A80" s="267" t="s">
        <v>1835</v>
      </c>
      <c r="B80" s="264">
        <f>'Sources and Uses Budget'!C80</f>
        <v>664031</v>
      </c>
      <c r="C80" s="265">
        <v>664031</v>
      </c>
      <c r="D80" s="265"/>
      <c r="E80" s="264">
        <f>'Sources and Uses Budget'!S80</f>
        <v>664031</v>
      </c>
      <c r="F80" s="265">
        <v>664031</v>
      </c>
      <c r="G80" s="265"/>
      <c r="H80" s="264">
        <f>'Sources and Uses Budget'!T80</f>
        <v>0</v>
      </c>
      <c r="I80" s="265"/>
      <c r="J80" s="265"/>
      <c r="K80" s="262"/>
    </row>
    <row r="81" spans="1:11" s="263" customFormat="1">
      <c r="A81" s="268" t="s">
        <v>1836</v>
      </c>
      <c r="B81" s="264">
        <f>'Sources and Uses Budget'!C81</f>
        <v>3008781</v>
      </c>
      <c r="C81" s="264">
        <f>SUM(C79:C80)</f>
        <v>3008781</v>
      </c>
      <c r="D81" s="264">
        <f>SUM(D79:D80)</f>
        <v>0</v>
      </c>
      <c r="E81" s="264">
        <f>'Sources and Uses Budget'!S81</f>
        <v>3008781</v>
      </c>
      <c r="F81" s="264">
        <f>SUM(F79:F80)</f>
        <v>3008781</v>
      </c>
      <c r="G81" s="264">
        <f>SUM(G79:G80)</f>
        <v>0</v>
      </c>
      <c r="H81" s="264">
        <f>'Sources and Uses Budget'!T81</f>
        <v>0</v>
      </c>
      <c r="I81" s="264">
        <f>SUM(I79:I80)</f>
        <v>0</v>
      </c>
      <c r="J81" s="264">
        <f>SUM(J79:J80)</f>
        <v>0</v>
      </c>
      <c r="K81" s="262"/>
    </row>
    <row r="82" spans="1:11" s="263" customFormat="1" ht="12">
      <c r="A82" s="260" t="s">
        <v>1837</v>
      </c>
      <c r="B82" s="261"/>
      <c r="C82" s="261"/>
      <c r="D82" s="261"/>
      <c r="E82" s="261"/>
      <c r="F82" s="261"/>
      <c r="G82" s="261"/>
      <c r="H82" s="261"/>
      <c r="I82" s="261"/>
      <c r="J82" s="261"/>
      <c r="K82" s="262"/>
    </row>
    <row r="83" spans="1:11" s="263" customFormat="1" ht="13.75" customHeight="1">
      <c r="A83" s="195" t="s">
        <v>1838</v>
      </c>
      <c r="B83" s="264">
        <f>'Sources and Uses Budget'!C83</f>
        <v>117776</v>
      </c>
      <c r="C83" s="265" cm="1">
        <f t="array" ref="C83:C95">B83:B95</f>
        <v>117776</v>
      </c>
      <c r="D83" s="265"/>
      <c r="E83" s="266"/>
      <c r="F83" s="266"/>
      <c r="G83" s="266"/>
      <c r="H83" s="266"/>
      <c r="I83" s="266"/>
      <c r="J83" s="266"/>
      <c r="K83" s="262"/>
    </row>
    <row r="84" spans="1:11" s="263" customFormat="1">
      <c r="A84" s="195" t="s">
        <v>1839</v>
      </c>
      <c r="B84" s="264">
        <f>'Sources and Uses Budget'!C84</f>
        <v>50000</v>
      </c>
      <c r="C84" s="265">
        <v>50000</v>
      </c>
      <c r="D84" s="265"/>
      <c r="E84" s="264">
        <f>'Sources and Uses Budget'!S84</f>
        <v>50000</v>
      </c>
      <c r="F84" s="265" cm="1">
        <f t="array" ref="F84:F86">E84:E86</f>
        <v>50000</v>
      </c>
      <c r="G84" s="265"/>
      <c r="H84" s="264">
        <f>'Sources and Uses Budget'!T84</f>
        <v>0</v>
      </c>
      <c r="I84" s="265"/>
      <c r="J84" s="265"/>
      <c r="K84" s="262"/>
    </row>
    <row r="85" spans="1:11" s="263" customFormat="1">
      <c r="A85" s="195" t="s">
        <v>1840</v>
      </c>
      <c r="B85" s="264">
        <f>'Sources and Uses Budget'!C85</f>
        <v>3159535</v>
      </c>
      <c r="C85" s="265">
        <v>3159535</v>
      </c>
      <c r="D85" s="265"/>
      <c r="E85" s="264">
        <f>'Sources and Uses Budget'!S85</f>
        <v>3159535</v>
      </c>
      <c r="F85" s="265">
        <v>3159535</v>
      </c>
      <c r="G85" s="265"/>
      <c r="H85" s="264">
        <f>'Sources and Uses Budget'!T85</f>
        <v>0</v>
      </c>
      <c r="I85" s="265"/>
      <c r="J85" s="265"/>
      <c r="K85" s="262"/>
    </row>
    <row r="86" spans="1:11" s="263" customFormat="1">
      <c r="A86" s="195" t="s">
        <v>1841</v>
      </c>
      <c r="B86" s="264">
        <f>'Sources and Uses Budget'!C86</f>
        <v>795465</v>
      </c>
      <c r="C86" s="265">
        <v>795465</v>
      </c>
      <c r="D86" s="265"/>
      <c r="E86" s="264">
        <f>'Sources and Uses Budget'!S86</f>
        <v>795465</v>
      </c>
      <c r="F86" s="265">
        <v>795465</v>
      </c>
      <c r="G86" s="265"/>
      <c r="H86" s="264">
        <f>'Sources and Uses Budget'!T86</f>
        <v>0</v>
      </c>
      <c r="I86" s="265"/>
      <c r="J86" s="265"/>
      <c r="K86" s="262"/>
    </row>
    <row r="87" spans="1:11" s="263" customFormat="1">
      <c r="A87" s="195" t="s">
        <v>1842</v>
      </c>
      <c r="B87" s="264">
        <f>'Sources and Uses Budget'!C87</f>
        <v>0</v>
      </c>
      <c r="C87" s="265">
        <v>0</v>
      </c>
      <c r="D87" s="265"/>
      <c r="E87" s="264">
        <f>'Sources and Uses Budget'!S87</f>
        <v>0</v>
      </c>
      <c r="F87" s="265"/>
      <c r="G87" s="265"/>
      <c r="H87" s="264">
        <f>'Sources and Uses Budget'!T87</f>
        <v>0</v>
      </c>
      <c r="I87" s="265"/>
      <c r="J87" s="265"/>
      <c r="K87" s="262"/>
    </row>
    <row r="88" spans="1:11" s="263" customFormat="1">
      <c r="A88" s="195" t="s">
        <v>1843</v>
      </c>
      <c r="B88" s="264">
        <f>'Sources and Uses Budget'!C88</f>
        <v>150000</v>
      </c>
      <c r="C88" s="265">
        <v>150000</v>
      </c>
      <c r="D88" s="265"/>
      <c r="E88" s="266"/>
      <c r="F88" s="266"/>
      <c r="G88" s="266"/>
      <c r="H88" s="266"/>
      <c r="I88" s="266"/>
      <c r="J88" s="266"/>
      <c r="K88" s="262"/>
    </row>
    <row r="89" spans="1:11" s="263" customFormat="1">
      <c r="A89" s="195" t="s">
        <v>1844</v>
      </c>
      <c r="B89" s="264">
        <f>'Sources and Uses Budget'!C89</f>
        <v>150000</v>
      </c>
      <c r="C89" s="265">
        <v>150000</v>
      </c>
      <c r="D89" s="265"/>
      <c r="E89" s="264">
        <f>'Sources and Uses Budget'!S89</f>
        <v>150000</v>
      </c>
      <c r="F89" s="265" cm="1">
        <f t="array" ref="F89:F95">E89:E95</f>
        <v>150000</v>
      </c>
      <c r="G89" s="265"/>
      <c r="H89" s="264">
        <f>'Sources and Uses Budget'!T89</f>
        <v>0</v>
      </c>
      <c r="I89" s="265"/>
      <c r="J89" s="265"/>
      <c r="K89" s="262"/>
    </row>
    <row r="90" spans="1:11" s="263" customFormat="1">
      <c r="A90" s="195" t="s">
        <v>1845</v>
      </c>
      <c r="B90" s="264">
        <f>'Sources and Uses Budget'!C90</f>
        <v>15000</v>
      </c>
      <c r="C90" s="265">
        <v>15000</v>
      </c>
      <c r="D90" s="265"/>
      <c r="E90" s="264">
        <f>'Sources and Uses Budget'!S90</f>
        <v>15000</v>
      </c>
      <c r="F90" s="265">
        <v>15000</v>
      </c>
      <c r="G90" s="265"/>
      <c r="H90" s="264">
        <f>'Sources and Uses Budget'!T90</f>
        <v>0</v>
      </c>
      <c r="I90" s="265"/>
      <c r="J90" s="265"/>
      <c r="K90" s="262"/>
    </row>
    <row r="91" spans="1:11" s="263" customFormat="1">
      <c r="A91" s="409" t="s">
        <v>1846</v>
      </c>
      <c r="B91" s="264">
        <f>'Sources and Uses Budget'!C91</f>
        <v>50000</v>
      </c>
      <c r="C91" s="265">
        <v>50000</v>
      </c>
      <c r="D91" s="265"/>
      <c r="E91" s="264">
        <f>'Sources and Uses Budget'!S91</f>
        <v>50000</v>
      </c>
      <c r="F91" s="265">
        <v>50000</v>
      </c>
      <c r="G91" s="265"/>
      <c r="H91" s="264">
        <f>'Sources and Uses Budget'!T91</f>
        <v>0</v>
      </c>
      <c r="I91" s="265"/>
      <c r="J91" s="265"/>
      <c r="K91" s="262"/>
    </row>
    <row r="92" spans="1:11" s="263" customFormat="1">
      <c r="A92" s="409" t="s">
        <v>1847</v>
      </c>
      <c r="B92" s="264">
        <f>'Sources and Uses Budget'!C92</f>
        <v>20000</v>
      </c>
      <c r="C92" s="265">
        <v>20000</v>
      </c>
      <c r="D92" s="265"/>
      <c r="E92" s="264">
        <f>'Sources and Uses Budget'!S92</f>
        <v>20000</v>
      </c>
      <c r="F92" s="265">
        <v>20000</v>
      </c>
      <c r="G92" s="265"/>
      <c r="H92" s="264">
        <f>'Sources and Uses Budget'!T92</f>
        <v>0</v>
      </c>
      <c r="I92" s="265"/>
      <c r="J92" s="265"/>
      <c r="K92" s="262"/>
    </row>
    <row r="93" spans="1:11" s="263" customFormat="1">
      <c r="A93" s="267" t="str">
        <f>'Sources and Uses Budget'!$A93</f>
        <v>Relocation Cost + CDLAC Fee</v>
      </c>
      <c r="B93" s="264">
        <f>'Sources and Uses Budget'!C93</f>
        <v>13525</v>
      </c>
      <c r="C93" s="265">
        <v>13525</v>
      </c>
      <c r="D93" s="265"/>
      <c r="E93" s="264">
        <f>'Sources and Uses Budget'!S93</f>
        <v>7525</v>
      </c>
      <c r="F93" s="265">
        <v>7525</v>
      </c>
      <c r="G93" s="265"/>
      <c r="H93" s="264">
        <f>'Sources and Uses Budget'!T93</f>
        <v>0</v>
      </c>
      <c r="I93" s="265"/>
      <c r="J93" s="265"/>
      <c r="K93" s="262"/>
    </row>
    <row r="94" spans="1:11" s="263" customFormat="1">
      <c r="A94" s="267" t="str">
        <f>'Sources and Uses Budget'!$A94</f>
        <v>Misc. 3rd Party Costs</v>
      </c>
      <c r="B94" s="264">
        <f>'Sources and Uses Budget'!C94</f>
        <v>500000</v>
      </c>
      <c r="C94" s="265">
        <v>500000</v>
      </c>
      <c r="D94" s="265"/>
      <c r="E94" s="264">
        <f>'Sources and Uses Budget'!S94</f>
        <v>500000</v>
      </c>
      <c r="F94" s="265">
        <v>500000</v>
      </c>
      <c r="G94" s="265"/>
      <c r="H94" s="264">
        <f>'Sources and Uses Budget'!T94</f>
        <v>0</v>
      </c>
      <c r="I94" s="265"/>
      <c r="J94" s="265"/>
      <c r="K94" s="262"/>
    </row>
    <row r="95" spans="1:11" s="263" customFormat="1">
      <c r="A95" s="267" t="str">
        <f>'Sources and Uses Budget'!$A95</f>
        <v>Predevelopment Loan Interest</v>
      </c>
      <c r="B95" s="264">
        <f>'Sources and Uses Budget'!C95</f>
        <v>750000</v>
      </c>
      <c r="C95" s="265">
        <v>750000</v>
      </c>
      <c r="D95" s="265"/>
      <c r="E95" s="264">
        <f>'Sources and Uses Budget'!S95</f>
        <v>750000</v>
      </c>
      <c r="F95" s="265">
        <v>750000</v>
      </c>
      <c r="G95" s="265"/>
      <c r="H95" s="264">
        <f>'Sources and Uses Budget'!T95</f>
        <v>0</v>
      </c>
      <c r="I95" s="265"/>
      <c r="J95" s="265"/>
      <c r="K95" s="262"/>
    </row>
    <row r="96" spans="1:11" s="263" customFormat="1">
      <c r="A96" s="268" t="s">
        <v>1851</v>
      </c>
      <c r="B96" s="264">
        <f>'Sources and Uses Budget'!C96</f>
        <v>5771301</v>
      </c>
      <c r="C96" s="264">
        <f>SUM(C83:C95)</f>
        <v>5771301</v>
      </c>
      <c r="D96" s="264">
        <f>SUM(D83:D95)</f>
        <v>0</v>
      </c>
      <c r="E96" s="264">
        <f>'Sources and Uses Budget'!S96</f>
        <v>5497525</v>
      </c>
      <c r="F96" s="270">
        <f>SUM(F84:F87,F89:F95)</f>
        <v>5497525</v>
      </c>
      <c r="G96" s="270">
        <f>SUM(G84:G87,G89:G95)</f>
        <v>0</v>
      </c>
      <c r="H96" s="264">
        <f>'Sources and Uses Budget'!T96</f>
        <v>0</v>
      </c>
      <c r="I96" s="264">
        <f>SUM(I84:I87,I89:I95)</f>
        <v>0</v>
      </c>
      <c r="J96" s="264">
        <f>SUM(J84:J87,J89:J95)</f>
        <v>0</v>
      </c>
      <c r="K96" s="262"/>
    </row>
    <row r="97" spans="1:11" s="263" customFormat="1">
      <c r="A97" s="268" t="s">
        <v>1905</v>
      </c>
      <c r="B97" s="264">
        <f>'Sources and Uses Budget'!C97</f>
        <v>68932113</v>
      </c>
      <c r="C97" s="264">
        <f>SUM(C63+C70+C77+C81+C96)</f>
        <v>68932113</v>
      </c>
      <c r="D97" s="264">
        <f>SUM(D63+D70+D77+D81+D96)</f>
        <v>0</v>
      </c>
      <c r="E97" s="264">
        <f>'Sources and Uses Budget'!S97</f>
        <v>62502232</v>
      </c>
      <c r="F97" s="270">
        <f>SUM(+F63+F70+F81+F96)</f>
        <v>62502232</v>
      </c>
      <c r="G97" s="270">
        <f>SUM(+G63+G70+G81+G96)</f>
        <v>0</v>
      </c>
      <c r="H97" s="264">
        <f>'Sources and Uses Budget'!T97</f>
        <v>0</v>
      </c>
      <c r="I97" s="270">
        <f>SUM(I63+I70+I81+I96)</f>
        <v>0</v>
      </c>
      <c r="J97" s="270">
        <f>SUM(J63+J70+J81+J96)</f>
        <v>0</v>
      </c>
      <c r="K97" s="262"/>
    </row>
    <row r="98" spans="1:11" s="263" customFormat="1" ht="12">
      <c r="A98" s="260" t="s">
        <v>1853</v>
      </c>
      <c r="B98" s="261"/>
      <c r="C98" s="261"/>
      <c r="D98" s="261"/>
      <c r="E98" s="261"/>
      <c r="F98" s="261"/>
      <c r="G98" s="261"/>
      <c r="H98" s="261"/>
      <c r="I98" s="261"/>
      <c r="J98" s="261"/>
      <c r="K98" s="262"/>
    </row>
    <row r="99" spans="1:11" s="263" customFormat="1">
      <c r="A99" s="195" t="s">
        <v>1854</v>
      </c>
      <c r="B99" s="264">
        <f>'Sources and Uses Budget'!C99</f>
        <v>9375334</v>
      </c>
      <c r="C99" s="265">
        <f>B99</f>
        <v>9375334</v>
      </c>
      <c r="D99" s="265"/>
      <c r="E99" s="264">
        <f>'Sources and Uses Budget'!S99</f>
        <v>9375334</v>
      </c>
      <c r="F99" s="265">
        <f>E99</f>
        <v>9375334</v>
      </c>
      <c r="G99" s="265"/>
      <c r="H99" s="264">
        <f>'Sources and Uses Budget'!T99</f>
        <v>0</v>
      </c>
      <c r="I99" s="265"/>
      <c r="J99" s="265"/>
      <c r="K99" s="262"/>
    </row>
    <row r="100" spans="1:11" s="263" customFormat="1">
      <c r="A100" s="195" t="s">
        <v>1855</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1856</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1857</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1858</v>
      </c>
      <c r="B104" s="264">
        <f>'Sources and Uses Budget'!C104</f>
        <v>9375334</v>
      </c>
      <c r="C104" s="264">
        <f>SUM(C99:C103)</f>
        <v>9375334</v>
      </c>
      <c r="D104" s="264">
        <f>SUM(D99:D103)</f>
        <v>0</v>
      </c>
      <c r="E104" s="264">
        <f>'Sources and Uses Budget'!S104</f>
        <v>9375334</v>
      </c>
      <c r="F104" s="270">
        <f>SUM(F99:F103)</f>
        <v>9375334</v>
      </c>
      <c r="G104" s="270">
        <f>SUM(G99:G103)</f>
        <v>0</v>
      </c>
      <c r="H104" s="264">
        <f>'Sources and Uses Budget'!T104</f>
        <v>0</v>
      </c>
      <c r="I104" s="270">
        <f>SUM(I99:I103)</f>
        <v>0</v>
      </c>
      <c r="J104" s="270">
        <f>SUM(J99:J103)</f>
        <v>0</v>
      </c>
      <c r="K104" s="262"/>
    </row>
    <row r="105" spans="1:11" s="263" customFormat="1">
      <c r="A105" s="268" t="s">
        <v>1906</v>
      </c>
      <c r="B105" s="264">
        <f>'Sources and Uses Budget'!C105</f>
        <v>78307447</v>
      </c>
      <c r="C105" s="270">
        <f>SUM(C97+C104)</f>
        <v>78307447</v>
      </c>
      <c r="D105" s="270">
        <f>SUM(D97+D104)</f>
        <v>0</v>
      </c>
      <c r="E105" s="264">
        <f>'Sources and Uses Budget'!S105</f>
        <v>71877566</v>
      </c>
      <c r="F105" s="270">
        <f>F97+F104</f>
        <v>71877566</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1907</v>
      </c>
      <c r="E107" s="264">
        <f>'Sources and Uses Budget'!S107</f>
        <v>71877566</v>
      </c>
      <c r="F107" s="270">
        <f>F105+F106</f>
        <v>71877566</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809"/>
      <c r="E124" s="1292"/>
      <c r="F124" s="1292"/>
      <c r="G124" s="1292"/>
      <c r="H124" s="1292"/>
      <c r="I124" s="1292"/>
      <c r="J124" s="279"/>
      <c r="K124" s="262"/>
    </row>
    <row r="125" spans="1:11" s="263" customFormat="1" ht="12.5">
      <c r="A125" s="288"/>
      <c r="B125" s="287"/>
      <c r="C125" s="288"/>
      <c r="D125" s="1292"/>
      <c r="E125" s="1292"/>
      <c r="F125" s="1292"/>
      <c r="G125" s="1292"/>
      <c r="H125" s="1292"/>
      <c r="I125" s="1292"/>
      <c r="J125" s="279"/>
      <c r="K125" s="262"/>
    </row>
    <row r="126" spans="1:11" s="263" customFormat="1" ht="12.5">
      <c r="A126" s="288"/>
      <c r="B126" s="287"/>
      <c r="C126" s="288"/>
      <c r="D126" s="1292"/>
      <c r="E126" s="1292"/>
      <c r="F126" s="1292"/>
      <c r="G126" s="1292"/>
      <c r="H126" s="1292"/>
      <c r="I126" s="1292"/>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810"/>
      <c r="B139" s="1292"/>
      <c r="C139" s="1292"/>
      <c r="D139" s="259"/>
      <c r="E139" s="288"/>
      <c r="F139" s="288"/>
      <c r="G139" s="288"/>
    </row>
    <row r="140" spans="1:11" ht="12" customHeight="1">
      <c r="A140" s="1265"/>
      <c r="B140" s="1265"/>
      <c r="C140" s="1265"/>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dimension ref="A1:CP251"/>
  <sheetViews>
    <sheetView showGridLines="0" topLeftCell="A71" zoomScale="73" zoomScaleNormal="120" workbookViewId="0">
      <selection activeCell="R36" sqref="R36:U36"/>
    </sheetView>
  </sheetViews>
  <sheetFormatPr defaultColWidth="2.453125" defaultRowHeight="15.75" customHeight="1"/>
  <cols>
    <col min="1" max="8" width="2.453125" style="1093"/>
    <col min="9" max="9" width="7.453125" style="1093" customWidth="1"/>
    <col min="10" max="13" width="2.453125" style="1093"/>
    <col min="14" max="14" width="4.453125" style="1093" customWidth="1"/>
    <col min="15" max="19" width="2.453125" style="1093"/>
    <col min="20" max="20" width="3.453125" style="1093" customWidth="1"/>
    <col min="21" max="37" width="2.453125" style="1093"/>
    <col min="38" max="38" width="3" style="1093" customWidth="1"/>
    <col min="39" max="45" width="2.453125" style="1093"/>
    <col min="46" max="46" width="4.453125" style="1093" customWidth="1"/>
    <col min="47" max="51" width="2.453125" style="1093"/>
    <col min="52" max="52" width="3.453125" style="1093" customWidth="1"/>
    <col min="53" max="53" width="2.453125" style="1093"/>
    <col min="54" max="54" width="4.453125" style="1093" customWidth="1"/>
    <col min="55" max="64" width="2.453125" style="1093"/>
    <col min="65" max="65" width="10.453125" style="1093" hidden="1" customWidth="1"/>
    <col min="66" max="66" width="5.453125" style="1094" bestFit="1" customWidth="1"/>
    <col min="67" max="68" width="5.453125" style="1094" customWidth="1"/>
    <col min="69" max="69" width="8" style="1094" customWidth="1"/>
    <col min="70" max="70" width="6" style="1094" customWidth="1"/>
    <col min="71" max="71" width="6.1796875" style="1094" customWidth="1"/>
    <col min="72" max="76" width="5.453125" style="1094" customWidth="1"/>
    <col min="77" max="77" width="6.1796875" style="1094" bestFit="1" customWidth="1"/>
    <col min="78" max="78" width="5.453125" style="1093" bestFit="1" customWidth="1"/>
    <col min="79" max="16384" width="2.453125" style="1093"/>
  </cols>
  <sheetData>
    <row r="1" spans="1:65" ht="15.75" customHeight="1">
      <c r="A1" s="2251" t="s">
        <v>1908</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c r="AO1" s="2252"/>
      <c r="AP1" s="2252"/>
      <c r="AQ1" s="2252"/>
      <c r="AR1" s="2252"/>
      <c r="AS1" s="2252"/>
      <c r="AT1" s="2252"/>
      <c r="AU1" s="2252"/>
      <c r="AV1" s="2252"/>
      <c r="AW1" s="2252"/>
      <c r="AX1" s="2252"/>
      <c r="AY1" s="2252"/>
      <c r="AZ1" s="2252"/>
      <c r="BA1" s="2252"/>
      <c r="BB1" s="2252"/>
      <c r="BC1" s="2252"/>
      <c r="BD1" s="2252"/>
      <c r="BE1" s="2253"/>
    </row>
    <row r="2" spans="1:65" ht="15.75" customHeight="1">
      <c r="A2" s="2254" t="s">
        <v>1909</v>
      </c>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c r="AO2" s="2255"/>
      <c r="AP2" s="2255"/>
      <c r="AQ2" s="2255"/>
      <c r="AR2" s="2255"/>
      <c r="AS2" s="2255"/>
      <c r="AT2" s="2255"/>
      <c r="AU2" s="2255"/>
      <c r="AV2" s="2255"/>
      <c r="AW2" s="2255"/>
      <c r="AX2" s="2255"/>
      <c r="AY2" s="2255"/>
      <c r="AZ2" s="2255"/>
      <c r="BA2" s="2255"/>
      <c r="BB2" s="2255"/>
      <c r="BC2" s="2255"/>
      <c r="BD2" s="2255"/>
      <c r="BE2" s="2256"/>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05" t="s">
        <v>1910</v>
      </c>
      <c r="AY3" s="2106"/>
      <c r="AZ3" s="2106"/>
      <c r="BA3" s="2257"/>
      <c r="BB3" s="2105" t="s">
        <v>1911</v>
      </c>
      <c r="BC3" s="2106"/>
      <c r="BD3" s="2106"/>
      <c r="BE3" s="2257"/>
    </row>
    <row r="4" spans="1:65" ht="15.75" customHeight="1" thickBot="1">
      <c r="A4" s="1096"/>
      <c r="B4" s="1098" t="s">
        <v>77</v>
      </c>
      <c r="C4" s="1098"/>
      <c r="D4" s="1098"/>
      <c r="E4" s="1098"/>
      <c r="F4" s="1098"/>
      <c r="G4" s="1097"/>
      <c r="H4" s="1097"/>
      <c r="I4" s="1097"/>
      <c r="J4" s="1097"/>
      <c r="K4" s="1097"/>
      <c r="L4" s="2248" t="str">
        <f>IF(Application!H18="","",Application!H18)</f>
        <v>8955 Monterey Apartments</v>
      </c>
      <c r="M4" s="2249"/>
      <c r="N4" s="2249"/>
      <c r="O4" s="2249"/>
      <c r="P4" s="2249"/>
      <c r="Q4" s="2249"/>
      <c r="R4" s="2249"/>
      <c r="S4" s="2249"/>
      <c r="T4" s="2249"/>
      <c r="U4" s="2249"/>
      <c r="V4" s="2249"/>
      <c r="W4" s="2249"/>
      <c r="X4" s="2249"/>
      <c r="Y4" s="2249"/>
      <c r="Z4" s="2249"/>
      <c r="AA4" s="2249"/>
      <c r="AB4" s="2249"/>
      <c r="AC4" s="2250"/>
      <c r="AD4" s="1097"/>
      <c r="AE4" s="1097"/>
      <c r="AF4" s="2237" t="s">
        <v>1912</v>
      </c>
      <c r="AG4" s="2237"/>
      <c r="AH4" s="2237"/>
      <c r="AI4" s="2237"/>
      <c r="AJ4" s="2237"/>
      <c r="AK4" s="2237"/>
      <c r="AL4" s="2237"/>
      <c r="AM4" s="2237"/>
      <c r="AN4" s="2237"/>
      <c r="AO4" s="2237"/>
      <c r="AP4" s="2238">
        <v>46266</v>
      </c>
      <c r="AQ4" s="2239"/>
      <c r="AR4" s="2239"/>
      <c r="AS4" s="2239"/>
      <c r="AT4" s="2239"/>
      <c r="AU4" s="2239"/>
      <c r="AV4" s="1097"/>
      <c r="AW4" s="1097"/>
      <c r="AX4" s="2245" t="s">
        <v>1913</v>
      </c>
      <c r="AY4" s="2246"/>
      <c r="AZ4" s="2246"/>
      <c r="BA4" s="2247"/>
      <c r="BB4" s="1221">
        <f t="array" ref="BB4">ROUNDDOWN(SUM(IF((B19:I27&gt;0)*(B19:I27&lt;=30%),J19:O27,0))/J29,2)</f>
        <v>0.11</v>
      </c>
      <c r="BC4" s="1222"/>
      <c r="BD4" s="1222"/>
      <c r="BE4" s="1223"/>
    </row>
    <row r="5" spans="1:65" ht="1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37" t="s">
        <v>1914</v>
      </c>
      <c r="AG5" s="2237"/>
      <c r="AH5" s="2237"/>
      <c r="AI5" s="2237"/>
      <c r="AJ5" s="2237"/>
      <c r="AK5" s="2237"/>
      <c r="AL5" s="2237"/>
      <c r="AM5" s="2237"/>
      <c r="AN5" s="2237"/>
      <c r="AO5" s="2237"/>
      <c r="AP5" s="2238">
        <v>46266</v>
      </c>
      <c r="AQ5" s="2239"/>
      <c r="AR5" s="2239"/>
      <c r="AS5" s="2239"/>
      <c r="AT5" s="2239"/>
      <c r="AU5" s="2239"/>
      <c r="AV5" s="1097"/>
      <c r="AW5" s="1097"/>
      <c r="AX5" s="2245" t="s">
        <v>1915</v>
      </c>
      <c r="AY5" s="2246"/>
      <c r="AZ5" s="2246"/>
      <c r="BA5" s="2247"/>
      <c r="BB5" s="1221">
        <f t="array" ref="BB5">ROUNDDOWN(SUM(IF((B19:I27&gt;0%)*(B19:I27&lt;=50%),J19:O27,0))/J29,2)</f>
        <v>0.23</v>
      </c>
      <c r="BC5" s="1222"/>
      <c r="BD5" s="1222"/>
      <c r="BE5" s="1223"/>
    </row>
    <row r="6" spans="1:65" ht="15.75" customHeight="1" thickBot="1">
      <c r="A6" s="1096"/>
      <c r="B6" s="1098" t="s">
        <v>1916</v>
      </c>
      <c r="C6" s="1097"/>
      <c r="D6" s="1097"/>
      <c r="E6" s="1097"/>
      <c r="F6" s="1097"/>
      <c r="G6" s="1097"/>
      <c r="H6" s="1097"/>
      <c r="I6" s="1097"/>
      <c r="J6" s="1097"/>
      <c r="K6" s="1097"/>
      <c r="L6" s="2248" t="str">
        <f>IF(Application!H16="","",Application!H16)</f>
        <v>CRP Monterey LP</v>
      </c>
      <c r="M6" s="2249"/>
      <c r="N6" s="2249"/>
      <c r="O6" s="2249"/>
      <c r="P6" s="2249"/>
      <c r="Q6" s="2249"/>
      <c r="R6" s="2249"/>
      <c r="S6" s="2249"/>
      <c r="T6" s="2249"/>
      <c r="U6" s="2249"/>
      <c r="V6" s="2249"/>
      <c r="W6" s="2249"/>
      <c r="X6" s="2249"/>
      <c r="Y6" s="2249"/>
      <c r="Z6" s="2249"/>
      <c r="AA6" s="2249"/>
      <c r="AB6" s="2249"/>
      <c r="AC6" s="2250"/>
      <c r="AD6" s="1097"/>
      <c r="AE6" s="1097"/>
      <c r="AF6" s="2240" t="s">
        <v>1917</v>
      </c>
      <c r="AG6" s="2240"/>
      <c r="AH6" s="2240"/>
      <c r="AI6" s="2240"/>
      <c r="AJ6" s="2240"/>
      <c r="AK6" s="2240"/>
      <c r="AL6" s="2240"/>
      <c r="AM6" s="2240"/>
      <c r="AN6" s="2240"/>
      <c r="AO6" s="2240"/>
      <c r="AP6" s="2241">
        <v>6</v>
      </c>
      <c r="AQ6" s="2241"/>
      <c r="AR6" s="2241"/>
      <c r="AS6" s="2241"/>
      <c r="AT6" s="2241"/>
      <c r="AU6" s="2241"/>
      <c r="AV6" s="1097"/>
      <c r="AW6" s="1097"/>
      <c r="AX6" s="2245" t="s">
        <v>1918</v>
      </c>
      <c r="AY6" s="2246"/>
      <c r="AZ6" s="2246"/>
      <c r="BA6" s="2247"/>
      <c r="BB6" s="1221">
        <f t="array" ref="BB6">ROUNDDOWN(SUM(IF((B19:I27&gt;60%)*(B19:I27&lt;=80%),J19:O27,0))/J29,2)</f>
        <v>0.22</v>
      </c>
      <c r="BC6" s="1222"/>
      <c r="BD6" s="1222"/>
      <c r="BE6" s="1223"/>
    </row>
    <row r="7" spans="1:65" ht="1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40" t="s">
        <v>1919</v>
      </c>
      <c r="AG7" s="2240"/>
      <c r="AH7" s="2240"/>
      <c r="AI7" s="2240"/>
      <c r="AJ7" s="2240"/>
      <c r="AK7" s="2240"/>
      <c r="AL7" s="2240"/>
      <c r="AM7" s="2240"/>
      <c r="AN7" s="2240"/>
      <c r="AO7" s="2240"/>
      <c r="AP7" s="2241">
        <v>2</v>
      </c>
      <c r="AQ7" s="2241"/>
      <c r="AR7" s="2241"/>
      <c r="AS7" s="2241"/>
      <c r="AT7" s="2241"/>
      <c r="AU7" s="2241"/>
      <c r="AV7" s="1097"/>
      <c r="AW7" s="1097"/>
      <c r="AX7" s="1097"/>
      <c r="AY7" s="1097"/>
      <c r="AZ7" s="1097"/>
      <c r="BA7" s="1097"/>
      <c r="BB7" s="1097"/>
      <c r="BC7" s="1097"/>
      <c r="BD7" s="1097"/>
      <c r="BE7" s="1099"/>
    </row>
    <row r="8" spans="1:65" ht="15" thickBot="1">
      <c r="A8" s="1096"/>
      <c r="B8" s="1098" t="s">
        <v>1920</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42" t="str">
        <f>Application!T197</f>
        <v>No</v>
      </c>
      <c r="AC8" s="2243"/>
      <c r="AD8" s="2244"/>
      <c r="AE8" s="1097"/>
      <c r="AF8" s="2240" t="s">
        <v>1921</v>
      </c>
      <c r="AG8" s="2240"/>
      <c r="AH8" s="2240"/>
      <c r="AI8" s="2240"/>
      <c r="AJ8" s="2240"/>
      <c r="AK8" s="2240"/>
      <c r="AL8" s="2240"/>
      <c r="AM8" s="2240"/>
      <c r="AN8" s="2240"/>
      <c r="AO8" s="2240"/>
      <c r="AP8" s="2241" t="s">
        <v>692</v>
      </c>
      <c r="AQ8" s="2241"/>
      <c r="AR8" s="2241"/>
      <c r="AS8" s="2241"/>
      <c r="AT8" s="2241"/>
      <c r="AU8" s="2241"/>
      <c r="AV8" s="1097"/>
      <c r="AW8" s="1097"/>
      <c r="AX8" s="1097"/>
      <c r="AY8" s="1097"/>
      <c r="AZ8" s="1097"/>
      <c r="BA8" s="1097"/>
      <c r="BB8" s="1097"/>
      <c r="BC8" s="1097"/>
      <c r="BD8" s="1097"/>
      <c r="BE8" s="1099"/>
      <c r="BM8" s="1093" t="s">
        <v>1922</v>
      </c>
    </row>
    <row r="9" spans="1:65" ht="14.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37" t="s">
        <v>1923</v>
      </c>
      <c r="AG9" s="2237"/>
      <c r="AH9" s="2237"/>
      <c r="AI9" s="2237"/>
      <c r="AJ9" s="2237"/>
      <c r="AK9" s="2237"/>
      <c r="AL9" s="2237"/>
      <c r="AM9" s="2237"/>
      <c r="AN9" s="2237"/>
      <c r="AO9" s="2237"/>
      <c r="AP9" s="2238">
        <v>47150</v>
      </c>
      <c r="AQ9" s="2239"/>
      <c r="AR9" s="2239"/>
      <c r="AS9" s="2239"/>
      <c r="AT9" s="2239"/>
      <c r="AU9" s="2239"/>
      <c r="AV9" s="1097"/>
      <c r="AW9" s="1097"/>
      <c r="AX9" s="1097"/>
      <c r="AY9" s="1097"/>
      <c r="AZ9" s="1097"/>
      <c r="BA9" s="1097"/>
      <c r="BB9" s="1097"/>
      <c r="BC9" s="1097"/>
      <c r="BD9" s="1097"/>
      <c r="BE9" s="1099"/>
      <c r="BM9" s="1093" t="s">
        <v>1924</v>
      </c>
    </row>
    <row r="10" spans="1:65" ht="14.5">
      <c r="A10" s="1096"/>
      <c r="B10" s="1098" t="s">
        <v>1925</v>
      </c>
      <c r="C10" s="1098"/>
      <c r="D10" s="1098"/>
      <c r="E10" s="1098"/>
      <c r="F10" s="1098"/>
      <c r="G10" s="1098"/>
      <c r="H10" s="1098"/>
      <c r="I10" s="1098"/>
      <c r="J10" s="1098"/>
      <c r="K10" s="1098"/>
      <c r="L10" s="1098"/>
      <c r="M10" s="1097"/>
      <c r="N10" s="2236">
        <f>Application!AO635</f>
        <v>14500000</v>
      </c>
      <c r="O10" s="2236"/>
      <c r="P10" s="2236"/>
      <c r="Q10" s="2236"/>
      <c r="R10" s="2236"/>
      <c r="S10" s="2236"/>
      <c r="T10" s="2236"/>
      <c r="U10" s="1097"/>
      <c r="V10" s="1097"/>
      <c r="W10" s="1097"/>
      <c r="X10" s="1100"/>
      <c r="Y10" s="1100"/>
      <c r="Z10" s="1100"/>
      <c r="AA10" s="1100"/>
      <c r="AB10" s="1100"/>
      <c r="AC10" s="1100"/>
      <c r="AD10" s="1100"/>
      <c r="AE10" s="1100"/>
      <c r="AF10" s="2237" t="s">
        <v>1926</v>
      </c>
      <c r="AG10" s="2237"/>
      <c r="AH10" s="2237"/>
      <c r="AI10" s="2237"/>
      <c r="AJ10" s="2237"/>
      <c r="AK10" s="2237"/>
      <c r="AL10" s="2237"/>
      <c r="AM10" s="2237"/>
      <c r="AN10" s="2237"/>
      <c r="AO10" s="2237"/>
      <c r="AP10" s="2238">
        <v>47150</v>
      </c>
      <c r="AQ10" s="2239"/>
      <c r="AR10" s="2239"/>
      <c r="AS10" s="2239"/>
      <c r="AT10" s="2239"/>
      <c r="AU10" s="2239"/>
      <c r="AV10" s="1100"/>
      <c r="AW10" s="1100"/>
      <c r="AX10" s="1097"/>
      <c r="AY10" s="1097"/>
      <c r="AZ10" s="1097"/>
      <c r="BA10" s="1097"/>
      <c r="BB10" s="1097"/>
      <c r="BC10" s="1097"/>
      <c r="BD10" s="1097"/>
      <c r="BE10" s="1099"/>
      <c r="BM10" s="1093" t="s">
        <v>1927</v>
      </c>
    </row>
    <row r="11" spans="1:65" ht="14.5">
      <c r="A11" s="1096"/>
      <c r="B11" s="1098" t="s">
        <v>1928</v>
      </c>
      <c r="C11" s="1098"/>
      <c r="D11" s="1098"/>
      <c r="E11" s="1098"/>
      <c r="F11" s="1098"/>
      <c r="G11" s="1098"/>
      <c r="H11" s="1098"/>
      <c r="I11" s="1098"/>
      <c r="J11" s="1098"/>
      <c r="K11" s="1098"/>
      <c r="L11" s="1098"/>
      <c r="M11" s="1097"/>
      <c r="N11" s="2236">
        <f>Application!AA943</f>
        <v>0</v>
      </c>
      <c r="O11" s="2236"/>
      <c r="P11" s="2236"/>
      <c r="Q11" s="2236"/>
      <c r="R11" s="2236"/>
      <c r="S11" s="2236"/>
      <c r="T11" s="2236"/>
      <c r="U11" s="1097"/>
      <c r="V11" s="1097"/>
      <c r="W11" s="1097"/>
      <c r="X11" s="1100"/>
      <c r="Y11" s="1100"/>
      <c r="Z11" s="1100"/>
      <c r="AA11" s="1100"/>
      <c r="AB11" s="1100"/>
      <c r="AC11" s="1100"/>
      <c r="AD11" s="1100"/>
      <c r="AE11" s="1100"/>
      <c r="AF11" s="2237" t="s">
        <v>1929</v>
      </c>
      <c r="AG11" s="2237"/>
      <c r="AH11" s="2237"/>
      <c r="AI11" s="2237"/>
      <c r="AJ11" s="2237"/>
      <c r="AK11" s="2237"/>
      <c r="AL11" s="2237"/>
      <c r="AM11" s="2237"/>
      <c r="AN11" s="2237"/>
      <c r="AO11" s="2237"/>
      <c r="AP11" s="2238">
        <v>47239</v>
      </c>
      <c r="AQ11" s="2239"/>
      <c r="AR11" s="2239"/>
      <c r="AS11" s="2239"/>
      <c r="AT11" s="2239"/>
      <c r="AU11" s="2239"/>
      <c r="AV11" s="1100"/>
      <c r="AW11" s="1100"/>
      <c r="AX11" s="1097"/>
      <c r="AY11" s="1097"/>
      <c r="AZ11" s="1097"/>
      <c r="BA11" s="1097"/>
      <c r="BB11" s="1097"/>
      <c r="BC11" s="1097"/>
      <c r="BD11" s="1097"/>
      <c r="BE11" s="1099"/>
      <c r="BM11" s="1093" t="s">
        <v>692</v>
      </c>
    </row>
    <row r="12" spans="1:65" ht="1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1930</v>
      </c>
    </row>
    <row r="13" spans="1:65" ht="15" thickBot="1">
      <c r="A13" s="1097"/>
      <c r="B13" s="2227" t="s">
        <v>1931</v>
      </c>
      <c r="C13" s="2228"/>
      <c r="D13" s="2228"/>
      <c r="E13" s="2228"/>
      <c r="F13" s="2228"/>
      <c r="G13" s="2228"/>
      <c r="H13" s="2228"/>
      <c r="I13" s="2228"/>
      <c r="J13" s="2228"/>
      <c r="K13" s="2228"/>
      <c r="L13" s="2228"/>
      <c r="M13" s="2228"/>
      <c r="N13" s="2228"/>
      <c r="O13" s="2228"/>
      <c r="P13" s="2229"/>
      <c r="Q13" s="2230" t="s">
        <v>700</v>
      </c>
      <c r="R13" s="2231"/>
      <c r="S13" s="2231"/>
      <c r="T13" s="2232"/>
      <c r="U13" s="1100"/>
      <c r="V13" s="1097"/>
      <c r="W13" s="1097"/>
      <c r="X13" s="1097"/>
      <c r="Y13" s="1097"/>
      <c r="Z13" s="1097"/>
      <c r="AA13" s="2217" t="s">
        <v>1932</v>
      </c>
      <c r="AB13" s="2217"/>
      <c r="AC13" s="2217"/>
      <c r="AD13" s="2217"/>
      <c r="AE13" s="2217"/>
      <c r="AF13" s="2217"/>
      <c r="AG13" s="2217"/>
      <c r="AH13" s="2217"/>
      <c r="AI13" s="2217"/>
      <c r="AJ13" s="2217"/>
      <c r="AK13" s="2217"/>
      <c r="AL13" s="2217"/>
      <c r="AM13" s="2217"/>
      <c r="AN13" s="2217"/>
      <c r="AO13" s="2233">
        <f>Application!W481</f>
        <v>17</v>
      </c>
      <c r="AP13" s="2234"/>
      <c r="AQ13" s="2234"/>
      <c r="AR13" s="2234"/>
      <c r="AS13" s="2234"/>
      <c r="AT13" s="1100"/>
      <c r="AU13" s="1100"/>
      <c r="AV13" s="1100"/>
      <c r="AW13" s="1100"/>
      <c r="AX13" s="1100"/>
      <c r="AY13" s="1100"/>
      <c r="AZ13" s="1100"/>
      <c r="BA13" s="1100"/>
      <c r="BB13" s="1100"/>
      <c r="BC13" s="1100"/>
      <c r="BD13" s="1100"/>
      <c r="BE13" s="1101"/>
      <c r="BM13" s="1093" t="s">
        <v>1933</v>
      </c>
    </row>
    <row r="14" spans="1:65" ht="1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35" t="s">
        <v>1934</v>
      </c>
      <c r="AB14" s="2235"/>
      <c r="AC14" s="2235"/>
      <c r="AD14" s="2235"/>
      <c r="AE14" s="2235"/>
      <c r="AF14" s="2235"/>
      <c r="AG14" s="2235"/>
      <c r="AH14" s="2235"/>
      <c r="AI14" s="2235"/>
      <c r="AJ14" s="2235"/>
      <c r="AK14" s="2235"/>
      <c r="AL14" s="2235"/>
      <c r="AM14" s="2235"/>
      <c r="AN14" s="2235"/>
      <c r="AO14" s="2218">
        <v>46083</v>
      </c>
      <c r="AP14" s="2219"/>
      <c r="AQ14" s="2219"/>
      <c r="AR14" s="2219"/>
      <c r="AS14" s="2219"/>
      <c r="AT14" s="1100"/>
      <c r="AU14" s="1100"/>
      <c r="AV14" s="1100"/>
      <c r="AW14" s="1100"/>
      <c r="AX14" s="1100"/>
      <c r="AY14" s="1100"/>
      <c r="AZ14" s="1100"/>
      <c r="BA14" s="1100"/>
      <c r="BB14" s="1100"/>
      <c r="BC14" s="1100"/>
      <c r="BD14" s="1100"/>
      <c r="BE14" s="1101"/>
    </row>
    <row r="15" spans="1:65" ht="15" thickBot="1">
      <c r="A15" s="1097"/>
      <c r="B15" s="2212" t="s">
        <v>1935</v>
      </c>
      <c r="C15" s="2213"/>
      <c r="D15" s="2213"/>
      <c r="E15" s="2213"/>
      <c r="F15" s="2213"/>
      <c r="G15" s="2213"/>
      <c r="H15" s="2213"/>
      <c r="I15" s="2213"/>
      <c r="J15" s="2213"/>
      <c r="K15" s="2213"/>
      <c r="L15" s="2213"/>
      <c r="M15" s="2213"/>
      <c r="N15" s="2213"/>
      <c r="O15" s="2213"/>
      <c r="P15" s="2213"/>
      <c r="Q15" s="2213"/>
      <c r="R15" s="2214"/>
      <c r="S15" s="2215" t="str">
        <f>IF(Application!AB215="","",Application!AB215)</f>
        <v/>
      </c>
      <c r="T15" s="2215"/>
      <c r="U15" s="2215"/>
      <c r="V15" s="2215"/>
      <c r="W15" s="2216"/>
      <c r="X15" s="1100"/>
      <c r="Y15" s="1097"/>
      <c r="Z15" s="1097"/>
      <c r="AA15" s="2217" t="s">
        <v>1936</v>
      </c>
      <c r="AB15" s="2217"/>
      <c r="AC15" s="2217"/>
      <c r="AD15" s="2217"/>
      <c r="AE15" s="2217"/>
      <c r="AF15" s="2217"/>
      <c r="AG15" s="2217"/>
      <c r="AH15" s="2217"/>
      <c r="AI15" s="2217"/>
      <c r="AJ15" s="2217"/>
      <c r="AK15" s="2217"/>
      <c r="AL15" s="2217"/>
      <c r="AM15" s="2217"/>
      <c r="AN15" s="2217"/>
      <c r="AO15" s="2218">
        <v>46161</v>
      </c>
      <c r="AP15" s="2219"/>
      <c r="AQ15" s="2219"/>
      <c r="AR15" s="2219"/>
      <c r="AS15" s="2219"/>
      <c r="AT15" s="1100"/>
      <c r="AU15" s="1100"/>
      <c r="AV15" s="1100"/>
      <c r="AW15" s="1100"/>
      <c r="AX15" s="1100"/>
      <c r="AY15" s="1100"/>
      <c r="AZ15" s="1100"/>
      <c r="BA15" s="1100"/>
      <c r="BB15" s="1100"/>
      <c r="BC15" s="1100"/>
      <c r="BD15" s="1100"/>
      <c r="BE15" s="1101"/>
    </row>
    <row r="16" spans="1:65" ht="1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4.5">
      <c r="A17" s="1097"/>
      <c r="B17" s="2041" t="s">
        <v>1937</v>
      </c>
      <c r="C17" s="2042"/>
      <c r="D17" s="2042"/>
      <c r="E17" s="2042"/>
      <c r="F17" s="2042"/>
      <c r="G17" s="2042"/>
      <c r="H17" s="2042"/>
      <c r="I17" s="2042"/>
      <c r="J17" s="2042"/>
      <c r="K17" s="2042"/>
      <c r="L17" s="2042"/>
      <c r="M17" s="2042"/>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c r="AK17" s="2042"/>
      <c r="AL17" s="2042"/>
      <c r="AM17" s="2042"/>
      <c r="AN17" s="2042"/>
      <c r="AO17" s="2042"/>
      <c r="AP17" s="2042"/>
      <c r="AQ17" s="2042"/>
      <c r="AR17" s="2042"/>
      <c r="AS17" s="2042"/>
      <c r="AT17" s="2042"/>
      <c r="AU17" s="2042"/>
      <c r="AV17" s="2042"/>
      <c r="AW17" s="2042"/>
      <c r="AX17" s="2042"/>
      <c r="AY17" s="2043"/>
      <c r="AZ17" s="1097"/>
      <c r="BA17" s="1097"/>
      <c r="BB17" s="1097"/>
      <c r="BC17" s="1097"/>
      <c r="BD17" s="1097"/>
      <c r="BE17" s="1101"/>
      <c r="BF17" s="1095"/>
    </row>
    <row r="18" spans="1:58" ht="15.75" customHeight="1">
      <c r="A18" s="1097"/>
      <c r="B18" s="2220" t="s">
        <v>1938</v>
      </c>
      <c r="C18" s="2221"/>
      <c r="D18" s="2221"/>
      <c r="E18" s="2221"/>
      <c r="F18" s="2221"/>
      <c r="G18" s="2221"/>
      <c r="H18" s="2221"/>
      <c r="I18" s="2222"/>
      <c r="J18" s="2223" t="s">
        <v>1939</v>
      </c>
      <c r="K18" s="2224"/>
      <c r="L18" s="2224"/>
      <c r="M18" s="2224"/>
      <c r="N18" s="2224"/>
      <c r="O18" s="2225"/>
      <c r="P18" s="2223" t="s">
        <v>846</v>
      </c>
      <c r="Q18" s="2224"/>
      <c r="R18" s="2224"/>
      <c r="S18" s="2224"/>
      <c r="T18" s="2224"/>
      <c r="U18" s="2225"/>
      <c r="V18" s="2223" t="s">
        <v>847</v>
      </c>
      <c r="W18" s="2224"/>
      <c r="X18" s="2224"/>
      <c r="Y18" s="2224"/>
      <c r="Z18" s="2224"/>
      <c r="AA18" s="2225"/>
      <c r="AB18" s="2223" t="s">
        <v>848</v>
      </c>
      <c r="AC18" s="2224"/>
      <c r="AD18" s="2224"/>
      <c r="AE18" s="2224"/>
      <c r="AF18" s="2224"/>
      <c r="AG18" s="2225"/>
      <c r="AH18" s="2223" t="s">
        <v>849</v>
      </c>
      <c r="AI18" s="2224"/>
      <c r="AJ18" s="2224"/>
      <c r="AK18" s="2224"/>
      <c r="AL18" s="2224"/>
      <c r="AM18" s="2225"/>
      <c r="AN18" s="2223" t="s">
        <v>850</v>
      </c>
      <c r="AO18" s="2224"/>
      <c r="AP18" s="2224"/>
      <c r="AQ18" s="2224"/>
      <c r="AR18" s="2224"/>
      <c r="AS18" s="2225"/>
      <c r="AT18" s="2223" t="s">
        <v>1940</v>
      </c>
      <c r="AU18" s="2224"/>
      <c r="AV18" s="2224"/>
      <c r="AW18" s="2224"/>
      <c r="AX18" s="2224"/>
      <c r="AY18" s="2226"/>
      <c r="AZ18" s="1097"/>
      <c r="BA18" s="1097"/>
      <c r="BB18" s="1097"/>
      <c r="BC18" s="1097"/>
      <c r="BD18" s="1097"/>
      <c r="BE18" s="1101"/>
    </row>
    <row r="19" spans="1:58" ht="14.5">
      <c r="A19" s="1097"/>
      <c r="B19" s="2206">
        <v>0.3</v>
      </c>
      <c r="C19" s="2207"/>
      <c r="D19" s="2207"/>
      <c r="E19" s="2207"/>
      <c r="F19" s="2207"/>
      <c r="G19" s="2207"/>
      <c r="H19" s="2207"/>
      <c r="I19" s="2208"/>
      <c r="J19" s="2209">
        <f t="shared" ref="J19:J24" si="0">SUM(P19:AS19)</f>
        <v>13</v>
      </c>
      <c r="K19" s="2210"/>
      <c r="L19" s="2210"/>
      <c r="M19" s="2210"/>
      <c r="N19" s="2210"/>
      <c r="O19" s="2211"/>
      <c r="P19" s="2209" cm="1">
        <f t="array" ref="P19">SUMPRODUCT((Application!$B$726:$B$760 = 'CalHFA Addendum'!P$18)*(Application!$AC$726:$AC$760 = 'CalHFA Addendum'!$B19),Application!$G$726:$G$760)</f>
        <v>0</v>
      </c>
      <c r="Q19" s="2210"/>
      <c r="R19" s="2210"/>
      <c r="S19" s="2210"/>
      <c r="T19" s="2210"/>
      <c r="U19" s="2211"/>
      <c r="V19" s="2209" cm="1">
        <f t="array" ref="V19">SUMPRODUCT((Application!$B$726:$B$760 = 'CalHFA Addendum'!V$18)*(Application!$AC$726:$AC$760 = 'CalHFA Addendum'!$B19),Application!$G$726:$G$760)</f>
        <v>3</v>
      </c>
      <c r="W19" s="2210"/>
      <c r="X19" s="2210"/>
      <c r="Y19" s="2210"/>
      <c r="Z19" s="2210"/>
      <c r="AA19" s="2211"/>
      <c r="AB19" s="2209" cm="1">
        <f t="array" ref="AB19">SUMPRODUCT((Application!$B$726:$B$760 = 'CalHFA Addendum'!AB$18)*(Application!$AC$726:$AC$760 = 'CalHFA Addendum'!$B19),Application!$G$726:$G$760)</f>
        <v>4</v>
      </c>
      <c r="AC19" s="2210"/>
      <c r="AD19" s="2210"/>
      <c r="AE19" s="2210"/>
      <c r="AF19" s="2210"/>
      <c r="AG19" s="2211"/>
      <c r="AH19" s="2209" cm="1">
        <f t="array" ref="AH19">SUMPRODUCT((Application!$B$726:$B$760 = 'CalHFA Addendum'!AH$18)*(Application!$AC$726:$AC$760 = 'CalHFA Addendum'!$B19),Application!$G$726:$G$760)</f>
        <v>6</v>
      </c>
      <c r="AI19" s="2210"/>
      <c r="AJ19" s="2210"/>
      <c r="AK19" s="2210"/>
      <c r="AL19" s="2210"/>
      <c r="AM19" s="2211"/>
      <c r="AN19" s="2209" cm="1">
        <f t="array" ref="AN19">SUMPRODUCT((Application!$B$726:$B$760 = 'CalHFA Addendum'!AN$18)*(Application!$AC$726:$AC$760 = 'CalHFA Addendum'!$B19),Application!$G$726:$G$760)</f>
        <v>0</v>
      </c>
      <c r="AO19" s="2210"/>
      <c r="AP19" s="2210"/>
      <c r="AQ19" s="2210"/>
      <c r="AR19" s="2210"/>
      <c r="AS19" s="2211"/>
      <c r="AT19" s="2194">
        <f>J19/$J$29</f>
        <v>0.11504424778761062</v>
      </c>
      <c r="AU19" s="2195"/>
      <c r="AV19" s="2195"/>
      <c r="AW19" s="2195"/>
      <c r="AX19" s="2195"/>
      <c r="AY19" s="2196"/>
      <c r="AZ19" s="1102"/>
      <c r="BA19" s="1097"/>
      <c r="BB19" s="1097"/>
      <c r="BC19" s="1097"/>
      <c r="BD19" s="1097"/>
      <c r="BE19" s="1101"/>
    </row>
    <row r="20" spans="1:58" ht="15" customHeight="1">
      <c r="A20" s="1097"/>
      <c r="B20" s="2206">
        <v>0.4</v>
      </c>
      <c r="C20" s="2207"/>
      <c r="D20" s="2207"/>
      <c r="E20" s="2207"/>
      <c r="F20" s="2207"/>
      <c r="G20" s="2207"/>
      <c r="H20" s="2207"/>
      <c r="I20" s="2208"/>
      <c r="J20" s="2209">
        <f t="shared" si="0"/>
        <v>0</v>
      </c>
      <c r="K20" s="2210"/>
      <c r="L20" s="2210"/>
      <c r="M20" s="2210"/>
      <c r="N20" s="2210"/>
      <c r="O20" s="2211"/>
      <c r="P20" s="2209" cm="1">
        <f t="array" ref="P20">SUMPRODUCT((Application!$B$726:$B$760 = 'CalHFA Addendum'!P$18)*(Application!$AC$726:$AC$760 = 'CalHFA Addendum'!$B20),Application!$G$726:$G$760)</f>
        <v>0</v>
      </c>
      <c r="Q20" s="2210"/>
      <c r="R20" s="2210"/>
      <c r="S20" s="2210"/>
      <c r="T20" s="2210"/>
      <c r="U20" s="2211"/>
      <c r="V20" s="2209" cm="1">
        <f t="array" ref="V20">SUMPRODUCT((Application!$B$726:$B$760 = 'CalHFA Addendum'!V$18)*(Application!$AC$726:$AC$760 = 'CalHFA Addendum'!$B20),Application!$G$726:$G$760)</f>
        <v>0</v>
      </c>
      <c r="W20" s="2210"/>
      <c r="X20" s="2210"/>
      <c r="Y20" s="2210"/>
      <c r="Z20" s="2210"/>
      <c r="AA20" s="2211"/>
      <c r="AB20" s="2209" cm="1">
        <f t="array" ref="AB20">SUMPRODUCT((Application!$B$726:$B$760 = 'CalHFA Addendum'!AB$18)*(Application!$AC$726:$AC$760 = 'CalHFA Addendum'!$B20),Application!$G$726:$G$760)</f>
        <v>0</v>
      </c>
      <c r="AC20" s="2210"/>
      <c r="AD20" s="2210"/>
      <c r="AE20" s="2210"/>
      <c r="AF20" s="2210"/>
      <c r="AG20" s="2211"/>
      <c r="AH20" s="2209" cm="1">
        <f t="array" ref="AH20">SUMPRODUCT((Application!$B$726:$B$760 = 'CalHFA Addendum'!AH$18)*(Application!$AC$726:$AC$760 = 'CalHFA Addendum'!$B20),Application!$G$726:$G$760)</f>
        <v>0</v>
      </c>
      <c r="AI20" s="2210"/>
      <c r="AJ20" s="2210"/>
      <c r="AK20" s="2210"/>
      <c r="AL20" s="2210"/>
      <c r="AM20" s="2211"/>
      <c r="AN20" s="2209" cm="1">
        <f t="array" ref="AN20">SUMPRODUCT((Application!$B$726:$B$760 = 'CalHFA Addendum'!AN$18)*(Application!$AC$726:$AC$760 = 'CalHFA Addendum'!$B20),Application!$G$726:$G$760)</f>
        <v>0</v>
      </c>
      <c r="AO20" s="2210"/>
      <c r="AP20" s="2210"/>
      <c r="AQ20" s="2210"/>
      <c r="AR20" s="2210"/>
      <c r="AS20" s="2211"/>
      <c r="AT20" s="2194">
        <f t="shared" ref="AT20:AT29" si="1">J20/$J$29</f>
        <v>0</v>
      </c>
      <c r="AU20" s="2195"/>
      <c r="AV20" s="2195"/>
      <c r="AW20" s="2195"/>
      <c r="AX20" s="2195"/>
      <c r="AY20" s="2196"/>
      <c r="AZ20" s="1097"/>
      <c r="BA20" s="1097"/>
      <c r="BB20" s="1097"/>
      <c r="BC20" s="1097"/>
      <c r="BD20" s="1097"/>
      <c r="BE20" s="1101"/>
    </row>
    <row r="21" spans="1:58" ht="14.5">
      <c r="A21" s="1097"/>
      <c r="B21" s="2206">
        <v>0.5</v>
      </c>
      <c r="C21" s="2207"/>
      <c r="D21" s="2207"/>
      <c r="E21" s="2207"/>
      <c r="F21" s="2207"/>
      <c r="G21" s="2207"/>
      <c r="H21" s="2207"/>
      <c r="I21" s="2208"/>
      <c r="J21" s="2209">
        <f t="shared" si="0"/>
        <v>13</v>
      </c>
      <c r="K21" s="2210"/>
      <c r="L21" s="2210"/>
      <c r="M21" s="2210"/>
      <c r="N21" s="2210"/>
      <c r="O21" s="2211"/>
      <c r="P21" s="2209" cm="1">
        <f t="array" ref="P21">SUMPRODUCT((Application!$B$726:$B$760 = 'CalHFA Addendum'!P$18)*(Application!$AC$726:$AC$760 = 'CalHFA Addendum'!$B21),Application!$G$726:$G$760)</f>
        <v>0</v>
      </c>
      <c r="Q21" s="2210"/>
      <c r="R21" s="2210"/>
      <c r="S21" s="2210"/>
      <c r="T21" s="2210"/>
      <c r="U21" s="2211"/>
      <c r="V21" s="2209" cm="1">
        <f t="array" ref="V21">SUMPRODUCT((Application!$B$726:$B$760 = 'CalHFA Addendum'!V$18)*(Application!$AC$726:$AC$760 = 'CalHFA Addendum'!$B21),Application!$G$726:$G$760)</f>
        <v>3</v>
      </c>
      <c r="W21" s="2210"/>
      <c r="X21" s="2210"/>
      <c r="Y21" s="2210"/>
      <c r="Z21" s="2210"/>
      <c r="AA21" s="2211"/>
      <c r="AB21" s="2209" cm="1">
        <f t="array" ref="AB21">SUMPRODUCT((Application!$B$726:$B$760 = 'CalHFA Addendum'!AB$18)*(Application!$AC$726:$AC$760 = 'CalHFA Addendum'!$B21),Application!$G$726:$G$760)</f>
        <v>4</v>
      </c>
      <c r="AC21" s="2210"/>
      <c r="AD21" s="2210"/>
      <c r="AE21" s="2210"/>
      <c r="AF21" s="2210"/>
      <c r="AG21" s="2211"/>
      <c r="AH21" s="2209" cm="1">
        <f t="array" ref="AH21">SUMPRODUCT((Application!$B$726:$B$760 = 'CalHFA Addendum'!AH$18)*(Application!$AC$726:$AC$760 = 'CalHFA Addendum'!$B21),Application!$G$726:$G$760)</f>
        <v>6</v>
      </c>
      <c r="AI21" s="2210"/>
      <c r="AJ21" s="2210"/>
      <c r="AK21" s="2210"/>
      <c r="AL21" s="2210"/>
      <c r="AM21" s="2211"/>
      <c r="AN21" s="2209" cm="1">
        <f t="array" ref="AN21">SUMPRODUCT((Application!$B$726:$B$760 = 'CalHFA Addendum'!AN$18)*(Application!$AC$726:$AC$760 = 'CalHFA Addendum'!$B21),Application!$G$726:$G$760)</f>
        <v>0</v>
      </c>
      <c r="AO21" s="2210"/>
      <c r="AP21" s="2210"/>
      <c r="AQ21" s="2210"/>
      <c r="AR21" s="2210"/>
      <c r="AS21" s="2211"/>
      <c r="AT21" s="2194">
        <f t="shared" si="1"/>
        <v>0.11504424778761062</v>
      </c>
      <c r="AU21" s="2195"/>
      <c r="AV21" s="2195"/>
      <c r="AW21" s="2195"/>
      <c r="AX21" s="2195"/>
      <c r="AY21" s="2196"/>
      <c r="AZ21" s="1097"/>
      <c r="BA21" s="1097"/>
      <c r="BB21" s="1097"/>
      <c r="BC21" s="1097"/>
      <c r="BD21" s="1097"/>
      <c r="BE21" s="1101"/>
    </row>
    <row r="22" spans="1:58" ht="14.5">
      <c r="A22" s="1097"/>
      <c r="B22" s="2206">
        <v>0.6</v>
      </c>
      <c r="C22" s="2207"/>
      <c r="D22" s="2207"/>
      <c r="E22" s="2207"/>
      <c r="F22" s="2207"/>
      <c r="G22" s="2207"/>
      <c r="H22" s="2207"/>
      <c r="I22" s="2208"/>
      <c r="J22" s="2209">
        <f t="shared" si="0"/>
        <v>61</v>
      </c>
      <c r="K22" s="2210"/>
      <c r="L22" s="2210"/>
      <c r="M22" s="2210"/>
      <c r="N22" s="2210"/>
      <c r="O22" s="2211"/>
      <c r="P22" s="2209" cm="1">
        <f t="array" ref="P22">SUMPRODUCT((Application!$B$726:$B$760 = 'CalHFA Addendum'!P$18)*(Application!$AC$726:$AC$760 = 'CalHFA Addendum'!$B22),Application!$G$726:$G$760)</f>
        <v>0</v>
      </c>
      <c r="Q22" s="2210"/>
      <c r="R22" s="2210"/>
      <c r="S22" s="2210"/>
      <c r="T22" s="2210"/>
      <c r="U22" s="2211"/>
      <c r="V22" s="2209" cm="1">
        <f t="array" ref="V22">SUMPRODUCT((Application!$B$726:$B$760 = 'CalHFA Addendum'!V$18)*(Application!$AC$726:$AC$760 = 'CalHFA Addendum'!$B22),Application!$G$726:$G$760)</f>
        <v>4</v>
      </c>
      <c r="W22" s="2210"/>
      <c r="X22" s="2210"/>
      <c r="Y22" s="2210"/>
      <c r="Z22" s="2210"/>
      <c r="AA22" s="2211"/>
      <c r="AB22" s="2209" cm="1">
        <f t="array" ref="AB22">SUMPRODUCT((Application!$B$726:$B$760 = 'CalHFA Addendum'!AB$18)*(Application!$AC$726:$AC$760 = 'CalHFA Addendum'!$B22),Application!$G$726:$G$760)</f>
        <v>26</v>
      </c>
      <c r="AC22" s="2210"/>
      <c r="AD22" s="2210"/>
      <c r="AE22" s="2210"/>
      <c r="AF22" s="2210"/>
      <c r="AG22" s="2211"/>
      <c r="AH22" s="2209" cm="1">
        <f t="array" ref="AH22">SUMPRODUCT((Application!$B$726:$B$760 = 'CalHFA Addendum'!AH$18)*(Application!$AC$726:$AC$760 = 'CalHFA Addendum'!$B22),Application!$G$726:$G$760)</f>
        <v>31</v>
      </c>
      <c r="AI22" s="2210"/>
      <c r="AJ22" s="2210"/>
      <c r="AK22" s="2210"/>
      <c r="AL22" s="2210"/>
      <c r="AM22" s="2211"/>
      <c r="AN22" s="2209" cm="1">
        <f t="array" ref="AN22">SUMPRODUCT((Application!$B$726:$B$760 = 'CalHFA Addendum'!AN$18)*(Application!$AC$726:$AC$760 = 'CalHFA Addendum'!$B22),Application!$G$726:$G$760)</f>
        <v>0</v>
      </c>
      <c r="AO22" s="2210"/>
      <c r="AP22" s="2210"/>
      <c r="AQ22" s="2210"/>
      <c r="AR22" s="2210"/>
      <c r="AS22" s="2211"/>
      <c r="AT22" s="2194">
        <f t="shared" si="1"/>
        <v>0.53982300884955747</v>
      </c>
      <c r="AU22" s="2195"/>
      <c r="AV22" s="2195"/>
      <c r="AW22" s="2195"/>
      <c r="AX22" s="2195"/>
      <c r="AY22" s="2196"/>
      <c r="AZ22" s="1097"/>
      <c r="BA22" s="1097"/>
      <c r="BB22" s="1097"/>
      <c r="BC22" s="1097"/>
      <c r="BD22" s="1097"/>
      <c r="BE22" s="1101"/>
    </row>
    <row r="23" spans="1:58" ht="14.5">
      <c r="A23" s="1097"/>
      <c r="B23" s="2206">
        <v>0.7</v>
      </c>
      <c r="C23" s="2207"/>
      <c r="D23" s="2207"/>
      <c r="E23" s="2207"/>
      <c r="F23" s="2207"/>
      <c r="G23" s="2207"/>
      <c r="H23" s="2207"/>
      <c r="I23" s="2208"/>
      <c r="J23" s="2209">
        <f t="shared" si="0"/>
        <v>25</v>
      </c>
      <c r="K23" s="2210"/>
      <c r="L23" s="2210"/>
      <c r="M23" s="2210"/>
      <c r="N23" s="2210"/>
      <c r="O23" s="2211"/>
      <c r="P23" s="2209" cm="1">
        <f t="array" ref="P23">SUMPRODUCT((Application!$B$726:$B$760 = 'CalHFA Addendum'!P$18)*(Application!$AC$726:$AC$760 = 'CalHFA Addendum'!$B23),Application!$G$726:$G$760)</f>
        <v>0</v>
      </c>
      <c r="Q23" s="2210"/>
      <c r="R23" s="2210"/>
      <c r="S23" s="2210"/>
      <c r="T23" s="2210"/>
      <c r="U23" s="2211"/>
      <c r="V23" s="2209" cm="1">
        <f t="array" ref="V23">SUMPRODUCT((Application!$B$726:$B$760 = 'CalHFA Addendum'!V$18)*(Application!$AC$726:$AC$760 = 'CalHFA Addendum'!$B23),Application!$G$726:$G$760)</f>
        <v>5</v>
      </c>
      <c r="W23" s="2210"/>
      <c r="X23" s="2210"/>
      <c r="Y23" s="2210"/>
      <c r="Z23" s="2210"/>
      <c r="AA23" s="2211"/>
      <c r="AB23" s="2209" cm="1">
        <f t="array" ref="AB23">SUMPRODUCT((Application!$B$726:$B$760 = 'CalHFA Addendum'!AB$18)*(Application!$AC$726:$AC$760 = 'CalHFA Addendum'!$B23),Application!$G$726:$G$760)</f>
        <v>10</v>
      </c>
      <c r="AC23" s="2210"/>
      <c r="AD23" s="2210"/>
      <c r="AE23" s="2210"/>
      <c r="AF23" s="2210"/>
      <c r="AG23" s="2211"/>
      <c r="AH23" s="2209" cm="1">
        <f t="array" ref="AH23">SUMPRODUCT((Application!$B$726:$B$760 = 'CalHFA Addendum'!AH$18)*(Application!$AC$726:$AC$760 = 'CalHFA Addendum'!$B23),Application!$G$726:$G$760)</f>
        <v>10</v>
      </c>
      <c r="AI23" s="2210"/>
      <c r="AJ23" s="2210"/>
      <c r="AK23" s="2210"/>
      <c r="AL23" s="2210"/>
      <c r="AM23" s="2211"/>
      <c r="AN23" s="2209" cm="1">
        <f t="array" ref="AN23">SUMPRODUCT((Application!$B$726:$B$760 = 'CalHFA Addendum'!AN$18)*(Application!$AC$726:$AC$760 = 'CalHFA Addendum'!$B23),Application!$G$726:$G$760)</f>
        <v>0</v>
      </c>
      <c r="AO23" s="2210"/>
      <c r="AP23" s="2210"/>
      <c r="AQ23" s="2210"/>
      <c r="AR23" s="2210"/>
      <c r="AS23" s="2211"/>
      <c r="AT23" s="2194">
        <f t="shared" si="1"/>
        <v>0.22123893805309736</v>
      </c>
      <c r="AU23" s="2195"/>
      <c r="AV23" s="2195"/>
      <c r="AW23" s="2195"/>
      <c r="AX23" s="2195"/>
      <c r="AY23" s="2196"/>
      <c r="AZ23" s="1097"/>
      <c r="BA23" s="1097"/>
      <c r="BB23" s="1097"/>
      <c r="BC23" s="1097"/>
      <c r="BD23" s="1097"/>
      <c r="BE23" s="1101"/>
    </row>
    <row r="24" spans="1:58" ht="14.5">
      <c r="A24" s="1097"/>
      <c r="B24" s="2206">
        <v>0.8</v>
      </c>
      <c r="C24" s="2207"/>
      <c r="D24" s="2207"/>
      <c r="E24" s="2207"/>
      <c r="F24" s="2207"/>
      <c r="G24" s="2207"/>
      <c r="H24" s="2207"/>
      <c r="I24" s="2208"/>
      <c r="J24" s="2209">
        <f t="shared" si="0"/>
        <v>0</v>
      </c>
      <c r="K24" s="2210"/>
      <c r="L24" s="2210"/>
      <c r="M24" s="2210"/>
      <c r="N24" s="2210"/>
      <c r="O24" s="2211"/>
      <c r="P24" s="2209" cm="1">
        <f t="array" ref="P24">SUMPRODUCT((Application!$B$726:$B$760 = 'CalHFA Addendum'!P$18)*(Application!$AC$726:$AC$760 = 'CalHFA Addendum'!$B24),Application!$G$726:$G$760)</f>
        <v>0</v>
      </c>
      <c r="Q24" s="2210"/>
      <c r="R24" s="2210"/>
      <c r="S24" s="2210"/>
      <c r="T24" s="2210"/>
      <c r="U24" s="2211"/>
      <c r="V24" s="2209" cm="1">
        <f t="array" ref="V24">SUMPRODUCT((Application!$B$726:$B$760 = 'CalHFA Addendum'!V$18)*(Application!$AC$726:$AC$760 = 'CalHFA Addendum'!$B24),Application!$G$726:$G$760)</f>
        <v>0</v>
      </c>
      <c r="W24" s="2210"/>
      <c r="X24" s="2210"/>
      <c r="Y24" s="2210"/>
      <c r="Z24" s="2210"/>
      <c r="AA24" s="2211"/>
      <c r="AB24" s="2209" cm="1">
        <f t="array" ref="AB24">SUMPRODUCT((Application!$B$726:$B$760 = 'CalHFA Addendum'!AB$18)*(Application!$AC$726:$AC$760 = 'CalHFA Addendum'!$B24),Application!$G$726:$G$760)</f>
        <v>0</v>
      </c>
      <c r="AC24" s="2210"/>
      <c r="AD24" s="2210"/>
      <c r="AE24" s="2210"/>
      <c r="AF24" s="2210"/>
      <c r="AG24" s="2211"/>
      <c r="AH24" s="2209" cm="1">
        <f t="array" ref="AH24">SUMPRODUCT((Application!$B$726:$B$760 = 'CalHFA Addendum'!AH$18)*(Application!$AC$726:$AC$760 = 'CalHFA Addendum'!$B24),Application!$G$726:$G$760)</f>
        <v>0</v>
      </c>
      <c r="AI24" s="2210"/>
      <c r="AJ24" s="2210"/>
      <c r="AK24" s="2210"/>
      <c r="AL24" s="2210"/>
      <c r="AM24" s="2211"/>
      <c r="AN24" s="2209" cm="1">
        <f t="array" ref="AN24">SUMPRODUCT((Application!$B$726:$B$760 = 'CalHFA Addendum'!AN$18)*(Application!$AC$726:$AC$760 = 'CalHFA Addendum'!$B24),Application!$G$726:$G$760)</f>
        <v>0</v>
      </c>
      <c r="AO24" s="2210"/>
      <c r="AP24" s="2210"/>
      <c r="AQ24" s="2210"/>
      <c r="AR24" s="2210"/>
      <c r="AS24" s="2211"/>
      <c r="AT24" s="2194">
        <f t="shared" si="1"/>
        <v>0</v>
      </c>
      <c r="AU24" s="2195"/>
      <c r="AV24" s="2195"/>
      <c r="AW24" s="2195"/>
      <c r="AX24" s="2195"/>
      <c r="AY24" s="2196"/>
      <c r="AZ24" s="1097"/>
      <c r="BA24" s="1097"/>
      <c r="BB24" s="1097"/>
      <c r="BC24" s="1097"/>
      <c r="BD24" s="1097"/>
      <c r="BE24" s="1101"/>
    </row>
    <row r="25" spans="1:58" ht="14.5">
      <c r="A25" s="1097"/>
      <c r="B25" s="2206">
        <v>0.9</v>
      </c>
      <c r="C25" s="2207"/>
      <c r="D25" s="2207"/>
      <c r="E25" s="2207"/>
      <c r="F25" s="2207"/>
      <c r="G25" s="2207"/>
      <c r="H25" s="2207"/>
      <c r="I25" s="2208"/>
      <c r="J25" s="2191"/>
      <c r="K25" s="2192"/>
      <c r="L25" s="2192"/>
      <c r="M25" s="2192"/>
      <c r="N25" s="2192"/>
      <c r="O25" s="2193"/>
      <c r="P25" s="2191"/>
      <c r="Q25" s="2192"/>
      <c r="R25" s="2192"/>
      <c r="S25" s="2192"/>
      <c r="T25" s="2192"/>
      <c r="U25" s="2193"/>
      <c r="V25" s="2191"/>
      <c r="W25" s="2192"/>
      <c r="X25" s="2192"/>
      <c r="Y25" s="2192"/>
      <c r="Z25" s="2192"/>
      <c r="AA25" s="2193"/>
      <c r="AB25" s="2191"/>
      <c r="AC25" s="2192"/>
      <c r="AD25" s="2192"/>
      <c r="AE25" s="2192"/>
      <c r="AF25" s="2192"/>
      <c r="AG25" s="2193"/>
      <c r="AH25" s="2191"/>
      <c r="AI25" s="2192"/>
      <c r="AJ25" s="2192"/>
      <c r="AK25" s="2192"/>
      <c r="AL25" s="2192"/>
      <c r="AM25" s="2193"/>
      <c r="AN25" s="2191"/>
      <c r="AO25" s="2192"/>
      <c r="AP25" s="2192"/>
      <c r="AQ25" s="2192"/>
      <c r="AR25" s="2192"/>
      <c r="AS25" s="2193"/>
      <c r="AT25" s="2194">
        <f t="shared" si="1"/>
        <v>0</v>
      </c>
      <c r="AU25" s="2195"/>
      <c r="AV25" s="2195"/>
      <c r="AW25" s="2195"/>
      <c r="AX25" s="2195"/>
      <c r="AY25" s="2196"/>
      <c r="AZ25" s="1097"/>
      <c r="BA25" s="1097"/>
      <c r="BB25" s="1097"/>
      <c r="BC25" s="1097"/>
      <c r="BD25" s="1097"/>
      <c r="BE25" s="1101"/>
    </row>
    <row r="26" spans="1:58" ht="14.5">
      <c r="A26" s="1097"/>
      <c r="B26" s="2206">
        <v>1</v>
      </c>
      <c r="C26" s="2207"/>
      <c r="D26" s="2207"/>
      <c r="E26" s="2207"/>
      <c r="F26" s="2207"/>
      <c r="G26" s="2207"/>
      <c r="H26" s="2207"/>
      <c r="I26" s="2208"/>
      <c r="J26" s="2191"/>
      <c r="K26" s="2192"/>
      <c r="L26" s="2192"/>
      <c r="M26" s="2192"/>
      <c r="N26" s="2192"/>
      <c r="O26" s="2193"/>
      <c r="P26" s="2191"/>
      <c r="Q26" s="2192"/>
      <c r="R26" s="2192"/>
      <c r="S26" s="2192"/>
      <c r="T26" s="2192"/>
      <c r="U26" s="2193"/>
      <c r="V26" s="2191"/>
      <c r="W26" s="2192"/>
      <c r="X26" s="2192"/>
      <c r="Y26" s="2192"/>
      <c r="Z26" s="2192"/>
      <c r="AA26" s="2193"/>
      <c r="AB26" s="2191"/>
      <c r="AC26" s="2192"/>
      <c r="AD26" s="2192"/>
      <c r="AE26" s="2192"/>
      <c r="AF26" s="2192"/>
      <c r="AG26" s="2193"/>
      <c r="AH26" s="2191"/>
      <c r="AI26" s="2192"/>
      <c r="AJ26" s="2192"/>
      <c r="AK26" s="2192"/>
      <c r="AL26" s="2192"/>
      <c r="AM26" s="2193"/>
      <c r="AN26" s="2191"/>
      <c r="AO26" s="2192"/>
      <c r="AP26" s="2192"/>
      <c r="AQ26" s="2192"/>
      <c r="AR26" s="2192"/>
      <c r="AS26" s="2193"/>
      <c r="AT26" s="2194">
        <f t="shared" si="1"/>
        <v>0</v>
      </c>
      <c r="AU26" s="2195"/>
      <c r="AV26" s="2195"/>
      <c r="AW26" s="2195"/>
      <c r="AX26" s="2195"/>
      <c r="AY26" s="2196"/>
      <c r="AZ26" s="1097"/>
      <c r="BA26" s="1097"/>
      <c r="BB26" s="1097"/>
      <c r="BC26" s="1097"/>
      <c r="BD26" s="1097"/>
      <c r="BE26" s="1101"/>
    </row>
    <row r="27" spans="1:58" ht="14.5">
      <c r="A27" s="1097"/>
      <c r="B27" s="2206">
        <v>1.2</v>
      </c>
      <c r="C27" s="2207"/>
      <c r="D27" s="2207"/>
      <c r="E27" s="2207"/>
      <c r="F27" s="2207"/>
      <c r="G27" s="2207"/>
      <c r="H27" s="2207"/>
      <c r="I27" s="2208"/>
      <c r="J27" s="2191"/>
      <c r="K27" s="2192"/>
      <c r="L27" s="2192"/>
      <c r="M27" s="2192"/>
      <c r="N27" s="2192"/>
      <c r="O27" s="2193"/>
      <c r="P27" s="2191"/>
      <c r="Q27" s="2192"/>
      <c r="R27" s="2192"/>
      <c r="S27" s="2192"/>
      <c r="T27" s="2192"/>
      <c r="U27" s="2193"/>
      <c r="V27" s="2191"/>
      <c r="W27" s="2192"/>
      <c r="X27" s="2192"/>
      <c r="Y27" s="2192"/>
      <c r="Z27" s="2192"/>
      <c r="AA27" s="2193"/>
      <c r="AB27" s="2191"/>
      <c r="AC27" s="2192"/>
      <c r="AD27" s="2192"/>
      <c r="AE27" s="2192"/>
      <c r="AF27" s="2192"/>
      <c r="AG27" s="2193"/>
      <c r="AH27" s="2191"/>
      <c r="AI27" s="2192"/>
      <c r="AJ27" s="2192"/>
      <c r="AK27" s="2192"/>
      <c r="AL27" s="2192"/>
      <c r="AM27" s="2193"/>
      <c r="AN27" s="2191"/>
      <c r="AO27" s="2192"/>
      <c r="AP27" s="2192"/>
      <c r="AQ27" s="2192"/>
      <c r="AR27" s="2192"/>
      <c r="AS27" s="2193"/>
      <c r="AT27" s="2194">
        <f t="shared" si="1"/>
        <v>0</v>
      </c>
      <c r="AU27" s="2195"/>
      <c r="AV27" s="2195"/>
      <c r="AW27" s="2195"/>
      <c r="AX27" s="2195"/>
      <c r="AY27" s="2196"/>
      <c r="AZ27" s="1097"/>
      <c r="BA27" s="1097"/>
      <c r="BB27" s="1097"/>
      <c r="BC27" s="1097"/>
      <c r="BD27" s="1097"/>
      <c r="BE27" s="1101"/>
    </row>
    <row r="28" spans="1:58" ht="15" thickBot="1">
      <c r="A28" s="1097"/>
      <c r="B28" s="2197" t="s">
        <v>1941</v>
      </c>
      <c r="C28" s="2198"/>
      <c r="D28" s="2198"/>
      <c r="E28" s="2198"/>
      <c r="F28" s="2198"/>
      <c r="G28" s="2198"/>
      <c r="H28" s="2198"/>
      <c r="I28" s="2199"/>
      <c r="J28" s="2200">
        <f>SUM(P28:AS28)</f>
        <v>1</v>
      </c>
      <c r="K28" s="2201"/>
      <c r="L28" s="2201"/>
      <c r="M28" s="2201"/>
      <c r="N28" s="2201"/>
      <c r="O28" s="2202"/>
      <c r="P28" s="2200">
        <f>_xlfn.IFNA(VLOOKUP(P$18,Application!$J$781:$S$784,6,FALSE), 0)</f>
        <v>0</v>
      </c>
      <c r="Q28" s="2201"/>
      <c r="R28" s="2201"/>
      <c r="S28" s="2201"/>
      <c r="T28" s="2201"/>
      <c r="U28" s="2202"/>
      <c r="V28" s="2200">
        <f>_xlfn.IFNA(VLOOKUP(V$18,Application!$J$781:$S$784,6,FALSE), 0)</f>
        <v>0</v>
      </c>
      <c r="W28" s="2201"/>
      <c r="X28" s="2201"/>
      <c r="Y28" s="2201"/>
      <c r="Z28" s="2201"/>
      <c r="AA28" s="2202"/>
      <c r="AB28" s="2200">
        <f>_xlfn.IFNA(VLOOKUP(AB$18,Application!$J$781:$S$784,6,FALSE), 0)</f>
        <v>0</v>
      </c>
      <c r="AC28" s="2201"/>
      <c r="AD28" s="2201"/>
      <c r="AE28" s="2201"/>
      <c r="AF28" s="2201"/>
      <c r="AG28" s="2202"/>
      <c r="AH28" s="2200">
        <f>_xlfn.IFNA(VLOOKUP(AH$18,Application!$J$781:$S$784,6,FALSE), 0)</f>
        <v>1</v>
      </c>
      <c r="AI28" s="2201"/>
      <c r="AJ28" s="2201"/>
      <c r="AK28" s="2201"/>
      <c r="AL28" s="2201"/>
      <c r="AM28" s="2202"/>
      <c r="AN28" s="2200">
        <f>_xlfn.IFNA(VLOOKUP(AN$18,Application!$J$781:$S$784,6,FALSE), 0)</f>
        <v>0</v>
      </c>
      <c r="AO28" s="2201"/>
      <c r="AP28" s="2201"/>
      <c r="AQ28" s="2201"/>
      <c r="AR28" s="2201"/>
      <c r="AS28" s="2202"/>
      <c r="AT28" s="2203">
        <f t="shared" si="1"/>
        <v>8.8495575221238937E-3</v>
      </c>
      <c r="AU28" s="2204"/>
      <c r="AV28" s="2204"/>
      <c r="AW28" s="2204"/>
      <c r="AX28" s="2204"/>
      <c r="AY28" s="2205"/>
      <c r="AZ28" s="1097"/>
      <c r="BA28" s="1097"/>
      <c r="BB28" s="1097"/>
      <c r="BC28" s="1097"/>
      <c r="BD28" s="1097"/>
      <c r="BE28" s="1101"/>
    </row>
    <row r="29" spans="1:58" ht="15" thickBot="1">
      <c r="A29" s="1097"/>
      <c r="B29" s="2180" t="s">
        <v>1939</v>
      </c>
      <c r="C29" s="2153"/>
      <c r="D29" s="2153"/>
      <c r="E29" s="2153"/>
      <c r="F29" s="2153"/>
      <c r="G29" s="2153"/>
      <c r="H29" s="2153"/>
      <c r="I29" s="2154"/>
      <c r="J29" s="2152">
        <f>SUM(J19:O28)</f>
        <v>113</v>
      </c>
      <c r="K29" s="2153"/>
      <c r="L29" s="2153"/>
      <c r="M29" s="2153"/>
      <c r="N29" s="2153"/>
      <c r="O29" s="2154"/>
      <c r="P29" s="2152">
        <f>SUM(P19:U28)</f>
        <v>0</v>
      </c>
      <c r="Q29" s="2153"/>
      <c r="R29" s="2153"/>
      <c r="S29" s="2153"/>
      <c r="T29" s="2153"/>
      <c r="U29" s="2154"/>
      <c r="V29" s="2152">
        <f>SUM(V19:AA28)</f>
        <v>15</v>
      </c>
      <c r="W29" s="2153"/>
      <c r="X29" s="2153"/>
      <c r="Y29" s="2153"/>
      <c r="Z29" s="2153"/>
      <c r="AA29" s="2154"/>
      <c r="AB29" s="2152">
        <f>SUM(AB19:AG28)</f>
        <v>44</v>
      </c>
      <c r="AC29" s="2153"/>
      <c r="AD29" s="2153"/>
      <c r="AE29" s="2153"/>
      <c r="AF29" s="2153"/>
      <c r="AG29" s="2154"/>
      <c r="AH29" s="2152">
        <f>SUM(AH19:AM28)</f>
        <v>54</v>
      </c>
      <c r="AI29" s="2153"/>
      <c r="AJ29" s="2153"/>
      <c r="AK29" s="2153"/>
      <c r="AL29" s="2153"/>
      <c r="AM29" s="2154"/>
      <c r="AN29" s="2152">
        <f>SUM(AN19:AS28)</f>
        <v>0</v>
      </c>
      <c r="AO29" s="2153"/>
      <c r="AP29" s="2153"/>
      <c r="AQ29" s="2153"/>
      <c r="AR29" s="2153"/>
      <c r="AS29" s="2154"/>
      <c r="AT29" s="2155">
        <f t="shared" si="1"/>
        <v>1</v>
      </c>
      <c r="AU29" s="2156"/>
      <c r="AV29" s="2156"/>
      <c r="AW29" s="2156"/>
      <c r="AX29" s="2156"/>
      <c r="AY29" s="2157"/>
      <c r="AZ29" s="1097"/>
      <c r="BA29" s="1097"/>
      <c r="BB29" s="1097"/>
      <c r="BC29" s="1097"/>
      <c r="BD29" s="1097"/>
      <c r="BE29" s="1101"/>
    </row>
    <row r="30" spans="1:58" ht="15"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5" thickBot="1">
      <c r="A31" s="1097"/>
      <c r="B31" s="2158" t="s">
        <v>1942</v>
      </c>
      <c r="C31" s="2159"/>
      <c r="D31" s="2159"/>
      <c r="E31" s="2159"/>
      <c r="F31" s="2159"/>
      <c r="G31" s="2159"/>
      <c r="H31" s="2159"/>
      <c r="I31" s="2159"/>
      <c r="J31" s="2159"/>
      <c r="K31" s="2159"/>
      <c r="L31" s="2159"/>
      <c r="M31" s="2159"/>
      <c r="N31" s="2159"/>
      <c r="O31" s="2159"/>
      <c r="P31" s="2159"/>
      <c r="Q31" s="2159"/>
      <c r="R31" s="2159"/>
      <c r="S31" s="2159"/>
      <c r="T31" s="2159"/>
      <c r="U31" s="2159"/>
      <c r="V31" s="2159"/>
      <c r="W31" s="2159"/>
      <c r="X31" s="2159"/>
      <c r="Y31" s="2159"/>
      <c r="Z31" s="2159"/>
      <c r="AA31" s="2159"/>
      <c r="AB31" s="2159"/>
      <c r="AC31" s="2159"/>
      <c r="AD31" s="2159"/>
      <c r="AE31" s="2159"/>
      <c r="AF31" s="2159"/>
      <c r="AG31" s="2159"/>
      <c r="AH31" s="2159"/>
      <c r="AI31" s="2159"/>
      <c r="AJ31" s="2159"/>
      <c r="AK31" s="2159"/>
      <c r="AL31" s="2159"/>
      <c r="AM31" s="2159"/>
      <c r="AN31" s="2159"/>
      <c r="AO31" s="2159"/>
      <c r="AP31" s="2159"/>
      <c r="AQ31" s="2159"/>
      <c r="AR31" s="2159"/>
      <c r="AS31" s="2159"/>
      <c r="AT31" s="2159"/>
      <c r="AU31" s="2159"/>
      <c r="AV31" s="2159"/>
      <c r="AW31" s="2159"/>
      <c r="AX31" s="2159"/>
      <c r="AY31" s="2159"/>
      <c r="AZ31" s="2159"/>
      <c r="BA31" s="2159"/>
      <c r="BB31" s="2159"/>
      <c r="BC31" s="2159"/>
      <c r="BD31" s="2160"/>
      <c r="BE31" s="1101"/>
    </row>
    <row r="32" spans="1:58" ht="15" thickBot="1">
      <c r="A32" s="1097"/>
      <c r="B32" s="2161" t="s">
        <v>1943</v>
      </c>
      <c r="C32" s="2162"/>
      <c r="D32" s="2162"/>
      <c r="E32" s="2162"/>
      <c r="F32" s="2162"/>
      <c r="G32" s="2162"/>
      <c r="H32" s="2162"/>
      <c r="I32" s="2162"/>
      <c r="J32" s="2165" t="s">
        <v>1944</v>
      </c>
      <c r="K32" s="2166"/>
      <c r="L32" s="2166"/>
      <c r="M32" s="2166"/>
      <c r="N32" s="2165" t="s">
        <v>1945</v>
      </c>
      <c r="O32" s="2166"/>
      <c r="P32" s="2166"/>
      <c r="Q32" s="2168"/>
      <c r="R32" s="2170" t="s">
        <v>1946</v>
      </c>
      <c r="S32" s="2171"/>
      <c r="T32" s="2171"/>
      <c r="U32" s="2171"/>
      <c r="V32" s="2171"/>
      <c r="W32" s="2171"/>
      <c r="X32" s="2171"/>
      <c r="Y32" s="2171"/>
      <c r="Z32" s="2171"/>
      <c r="AA32" s="2171"/>
      <c r="AB32" s="2171"/>
      <c r="AC32" s="2171"/>
      <c r="AD32" s="2171"/>
      <c r="AE32" s="2171"/>
      <c r="AF32" s="2171"/>
      <c r="AG32" s="2171"/>
      <c r="AH32" s="2171"/>
      <c r="AI32" s="2171"/>
      <c r="AJ32" s="2171"/>
      <c r="AK32" s="2171"/>
      <c r="AL32" s="2171"/>
      <c r="AM32" s="2171"/>
      <c r="AN32" s="2171"/>
      <c r="AO32" s="2171"/>
      <c r="AP32" s="2171"/>
      <c r="AQ32" s="2171"/>
      <c r="AR32" s="2171"/>
      <c r="AS32" s="2171"/>
      <c r="AT32" s="2171"/>
      <c r="AU32" s="2171"/>
      <c r="AV32" s="2171"/>
      <c r="AW32" s="2171"/>
      <c r="AX32" s="2171"/>
      <c r="AY32" s="2171"/>
      <c r="AZ32" s="2171"/>
      <c r="BA32" s="2171"/>
      <c r="BB32" s="2171"/>
      <c r="BC32" s="2171"/>
      <c r="BD32" s="2172"/>
      <c r="BE32" s="1101"/>
    </row>
    <row r="33" spans="1:58" ht="15" customHeight="1">
      <c r="A33" s="1097"/>
      <c r="B33" s="2163"/>
      <c r="C33" s="2164"/>
      <c r="D33" s="2164"/>
      <c r="E33" s="2164"/>
      <c r="F33" s="2164"/>
      <c r="G33" s="2164"/>
      <c r="H33" s="2164"/>
      <c r="I33" s="2164"/>
      <c r="J33" s="2167"/>
      <c r="K33" s="2167"/>
      <c r="L33" s="2167"/>
      <c r="M33" s="2167"/>
      <c r="N33" s="2167"/>
      <c r="O33" s="2167"/>
      <c r="P33" s="2167"/>
      <c r="Q33" s="2169"/>
      <c r="R33" s="2173" t="s">
        <v>1947</v>
      </c>
      <c r="S33" s="2174"/>
      <c r="T33" s="2174"/>
      <c r="U33" s="2174"/>
      <c r="V33" s="2174"/>
      <c r="W33" s="2174"/>
      <c r="X33" s="2174"/>
      <c r="Y33" s="2174"/>
      <c r="Z33" s="2174"/>
      <c r="AA33" s="2174"/>
      <c r="AB33" s="2174"/>
      <c r="AC33" s="2174"/>
      <c r="AD33" s="2174"/>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174"/>
      <c r="BB33" s="2174"/>
      <c r="BC33" s="2174"/>
      <c r="BD33" s="2175"/>
      <c r="BE33" s="1101"/>
    </row>
    <row r="34" spans="1:58" ht="15.75" customHeight="1" thickBot="1">
      <c r="A34" s="1097"/>
      <c r="B34" s="2163"/>
      <c r="C34" s="2164"/>
      <c r="D34" s="2164"/>
      <c r="E34" s="2164"/>
      <c r="F34" s="2164"/>
      <c r="G34" s="2164"/>
      <c r="H34" s="2164"/>
      <c r="I34" s="2164"/>
      <c r="J34" s="2167"/>
      <c r="K34" s="2167"/>
      <c r="L34" s="2167"/>
      <c r="M34" s="2167"/>
      <c r="N34" s="2167"/>
      <c r="O34" s="2167"/>
      <c r="P34" s="2167"/>
      <c r="Q34" s="2169"/>
      <c r="R34" s="2176"/>
      <c r="S34" s="2177"/>
      <c r="T34" s="2177"/>
      <c r="U34" s="2177"/>
      <c r="V34" s="2177"/>
      <c r="W34" s="2177"/>
      <c r="X34" s="2177"/>
      <c r="Y34" s="2177"/>
      <c r="Z34" s="2177"/>
      <c r="AA34" s="2177"/>
      <c r="AB34" s="2177"/>
      <c r="AC34" s="2177"/>
      <c r="AD34" s="2177"/>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177"/>
      <c r="BB34" s="2177"/>
      <c r="BC34" s="2177"/>
      <c r="BD34" s="2178"/>
      <c r="BE34" s="1101"/>
    </row>
    <row r="35" spans="1:58" ht="15.75" customHeight="1">
      <c r="A35" s="1097"/>
      <c r="B35" s="2163"/>
      <c r="C35" s="2164"/>
      <c r="D35" s="2164"/>
      <c r="E35" s="2164"/>
      <c r="F35" s="2164"/>
      <c r="G35" s="2164"/>
      <c r="H35" s="2164"/>
      <c r="I35" s="2164"/>
      <c r="J35" s="2167"/>
      <c r="K35" s="2167"/>
      <c r="L35" s="2167"/>
      <c r="M35" s="2167"/>
      <c r="N35" s="2167"/>
      <c r="O35" s="2167"/>
      <c r="P35" s="2167"/>
      <c r="Q35" s="2167"/>
      <c r="R35" s="2179">
        <v>0.3</v>
      </c>
      <c r="S35" s="2179"/>
      <c r="T35" s="2179"/>
      <c r="U35" s="2179"/>
      <c r="V35" s="2179">
        <v>0.4</v>
      </c>
      <c r="W35" s="2179"/>
      <c r="X35" s="2179"/>
      <c r="Y35" s="2179"/>
      <c r="Z35" s="2179">
        <v>0.5</v>
      </c>
      <c r="AA35" s="2179"/>
      <c r="AB35" s="2179"/>
      <c r="AC35" s="2179"/>
      <c r="AD35" s="2179">
        <v>0.6</v>
      </c>
      <c r="AE35" s="2179"/>
      <c r="AF35" s="2179"/>
      <c r="AG35" s="2179"/>
      <c r="AH35" s="2179">
        <v>0.7</v>
      </c>
      <c r="AI35" s="2179"/>
      <c r="AJ35" s="2179"/>
      <c r="AK35" s="2179"/>
      <c r="AL35" s="2184">
        <v>0.8</v>
      </c>
      <c r="AM35" s="2185"/>
      <c r="AN35" s="2185"/>
      <c r="AO35" s="2186"/>
      <c r="AP35" s="2187">
        <v>1.2</v>
      </c>
      <c r="AQ35" s="2188"/>
      <c r="AR35" s="2189"/>
      <c r="AS35" s="2181" t="s">
        <v>1948</v>
      </c>
      <c r="AT35" s="2182"/>
      <c r="AU35" s="2182"/>
      <c r="AV35" s="2182"/>
      <c r="AW35" s="2182"/>
      <c r="AX35" s="2190"/>
      <c r="AY35" s="2181" t="s">
        <v>1949</v>
      </c>
      <c r="AZ35" s="2182"/>
      <c r="BA35" s="2182"/>
      <c r="BB35" s="2182"/>
      <c r="BC35" s="2182"/>
      <c r="BD35" s="2183"/>
      <c r="BE35" s="1101"/>
    </row>
    <row r="36" spans="1:58" ht="15.75" customHeight="1">
      <c r="A36" s="1097"/>
      <c r="B36" s="2085" t="s">
        <v>2796</v>
      </c>
      <c r="C36" s="2086"/>
      <c r="D36" s="2086"/>
      <c r="E36" s="2086"/>
      <c r="F36" s="2086"/>
      <c r="G36" s="2086"/>
      <c r="H36" s="2086"/>
      <c r="I36" s="2086"/>
      <c r="J36" s="2150"/>
      <c r="K36" s="2150"/>
      <c r="L36" s="2150"/>
      <c r="M36" s="2150"/>
      <c r="N36" s="2150"/>
      <c r="O36" s="2150"/>
      <c r="P36" s="2150"/>
      <c r="Q36" s="2150"/>
      <c r="R36" s="2151"/>
      <c r="S36" s="2151"/>
      <c r="T36" s="2151"/>
      <c r="U36" s="2151"/>
      <c r="V36" s="2151"/>
      <c r="W36" s="2151"/>
      <c r="X36" s="2151"/>
      <c r="Y36" s="2151"/>
      <c r="Z36" s="2151"/>
      <c r="AA36" s="2151"/>
      <c r="AB36" s="2151"/>
      <c r="AC36" s="2151"/>
      <c r="AD36" s="2151"/>
      <c r="AE36" s="2151"/>
      <c r="AF36" s="2151"/>
      <c r="AG36" s="2151"/>
      <c r="AH36" s="2151"/>
      <c r="AI36" s="2151"/>
      <c r="AJ36" s="2151"/>
      <c r="AK36" s="2151"/>
      <c r="AL36" s="2135"/>
      <c r="AM36" s="2136"/>
      <c r="AN36" s="2136"/>
      <c r="AO36" s="2137"/>
      <c r="AP36" s="2135"/>
      <c r="AQ36" s="2136"/>
      <c r="AR36" s="2137"/>
      <c r="AS36" s="2138">
        <f t="shared" ref="AS36:AS47" si="2">SUM(R36:AR36)</f>
        <v>0</v>
      </c>
      <c r="AT36" s="2139"/>
      <c r="AU36" s="2139"/>
      <c r="AV36" s="2139"/>
      <c r="AW36" s="2139"/>
      <c r="AX36" s="2140"/>
      <c r="AY36" s="2141">
        <f t="shared" ref="AY36:AY47" si="3">AS36/$J$29</f>
        <v>0</v>
      </c>
      <c r="AZ36" s="2142"/>
      <c r="BA36" s="2142"/>
      <c r="BB36" s="2142"/>
      <c r="BC36" s="2142"/>
      <c r="BD36" s="2143"/>
      <c r="BE36" s="1101"/>
    </row>
    <row r="37" spans="1:58" ht="15.75" customHeight="1">
      <c r="A37" s="1097"/>
      <c r="B37" s="2085"/>
      <c r="C37" s="2086"/>
      <c r="D37" s="2086"/>
      <c r="E37" s="2086"/>
      <c r="F37" s="2086"/>
      <c r="G37" s="2086"/>
      <c r="H37" s="2086"/>
      <c r="I37" s="2086"/>
      <c r="J37" s="2150"/>
      <c r="K37" s="2150"/>
      <c r="L37" s="2150"/>
      <c r="M37" s="2150"/>
      <c r="N37" s="2150"/>
      <c r="O37" s="2150"/>
      <c r="P37" s="2150"/>
      <c r="Q37" s="2150"/>
      <c r="R37" s="2151"/>
      <c r="S37" s="2151"/>
      <c r="T37" s="2151"/>
      <c r="U37" s="2151"/>
      <c r="V37" s="2151"/>
      <c r="W37" s="2151"/>
      <c r="X37" s="2151"/>
      <c r="Y37" s="2151"/>
      <c r="Z37" s="2151"/>
      <c r="AA37" s="2151"/>
      <c r="AB37" s="2151"/>
      <c r="AC37" s="2151"/>
      <c r="AD37" s="2151"/>
      <c r="AE37" s="2151"/>
      <c r="AF37" s="2151"/>
      <c r="AG37" s="2151"/>
      <c r="AH37" s="2151"/>
      <c r="AI37" s="2151"/>
      <c r="AJ37" s="2151"/>
      <c r="AK37" s="2151"/>
      <c r="AL37" s="2135"/>
      <c r="AM37" s="2136"/>
      <c r="AN37" s="2136"/>
      <c r="AO37" s="2137"/>
      <c r="AP37" s="2135"/>
      <c r="AQ37" s="2136"/>
      <c r="AR37" s="2137"/>
      <c r="AS37" s="2138">
        <f t="shared" si="2"/>
        <v>0</v>
      </c>
      <c r="AT37" s="2139"/>
      <c r="AU37" s="2139"/>
      <c r="AV37" s="2139"/>
      <c r="AW37" s="2139"/>
      <c r="AX37" s="2140"/>
      <c r="AY37" s="2141">
        <f t="shared" si="3"/>
        <v>0</v>
      </c>
      <c r="AZ37" s="2142"/>
      <c r="BA37" s="2142"/>
      <c r="BB37" s="2142"/>
      <c r="BC37" s="2142"/>
      <c r="BD37" s="2143"/>
      <c r="BE37" s="1101"/>
    </row>
    <row r="38" spans="1:58" ht="15.75" customHeight="1">
      <c r="A38" s="1097"/>
      <c r="B38" s="2085"/>
      <c r="C38" s="2086"/>
      <c r="D38" s="2086"/>
      <c r="E38" s="2086"/>
      <c r="F38" s="2086"/>
      <c r="G38" s="2086"/>
      <c r="H38" s="2086"/>
      <c r="I38" s="2086"/>
      <c r="J38" s="2150"/>
      <c r="K38" s="2150"/>
      <c r="L38" s="2150"/>
      <c r="M38" s="2150"/>
      <c r="N38" s="2150"/>
      <c r="O38" s="2150"/>
      <c r="P38" s="2150"/>
      <c r="Q38" s="2150"/>
      <c r="R38" s="2151"/>
      <c r="S38" s="2151"/>
      <c r="T38" s="2151"/>
      <c r="U38" s="2151"/>
      <c r="V38" s="2151"/>
      <c r="W38" s="2151"/>
      <c r="X38" s="2151"/>
      <c r="Y38" s="2151"/>
      <c r="Z38" s="2151"/>
      <c r="AA38" s="2151"/>
      <c r="AB38" s="2151"/>
      <c r="AC38" s="2151"/>
      <c r="AD38" s="2151"/>
      <c r="AE38" s="2151"/>
      <c r="AF38" s="2151"/>
      <c r="AG38" s="2151"/>
      <c r="AH38" s="2151"/>
      <c r="AI38" s="2151"/>
      <c r="AJ38" s="2151"/>
      <c r="AK38" s="2151"/>
      <c r="AL38" s="2135"/>
      <c r="AM38" s="2136"/>
      <c r="AN38" s="2136"/>
      <c r="AO38" s="2137"/>
      <c r="AP38" s="2135"/>
      <c r="AQ38" s="2136"/>
      <c r="AR38" s="2137"/>
      <c r="AS38" s="2138">
        <f t="shared" si="2"/>
        <v>0</v>
      </c>
      <c r="AT38" s="2139"/>
      <c r="AU38" s="2139"/>
      <c r="AV38" s="2139"/>
      <c r="AW38" s="2139"/>
      <c r="AX38" s="2140"/>
      <c r="AY38" s="2141">
        <f t="shared" si="3"/>
        <v>0</v>
      </c>
      <c r="AZ38" s="2142"/>
      <c r="BA38" s="2142"/>
      <c r="BB38" s="2142"/>
      <c r="BC38" s="2142"/>
      <c r="BD38" s="2143"/>
      <c r="BE38" s="1101"/>
    </row>
    <row r="39" spans="1:58" ht="15.75" customHeight="1">
      <c r="A39" s="1097"/>
      <c r="B39" s="2085" t="s">
        <v>1950</v>
      </c>
      <c r="C39" s="2086"/>
      <c r="D39" s="2086"/>
      <c r="E39" s="2086"/>
      <c r="F39" s="2086"/>
      <c r="G39" s="2086"/>
      <c r="H39" s="2086"/>
      <c r="I39" s="2086"/>
      <c r="J39" s="2150"/>
      <c r="K39" s="2150"/>
      <c r="L39" s="2150"/>
      <c r="M39" s="2150"/>
      <c r="N39" s="2150"/>
      <c r="O39" s="2150"/>
      <c r="P39" s="2150"/>
      <c r="Q39" s="2150"/>
      <c r="R39" s="2151"/>
      <c r="S39" s="2151"/>
      <c r="T39" s="2151"/>
      <c r="U39" s="2151"/>
      <c r="V39" s="2151"/>
      <c r="W39" s="2151"/>
      <c r="X39" s="2151"/>
      <c r="Y39" s="2151"/>
      <c r="Z39" s="2151"/>
      <c r="AA39" s="2151"/>
      <c r="AB39" s="2151"/>
      <c r="AC39" s="2151"/>
      <c r="AD39" s="2151"/>
      <c r="AE39" s="2151"/>
      <c r="AF39" s="2151"/>
      <c r="AG39" s="2151"/>
      <c r="AH39" s="2151"/>
      <c r="AI39" s="2151"/>
      <c r="AJ39" s="2151"/>
      <c r="AK39" s="2151"/>
      <c r="AL39" s="2135"/>
      <c r="AM39" s="2136"/>
      <c r="AN39" s="2136"/>
      <c r="AO39" s="2137"/>
      <c r="AP39" s="2135"/>
      <c r="AQ39" s="2136"/>
      <c r="AR39" s="2137"/>
      <c r="AS39" s="2138">
        <f t="shared" si="2"/>
        <v>0</v>
      </c>
      <c r="AT39" s="2139"/>
      <c r="AU39" s="2139"/>
      <c r="AV39" s="2139"/>
      <c r="AW39" s="2139"/>
      <c r="AX39" s="2140"/>
      <c r="AY39" s="2141">
        <f t="shared" si="3"/>
        <v>0</v>
      </c>
      <c r="AZ39" s="2142"/>
      <c r="BA39" s="2142"/>
      <c r="BB39" s="2142"/>
      <c r="BC39" s="2142"/>
      <c r="BD39" s="2143"/>
      <c r="BE39" s="1101"/>
    </row>
    <row r="40" spans="1:58" ht="15.75" customHeight="1">
      <c r="A40" s="1097"/>
      <c r="B40" s="2085" t="s">
        <v>1950</v>
      </c>
      <c r="C40" s="2086"/>
      <c r="D40" s="2086"/>
      <c r="E40" s="2086"/>
      <c r="F40" s="2086"/>
      <c r="G40" s="2086"/>
      <c r="H40" s="2086"/>
      <c r="I40" s="2086"/>
      <c r="J40" s="2150"/>
      <c r="K40" s="2150"/>
      <c r="L40" s="2150"/>
      <c r="M40" s="2150"/>
      <c r="N40" s="2150"/>
      <c r="O40" s="2150"/>
      <c r="P40" s="2150"/>
      <c r="Q40" s="2150"/>
      <c r="R40" s="2151"/>
      <c r="S40" s="2151"/>
      <c r="T40" s="2151"/>
      <c r="U40" s="2151"/>
      <c r="V40" s="2151"/>
      <c r="W40" s="2151"/>
      <c r="X40" s="2151"/>
      <c r="Y40" s="2151"/>
      <c r="Z40" s="2151"/>
      <c r="AA40" s="2151"/>
      <c r="AB40" s="2151"/>
      <c r="AC40" s="2151"/>
      <c r="AD40" s="2151"/>
      <c r="AE40" s="2151"/>
      <c r="AF40" s="2151"/>
      <c r="AG40" s="2151"/>
      <c r="AH40" s="2151"/>
      <c r="AI40" s="2151"/>
      <c r="AJ40" s="2151"/>
      <c r="AK40" s="2151"/>
      <c r="AL40" s="2135"/>
      <c r="AM40" s="2136"/>
      <c r="AN40" s="2136"/>
      <c r="AO40" s="2137"/>
      <c r="AP40" s="2135"/>
      <c r="AQ40" s="2136"/>
      <c r="AR40" s="2137"/>
      <c r="AS40" s="2138">
        <f t="shared" si="2"/>
        <v>0</v>
      </c>
      <c r="AT40" s="2139"/>
      <c r="AU40" s="2139"/>
      <c r="AV40" s="2139"/>
      <c r="AW40" s="2139"/>
      <c r="AX40" s="2140"/>
      <c r="AY40" s="2141">
        <f t="shared" si="3"/>
        <v>0</v>
      </c>
      <c r="AZ40" s="2142"/>
      <c r="BA40" s="2142"/>
      <c r="BB40" s="2142"/>
      <c r="BC40" s="2142"/>
      <c r="BD40" s="2143"/>
      <c r="BE40" s="1101"/>
    </row>
    <row r="41" spans="1:58" ht="15.75" customHeight="1">
      <c r="A41" s="1097"/>
      <c r="B41" s="2085" t="s">
        <v>1951</v>
      </c>
      <c r="C41" s="2086"/>
      <c r="D41" s="2086"/>
      <c r="E41" s="2086"/>
      <c r="F41" s="2086"/>
      <c r="G41" s="2086"/>
      <c r="H41" s="2086"/>
      <c r="I41" s="2086"/>
      <c r="J41" s="2150"/>
      <c r="K41" s="2150"/>
      <c r="L41" s="2150"/>
      <c r="M41" s="2150"/>
      <c r="N41" s="2150"/>
      <c r="O41" s="2150"/>
      <c r="P41" s="2150"/>
      <c r="Q41" s="2150"/>
      <c r="R41" s="2151"/>
      <c r="S41" s="2151"/>
      <c r="T41" s="2151"/>
      <c r="U41" s="2151"/>
      <c r="V41" s="2151"/>
      <c r="W41" s="2151"/>
      <c r="X41" s="2151"/>
      <c r="Y41" s="2151"/>
      <c r="Z41" s="2151"/>
      <c r="AA41" s="2151"/>
      <c r="AB41" s="2151"/>
      <c r="AC41" s="2151"/>
      <c r="AD41" s="2151"/>
      <c r="AE41" s="2151"/>
      <c r="AF41" s="2151"/>
      <c r="AG41" s="2151"/>
      <c r="AH41" s="2151"/>
      <c r="AI41" s="2151"/>
      <c r="AJ41" s="2151"/>
      <c r="AK41" s="2151"/>
      <c r="AL41" s="2135"/>
      <c r="AM41" s="2136"/>
      <c r="AN41" s="2136"/>
      <c r="AO41" s="2137"/>
      <c r="AP41" s="2135"/>
      <c r="AQ41" s="2136"/>
      <c r="AR41" s="2137"/>
      <c r="AS41" s="2138">
        <f t="shared" si="2"/>
        <v>0</v>
      </c>
      <c r="AT41" s="2139"/>
      <c r="AU41" s="2139"/>
      <c r="AV41" s="2139"/>
      <c r="AW41" s="2139"/>
      <c r="AX41" s="2140"/>
      <c r="AY41" s="2141">
        <f t="shared" si="3"/>
        <v>0</v>
      </c>
      <c r="AZ41" s="2142"/>
      <c r="BA41" s="2142"/>
      <c r="BB41" s="2142"/>
      <c r="BC41" s="2142"/>
      <c r="BD41" s="2143"/>
      <c r="BE41" s="1101"/>
    </row>
    <row r="42" spans="1:58" ht="15.75" customHeight="1">
      <c r="A42" s="1097"/>
      <c r="B42" s="2085" t="s">
        <v>1951</v>
      </c>
      <c r="C42" s="2086"/>
      <c r="D42" s="2086"/>
      <c r="E42" s="2086"/>
      <c r="F42" s="2086"/>
      <c r="G42" s="2086"/>
      <c r="H42" s="2086"/>
      <c r="I42" s="2086"/>
      <c r="J42" s="2150"/>
      <c r="K42" s="2150"/>
      <c r="L42" s="2150"/>
      <c r="M42" s="2150"/>
      <c r="N42" s="2150"/>
      <c r="O42" s="2150"/>
      <c r="P42" s="2150"/>
      <c r="Q42" s="2150"/>
      <c r="R42" s="2151"/>
      <c r="S42" s="2151"/>
      <c r="T42" s="2151"/>
      <c r="U42" s="2151"/>
      <c r="V42" s="2151"/>
      <c r="W42" s="2151"/>
      <c r="X42" s="2151"/>
      <c r="Y42" s="2151"/>
      <c r="Z42" s="2151"/>
      <c r="AA42" s="2151"/>
      <c r="AB42" s="2151"/>
      <c r="AC42" s="2151"/>
      <c r="AD42" s="2151"/>
      <c r="AE42" s="2151"/>
      <c r="AF42" s="2151"/>
      <c r="AG42" s="2151"/>
      <c r="AH42" s="2151"/>
      <c r="AI42" s="2151"/>
      <c r="AJ42" s="2151"/>
      <c r="AK42" s="2151"/>
      <c r="AL42" s="2135"/>
      <c r="AM42" s="2136"/>
      <c r="AN42" s="2136"/>
      <c r="AO42" s="2137"/>
      <c r="AP42" s="2135"/>
      <c r="AQ42" s="2136"/>
      <c r="AR42" s="2137"/>
      <c r="AS42" s="2138">
        <f t="shared" si="2"/>
        <v>0</v>
      </c>
      <c r="AT42" s="2139"/>
      <c r="AU42" s="2139"/>
      <c r="AV42" s="2139"/>
      <c r="AW42" s="2139"/>
      <c r="AX42" s="2140"/>
      <c r="AY42" s="2141">
        <f t="shared" si="3"/>
        <v>0</v>
      </c>
      <c r="AZ42" s="2142"/>
      <c r="BA42" s="2142"/>
      <c r="BB42" s="2142"/>
      <c r="BC42" s="2142"/>
      <c r="BD42" s="2143"/>
      <c r="BE42" s="1101"/>
    </row>
    <row r="43" spans="1:58" ht="15.75" customHeight="1">
      <c r="A43" s="1097"/>
      <c r="B43" s="2090" t="s">
        <v>1952</v>
      </c>
      <c r="C43" s="2091"/>
      <c r="D43" s="2091"/>
      <c r="E43" s="2091"/>
      <c r="F43" s="2091"/>
      <c r="G43" s="2091"/>
      <c r="H43" s="2091"/>
      <c r="I43" s="2091"/>
      <c r="J43" s="2150"/>
      <c r="K43" s="2150"/>
      <c r="L43" s="2150"/>
      <c r="M43" s="2150"/>
      <c r="N43" s="2150"/>
      <c r="O43" s="2150"/>
      <c r="P43" s="2150"/>
      <c r="Q43" s="2150"/>
      <c r="R43" s="2151"/>
      <c r="S43" s="2151"/>
      <c r="T43" s="2151"/>
      <c r="U43" s="2151"/>
      <c r="V43" s="2151"/>
      <c r="W43" s="2151"/>
      <c r="X43" s="2151"/>
      <c r="Y43" s="2151"/>
      <c r="Z43" s="2151"/>
      <c r="AA43" s="2151"/>
      <c r="AB43" s="2151"/>
      <c r="AC43" s="2151"/>
      <c r="AD43" s="2151"/>
      <c r="AE43" s="2151"/>
      <c r="AF43" s="2151"/>
      <c r="AG43" s="2151"/>
      <c r="AH43" s="2151"/>
      <c r="AI43" s="2151"/>
      <c r="AJ43" s="2151"/>
      <c r="AK43" s="2151"/>
      <c r="AL43" s="2135"/>
      <c r="AM43" s="2136"/>
      <c r="AN43" s="2136"/>
      <c r="AO43" s="2137"/>
      <c r="AP43" s="2135"/>
      <c r="AQ43" s="2136"/>
      <c r="AR43" s="2137"/>
      <c r="AS43" s="2138">
        <f t="shared" si="2"/>
        <v>0</v>
      </c>
      <c r="AT43" s="2139"/>
      <c r="AU43" s="2139"/>
      <c r="AV43" s="2139"/>
      <c r="AW43" s="2139"/>
      <c r="AX43" s="2140"/>
      <c r="AY43" s="2141">
        <f t="shared" si="3"/>
        <v>0</v>
      </c>
      <c r="AZ43" s="2142"/>
      <c r="BA43" s="2142"/>
      <c r="BB43" s="2142"/>
      <c r="BC43" s="2142"/>
      <c r="BD43" s="2143"/>
      <c r="BE43" s="1101"/>
    </row>
    <row r="44" spans="1:58" ht="15.75" customHeight="1">
      <c r="A44" s="1097"/>
      <c r="B44" s="2090" t="s">
        <v>1953</v>
      </c>
      <c r="C44" s="2091"/>
      <c r="D44" s="2091"/>
      <c r="E44" s="2091"/>
      <c r="F44" s="2091"/>
      <c r="G44" s="2091"/>
      <c r="H44" s="2091"/>
      <c r="I44" s="2091"/>
      <c r="J44" s="2150"/>
      <c r="K44" s="2150"/>
      <c r="L44" s="2150"/>
      <c r="M44" s="2150"/>
      <c r="N44" s="2150"/>
      <c r="O44" s="2150"/>
      <c r="P44" s="2150"/>
      <c r="Q44" s="2150"/>
      <c r="R44" s="2151"/>
      <c r="S44" s="2151"/>
      <c r="T44" s="2151"/>
      <c r="U44" s="2151"/>
      <c r="V44" s="2151"/>
      <c r="W44" s="2151"/>
      <c r="X44" s="2151"/>
      <c r="Y44" s="2151"/>
      <c r="Z44" s="2151"/>
      <c r="AA44" s="2151"/>
      <c r="AB44" s="2151"/>
      <c r="AC44" s="2151"/>
      <c r="AD44" s="2151"/>
      <c r="AE44" s="2151"/>
      <c r="AF44" s="2151"/>
      <c r="AG44" s="2151"/>
      <c r="AH44" s="2151"/>
      <c r="AI44" s="2151"/>
      <c r="AJ44" s="2151"/>
      <c r="AK44" s="2151"/>
      <c r="AL44" s="2135"/>
      <c r="AM44" s="2136"/>
      <c r="AN44" s="2136"/>
      <c r="AO44" s="2137"/>
      <c r="AP44" s="2135"/>
      <c r="AQ44" s="2136"/>
      <c r="AR44" s="2137"/>
      <c r="AS44" s="2138">
        <f t="shared" si="2"/>
        <v>0</v>
      </c>
      <c r="AT44" s="2139"/>
      <c r="AU44" s="2139"/>
      <c r="AV44" s="2139"/>
      <c r="AW44" s="2139"/>
      <c r="AX44" s="2140"/>
      <c r="AY44" s="2141">
        <f t="shared" si="3"/>
        <v>0</v>
      </c>
      <c r="AZ44" s="2142"/>
      <c r="BA44" s="2142"/>
      <c r="BB44" s="2142"/>
      <c r="BC44" s="2142"/>
      <c r="BD44" s="2143"/>
      <c r="BE44" s="1101"/>
    </row>
    <row r="45" spans="1:58" ht="15.75" customHeight="1">
      <c r="A45" s="1097"/>
      <c r="B45" s="2090" t="s">
        <v>1954</v>
      </c>
      <c r="C45" s="2091"/>
      <c r="D45" s="2091"/>
      <c r="E45" s="2091"/>
      <c r="F45" s="2091"/>
      <c r="G45" s="2091"/>
      <c r="H45" s="2091"/>
      <c r="I45" s="2091"/>
      <c r="J45" s="2150"/>
      <c r="K45" s="2150"/>
      <c r="L45" s="2150"/>
      <c r="M45" s="2150"/>
      <c r="N45" s="2150"/>
      <c r="O45" s="2150"/>
      <c r="P45" s="2150"/>
      <c r="Q45" s="2150"/>
      <c r="R45" s="2151"/>
      <c r="S45" s="2151"/>
      <c r="T45" s="2151"/>
      <c r="U45" s="2151"/>
      <c r="V45" s="2151"/>
      <c r="W45" s="2151"/>
      <c r="X45" s="2151"/>
      <c r="Y45" s="2151"/>
      <c r="Z45" s="2151"/>
      <c r="AA45" s="2151"/>
      <c r="AB45" s="2151"/>
      <c r="AC45" s="2151"/>
      <c r="AD45" s="2151"/>
      <c r="AE45" s="2151"/>
      <c r="AF45" s="2151"/>
      <c r="AG45" s="2151"/>
      <c r="AH45" s="2151"/>
      <c r="AI45" s="2151"/>
      <c r="AJ45" s="2151"/>
      <c r="AK45" s="2151"/>
      <c r="AL45" s="2135"/>
      <c r="AM45" s="2136"/>
      <c r="AN45" s="2136"/>
      <c r="AO45" s="2137"/>
      <c r="AP45" s="2135"/>
      <c r="AQ45" s="2136"/>
      <c r="AR45" s="2137"/>
      <c r="AS45" s="2138">
        <f t="shared" si="2"/>
        <v>0</v>
      </c>
      <c r="AT45" s="2139"/>
      <c r="AU45" s="2139"/>
      <c r="AV45" s="2139"/>
      <c r="AW45" s="2139"/>
      <c r="AX45" s="2140"/>
      <c r="AY45" s="2141">
        <f t="shared" si="3"/>
        <v>0</v>
      </c>
      <c r="AZ45" s="2142"/>
      <c r="BA45" s="2142"/>
      <c r="BB45" s="2142"/>
      <c r="BC45" s="2142"/>
      <c r="BD45" s="2143"/>
      <c r="BE45" s="1101"/>
    </row>
    <row r="46" spans="1:58" ht="15.75" customHeight="1">
      <c r="A46" s="1097"/>
      <c r="B46" s="2090" t="s">
        <v>1955</v>
      </c>
      <c r="C46" s="2091"/>
      <c r="D46" s="2091"/>
      <c r="E46" s="2091"/>
      <c r="F46" s="2091"/>
      <c r="G46" s="2091"/>
      <c r="H46" s="2091"/>
      <c r="I46" s="2091"/>
      <c r="J46" s="2150"/>
      <c r="K46" s="2150"/>
      <c r="L46" s="2150"/>
      <c r="M46" s="2150"/>
      <c r="N46" s="2150"/>
      <c r="O46" s="2150"/>
      <c r="P46" s="2150"/>
      <c r="Q46" s="2150"/>
      <c r="R46" s="2151"/>
      <c r="S46" s="2151"/>
      <c r="T46" s="2151"/>
      <c r="U46" s="2151"/>
      <c r="V46" s="2151"/>
      <c r="W46" s="2151"/>
      <c r="X46" s="2151"/>
      <c r="Y46" s="2151"/>
      <c r="Z46" s="2151"/>
      <c r="AA46" s="2151"/>
      <c r="AB46" s="2151"/>
      <c r="AC46" s="2151"/>
      <c r="AD46" s="2151"/>
      <c r="AE46" s="2151"/>
      <c r="AF46" s="2151"/>
      <c r="AG46" s="2151"/>
      <c r="AH46" s="2151"/>
      <c r="AI46" s="2151"/>
      <c r="AJ46" s="2151"/>
      <c r="AK46" s="2151"/>
      <c r="AL46" s="2135"/>
      <c r="AM46" s="2136"/>
      <c r="AN46" s="2136"/>
      <c r="AO46" s="2137"/>
      <c r="AP46" s="2135"/>
      <c r="AQ46" s="2136"/>
      <c r="AR46" s="2137"/>
      <c r="AS46" s="2138">
        <f t="shared" si="2"/>
        <v>0</v>
      </c>
      <c r="AT46" s="2139"/>
      <c r="AU46" s="2139"/>
      <c r="AV46" s="2139"/>
      <c r="AW46" s="2139"/>
      <c r="AX46" s="2140"/>
      <c r="AY46" s="2141">
        <f t="shared" si="3"/>
        <v>0</v>
      </c>
      <c r="AZ46" s="2142"/>
      <c r="BA46" s="2142"/>
      <c r="BB46" s="2142"/>
      <c r="BC46" s="2142"/>
      <c r="BD46" s="2143"/>
      <c r="BE46" s="1101"/>
    </row>
    <row r="47" spans="1:58" ht="15.75" customHeight="1" thickBot="1">
      <c r="A47" s="1097"/>
      <c r="B47" s="2144" t="s">
        <v>1068</v>
      </c>
      <c r="C47" s="2145"/>
      <c r="D47" s="2145"/>
      <c r="E47" s="2145"/>
      <c r="F47" s="2145"/>
      <c r="G47" s="2145"/>
      <c r="H47" s="2145"/>
      <c r="I47" s="2145"/>
      <c r="J47" s="2146"/>
      <c r="K47" s="2146"/>
      <c r="L47" s="2146"/>
      <c r="M47" s="2146"/>
      <c r="N47" s="2146"/>
      <c r="O47" s="2146"/>
      <c r="P47" s="2146"/>
      <c r="Q47" s="2146"/>
      <c r="R47" s="2131"/>
      <c r="S47" s="2131"/>
      <c r="T47" s="2131"/>
      <c r="U47" s="2131"/>
      <c r="V47" s="2131"/>
      <c r="W47" s="2131"/>
      <c r="X47" s="2131"/>
      <c r="Y47" s="2131"/>
      <c r="Z47" s="2131"/>
      <c r="AA47" s="2131"/>
      <c r="AB47" s="2131"/>
      <c r="AC47" s="2131"/>
      <c r="AD47" s="2131"/>
      <c r="AE47" s="2131"/>
      <c r="AF47" s="2131"/>
      <c r="AG47" s="2131"/>
      <c r="AH47" s="2131"/>
      <c r="AI47" s="2131"/>
      <c r="AJ47" s="2131"/>
      <c r="AK47" s="2131"/>
      <c r="AL47" s="2132"/>
      <c r="AM47" s="2133"/>
      <c r="AN47" s="2133"/>
      <c r="AO47" s="2134"/>
      <c r="AP47" s="2132"/>
      <c r="AQ47" s="2133"/>
      <c r="AR47" s="2134"/>
      <c r="AS47" s="2138">
        <f t="shared" si="2"/>
        <v>0</v>
      </c>
      <c r="AT47" s="2139"/>
      <c r="AU47" s="2139"/>
      <c r="AV47" s="2139"/>
      <c r="AW47" s="2139"/>
      <c r="AX47" s="2140"/>
      <c r="AY47" s="2147">
        <f t="shared" si="3"/>
        <v>0</v>
      </c>
      <c r="AZ47" s="2148"/>
      <c r="BA47" s="2148"/>
      <c r="BB47" s="2148"/>
      <c r="BC47" s="2148"/>
      <c r="BD47" s="2149"/>
      <c r="BE47" s="1101"/>
    </row>
    <row r="48" spans="1:58" ht="15.75" customHeight="1">
      <c r="A48" s="1097"/>
      <c r="B48" s="1103" t="s">
        <v>1956</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1957</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09" t="s">
        <v>1958</v>
      </c>
      <c r="C50" s="1964"/>
      <c r="D50" s="1964"/>
      <c r="E50" s="1964"/>
      <c r="F50" s="1964"/>
      <c r="G50" s="1964"/>
      <c r="H50" s="1964"/>
      <c r="I50" s="1964"/>
      <c r="J50" s="1964"/>
      <c r="K50" s="1964"/>
      <c r="L50" s="1964"/>
      <c r="M50" s="1964"/>
      <c r="N50" s="1964"/>
      <c r="O50" s="1964"/>
      <c r="P50" s="1964"/>
      <c r="Q50" s="1964"/>
      <c r="R50" s="1964"/>
      <c r="S50" s="1964"/>
      <c r="T50" s="1964"/>
      <c r="U50" s="1964"/>
      <c r="V50" s="1964"/>
      <c r="W50" s="1964"/>
      <c r="X50" s="1964"/>
      <c r="Y50" s="1964"/>
      <c r="Z50" s="1964"/>
      <c r="AA50" s="1964"/>
      <c r="AB50" s="1964"/>
      <c r="AC50" s="1964"/>
      <c r="AD50" s="1964"/>
      <c r="AE50" s="1964"/>
      <c r="AF50" s="1964"/>
      <c r="AG50" s="1964"/>
      <c r="AH50" s="1964"/>
      <c r="AI50" s="1964"/>
      <c r="AJ50" s="1964"/>
      <c r="AK50" s="1964"/>
      <c r="AL50" s="1964"/>
      <c r="AM50" s="1964"/>
      <c r="AN50" s="1964"/>
      <c r="AO50" s="1965"/>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44" t="s">
        <v>1959</v>
      </c>
      <c r="C51" s="2038"/>
      <c r="D51" s="2038"/>
      <c r="E51" s="2038"/>
      <c r="F51" s="2038"/>
      <c r="G51" s="2038"/>
      <c r="H51" s="2038"/>
      <c r="I51" s="2038"/>
      <c r="J51" s="2038" t="s">
        <v>1960</v>
      </c>
      <c r="K51" s="2038"/>
      <c r="L51" s="2038"/>
      <c r="M51" s="2038"/>
      <c r="N51" s="2038"/>
      <c r="O51" s="2038"/>
      <c r="P51" s="2038"/>
      <c r="Q51" s="2038"/>
      <c r="R51" s="2129" t="s">
        <v>1961</v>
      </c>
      <c r="S51" s="2129"/>
      <c r="T51" s="2129"/>
      <c r="U51" s="2129"/>
      <c r="V51" s="2129"/>
      <c r="W51" s="2129"/>
      <c r="X51" s="2129"/>
      <c r="Y51" s="2129"/>
      <c r="Z51" s="2129" t="s">
        <v>1962</v>
      </c>
      <c r="AA51" s="2129"/>
      <c r="AB51" s="2129"/>
      <c r="AC51" s="2129"/>
      <c r="AD51" s="2129"/>
      <c r="AE51" s="2129"/>
      <c r="AF51" s="2129"/>
      <c r="AG51" s="2129"/>
      <c r="AH51" s="2129" t="s">
        <v>1963</v>
      </c>
      <c r="AI51" s="2129"/>
      <c r="AJ51" s="2129"/>
      <c r="AK51" s="2129"/>
      <c r="AL51" s="2129"/>
      <c r="AM51" s="2129"/>
      <c r="AN51" s="2129"/>
      <c r="AO51" s="2130"/>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90" t="s">
        <v>1964</v>
      </c>
      <c r="C52" s="2091"/>
      <c r="D52" s="2091"/>
      <c r="E52" s="2091"/>
      <c r="F52" s="2091"/>
      <c r="G52" s="2091"/>
      <c r="H52" s="2091"/>
      <c r="I52" s="2091"/>
      <c r="J52" s="1925">
        <v>55</v>
      </c>
      <c r="K52" s="1925"/>
      <c r="L52" s="1925"/>
      <c r="M52" s="1925"/>
      <c r="N52" s="1925"/>
      <c r="O52" s="1925"/>
      <c r="P52" s="1925"/>
      <c r="Q52" s="1925"/>
      <c r="R52" s="2121">
        <f>27600-R53</f>
        <v>9600</v>
      </c>
      <c r="S52" s="2121"/>
      <c r="T52" s="2121"/>
      <c r="U52" s="2121"/>
      <c r="V52" s="2121"/>
      <c r="W52" s="2121"/>
      <c r="X52" s="2121"/>
      <c r="Y52" s="2121"/>
      <c r="Z52" s="2122">
        <f>84/52</f>
        <v>1.6153846153846154</v>
      </c>
      <c r="AA52" s="2122"/>
      <c r="AB52" s="2122"/>
      <c r="AC52" s="2122"/>
      <c r="AD52" s="2122"/>
      <c r="AE52" s="2122"/>
      <c r="AF52" s="2122"/>
      <c r="AG52" s="2122"/>
      <c r="AH52" s="2123"/>
      <c r="AI52" s="2123"/>
      <c r="AJ52" s="2123"/>
      <c r="AK52" s="2123"/>
      <c r="AL52" s="2123"/>
      <c r="AM52" s="2123"/>
      <c r="AN52" s="2123"/>
      <c r="AO52" s="2124"/>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90" t="s">
        <v>1964</v>
      </c>
      <c r="C53" s="2091"/>
      <c r="D53" s="2091"/>
      <c r="E53" s="2091"/>
      <c r="F53" s="2091"/>
      <c r="G53" s="2091"/>
      <c r="H53" s="2091"/>
      <c r="I53" s="2091"/>
      <c r="J53" s="1925">
        <v>55</v>
      </c>
      <c r="K53" s="1925"/>
      <c r="L53" s="1925"/>
      <c r="M53" s="1925"/>
      <c r="N53" s="1925"/>
      <c r="O53" s="1925"/>
      <c r="P53" s="1925"/>
      <c r="Q53" s="1925"/>
      <c r="R53" s="2121">
        <v>18000</v>
      </c>
      <c r="S53" s="2121"/>
      <c r="T53" s="2121"/>
      <c r="U53" s="2121"/>
      <c r="V53" s="2121"/>
      <c r="W53" s="2121"/>
      <c r="X53" s="2121"/>
      <c r="Y53" s="2121"/>
      <c r="Z53" s="2122">
        <f>154/52</f>
        <v>2.9615384615384617</v>
      </c>
      <c r="AA53" s="2122"/>
      <c r="AB53" s="2122"/>
      <c r="AC53" s="2122"/>
      <c r="AD53" s="2122"/>
      <c r="AE53" s="2122"/>
      <c r="AF53" s="2122"/>
      <c r="AG53" s="2122"/>
      <c r="AH53" s="2123"/>
      <c r="AI53" s="2123"/>
      <c r="AJ53" s="2123"/>
      <c r="AK53" s="2123"/>
      <c r="AL53" s="2123"/>
      <c r="AM53" s="2123"/>
      <c r="AN53" s="2123"/>
      <c r="AO53" s="2124"/>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90"/>
      <c r="C54" s="2091"/>
      <c r="D54" s="2091"/>
      <c r="E54" s="2091"/>
      <c r="F54" s="2091"/>
      <c r="G54" s="2091"/>
      <c r="H54" s="2091"/>
      <c r="I54" s="2091"/>
      <c r="J54" s="1925"/>
      <c r="K54" s="1925"/>
      <c r="L54" s="1925"/>
      <c r="M54" s="1925"/>
      <c r="N54" s="1925"/>
      <c r="O54" s="1925"/>
      <c r="P54" s="1925"/>
      <c r="Q54" s="1925"/>
      <c r="R54" s="2121"/>
      <c r="S54" s="2121"/>
      <c r="T54" s="2121"/>
      <c r="U54" s="2121"/>
      <c r="V54" s="2121"/>
      <c r="W54" s="2121"/>
      <c r="X54" s="2121"/>
      <c r="Y54" s="2121"/>
      <c r="Z54" s="2122"/>
      <c r="AA54" s="2122"/>
      <c r="AB54" s="2122"/>
      <c r="AC54" s="2122"/>
      <c r="AD54" s="2122"/>
      <c r="AE54" s="2122"/>
      <c r="AF54" s="2122"/>
      <c r="AG54" s="2122"/>
      <c r="AH54" s="2123"/>
      <c r="AI54" s="2123"/>
      <c r="AJ54" s="2123"/>
      <c r="AK54" s="2123"/>
      <c r="AL54" s="2123"/>
      <c r="AM54" s="2123"/>
      <c r="AN54" s="2123"/>
      <c r="AO54" s="2124"/>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90"/>
      <c r="C55" s="2091"/>
      <c r="D55" s="2091"/>
      <c r="E55" s="2091"/>
      <c r="F55" s="2091"/>
      <c r="G55" s="2091"/>
      <c r="H55" s="2091"/>
      <c r="I55" s="2091"/>
      <c r="J55" s="1925"/>
      <c r="K55" s="1925"/>
      <c r="L55" s="1925"/>
      <c r="M55" s="1925"/>
      <c r="N55" s="1925"/>
      <c r="O55" s="1925"/>
      <c r="P55" s="1925"/>
      <c r="Q55" s="1925"/>
      <c r="R55" s="2121"/>
      <c r="S55" s="2121"/>
      <c r="T55" s="2121"/>
      <c r="U55" s="2121"/>
      <c r="V55" s="2121"/>
      <c r="W55" s="2121"/>
      <c r="X55" s="2121"/>
      <c r="Y55" s="2121"/>
      <c r="Z55" s="2122"/>
      <c r="AA55" s="2122"/>
      <c r="AB55" s="2122"/>
      <c r="AC55" s="2122"/>
      <c r="AD55" s="2122"/>
      <c r="AE55" s="2122"/>
      <c r="AF55" s="2122"/>
      <c r="AG55" s="2122"/>
      <c r="AH55" s="2123"/>
      <c r="AI55" s="2123"/>
      <c r="AJ55" s="2123"/>
      <c r="AK55" s="2123"/>
      <c r="AL55" s="2123"/>
      <c r="AM55" s="2123"/>
      <c r="AN55" s="2123"/>
      <c r="AO55" s="2124"/>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90"/>
      <c r="C56" s="2091"/>
      <c r="D56" s="2091"/>
      <c r="E56" s="2091"/>
      <c r="F56" s="2091"/>
      <c r="G56" s="2091"/>
      <c r="H56" s="2091"/>
      <c r="I56" s="2091"/>
      <c r="J56" s="1925"/>
      <c r="K56" s="1925"/>
      <c r="L56" s="1925"/>
      <c r="M56" s="1925"/>
      <c r="N56" s="1925"/>
      <c r="O56" s="1925"/>
      <c r="P56" s="1925"/>
      <c r="Q56" s="1925"/>
      <c r="R56" s="2121"/>
      <c r="S56" s="2121"/>
      <c r="T56" s="2121"/>
      <c r="U56" s="2121"/>
      <c r="V56" s="2121"/>
      <c r="W56" s="2121"/>
      <c r="X56" s="2121"/>
      <c r="Y56" s="2121"/>
      <c r="Z56" s="2122"/>
      <c r="AA56" s="2122"/>
      <c r="AB56" s="2122"/>
      <c r="AC56" s="2122"/>
      <c r="AD56" s="2122"/>
      <c r="AE56" s="2122"/>
      <c r="AF56" s="2122"/>
      <c r="AG56" s="2122"/>
      <c r="AH56" s="2123"/>
      <c r="AI56" s="2123"/>
      <c r="AJ56" s="2123"/>
      <c r="AK56" s="2123"/>
      <c r="AL56" s="2123"/>
      <c r="AM56" s="2123"/>
      <c r="AN56" s="2123"/>
      <c r="AO56" s="2124"/>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71" t="s">
        <v>1939</v>
      </c>
      <c r="C57" s="2072"/>
      <c r="D57" s="2072"/>
      <c r="E57" s="2072"/>
      <c r="F57" s="2072"/>
      <c r="G57" s="2072"/>
      <c r="H57" s="2072"/>
      <c r="I57" s="2072"/>
      <c r="J57" s="2072"/>
      <c r="K57" s="2072"/>
      <c r="L57" s="2072"/>
      <c r="M57" s="2072"/>
      <c r="N57" s="2072"/>
      <c r="O57" s="2072"/>
      <c r="P57" s="2072"/>
      <c r="Q57" s="2072"/>
      <c r="R57" s="2125">
        <f>SUM(R52:Y56)</f>
        <v>27600</v>
      </c>
      <c r="S57" s="2125"/>
      <c r="T57" s="2125"/>
      <c r="U57" s="2125"/>
      <c r="V57" s="2125"/>
      <c r="W57" s="2125"/>
      <c r="X57" s="2125"/>
      <c r="Y57" s="2125"/>
      <c r="Z57" s="2126">
        <f>SUM(Z52:AG56)</f>
        <v>4.5769230769230766</v>
      </c>
      <c r="AA57" s="2126"/>
      <c r="AB57" s="2126"/>
      <c r="AC57" s="2126"/>
      <c r="AD57" s="2126"/>
      <c r="AE57" s="2126"/>
      <c r="AF57" s="2126"/>
      <c r="AG57" s="2126"/>
      <c r="AH57" s="2127"/>
      <c r="AI57" s="2127"/>
      <c r="AJ57" s="2127"/>
      <c r="AK57" s="2127"/>
      <c r="AL57" s="2127"/>
      <c r="AM57" s="2127"/>
      <c r="AN57" s="2127"/>
      <c r="AO57" s="2128"/>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18" t="s">
        <v>1959</v>
      </c>
      <c r="C59" s="2119"/>
      <c r="D59" s="2119"/>
      <c r="E59" s="2119"/>
      <c r="F59" s="2119"/>
      <c r="G59" s="2119"/>
      <c r="H59" s="2119"/>
      <c r="I59" s="2120"/>
      <c r="J59" s="2042" t="s">
        <v>1965</v>
      </c>
      <c r="K59" s="2042"/>
      <c r="L59" s="2042"/>
      <c r="M59" s="2042"/>
      <c r="N59" s="2042"/>
      <c r="O59" s="2042"/>
      <c r="P59" s="2042"/>
      <c r="Q59" s="2042"/>
      <c r="R59" s="2042"/>
      <c r="S59" s="2042"/>
      <c r="T59" s="2042"/>
      <c r="U59" s="2042"/>
      <c r="V59" s="2042"/>
      <c r="W59" s="2042"/>
      <c r="X59" s="2042"/>
      <c r="Y59" s="2042"/>
      <c r="Z59" s="2042"/>
      <c r="AA59" s="2042"/>
      <c r="AB59" s="2042"/>
      <c r="AC59" s="2042"/>
      <c r="AD59" s="2042"/>
      <c r="AE59" s="2042"/>
      <c r="AF59" s="2042"/>
      <c r="AG59" s="2042"/>
      <c r="AH59" s="2042"/>
      <c r="AI59" s="2042"/>
      <c r="AJ59" s="2042"/>
      <c r="AK59" s="2042"/>
      <c r="AL59" s="2042"/>
      <c r="AM59" s="2042"/>
      <c r="AN59" s="2042"/>
      <c r="AO59" s="2042"/>
      <c r="AP59" s="2042"/>
      <c r="AQ59" s="2042"/>
      <c r="AR59" s="2042"/>
      <c r="AS59" s="2042"/>
      <c r="AT59" s="2042"/>
      <c r="AU59" s="2042"/>
      <c r="AV59" s="2042"/>
      <c r="AW59" s="2043"/>
      <c r="AX59" s="1097"/>
      <c r="AY59" s="1097"/>
      <c r="AZ59" s="1097"/>
      <c r="BA59" s="1097"/>
      <c r="BB59" s="1097"/>
      <c r="BC59" s="1097"/>
      <c r="BD59" s="1097"/>
      <c r="BE59" s="1101"/>
    </row>
    <row r="60" spans="1:77" ht="15.75" customHeight="1">
      <c r="A60" s="1097"/>
      <c r="B60" s="2110" t="str">
        <f>IF(B52="", "", B52)</f>
        <v>LifeSTEPs</v>
      </c>
      <c r="C60" s="2111"/>
      <c r="D60" s="2111"/>
      <c r="E60" s="2111"/>
      <c r="F60" s="2111"/>
      <c r="G60" s="2111"/>
      <c r="H60" s="2111"/>
      <c r="I60" s="2112"/>
      <c r="J60" s="2113" t="s">
        <v>1966</v>
      </c>
      <c r="K60" s="1928"/>
      <c r="L60" s="1928"/>
      <c r="M60" s="1928"/>
      <c r="N60" s="1928"/>
      <c r="O60" s="1928"/>
      <c r="P60" s="1928"/>
      <c r="Q60" s="1928"/>
      <c r="R60" s="1928"/>
      <c r="S60" s="1928"/>
      <c r="T60" s="1928"/>
      <c r="U60" s="1928"/>
      <c r="V60" s="1928"/>
      <c r="W60" s="1928"/>
      <c r="X60" s="1928"/>
      <c r="Y60" s="1928"/>
      <c r="Z60" s="1928"/>
      <c r="AA60" s="1928"/>
      <c r="AB60" s="1928"/>
      <c r="AC60" s="1928"/>
      <c r="AD60" s="1928"/>
      <c r="AE60" s="1928"/>
      <c r="AF60" s="1928"/>
      <c r="AG60" s="1928"/>
      <c r="AH60" s="1928"/>
      <c r="AI60" s="1928"/>
      <c r="AJ60" s="1928"/>
      <c r="AK60" s="1928"/>
      <c r="AL60" s="1928"/>
      <c r="AM60" s="1928"/>
      <c r="AN60" s="1928"/>
      <c r="AO60" s="1928"/>
      <c r="AP60" s="1928"/>
      <c r="AQ60" s="1928"/>
      <c r="AR60" s="1928"/>
      <c r="AS60" s="1928"/>
      <c r="AT60" s="1928"/>
      <c r="AU60" s="1928"/>
      <c r="AV60" s="1928"/>
      <c r="AW60" s="1929"/>
      <c r="AX60" s="1097"/>
      <c r="AY60" s="1097"/>
      <c r="AZ60" s="1097"/>
      <c r="BA60" s="1097"/>
      <c r="BB60" s="1097"/>
      <c r="BC60" s="1097"/>
      <c r="BD60" s="1097"/>
      <c r="BE60" s="1101"/>
    </row>
    <row r="61" spans="1:77" ht="15.75" customHeight="1">
      <c r="A61" s="1097"/>
      <c r="B61" s="2110" t="str">
        <f>IF(B53="", "", B53)</f>
        <v>LifeSTEPs</v>
      </c>
      <c r="C61" s="2111"/>
      <c r="D61" s="2111"/>
      <c r="E61" s="2111"/>
      <c r="F61" s="2111"/>
      <c r="G61" s="2111"/>
      <c r="H61" s="2111"/>
      <c r="I61" s="2112"/>
      <c r="J61" s="2113" t="s">
        <v>1967</v>
      </c>
      <c r="K61" s="1928"/>
      <c r="L61" s="1928"/>
      <c r="M61" s="1928"/>
      <c r="N61" s="1928"/>
      <c r="O61" s="1928"/>
      <c r="P61" s="1928"/>
      <c r="Q61" s="1928"/>
      <c r="R61" s="1928"/>
      <c r="S61" s="1928"/>
      <c r="T61" s="1928"/>
      <c r="U61" s="1928"/>
      <c r="V61" s="1928"/>
      <c r="W61" s="1928"/>
      <c r="X61" s="1928"/>
      <c r="Y61" s="1928"/>
      <c r="Z61" s="1928"/>
      <c r="AA61" s="1928"/>
      <c r="AB61" s="1928"/>
      <c r="AC61" s="1928"/>
      <c r="AD61" s="1928"/>
      <c r="AE61" s="1928"/>
      <c r="AF61" s="1928"/>
      <c r="AG61" s="1928"/>
      <c r="AH61" s="1928"/>
      <c r="AI61" s="1928"/>
      <c r="AJ61" s="1928"/>
      <c r="AK61" s="1928"/>
      <c r="AL61" s="1928"/>
      <c r="AM61" s="1928"/>
      <c r="AN61" s="1928"/>
      <c r="AO61" s="1928"/>
      <c r="AP61" s="1928"/>
      <c r="AQ61" s="1928"/>
      <c r="AR61" s="1928"/>
      <c r="AS61" s="1928"/>
      <c r="AT61" s="1928"/>
      <c r="AU61" s="1928"/>
      <c r="AV61" s="1928"/>
      <c r="AW61" s="1929"/>
      <c r="AX61" s="1097"/>
      <c r="AY61" s="1097"/>
      <c r="AZ61" s="1097"/>
      <c r="BA61" s="1097"/>
      <c r="BB61" s="1097"/>
      <c r="BC61" s="1097"/>
      <c r="BD61" s="1097"/>
      <c r="BE61" s="1101"/>
    </row>
    <row r="62" spans="1:77" ht="15.75" customHeight="1">
      <c r="A62" s="1097"/>
      <c r="B62" s="2110" t="str">
        <f>IF(B54="", "", B54)</f>
        <v/>
      </c>
      <c r="C62" s="2111"/>
      <c r="D62" s="2111"/>
      <c r="E62" s="2111"/>
      <c r="F62" s="2111"/>
      <c r="G62" s="2111"/>
      <c r="H62" s="2111"/>
      <c r="I62" s="2112"/>
      <c r="J62" s="2113"/>
      <c r="K62" s="1928"/>
      <c r="L62" s="1928"/>
      <c r="M62" s="1928"/>
      <c r="N62" s="1928"/>
      <c r="O62" s="1928"/>
      <c r="P62" s="1928"/>
      <c r="Q62" s="1928"/>
      <c r="R62" s="1928"/>
      <c r="S62" s="1928"/>
      <c r="T62" s="1928"/>
      <c r="U62" s="1928"/>
      <c r="V62" s="1928"/>
      <c r="W62" s="1928"/>
      <c r="X62" s="1928"/>
      <c r="Y62" s="1928"/>
      <c r="Z62" s="1928"/>
      <c r="AA62" s="1928"/>
      <c r="AB62" s="1928"/>
      <c r="AC62" s="1928"/>
      <c r="AD62" s="1928"/>
      <c r="AE62" s="1928"/>
      <c r="AF62" s="1928"/>
      <c r="AG62" s="1928"/>
      <c r="AH62" s="1928"/>
      <c r="AI62" s="1928"/>
      <c r="AJ62" s="1928"/>
      <c r="AK62" s="1928"/>
      <c r="AL62" s="1928"/>
      <c r="AM62" s="1928"/>
      <c r="AN62" s="1928"/>
      <c r="AO62" s="1928"/>
      <c r="AP62" s="1928"/>
      <c r="AQ62" s="1928"/>
      <c r="AR62" s="1928"/>
      <c r="AS62" s="1928"/>
      <c r="AT62" s="1928"/>
      <c r="AU62" s="1928"/>
      <c r="AV62" s="1928"/>
      <c r="AW62" s="1929"/>
      <c r="AX62" s="1097"/>
      <c r="AY62" s="1097"/>
      <c r="AZ62" s="1097"/>
      <c r="BA62" s="1097"/>
      <c r="BB62" s="1097"/>
      <c r="BC62" s="1097"/>
      <c r="BD62" s="1097"/>
      <c r="BE62" s="1101"/>
    </row>
    <row r="63" spans="1:77" ht="15.75" customHeight="1">
      <c r="A63" s="1097"/>
      <c r="B63" s="2110" t="str">
        <f>IF(B55="", "", B55)</f>
        <v/>
      </c>
      <c r="C63" s="2111"/>
      <c r="D63" s="2111"/>
      <c r="E63" s="2111"/>
      <c r="F63" s="2111"/>
      <c r="G63" s="2111"/>
      <c r="H63" s="2111"/>
      <c r="I63" s="2112"/>
      <c r="J63" s="2113"/>
      <c r="K63" s="1928"/>
      <c r="L63" s="1928"/>
      <c r="M63" s="1928"/>
      <c r="N63" s="1928"/>
      <c r="O63" s="1928"/>
      <c r="P63" s="1928"/>
      <c r="Q63" s="1928"/>
      <c r="R63" s="1928"/>
      <c r="S63" s="1928"/>
      <c r="T63" s="1928"/>
      <c r="U63" s="1928"/>
      <c r="V63" s="1928"/>
      <c r="W63" s="1928"/>
      <c r="X63" s="1928"/>
      <c r="Y63" s="1928"/>
      <c r="Z63" s="1928"/>
      <c r="AA63" s="1928"/>
      <c r="AB63" s="1928"/>
      <c r="AC63" s="1928"/>
      <c r="AD63" s="1928"/>
      <c r="AE63" s="1928"/>
      <c r="AF63" s="1928"/>
      <c r="AG63" s="1928"/>
      <c r="AH63" s="1928"/>
      <c r="AI63" s="1928"/>
      <c r="AJ63" s="1928"/>
      <c r="AK63" s="1928"/>
      <c r="AL63" s="1928"/>
      <c r="AM63" s="1928"/>
      <c r="AN63" s="1928"/>
      <c r="AO63" s="1928"/>
      <c r="AP63" s="1928"/>
      <c r="AQ63" s="1928"/>
      <c r="AR63" s="1928"/>
      <c r="AS63" s="1928"/>
      <c r="AT63" s="1928"/>
      <c r="AU63" s="1928"/>
      <c r="AV63" s="1928"/>
      <c r="AW63" s="1929"/>
      <c r="AX63" s="1097"/>
      <c r="AY63" s="1097"/>
      <c r="AZ63" s="1097"/>
      <c r="BA63" s="1097"/>
      <c r="BB63" s="1097"/>
      <c r="BC63" s="1097"/>
      <c r="BD63" s="1097"/>
      <c r="BE63" s="1101"/>
    </row>
    <row r="64" spans="1:77" ht="15.75" customHeight="1" thickBot="1">
      <c r="A64" s="1097"/>
      <c r="B64" s="2114" t="str">
        <f>IF(B56="", "", B56)</f>
        <v/>
      </c>
      <c r="C64" s="2115"/>
      <c r="D64" s="2115"/>
      <c r="E64" s="2115"/>
      <c r="F64" s="2115"/>
      <c r="G64" s="2115"/>
      <c r="H64" s="2115"/>
      <c r="I64" s="2116"/>
      <c r="J64" s="2117"/>
      <c r="K64" s="2100"/>
      <c r="L64" s="2100"/>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0"/>
      <c r="AK64" s="2100"/>
      <c r="AL64" s="2100"/>
      <c r="AM64" s="2100"/>
      <c r="AN64" s="2100"/>
      <c r="AO64" s="2100"/>
      <c r="AP64" s="2100"/>
      <c r="AQ64" s="2100"/>
      <c r="AR64" s="2100"/>
      <c r="AS64" s="2100"/>
      <c r="AT64" s="2100"/>
      <c r="AU64" s="2100"/>
      <c r="AV64" s="2100"/>
      <c r="AW64" s="2101"/>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1968</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41" t="s">
        <v>1969</v>
      </c>
      <c r="C68" s="2042"/>
      <c r="D68" s="2042"/>
      <c r="E68" s="2042"/>
      <c r="F68" s="2042"/>
      <c r="G68" s="2042"/>
      <c r="H68" s="2042"/>
      <c r="I68" s="2042"/>
      <c r="J68" s="2042"/>
      <c r="K68" s="2042"/>
      <c r="L68" s="2042"/>
      <c r="M68" s="2042"/>
      <c r="N68" s="2042"/>
      <c r="O68" s="2042"/>
      <c r="P68" s="2042"/>
      <c r="Q68" s="2042"/>
      <c r="R68" s="2042"/>
      <c r="S68" s="2042"/>
      <c r="T68" s="2042"/>
      <c r="U68" s="2042"/>
      <c r="V68" s="2042"/>
      <c r="W68" s="2042"/>
      <c r="X68" s="2042"/>
      <c r="Y68" s="2042"/>
      <c r="Z68" s="2042"/>
      <c r="AA68" s="2043"/>
      <c r="AB68" s="1097"/>
      <c r="AC68" s="1962" t="s">
        <v>1970</v>
      </c>
      <c r="AD68" s="1963"/>
      <c r="AE68" s="1963"/>
      <c r="AF68" s="1963"/>
      <c r="AG68" s="1963"/>
      <c r="AH68" s="1963"/>
      <c r="AI68" s="1963"/>
      <c r="AJ68" s="1963"/>
      <c r="AK68" s="1963"/>
      <c r="AL68" s="1963"/>
      <c r="AM68" s="1963"/>
      <c r="AN68" s="1963"/>
      <c r="AO68" s="1963"/>
      <c r="AP68" s="1963"/>
      <c r="AQ68" s="1963"/>
      <c r="AR68" s="1963"/>
      <c r="AS68" s="1963"/>
      <c r="AT68" s="1963"/>
      <c r="AU68" s="1963"/>
      <c r="AV68" s="2102" t="s">
        <v>700</v>
      </c>
      <c r="AW68" s="2020"/>
      <c r="AX68" s="2020"/>
      <c r="AY68" s="2020"/>
      <c r="AZ68" s="2020"/>
      <c r="BA68" s="2020"/>
      <c r="BB68" s="2020"/>
      <c r="BC68" s="2021"/>
      <c r="BD68" s="1097"/>
      <c r="BE68" s="1101"/>
      <c r="BM68" s="1107" t="s">
        <v>1971</v>
      </c>
    </row>
    <row r="69" spans="1:94" ht="15.75" customHeight="1" thickTop="1" thickBot="1">
      <c r="A69" s="1097"/>
      <c r="B69" s="2103" t="s">
        <v>1972</v>
      </c>
      <c r="C69" s="2104"/>
      <c r="D69" s="2104"/>
      <c r="E69" s="2104"/>
      <c r="F69" s="2104"/>
      <c r="G69" s="2104"/>
      <c r="H69" s="2104"/>
      <c r="I69" s="2104"/>
      <c r="J69" s="2104"/>
      <c r="K69" s="2104"/>
      <c r="L69" s="2104"/>
      <c r="M69" s="2104"/>
      <c r="N69" s="2104"/>
      <c r="O69" s="2105" t="s">
        <v>1973</v>
      </c>
      <c r="P69" s="2106"/>
      <c r="Q69" s="2106"/>
      <c r="R69" s="2106"/>
      <c r="S69" s="2106"/>
      <c r="T69" s="2106"/>
      <c r="U69" s="2106"/>
      <c r="V69" s="2106"/>
      <c r="W69" s="2106"/>
      <c r="X69" s="2106"/>
      <c r="Y69" s="2106"/>
      <c r="Z69" s="2106"/>
      <c r="AA69" s="2107"/>
      <c r="AB69" s="1097"/>
      <c r="AC69" s="2108" t="s">
        <v>1974</v>
      </c>
      <c r="AD69" s="2109"/>
      <c r="AE69" s="2109"/>
      <c r="AF69" s="2109"/>
      <c r="AG69" s="2109"/>
      <c r="AH69" s="2109"/>
      <c r="AI69" s="2109"/>
      <c r="AJ69" s="2109"/>
      <c r="AK69" s="2109"/>
      <c r="AL69" s="2109"/>
      <c r="AM69" s="2109"/>
      <c r="AN69" s="2109"/>
      <c r="AO69" s="2109"/>
      <c r="AP69" s="2109"/>
      <c r="AQ69" s="2109"/>
      <c r="AR69" s="2109"/>
      <c r="AS69" s="2109"/>
      <c r="AT69" s="2109"/>
      <c r="AU69" s="2109"/>
      <c r="AV69" s="2102" t="s">
        <v>700</v>
      </c>
      <c r="AW69" s="2020"/>
      <c r="AX69" s="2020"/>
      <c r="AY69" s="2020"/>
      <c r="AZ69" s="2020"/>
      <c r="BA69" s="2020"/>
      <c r="BB69" s="2020"/>
      <c r="BC69" s="2021"/>
      <c r="BD69" s="1097"/>
      <c r="BE69" s="1101"/>
      <c r="BM69" s="1108" t="s">
        <v>862</v>
      </c>
    </row>
    <row r="70" spans="1:94" ht="15.75" customHeight="1">
      <c r="A70" s="1097"/>
      <c r="B70" s="2085" t="s">
        <v>1975</v>
      </c>
      <c r="C70" s="2086"/>
      <c r="D70" s="2086"/>
      <c r="E70" s="2086"/>
      <c r="F70" s="2086"/>
      <c r="G70" s="2086"/>
      <c r="H70" s="2086"/>
      <c r="I70" s="2086"/>
      <c r="J70" s="2086"/>
      <c r="K70" s="2086"/>
      <c r="L70" s="2086"/>
      <c r="M70" s="2086"/>
      <c r="N70" s="2086"/>
      <c r="O70" s="1970">
        <v>0</v>
      </c>
      <c r="P70" s="1970"/>
      <c r="Q70" s="1970"/>
      <c r="R70" s="1970"/>
      <c r="S70" s="1970"/>
      <c r="T70" s="1970"/>
      <c r="U70" s="1970"/>
      <c r="V70" s="1970"/>
      <c r="W70" s="1970"/>
      <c r="X70" s="1970"/>
      <c r="Y70" s="1970"/>
      <c r="Z70" s="1970"/>
      <c r="AA70" s="2087"/>
      <c r="AB70" s="1097"/>
      <c r="AC70" s="2009" t="s">
        <v>1976</v>
      </c>
      <c r="AD70" s="1964"/>
      <c r="AE70" s="1964"/>
      <c r="AF70" s="2096" t="s">
        <v>1977</v>
      </c>
      <c r="AG70" s="2096"/>
      <c r="AH70" s="2096"/>
      <c r="AI70" s="2096"/>
      <c r="AJ70" s="2096"/>
      <c r="AK70" s="2096"/>
      <c r="AL70" s="2096"/>
      <c r="AM70" s="2096"/>
      <c r="AN70" s="2096"/>
      <c r="AO70" s="2096"/>
      <c r="AP70" s="2096"/>
      <c r="AQ70" s="2096"/>
      <c r="AR70" s="2096"/>
      <c r="AS70" s="2096"/>
      <c r="AT70" s="2096"/>
      <c r="AU70" s="2097"/>
      <c r="AV70" s="1097"/>
      <c r="AW70" s="1097"/>
      <c r="AX70" s="1097"/>
      <c r="AY70" s="1097"/>
      <c r="AZ70" s="1097"/>
      <c r="BA70" s="1097"/>
      <c r="BB70" s="1097"/>
      <c r="BC70" s="1097"/>
      <c r="BD70" s="1097"/>
      <c r="BE70" s="1101"/>
      <c r="BM70" s="1109" t="s">
        <v>700</v>
      </c>
    </row>
    <row r="71" spans="1:94" ht="15.75" customHeight="1" thickBot="1">
      <c r="A71" s="1097"/>
      <c r="B71" s="2085" t="s">
        <v>1978</v>
      </c>
      <c r="C71" s="2086"/>
      <c r="D71" s="2086"/>
      <c r="E71" s="2086"/>
      <c r="F71" s="2086"/>
      <c r="G71" s="2086"/>
      <c r="H71" s="2086"/>
      <c r="I71" s="2086"/>
      <c r="J71" s="2086"/>
      <c r="K71" s="2086"/>
      <c r="L71" s="2086"/>
      <c r="M71" s="2086"/>
      <c r="N71" s="2086"/>
      <c r="O71" s="1970">
        <v>0</v>
      </c>
      <c r="P71" s="1970"/>
      <c r="Q71" s="1970"/>
      <c r="R71" s="1970"/>
      <c r="S71" s="1970"/>
      <c r="T71" s="1970"/>
      <c r="U71" s="1970"/>
      <c r="V71" s="1970"/>
      <c r="W71" s="1970"/>
      <c r="X71" s="1970"/>
      <c r="Y71" s="1970"/>
      <c r="Z71" s="1970"/>
      <c r="AA71" s="2087"/>
      <c r="AB71" s="1097"/>
      <c r="AC71" s="2098" t="s">
        <v>1979</v>
      </c>
      <c r="AD71" s="2099"/>
      <c r="AE71" s="2099"/>
      <c r="AF71" s="2100" t="s">
        <v>673</v>
      </c>
      <c r="AG71" s="2100"/>
      <c r="AH71" s="2100"/>
      <c r="AI71" s="2100"/>
      <c r="AJ71" s="2100"/>
      <c r="AK71" s="2100"/>
      <c r="AL71" s="2100"/>
      <c r="AM71" s="2100"/>
      <c r="AN71" s="2100"/>
      <c r="AO71" s="2100"/>
      <c r="AP71" s="2100"/>
      <c r="AQ71" s="2100"/>
      <c r="AR71" s="2100"/>
      <c r="AS71" s="2100"/>
      <c r="AT71" s="2100"/>
      <c r="AU71" s="2101"/>
      <c r="AV71" s="1097"/>
      <c r="AW71" s="1097"/>
      <c r="AX71" s="1097"/>
      <c r="AY71" s="1097"/>
      <c r="AZ71" s="1097"/>
      <c r="BA71" s="1097"/>
      <c r="BB71" s="1097"/>
      <c r="BC71" s="1097"/>
      <c r="BD71" s="1097"/>
      <c r="BE71" s="1101"/>
      <c r="BM71" s="1093" t="s">
        <v>1980</v>
      </c>
    </row>
    <row r="72" spans="1:94" ht="15.75" customHeight="1">
      <c r="A72" s="1097"/>
      <c r="B72" s="2085" t="s">
        <v>1981</v>
      </c>
      <c r="C72" s="2086"/>
      <c r="D72" s="2086"/>
      <c r="E72" s="2086"/>
      <c r="F72" s="2086"/>
      <c r="G72" s="2086"/>
      <c r="H72" s="2086"/>
      <c r="I72" s="2086"/>
      <c r="J72" s="2086"/>
      <c r="K72" s="2086"/>
      <c r="L72" s="2086"/>
      <c r="M72" s="2086"/>
      <c r="N72" s="2086"/>
      <c r="O72" s="1970">
        <v>0</v>
      </c>
      <c r="P72" s="1970"/>
      <c r="Q72" s="1970"/>
      <c r="R72" s="1970"/>
      <c r="S72" s="1970"/>
      <c r="T72" s="1970"/>
      <c r="U72" s="1970"/>
      <c r="V72" s="1970"/>
      <c r="W72" s="1970"/>
      <c r="X72" s="1970"/>
      <c r="Y72" s="1970"/>
      <c r="Z72" s="1970"/>
      <c r="AA72" s="2087"/>
      <c r="AB72" s="1097"/>
      <c r="AC72" s="2088" t="s">
        <v>1982</v>
      </c>
      <c r="AD72" s="2089"/>
      <c r="AE72" s="2089"/>
      <c r="AF72" s="2089"/>
      <c r="AG72" s="2089"/>
      <c r="AH72" s="2089"/>
      <c r="AI72" s="2089"/>
      <c r="AJ72" s="2089"/>
      <c r="AK72" s="2089"/>
      <c r="AL72" s="2089"/>
      <c r="AM72" s="2089"/>
      <c r="AN72" s="2089"/>
      <c r="AO72" s="2089"/>
      <c r="AP72" s="2089"/>
      <c r="AQ72" s="2089"/>
      <c r="AR72" s="2089"/>
      <c r="AS72" s="2089"/>
      <c r="AT72" s="2089"/>
      <c r="AU72" s="2089"/>
      <c r="AV72" s="1964"/>
      <c r="AW72" s="1964"/>
      <c r="AX72" s="1964"/>
      <c r="AY72" s="1964"/>
      <c r="AZ72" s="1964"/>
      <c r="BA72" s="1964"/>
      <c r="BB72" s="1964"/>
      <c r="BC72" s="1965"/>
      <c r="BD72" s="1097"/>
      <c r="BE72" s="1101"/>
    </row>
    <row r="73" spans="1:94" ht="15.75" customHeight="1">
      <c r="A73" s="1097"/>
      <c r="B73" s="2090" t="s">
        <v>1983</v>
      </c>
      <c r="C73" s="2091"/>
      <c r="D73" s="2091"/>
      <c r="E73" s="2091"/>
      <c r="F73" s="2091"/>
      <c r="G73" s="2091"/>
      <c r="H73" s="2091"/>
      <c r="I73" s="2091"/>
      <c r="J73" s="2091"/>
      <c r="K73" s="2091"/>
      <c r="L73" s="2091"/>
      <c r="M73" s="2091"/>
      <c r="N73" s="2091"/>
      <c r="O73" s="1970">
        <v>0</v>
      </c>
      <c r="P73" s="1970"/>
      <c r="Q73" s="1970"/>
      <c r="R73" s="1970"/>
      <c r="S73" s="1970"/>
      <c r="T73" s="1970"/>
      <c r="U73" s="1970"/>
      <c r="V73" s="1970"/>
      <c r="W73" s="1970"/>
      <c r="X73" s="1970"/>
      <c r="Y73" s="1970"/>
      <c r="Z73" s="1970"/>
      <c r="AA73" s="2087"/>
      <c r="AB73" s="1097"/>
      <c r="AC73" s="1982" t="s">
        <v>1984</v>
      </c>
      <c r="AD73" s="1980"/>
      <c r="AE73" s="1980"/>
      <c r="AF73" s="1980"/>
      <c r="AG73" s="1980"/>
      <c r="AH73" s="1980"/>
      <c r="AI73" s="1980"/>
      <c r="AJ73" s="1980"/>
      <c r="AK73" s="1980"/>
      <c r="AL73" s="1980"/>
      <c r="AM73" s="1980"/>
      <c r="AN73" s="1980"/>
      <c r="AO73" s="1980"/>
      <c r="AP73" s="1980"/>
      <c r="AQ73" s="1980"/>
      <c r="AR73" s="1980"/>
      <c r="AS73" s="1980"/>
      <c r="AT73" s="1980"/>
      <c r="AU73" s="1980"/>
      <c r="AV73" s="1980"/>
      <c r="AW73" s="1980"/>
      <c r="AX73" s="1980"/>
      <c r="AY73" s="1980"/>
      <c r="AZ73" s="1980"/>
      <c r="BA73" s="1980"/>
      <c r="BB73" s="1980"/>
      <c r="BC73" s="1981"/>
      <c r="BD73" s="1097"/>
      <c r="BE73" s="1101"/>
      <c r="CK73" s="1095"/>
      <c r="CL73" s="1095"/>
      <c r="CM73" s="1095"/>
      <c r="CN73" s="1095"/>
      <c r="CO73" s="1095"/>
      <c r="CP73" s="1095"/>
    </row>
    <row r="74" spans="1:94" ht="15.75" customHeight="1">
      <c r="A74" s="1097"/>
      <c r="B74" s="1924"/>
      <c r="C74" s="1925"/>
      <c r="D74" s="1925"/>
      <c r="E74" s="1925"/>
      <c r="F74" s="1925"/>
      <c r="G74" s="1925"/>
      <c r="H74" s="1925"/>
      <c r="I74" s="1925"/>
      <c r="J74" s="1925"/>
      <c r="K74" s="1925"/>
      <c r="L74" s="1925"/>
      <c r="M74" s="1925"/>
      <c r="N74" s="1925"/>
      <c r="O74" s="1970"/>
      <c r="P74" s="1970"/>
      <c r="Q74" s="1970"/>
      <c r="R74" s="1970"/>
      <c r="S74" s="1970"/>
      <c r="T74" s="1970"/>
      <c r="U74" s="1970"/>
      <c r="V74" s="1970"/>
      <c r="W74" s="1970"/>
      <c r="X74" s="1970"/>
      <c r="Y74" s="1970"/>
      <c r="Z74" s="1970"/>
      <c r="AA74" s="2087"/>
      <c r="AB74" s="1097"/>
      <c r="AC74" s="1982"/>
      <c r="AD74" s="1980"/>
      <c r="AE74" s="1980"/>
      <c r="AF74" s="1980"/>
      <c r="AG74" s="1980"/>
      <c r="AH74" s="1980"/>
      <c r="AI74" s="1980"/>
      <c r="AJ74" s="1980"/>
      <c r="AK74" s="1980"/>
      <c r="AL74" s="1980"/>
      <c r="AM74" s="1980"/>
      <c r="AN74" s="1980"/>
      <c r="AO74" s="1980"/>
      <c r="AP74" s="1980"/>
      <c r="AQ74" s="1980"/>
      <c r="AR74" s="1980"/>
      <c r="AS74" s="1980"/>
      <c r="AT74" s="1980"/>
      <c r="AU74" s="1980"/>
      <c r="AV74" s="1980"/>
      <c r="AW74" s="1980"/>
      <c r="AX74" s="1980"/>
      <c r="AY74" s="1980"/>
      <c r="AZ74" s="1980"/>
      <c r="BA74" s="1980"/>
      <c r="BB74" s="1980"/>
      <c r="BC74" s="1981"/>
      <c r="BD74" s="1097"/>
      <c r="BE74" s="1101"/>
      <c r="CK74" s="1095"/>
      <c r="CL74" s="1095"/>
      <c r="CM74" s="1095"/>
      <c r="CN74" s="1095"/>
      <c r="CO74" s="1095"/>
      <c r="CP74" s="1095"/>
    </row>
    <row r="75" spans="1:94" ht="15.75" customHeight="1" thickBot="1">
      <c r="A75" s="1097"/>
      <c r="B75" s="2092" t="s">
        <v>1501</v>
      </c>
      <c r="C75" s="2093"/>
      <c r="D75" s="2093"/>
      <c r="E75" s="2093"/>
      <c r="F75" s="2093"/>
      <c r="G75" s="2093"/>
      <c r="H75" s="2093"/>
      <c r="I75" s="2093"/>
      <c r="J75" s="2093"/>
      <c r="K75" s="2093"/>
      <c r="L75" s="2093"/>
      <c r="M75" s="2093"/>
      <c r="N75" s="2093"/>
      <c r="O75" s="2094">
        <f>SUM(O70:AA74)</f>
        <v>0</v>
      </c>
      <c r="P75" s="2094"/>
      <c r="Q75" s="2094"/>
      <c r="R75" s="2094"/>
      <c r="S75" s="2094"/>
      <c r="T75" s="2094"/>
      <c r="U75" s="2094"/>
      <c r="V75" s="2094"/>
      <c r="W75" s="2094"/>
      <c r="X75" s="2094"/>
      <c r="Y75" s="2094"/>
      <c r="Z75" s="2094"/>
      <c r="AA75" s="2095"/>
      <c r="AB75" s="1097"/>
      <c r="AC75" s="1982"/>
      <c r="AD75" s="1980"/>
      <c r="AE75" s="1980"/>
      <c r="AF75" s="1980"/>
      <c r="AG75" s="1980"/>
      <c r="AH75" s="1980"/>
      <c r="AI75" s="1980"/>
      <c r="AJ75" s="1980"/>
      <c r="AK75" s="1980"/>
      <c r="AL75" s="1980"/>
      <c r="AM75" s="1980"/>
      <c r="AN75" s="1980"/>
      <c r="AO75" s="1980"/>
      <c r="AP75" s="1980"/>
      <c r="AQ75" s="1980"/>
      <c r="AR75" s="1980"/>
      <c r="AS75" s="1980"/>
      <c r="AT75" s="1980"/>
      <c r="AU75" s="1980"/>
      <c r="AV75" s="1980"/>
      <c r="AW75" s="1980"/>
      <c r="AX75" s="1980"/>
      <c r="AY75" s="1980"/>
      <c r="AZ75" s="1980"/>
      <c r="BA75" s="1980"/>
      <c r="BB75" s="1980"/>
      <c r="BC75" s="1981"/>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82"/>
      <c r="AD76" s="1980"/>
      <c r="AE76" s="1980"/>
      <c r="AF76" s="1980"/>
      <c r="AG76" s="1980"/>
      <c r="AH76" s="1980"/>
      <c r="AI76" s="1980"/>
      <c r="AJ76" s="1980"/>
      <c r="AK76" s="1980"/>
      <c r="AL76" s="1980"/>
      <c r="AM76" s="1980"/>
      <c r="AN76" s="1980"/>
      <c r="AO76" s="1980"/>
      <c r="AP76" s="1980"/>
      <c r="AQ76" s="1980"/>
      <c r="AR76" s="1980"/>
      <c r="AS76" s="1980"/>
      <c r="AT76" s="1980"/>
      <c r="AU76" s="1980"/>
      <c r="AV76" s="1980"/>
      <c r="AW76" s="1980"/>
      <c r="AX76" s="1980"/>
      <c r="AY76" s="1980"/>
      <c r="AZ76" s="1980"/>
      <c r="BA76" s="1980"/>
      <c r="BB76" s="1980"/>
      <c r="BC76" s="1981"/>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83"/>
      <c r="AD77" s="1984"/>
      <c r="AE77" s="1984"/>
      <c r="AF77" s="1984"/>
      <c r="AG77" s="1984"/>
      <c r="AH77" s="1984"/>
      <c r="AI77" s="1984"/>
      <c r="AJ77" s="1984"/>
      <c r="AK77" s="1984"/>
      <c r="AL77" s="1984"/>
      <c r="AM77" s="1984"/>
      <c r="AN77" s="1984"/>
      <c r="AO77" s="1984"/>
      <c r="AP77" s="1984"/>
      <c r="AQ77" s="1984"/>
      <c r="AR77" s="1984"/>
      <c r="AS77" s="1984"/>
      <c r="AT77" s="1984"/>
      <c r="AU77" s="1984"/>
      <c r="AV77" s="1984"/>
      <c r="AW77" s="1984"/>
      <c r="AX77" s="1984"/>
      <c r="AY77" s="1984"/>
      <c r="AZ77" s="1984"/>
      <c r="BA77" s="1984"/>
      <c r="BB77" s="1984"/>
      <c r="BC77" s="1985"/>
      <c r="BD77" s="1097"/>
      <c r="BE77" s="1101"/>
      <c r="CK77" s="1095"/>
      <c r="CL77" s="1095"/>
      <c r="CM77" s="1095"/>
      <c r="CN77" s="1095"/>
      <c r="CO77" s="1095"/>
      <c r="CP77" s="1095"/>
    </row>
    <row r="78" spans="1:94" ht="15.75" customHeight="1" thickBot="1">
      <c r="A78" s="1097"/>
      <c r="B78" s="1110" t="s">
        <v>1985</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1986</v>
      </c>
      <c r="C79" s="1114"/>
      <c r="D79" s="1114"/>
      <c r="E79" s="1115"/>
      <c r="F79" s="2075" t="s">
        <v>1119</v>
      </c>
      <c r="G79" s="2076"/>
      <c r="H79" s="2076"/>
      <c r="I79" s="2076"/>
      <c r="J79" s="2076"/>
      <c r="K79" s="2076"/>
      <c r="L79" s="2076"/>
      <c r="M79" s="2076"/>
      <c r="N79" s="2076"/>
      <c r="O79" s="2076"/>
      <c r="P79" s="2076"/>
      <c r="Q79" s="2076"/>
      <c r="R79" s="2076"/>
      <c r="S79" s="2076"/>
      <c r="T79" s="2077"/>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78" t="s">
        <v>1987</v>
      </c>
      <c r="C81" s="2079"/>
      <c r="D81" s="2079"/>
      <c r="E81" s="2079"/>
      <c r="F81" s="2079"/>
      <c r="G81" s="2079"/>
      <c r="H81" s="2079"/>
      <c r="I81" s="2079"/>
      <c r="J81" s="2079"/>
      <c r="K81" s="2079"/>
      <c r="L81" s="2079"/>
      <c r="M81" s="2079"/>
      <c r="N81" s="2079"/>
      <c r="O81" s="2079"/>
      <c r="P81" s="2079"/>
      <c r="Q81" s="2079"/>
      <c r="R81" s="2079"/>
      <c r="S81" s="2079"/>
      <c r="T81" s="2079"/>
      <c r="U81" s="2079"/>
      <c r="V81" s="2079"/>
      <c r="W81" s="2079"/>
      <c r="X81" s="2079"/>
      <c r="Y81" s="2079"/>
      <c r="Z81" s="2079"/>
      <c r="AA81" s="2079"/>
      <c r="AB81" s="2079"/>
      <c r="AC81" s="2079"/>
      <c r="AD81" s="2079"/>
      <c r="AE81" s="2079"/>
      <c r="AF81" s="2079"/>
      <c r="AG81" s="2079"/>
      <c r="AH81" s="2080"/>
      <c r="AI81" s="1097"/>
      <c r="AJ81" s="2062" t="s">
        <v>1988</v>
      </c>
      <c r="AK81" s="2063"/>
      <c r="AL81" s="2063"/>
      <c r="AM81" s="2063"/>
      <c r="AN81" s="2063"/>
      <c r="AO81" s="2063"/>
      <c r="AP81" s="2063"/>
      <c r="AQ81" s="2063"/>
      <c r="AR81" s="2063"/>
      <c r="AS81" s="2063"/>
      <c r="AT81" s="2063"/>
      <c r="AU81" s="2063"/>
      <c r="AV81" s="2063"/>
      <c r="AW81" s="2063"/>
      <c r="AX81" s="2063"/>
      <c r="AY81" s="2081" t="s">
        <v>700</v>
      </c>
      <c r="AZ81" s="2081"/>
      <c r="BA81" s="2081"/>
      <c r="BB81" s="2082"/>
      <c r="BC81" s="1097"/>
      <c r="BD81" s="1097"/>
      <c r="BE81" s="1101"/>
      <c r="CK81" s="1095"/>
      <c r="CL81" s="1095"/>
      <c r="CM81" s="1095"/>
      <c r="CN81" s="1095"/>
      <c r="CO81" s="1095"/>
      <c r="CP81" s="1095"/>
    </row>
    <row r="82" spans="1:94" ht="15.75" customHeight="1">
      <c r="A82" s="1097"/>
      <c r="B82" s="2044"/>
      <c r="C82" s="2038"/>
      <c r="D82" s="2038"/>
      <c r="E82" s="2038"/>
      <c r="F82" s="2038"/>
      <c r="G82" s="2038"/>
      <c r="H82" s="2038"/>
      <c r="I82" s="2038" t="s">
        <v>1989</v>
      </c>
      <c r="J82" s="2038"/>
      <c r="K82" s="2038"/>
      <c r="L82" s="2038"/>
      <c r="M82" s="2038"/>
      <c r="N82" s="2038"/>
      <c r="O82" s="2038" t="s">
        <v>1990</v>
      </c>
      <c r="P82" s="2038"/>
      <c r="Q82" s="2038"/>
      <c r="R82" s="2038"/>
      <c r="S82" s="2038"/>
      <c r="T82" s="2038"/>
      <c r="U82" s="2038"/>
      <c r="V82" s="2073" t="s">
        <v>1991</v>
      </c>
      <c r="W82" s="2073"/>
      <c r="X82" s="2073"/>
      <c r="Y82" s="2073"/>
      <c r="Z82" s="2073"/>
      <c r="AA82" s="2073"/>
      <c r="AB82" s="2010" t="s">
        <v>1992</v>
      </c>
      <c r="AC82" s="2010"/>
      <c r="AD82" s="2010"/>
      <c r="AE82" s="2010"/>
      <c r="AF82" s="2010"/>
      <c r="AG82" s="2010"/>
      <c r="AH82" s="2074"/>
      <c r="AI82" s="1097"/>
      <c r="AJ82" s="2065"/>
      <c r="AK82" s="2066"/>
      <c r="AL82" s="2066"/>
      <c r="AM82" s="2066"/>
      <c r="AN82" s="2066"/>
      <c r="AO82" s="2066"/>
      <c r="AP82" s="2066"/>
      <c r="AQ82" s="2066"/>
      <c r="AR82" s="2066"/>
      <c r="AS82" s="2066"/>
      <c r="AT82" s="2066"/>
      <c r="AU82" s="2066"/>
      <c r="AV82" s="2066"/>
      <c r="AW82" s="2066"/>
      <c r="AX82" s="2066"/>
      <c r="AY82" s="2083"/>
      <c r="AZ82" s="2083"/>
      <c r="BA82" s="2083"/>
      <c r="BB82" s="2084"/>
      <c r="BC82" s="1097"/>
      <c r="BD82" s="1097"/>
      <c r="BE82" s="1101"/>
      <c r="CK82" s="1095"/>
      <c r="CL82" s="1095"/>
      <c r="CM82" s="1095"/>
      <c r="CN82" s="1095"/>
      <c r="CO82" s="1095"/>
      <c r="CP82" s="1095"/>
    </row>
    <row r="83" spans="1:94" ht="15.75" customHeight="1">
      <c r="A83" s="1097"/>
      <c r="B83" s="2044"/>
      <c r="C83" s="2038"/>
      <c r="D83" s="2038"/>
      <c r="E83" s="2038"/>
      <c r="F83" s="2038"/>
      <c r="G83" s="2038"/>
      <c r="H83" s="2038"/>
      <c r="I83" s="2038"/>
      <c r="J83" s="2038"/>
      <c r="K83" s="2038"/>
      <c r="L83" s="2038"/>
      <c r="M83" s="2038"/>
      <c r="N83" s="2038"/>
      <c r="O83" s="2038"/>
      <c r="P83" s="2038"/>
      <c r="Q83" s="2038"/>
      <c r="R83" s="2038"/>
      <c r="S83" s="2038"/>
      <c r="T83" s="2038"/>
      <c r="U83" s="2038"/>
      <c r="V83" s="2073"/>
      <c r="W83" s="2073"/>
      <c r="X83" s="2073"/>
      <c r="Y83" s="2073"/>
      <c r="Z83" s="2073"/>
      <c r="AA83" s="2073"/>
      <c r="AB83" s="2010"/>
      <c r="AC83" s="2010"/>
      <c r="AD83" s="2010"/>
      <c r="AE83" s="2010"/>
      <c r="AF83" s="2010"/>
      <c r="AG83" s="2010"/>
      <c r="AH83" s="2074"/>
      <c r="AI83" s="1097"/>
      <c r="AJ83" s="2065"/>
      <c r="AK83" s="2066"/>
      <c r="AL83" s="2066"/>
      <c r="AM83" s="2066"/>
      <c r="AN83" s="2066"/>
      <c r="AO83" s="2066"/>
      <c r="AP83" s="2066"/>
      <c r="AQ83" s="2066"/>
      <c r="AR83" s="2066"/>
      <c r="AS83" s="2066"/>
      <c r="AT83" s="2066"/>
      <c r="AU83" s="2066"/>
      <c r="AV83" s="2066"/>
      <c r="AW83" s="2066"/>
      <c r="AX83" s="2066"/>
      <c r="AY83" s="2083"/>
      <c r="AZ83" s="2083"/>
      <c r="BA83" s="2083"/>
      <c r="BB83" s="2084"/>
      <c r="BC83" s="1097"/>
      <c r="BD83" s="1097"/>
      <c r="BE83" s="1101"/>
      <c r="CK83" s="1095"/>
      <c r="CL83" s="1095"/>
      <c r="CM83" s="1095"/>
      <c r="CN83" s="1095"/>
      <c r="CO83" s="1095"/>
      <c r="CP83" s="1095"/>
    </row>
    <row r="84" spans="1:94" ht="15.75" customHeight="1">
      <c r="A84" s="1097"/>
      <c r="B84" s="2044" t="s">
        <v>1993</v>
      </c>
      <c r="C84" s="2038"/>
      <c r="D84" s="2038"/>
      <c r="E84" s="2038"/>
      <c r="F84" s="2038"/>
      <c r="G84" s="2038"/>
      <c r="H84" s="2038"/>
      <c r="I84" s="2013">
        <v>2392</v>
      </c>
      <c r="J84" s="2013"/>
      <c r="K84" s="2013"/>
      <c r="L84" s="2013"/>
      <c r="M84" s="2013"/>
      <c r="N84" s="2013"/>
      <c r="O84" s="2013">
        <v>545</v>
      </c>
      <c r="P84" s="2013"/>
      <c r="Q84" s="2013"/>
      <c r="R84" s="2013"/>
      <c r="S84" s="2013"/>
      <c r="T84" s="2013"/>
      <c r="U84" s="2013"/>
      <c r="V84" s="2013">
        <v>1218</v>
      </c>
      <c r="W84" s="2013"/>
      <c r="X84" s="2013"/>
      <c r="Y84" s="2013"/>
      <c r="Z84" s="2013"/>
      <c r="AA84" s="2013"/>
      <c r="AB84" s="2013">
        <v>272</v>
      </c>
      <c r="AC84" s="2013"/>
      <c r="AD84" s="2013"/>
      <c r="AE84" s="2013"/>
      <c r="AF84" s="2013"/>
      <c r="AG84" s="2013"/>
      <c r="AH84" s="2014"/>
      <c r="AI84" s="1097"/>
      <c r="AJ84" s="2065"/>
      <c r="AK84" s="2066"/>
      <c r="AL84" s="2066"/>
      <c r="AM84" s="2066"/>
      <c r="AN84" s="2066"/>
      <c r="AO84" s="2066"/>
      <c r="AP84" s="2066"/>
      <c r="AQ84" s="2066"/>
      <c r="AR84" s="2066"/>
      <c r="AS84" s="2066"/>
      <c r="AT84" s="2066"/>
      <c r="AU84" s="2066"/>
      <c r="AV84" s="2066"/>
      <c r="AW84" s="2066"/>
      <c r="AX84" s="2066"/>
      <c r="AY84" s="2083"/>
      <c r="AZ84" s="2083"/>
      <c r="BA84" s="2083"/>
      <c r="BB84" s="2084"/>
      <c r="BC84" s="1097"/>
      <c r="BD84" s="1097"/>
      <c r="BE84" s="1101"/>
      <c r="CK84" s="1095"/>
      <c r="CL84" s="1095"/>
      <c r="CM84" s="1095"/>
      <c r="CN84" s="1095"/>
      <c r="CO84" s="1095"/>
      <c r="CP84" s="1095"/>
    </row>
    <row r="85" spans="1:94" ht="15.75" customHeight="1">
      <c r="A85" s="1097"/>
      <c r="B85" s="2044" t="s">
        <v>1994</v>
      </c>
      <c r="C85" s="2038"/>
      <c r="D85" s="2038"/>
      <c r="E85" s="2038"/>
      <c r="F85" s="2038"/>
      <c r="G85" s="2038"/>
      <c r="H85" s="2038"/>
      <c r="I85" s="2013">
        <v>0</v>
      </c>
      <c r="J85" s="2013"/>
      <c r="K85" s="2013"/>
      <c r="L85" s="2013"/>
      <c r="M85" s="2013"/>
      <c r="N85" s="2013"/>
      <c r="O85" s="2013">
        <v>0</v>
      </c>
      <c r="P85" s="2013"/>
      <c r="Q85" s="2013"/>
      <c r="R85" s="2013"/>
      <c r="S85" s="2013"/>
      <c r="T85" s="2013"/>
      <c r="U85" s="2013"/>
      <c r="V85" s="2013">
        <v>0</v>
      </c>
      <c r="W85" s="2013"/>
      <c r="X85" s="2013"/>
      <c r="Y85" s="2013"/>
      <c r="Z85" s="2013"/>
      <c r="AA85" s="2013"/>
      <c r="AB85" s="2013">
        <v>0</v>
      </c>
      <c r="AC85" s="2013"/>
      <c r="AD85" s="2013"/>
      <c r="AE85" s="2013"/>
      <c r="AF85" s="2013"/>
      <c r="AG85" s="2013"/>
      <c r="AH85" s="2014"/>
      <c r="AI85" s="1097"/>
      <c r="AJ85" s="1979" t="s">
        <v>1995</v>
      </c>
      <c r="AK85" s="1980"/>
      <c r="AL85" s="1980"/>
      <c r="AM85" s="1980"/>
      <c r="AN85" s="1980"/>
      <c r="AO85" s="1980"/>
      <c r="AP85" s="1980"/>
      <c r="AQ85" s="1980"/>
      <c r="AR85" s="1980"/>
      <c r="AS85" s="1980"/>
      <c r="AT85" s="1980"/>
      <c r="AU85" s="1980"/>
      <c r="AV85" s="1980"/>
      <c r="AW85" s="1980"/>
      <c r="AX85" s="1980"/>
      <c r="AY85" s="1980"/>
      <c r="AZ85" s="1980"/>
      <c r="BA85" s="1980"/>
      <c r="BB85" s="1981"/>
      <c r="BC85" s="1097"/>
      <c r="BD85" s="1097"/>
      <c r="BE85" s="1101"/>
      <c r="CK85" s="1095"/>
      <c r="CL85" s="1095"/>
      <c r="CM85" s="1095"/>
      <c r="CN85" s="1095"/>
      <c r="CO85" s="1095"/>
      <c r="CP85" s="1095"/>
    </row>
    <row r="86" spans="1:94" ht="15.75" customHeight="1" thickBot="1">
      <c r="A86" s="1097"/>
      <c r="B86" s="2071" t="s">
        <v>1996</v>
      </c>
      <c r="C86" s="2072"/>
      <c r="D86" s="2072"/>
      <c r="E86" s="2072"/>
      <c r="F86" s="2072"/>
      <c r="G86" s="2072"/>
      <c r="H86" s="2072"/>
      <c r="I86" s="2007">
        <v>2392</v>
      </c>
      <c r="J86" s="2007"/>
      <c r="K86" s="2007"/>
      <c r="L86" s="2007"/>
      <c r="M86" s="2007"/>
      <c r="N86" s="2007"/>
      <c r="O86" s="2007">
        <f>O84</f>
        <v>545</v>
      </c>
      <c r="P86" s="2007"/>
      <c r="Q86" s="2007"/>
      <c r="R86" s="2007"/>
      <c r="S86" s="2007"/>
      <c r="T86" s="2007"/>
      <c r="U86" s="2007"/>
      <c r="V86" s="2007">
        <v>1218</v>
      </c>
      <c r="W86" s="2007"/>
      <c r="X86" s="2007"/>
      <c r="Y86" s="2007"/>
      <c r="Z86" s="2007"/>
      <c r="AA86" s="2007"/>
      <c r="AB86" s="2007">
        <v>272</v>
      </c>
      <c r="AC86" s="2007"/>
      <c r="AD86" s="2007"/>
      <c r="AE86" s="2007"/>
      <c r="AF86" s="2007"/>
      <c r="AG86" s="2007"/>
      <c r="AH86" s="2008"/>
      <c r="AI86" s="1097"/>
      <c r="AJ86" s="1983"/>
      <c r="AK86" s="1984"/>
      <c r="AL86" s="1984"/>
      <c r="AM86" s="1984"/>
      <c r="AN86" s="1984"/>
      <c r="AO86" s="1984"/>
      <c r="AP86" s="1984"/>
      <c r="AQ86" s="1984"/>
      <c r="AR86" s="1984"/>
      <c r="AS86" s="1984"/>
      <c r="AT86" s="1984"/>
      <c r="AU86" s="1984"/>
      <c r="AV86" s="1984"/>
      <c r="AW86" s="1984"/>
      <c r="AX86" s="1984"/>
      <c r="AY86" s="1984"/>
      <c r="AZ86" s="1984"/>
      <c r="BA86" s="1984"/>
      <c r="BB86" s="1985"/>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1997</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1986</v>
      </c>
      <c r="C90" s="1120"/>
      <c r="D90" s="1121"/>
      <c r="E90" s="1122"/>
      <c r="F90" s="2075" t="s">
        <v>1998</v>
      </c>
      <c r="G90" s="2076"/>
      <c r="H90" s="2076"/>
      <c r="I90" s="2076"/>
      <c r="J90" s="2076"/>
      <c r="K90" s="2076"/>
      <c r="L90" s="2076"/>
      <c r="M90" s="2076"/>
      <c r="N90" s="2076"/>
      <c r="O90" s="2076"/>
      <c r="P90" s="2076"/>
      <c r="Q90" s="2076"/>
      <c r="R90" s="2076"/>
      <c r="S90" s="2076"/>
      <c r="T90" s="2077"/>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78" t="s">
        <v>1999</v>
      </c>
      <c r="C92" s="2079"/>
      <c r="D92" s="2079"/>
      <c r="E92" s="2079"/>
      <c r="F92" s="2079"/>
      <c r="G92" s="2079"/>
      <c r="H92" s="2079"/>
      <c r="I92" s="2079"/>
      <c r="J92" s="2079"/>
      <c r="K92" s="2079"/>
      <c r="L92" s="2079"/>
      <c r="M92" s="2079"/>
      <c r="N92" s="2079"/>
      <c r="O92" s="2079"/>
      <c r="P92" s="2079"/>
      <c r="Q92" s="2079"/>
      <c r="R92" s="2079"/>
      <c r="S92" s="2079"/>
      <c r="T92" s="2079"/>
      <c r="U92" s="2079"/>
      <c r="V92" s="2079"/>
      <c r="W92" s="2079"/>
      <c r="X92" s="2079"/>
      <c r="Y92" s="2079"/>
      <c r="Z92" s="2079"/>
      <c r="AA92" s="2079"/>
      <c r="AB92" s="2079"/>
      <c r="AC92" s="2079"/>
      <c r="AD92" s="2079"/>
      <c r="AE92" s="2079"/>
      <c r="AF92" s="2079"/>
      <c r="AG92" s="2079"/>
      <c r="AH92" s="2080"/>
      <c r="AI92" s="1097"/>
      <c r="AJ92" s="2062" t="s">
        <v>2000</v>
      </c>
      <c r="AK92" s="2063"/>
      <c r="AL92" s="2063"/>
      <c r="AM92" s="2063"/>
      <c r="AN92" s="2063"/>
      <c r="AO92" s="2063"/>
      <c r="AP92" s="2063"/>
      <c r="AQ92" s="2063"/>
      <c r="AR92" s="2063"/>
      <c r="AS92" s="2063"/>
      <c r="AT92" s="2063"/>
      <c r="AU92" s="2063"/>
      <c r="AV92" s="2063"/>
      <c r="AW92" s="2063"/>
      <c r="AX92" s="2063"/>
      <c r="AY92" s="2081" t="s">
        <v>862</v>
      </c>
      <c r="AZ92" s="2081"/>
      <c r="BA92" s="2081"/>
      <c r="BB92" s="2082"/>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44"/>
      <c r="C93" s="2038"/>
      <c r="D93" s="2038"/>
      <c r="E93" s="2038"/>
      <c r="F93" s="2038"/>
      <c r="G93" s="2038"/>
      <c r="H93" s="2038"/>
      <c r="I93" s="2038" t="s">
        <v>1989</v>
      </c>
      <c r="J93" s="2038"/>
      <c r="K93" s="2038"/>
      <c r="L93" s="2038"/>
      <c r="M93" s="2038"/>
      <c r="N93" s="2038"/>
      <c r="O93" s="2038" t="s">
        <v>1990</v>
      </c>
      <c r="P93" s="2038"/>
      <c r="Q93" s="2038"/>
      <c r="R93" s="2038"/>
      <c r="S93" s="2038"/>
      <c r="T93" s="2038"/>
      <c r="U93" s="2038"/>
      <c r="V93" s="2073" t="s">
        <v>1991</v>
      </c>
      <c r="W93" s="2073"/>
      <c r="X93" s="2073"/>
      <c r="Y93" s="2073"/>
      <c r="Z93" s="2073"/>
      <c r="AA93" s="2073"/>
      <c r="AB93" s="2010" t="s">
        <v>1992</v>
      </c>
      <c r="AC93" s="2010"/>
      <c r="AD93" s="2010"/>
      <c r="AE93" s="2010"/>
      <c r="AF93" s="2010"/>
      <c r="AG93" s="2010"/>
      <c r="AH93" s="2074"/>
      <c r="AI93" s="1097"/>
      <c r="AJ93" s="2065"/>
      <c r="AK93" s="2066"/>
      <c r="AL93" s="2066"/>
      <c r="AM93" s="2066"/>
      <c r="AN93" s="2066"/>
      <c r="AO93" s="2066"/>
      <c r="AP93" s="2066"/>
      <c r="AQ93" s="2066"/>
      <c r="AR93" s="2066"/>
      <c r="AS93" s="2066"/>
      <c r="AT93" s="2066"/>
      <c r="AU93" s="2066"/>
      <c r="AV93" s="2066"/>
      <c r="AW93" s="2066"/>
      <c r="AX93" s="2066"/>
      <c r="AY93" s="2083"/>
      <c r="AZ93" s="2083"/>
      <c r="BA93" s="2083"/>
      <c r="BB93" s="2084"/>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44"/>
      <c r="C94" s="2038"/>
      <c r="D94" s="2038"/>
      <c r="E94" s="2038"/>
      <c r="F94" s="2038"/>
      <c r="G94" s="2038"/>
      <c r="H94" s="2038"/>
      <c r="I94" s="2038"/>
      <c r="J94" s="2038"/>
      <c r="K94" s="2038"/>
      <c r="L94" s="2038"/>
      <c r="M94" s="2038"/>
      <c r="N94" s="2038"/>
      <c r="O94" s="2038"/>
      <c r="P94" s="2038"/>
      <c r="Q94" s="2038"/>
      <c r="R94" s="2038"/>
      <c r="S94" s="2038"/>
      <c r="T94" s="2038"/>
      <c r="U94" s="2038"/>
      <c r="V94" s="2073"/>
      <c r="W94" s="2073"/>
      <c r="X94" s="2073"/>
      <c r="Y94" s="2073"/>
      <c r="Z94" s="2073"/>
      <c r="AA94" s="2073"/>
      <c r="AB94" s="2010"/>
      <c r="AC94" s="2010"/>
      <c r="AD94" s="2010"/>
      <c r="AE94" s="2010"/>
      <c r="AF94" s="2010"/>
      <c r="AG94" s="2010"/>
      <c r="AH94" s="2074"/>
      <c r="AI94" s="1097"/>
      <c r="AJ94" s="2065"/>
      <c r="AK94" s="2066"/>
      <c r="AL94" s="2066"/>
      <c r="AM94" s="2066"/>
      <c r="AN94" s="2066"/>
      <c r="AO94" s="2066"/>
      <c r="AP94" s="2066"/>
      <c r="AQ94" s="2066"/>
      <c r="AR94" s="2066"/>
      <c r="AS94" s="2066"/>
      <c r="AT94" s="2066"/>
      <c r="AU94" s="2066"/>
      <c r="AV94" s="2066"/>
      <c r="AW94" s="2066"/>
      <c r="AX94" s="2066"/>
      <c r="AY94" s="2083"/>
      <c r="AZ94" s="2083"/>
      <c r="BA94" s="2083"/>
      <c r="BB94" s="2084"/>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44" t="s">
        <v>1993</v>
      </c>
      <c r="C95" s="2038"/>
      <c r="D95" s="2038"/>
      <c r="E95" s="2038"/>
      <c r="F95" s="2038"/>
      <c r="G95" s="2038"/>
      <c r="H95" s="2038"/>
      <c r="I95" s="2013">
        <v>1740</v>
      </c>
      <c r="J95" s="2013"/>
      <c r="K95" s="2013"/>
      <c r="L95" s="2013"/>
      <c r="M95" s="2013"/>
      <c r="N95" s="2013"/>
      <c r="O95" s="2013">
        <v>1555</v>
      </c>
      <c r="P95" s="2013"/>
      <c r="Q95" s="2013"/>
      <c r="R95" s="2013"/>
      <c r="S95" s="2013"/>
      <c r="T95" s="2013"/>
      <c r="U95" s="2013"/>
      <c r="V95" s="2013">
        <v>1223</v>
      </c>
      <c r="W95" s="2013"/>
      <c r="X95" s="2013"/>
      <c r="Y95" s="2013"/>
      <c r="Z95" s="2013"/>
      <c r="AA95" s="2013"/>
      <c r="AB95" s="2013">
        <v>423</v>
      </c>
      <c r="AC95" s="2013"/>
      <c r="AD95" s="2013"/>
      <c r="AE95" s="2013"/>
      <c r="AF95" s="2013"/>
      <c r="AG95" s="2013"/>
      <c r="AH95" s="2014"/>
      <c r="AI95" s="1097"/>
      <c r="AJ95" s="2065"/>
      <c r="AK95" s="2066"/>
      <c r="AL95" s="2066"/>
      <c r="AM95" s="2066"/>
      <c r="AN95" s="2066"/>
      <c r="AO95" s="2066"/>
      <c r="AP95" s="2066"/>
      <c r="AQ95" s="2066"/>
      <c r="AR95" s="2066"/>
      <c r="AS95" s="2066"/>
      <c r="AT95" s="2066"/>
      <c r="AU95" s="2066"/>
      <c r="AV95" s="2066"/>
      <c r="AW95" s="2066"/>
      <c r="AX95" s="2066"/>
      <c r="AY95" s="2083"/>
      <c r="AZ95" s="2083"/>
      <c r="BA95" s="2083"/>
      <c r="BB95" s="2084"/>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44" t="s">
        <v>1994</v>
      </c>
      <c r="C96" s="2038"/>
      <c r="D96" s="2038"/>
      <c r="E96" s="2038"/>
      <c r="F96" s="2038"/>
      <c r="G96" s="2038"/>
      <c r="H96" s="2038"/>
      <c r="I96" s="2013">
        <v>0</v>
      </c>
      <c r="J96" s="2013"/>
      <c r="K96" s="2013"/>
      <c r="L96" s="2013"/>
      <c r="M96" s="2013"/>
      <c r="N96" s="2013"/>
      <c r="O96" s="2013">
        <v>0</v>
      </c>
      <c r="P96" s="2013"/>
      <c r="Q96" s="2013"/>
      <c r="R96" s="2013"/>
      <c r="S96" s="2013"/>
      <c r="T96" s="2013"/>
      <c r="U96" s="2013"/>
      <c r="V96" s="2013">
        <v>0</v>
      </c>
      <c r="W96" s="2013"/>
      <c r="X96" s="2013"/>
      <c r="Y96" s="2013"/>
      <c r="Z96" s="2013"/>
      <c r="AA96" s="2013"/>
      <c r="AB96" s="2013">
        <v>0</v>
      </c>
      <c r="AC96" s="2013"/>
      <c r="AD96" s="2013"/>
      <c r="AE96" s="2013"/>
      <c r="AF96" s="2013"/>
      <c r="AG96" s="2013"/>
      <c r="AH96" s="2014"/>
      <c r="AI96" s="1097"/>
      <c r="AJ96" s="1982" t="s">
        <v>2001</v>
      </c>
      <c r="AK96" s="1980"/>
      <c r="AL96" s="1980"/>
      <c r="AM96" s="1980"/>
      <c r="AN96" s="1980"/>
      <c r="AO96" s="1980"/>
      <c r="AP96" s="1980"/>
      <c r="AQ96" s="1980"/>
      <c r="AR96" s="1980"/>
      <c r="AS96" s="1980"/>
      <c r="AT96" s="1980"/>
      <c r="AU96" s="1980"/>
      <c r="AV96" s="1980"/>
      <c r="AW96" s="1980"/>
      <c r="AX96" s="1980"/>
      <c r="AY96" s="1980"/>
      <c r="AZ96" s="1980"/>
      <c r="BA96" s="1980"/>
      <c r="BB96" s="1981"/>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71" t="s">
        <v>1996</v>
      </c>
      <c r="C97" s="2072"/>
      <c r="D97" s="2072"/>
      <c r="E97" s="2072"/>
      <c r="F97" s="2072"/>
      <c r="G97" s="2072"/>
      <c r="H97" s="2072"/>
      <c r="I97" s="2007">
        <f>I95</f>
        <v>1740</v>
      </c>
      <c r="J97" s="2007"/>
      <c r="K97" s="2007"/>
      <c r="L97" s="2007"/>
      <c r="M97" s="2007"/>
      <c r="N97" s="2007"/>
      <c r="O97" s="2007">
        <f>O95</f>
        <v>1555</v>
      </c>
      <c r="P97" s="2007"/>
      <c r="Q97" s="2007"/>
      <c r="R97" s="2007"/>
      <c r="S97" s="2007"/>
      <c r="T97" s="2007"/>
      <c r="U97" s="2007"/>
      <c r="V97" s="2007">
        <f>V95</f>
        <v>1223</v>
      </c>
      <c r="W97" s="2007"/>
      <c r="X97" s="2007"/>
      <c r="Y97" s="2007"/>
      <c r="Z97" s="2007"/>
      <c r="AA97" s="2007"/>
      <c r="AB97" s="2007">
        <f>AB95</f>
        <v>423</v>
      </c>
      <c r="AC97" s="2007"/>
      <c r="AD97" s="2007"/>
      <c r="AE97" s="2007"/>
      <c r="AF97" s="2007"/>
      <c r="AG97" s="2007"/>
      <c r="AH97" s="2008"/>
      <c r="AI97" s="1097"/>
      <c r="AJ97" s="1983"/>
      <c r="AK97" s="1984"/>
      <c r="AL97" s="1984"/>
      <c r="AM97" s="1984"/>
      <c r="AN97" s="1984"/>
      <c r="AO97" s="1984"/>
      <c r="AP97" s="1984"/>
      <c r="AQ97" s="1984"/>
      <c r="AR97" s="1984"/>
      <c r="AS97" s="1984"/>
      <c r="AT97" s="1984"/>
      <c r="AU97" s="1984"/>
      <c r="AV97" s="1984"/>
      <c r="AW97" s="1984"/>
      <c r="AX97" s="1984"/>
      <c r="AY97" s="1984"/>
      <c r="AZ97" s="1984"/>
      <c r="BA97" s="1984"/>
      <c r="BB97" s="1985"/>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2002</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1986</v>
      </c>
      <c r="C100" s="1120"/>
      <c r="D100" s="1127"/>
      <c r="E100" s="1128"/>
      <c r="F100" s="2035"/>
      <c r="G100" s="2036"/>
      <c r="H100" s="2036"/>
      <c r="I100" s="2036"/>
      <c r="J100" s="2036"/>
      <c r="K100" s="2036"/>
      <c r="L100" s="2036"/>
      <c r="M100" s="2036"/>
      <c r="N100" s="2036"/>
      <c r="O100" s="2036"/>
      <c r="P100" s="2036"/>
      <c r="Q100" s="2036"/>
      <c r="R100" s="2037"/>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62" t="s">
        <v>2003</v>
      </c>
      <c r="C102" s="1963"/>
      <c r="D102" s="1963"/>
      <c r="E102" s="1963"/>
      <c r="F102" s="1963"/>
      <c r="G102" s="1963"/>
      <c r="H102" s="1963"/>
      <c r="I102" s="1963"/>
      <c r="J102" s="1963"/>
      <c r="K102" s="1963"/>
      <c r="L102" s="1963"/>
      <c r="M102" s="1963"/>
      <c r="N102" s="1963"/>
      <c r="O102" s="1963"/>
      <c r="P102" s="1963"/>
      <c r="Q102" s="1963"/>
      <c r="R102" s="1963"/>
      <c r="S102" s="1963"/>
      <c r="T102" s="1963"/>
      <c r="U102" s="1963"/>
      <c r="V102" s="1963"/>
      <c r="W102" s="1963"/>
      <c r="X102" s="1963"/>
      <c r="Y102" s="1963"/>
      <c r="Z102" s="1963"/>
      <c r="AA102" s="1963"/>
      <c r="AB102" s="1963"/>
      <c r="AC102" s="1963"/>
      <c r="AD102" s="1963"/>
      <c r="AE102" s="1963"/>
      <c r="AF102" s="1963"/>
      <c r="AG102" s="1963"/>
      <c r="AH102" s="1972"/>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44"/>
      <c r="C103" s="2038"/>
      <c r="D103" s="2038"/>
      <c r="E103" s="2038"/>
      <c r="F103" s="2038"/>
      <c r="G103" s="2038"/>
      <c r="H103" s="2038"/>
      <c r="I103" s="2038" t="s">
        <v>1989</v>
      </c>
      <c r="J103" s="2038"/>
      <c r="K103" s="2038"/>
      <c r="L103" s="2038"/>
      <c r="M103" s="2038"/>
      <c r="N103" s="2038"/>
      <c r="O103" s="2038" t="s">
        <v>1990</v>
      </c>
      <c r="P103" s="2038"/>
      <c r="Q103" s="2038"/>
      <c r="R103" s="2038"/>
      <c r="S103" s="2038"/>
      <c r="T103" s="2038"/>
      <c r="U103" s="2038"/>
      <c r="V103" s="2073" t="s">
        <v>1991</v>
      </c>
      <c r="W103" s="2073"/>
      <c r="X103" s="2073"/>
      <c r="Y103" s="2073"/>
      <c r="Z103" s="2073"/>
      <c r="AA103" s="2073"/>
      <c r="AB103" s="2010" t="s">
        <v>1992</v>
      </c>
      <c r="AC103" s="2010"/>
      <c r="AD103" s="2010"/>
      <c r="AE103" s="2010"/>
      <c r="AF103" s="2010"/>
      <c r="AG103" s="2010"/>
      <c r="AH103" s="2074"/>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44"/>
      <c r="C104" s="2038"/>
      <c r="D104" s="2038"/>
      <c r="E104" s="2038"/>
      <c r="F104" s="2038"/>
      <c r="G104" s="2038"/>
      <c r="H104" s="2038"/>
      <c r="I104" s="2038"/>
      <c r="J104" s="2038"/>
      <c r="K104" s="2038"/>
      <c r="L104" s="2038"/>
      <c r="M104" s="2038"/>
      <c r="N104" s="2038"/>
      <c r="O104" s="2038"/>
      <c r="P104" s="2038"/>
      <c r="Q104" s="2038"/>
      <c r="R104" s="2038"/>
      <c r="S104" s="2038"/>
      <c r="T104" s="2038"/>
      <c r="U104" s="2038"/>
      <c r="V104" s="2073"/>
      <c r="W104" s="2073"/>
      <c r="X104" s="2073"/>
      <c r="Y104" s="2073"/>
      <c r="Z104" s="2073"/>
      <c r="AA104" s="2073"/>
      <c r="AB104" s="2010"/>
      <c r="AC104" s="2010"/>
      <c r="AD104" s="2010"/>
      <c r="AE104" s="2010"/>
      <c r="AF104" s="2010"/>
      <c r="AG104" s="2010"/>
      <c r="AH104" s="2074"/>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44" t="s">
        <v>1993</v>
      </c>
      <c r="C105" s="2038"/>
      <c r="D105" s="2038"/>
      <c r="E105" s="2038"/>
      <c r="F105" s="2038"/>
      <c r="G105" s="2038"/>
      <c r="H105" s="2038"/>
      <c r="I105" s="2013">
        <v>0</v>
      </c>
      <c r="J105" s="2013"/>
      <c r="K105" s="2013"/>
      <c r="L105" s="2013"/>
      <c r="M105" s="2013"/>
      <c r="N105" s="2013"/>
      <c r="O105" s="2013">
        <v>0</v>
      </c>
      <c r="P105" s="2013"/>
      <c r="Q105" s="2013"/>
      <c r="R105" s="2013"/>
      <c r="S105" s="2013"/>
      <c r="T105" s="2013"/>
      <c r="U105" s="2013"/>
      <c r="V105" s="2013">
        <v>0</v>
      </c>
      <c r="W105" s="2013"/>
      <c r="X105" s="2013"/>
      <c r="Y105" s="2013"/>
      <c r="Z105" s="2013"/>
      <c r="AA105" s="2013"/>
      <c r="AB105" s="2013">
        <v>0</v>
      </c>
      <c r="AC105" s="2013"/>
      <c r="AD105" s="2013"/>
      <c r="AE105" s="2013"/>
      <c r="AF105" s="2013"/>
      <c r="AG105" s="2013"/>
      <c r="AH105" s="2014"/>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44" t="s">
        <v>1994</v>
      </c>
      <c r="C106" s="2038"/>
      <c r="D106" s="2038"/>
      <c r="E106" s="2038"/>
      <c r="F106" s="2038"/>
      <c r="G106" s="2038"/>
      <c r="H106" s="2038"/>
      <c r="I106" s="2013">
        <v>0</v>
      </c>
      <c r="J106" s="2013"/>
      <c r="K106" s="2013"/>
      <c r="L106" s="2013"/>
      <c r="M106" s="2013"/>
      <c r="N106" s="2013"/>
      <c r="O106" s="2013">
        <v>0</v>
      </c>
      <c r="P106" s="2013"/>
      <c r="Q106" s="2013"/>
      <c r="R106" s="2013"/>
      <c r="S106" s="2013"/>
      <c r="T106" s="2013"/>
      <c r="U106" s="2013"/>
      <c r="V106" s="2013">
        <v>0</v>
      </c>
      <c r="W106" s="2013"/>
      <c r="X106" s="2013"/>
      <c r="Y106" s="2013"/>
      <c r="Z106" s="2013"/>
      <c r="AA106" s="2013"/>
      <c r="AB106" s="2013">
        <v>0</v>
      </c>
      <c r="AC106" s="2013"/>
      <c r="AD106" s="2013"/>
      <c r="AE106" s="2013"/>
      <c r="AF106" s="2013"/>
      <c r="AG106" s="2013"/>
      <c r="AH106" s="2014"/>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71" t="s">
        <v>1996</v>
      </c>
      <c r="C107" s="2072"/>
      <c r="D107" s="2072"/>
      <c r="E107" s="2072"/>
      <c r="F107" s="2072"/>
      <c r="G107" s="2072"/>
      <c r="H107" s="2072"/>
      <c r="I107" s="2007">
        <v>0</v>
      </c>
      <c r="J107" s="2007"/>
      <c r="K107" s="2007"/>
      <c r="L107" s="2007"/>
      <c r="M107" s="2007"/>
      <c r="N107" s="2007"/>
      <c r="O107" s="2007">
        <v>0</v>
      </c>
      <c r="P107" s="2007"/>
      <c r="Q107" s="2007"/>
      <c r="R107" s="2007"/>
      <c r="S107" s="2007"/>
      <c r="T107" s="2007"/>
      <c r="U107" s="2007"/>
      <c r="V107" s="2007">
        <v>0</v>
      </c>
      <c r="W107" s="2007"/>
      <c r="X107" s="2007"/>
      <c r="Y107" s="2007"/>
      <c r="Z107" s="2007"/>
      <c r="AA107" s="2007"/>
      <c r="AB107" s="2007">
        <v>0</v>
      </c>
      <c r="AC107" s="2007"/>
      <c r="AD107" s="2007"/>
      <c r="AE107" s="2007"/>
      <c r="AF107" s="2007"/>
      <c r="AG107" s="2007"/>
      <c r="AH107" s="2008"/>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2004</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1986</v>
      </c>
      <c r="C110" s="1120"/>
      <c r="D110" s="1127"/>
      <c r="E110" s="1128"/>
      <c r="F110" s="2035"/>
      <c r="G110" s="2036"/>
      <c r="H110" s="2036"/>
      <c r="I110" s="2036"/>
      <c r="J110" s="2036"/>
      <c r="K110" s="2036"/>
      <c r="L110" s="2036"/>
      <c r="M110" s="2036"/>
      <c r="N110" s="2036"/>
      <c r="O110" s="2036"/>
      <c r="P110" s="2036"/>
      <c r="Q110" s="2036"/>
      <c r="R110" s="2037"/>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45" t="s">
        <v>2005</v>
      </c>
      <c r="C112" s="2046"/>
      <c r="D112" s="2046"/>
      <c r="E112" s="2046"/>
      <c r="F112" s="2046"/>
      <c r="G112" s="2046"/>
      <c r="H112" s="2046"/>
      <c r="I112" s="2046"/>
      <c r="J112" s="2046"/>
      <c r="K112" s="2046"/>
      <c r="L112" s="2046"/>
      <c r="M112" s="2046"/>
      <c r="N112" s="2046"/>
      <c r="O112" s="2046"/>
      <c r="P112" s="2046"/>
      <c r="Q112" s="2046"/>
      <c r="R112" s="2046"/>
      <c r="S112" s="2046"/>
      <c r="T112" s="2046"/>
      <c r="U112" s="2049" t="s">
        <v>862</v>
      </c>
      <c r="V112" s="2049"/>
      <c r="W112" s="2049"/>
      <c r="X112" s="2050"/>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47"/>
      <c r="C113" s="2048"/>
      <c r="D113" s="2048"/>
      <c r="E113" s="2048"/>
      <c r="F113" s="2048"/>
      <c r="G113" s="2048"/>
      <c r="H113" s="2048"/>
      <c r="I113" s="2048"/>
      <c r="J113" s="2048"/>
      <c r="K113" s="2048"/>
      <c r="L113" s="2048"/>
      <c r="M113" s="2048"/>
      <c r="N113" s="2048"/>
      <c r="O113" s="2048"/>
      <c r="P113" s="2048"/>
      <c r="Q113" s="2048"/>
      <c r="R113" s="2048"/>
      <c r="S113" s="2048"/>
      <c r="T113" s="2048"/>
      <c r="U113" s="2051"/>
      <c r="V113" s="2051"/>
      <c r="W113" s="2051"/>
      <c r="X113" s="2052"/>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47"/>
      <c r="C114" s="2048"/>
      <c r="D114" s="2048"/>
      <c r="E114" s="2048"/>
      <c r="F114" s="2048"/>
      <c r="G114" s="2048"/>
      <c r="H114" s="2048"/>
      <c r="I114" s="2048"/>
      <c r="J114" s="2048"/>
      <c r="K114" s="2048"/>
      <c r="L114" s="2048"/>
      <c r="M114" s="2048"/>
      <c r="N114" s="2048"/>
      <c r="O114" s="2048"/>
      <c r="P114" s="2048"/>
      <c r="Q114" s="2048"/>
      <c r="R114" s="2048"/>
      <c r="S114" s="2048"/>
      <c r="T114" s="2048"/>
      <c r="U114" s="2051"/>
      <c r="V114" s="2051"/>
      <c r="W114" s="2051"/>
      <c r="X114" s="2052"/>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47"/>
      <c r="C115" s="2048"/>
      <c r="D115" s="2048"/>
      <c r="E115" s="2048"/>
      <c r="F115" s="2048"/>
      <c r="G115" s="2048"/>
      <c r="H115" s="2048"/>
      <c r="I115" s="2048"/>
      <c r="J115" s="2048"/>
      <c r="K115" s="2048"/>
      <c r="L115" s="2048"/>
      <c r="M115" s="2048"/>
      <c r="N115" s="2048"/>
      <c r="O115" s="2048"/>
      <c r="P115" s="2048"/>
      <c r="Q115" s="2048"/>
      <c r="R115" s="2048"/>
      <c r="S115" s="2048"/>
      <c r="T115" s="2048"/>
      <c r="U115" s="2051"/>
      <c r="V115" s="2051"/>
      <c r="W115" s="2051"/>
      <c r="X115" s="2052"/>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1979" t="s">
        <v>2005</v>
      </c>
      <c r="C116" s="2053"/>
      <c r="D116" s="2053"/>
      <c r="E116" s="2053"/>
      <c r="F116" s="2053"/>
      <c r="G116" s="2053"/>
      <c r="H116" s="2053"/>
      <c r="I116" s="2053"/>
      <c r="J116" s="2053"/>
      <c r="K116" s="2053"/>
      <c r="L116" s="2053"/>
      <c r="M116" s="2053"/>
      <c r="N116" s="2053"/>
      <c r="O116" s="2053"/>
      <c r="P116" s="2053"/>
      <c r="Q116" s="2053"/>
      <c r="R116" s="2053"/>
      <c r="S116" s="2053"/>
      <c r="T116" s="2053"/>
      <c r="U116" s="2056" t="s">
        <v>862</v>
      </c>
      <c r="V116" s="2056"/>
      <c r="W116" s="2056"/>
      <c r="X116" s="2057"/>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54"/>
      <c r="C117" s="2055"/>
      <c r="D117" s="2055"/>
      <c r="E117" s="2055"/>
      <c r="F117" s="2055"/>
      <c r="G117" s="2055"/>
      <c r="H117" s="2055"/>
      <c r="I117" s="2055"/>
      <c r="J117" s="2055"/>
      <c r="K117" s="2055"/>
      <c r="L117" s="2055"/>
      <c r="M117" s="2055"/>
      <c r="N117" s="2055"/>
      <c r="O117" s="2055"/>
      <c r="P117" s="2055"/>
      <c r="Q117" s="2055"/>
      <c r="R117" s="2055"/>
      <c r="S117" s="2055"/>
      <c r="T117" s="2055"/>
      <c r="U117" s="2058"/>
      <c r="V117" s="2058"/>
      <c r="W117" s="2058"/>
      <c r="X117" s="2059"/>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2006</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62" t="s">
        <v>2007</v>
      </c>
      <c r="Y120" s="2063"/>
      <c r="Z120" s="2063"/>
      <c r="AA120" s="2063"/>
      <c r="AB120" s="2063"/>
      <c r="AC120" s="2063"/>
      <c r="AD120" s="2063"/>
      <c r="AE120" s="2063"/>
      <c r="AF120" s="2063"/>
      <c r="AG120" s="2063"/>
      <c r="AH120" s="2063"/>
      <c r="AI120" s="2063"/>
      <c r="AJ120" s="2063"/>
      <c r="AK120" s="2063"/>
      <c r="AL120" s="2063"/>
      <c r="AM120" s="2063"/>
      <c r="AN120" s="2063"/>
      <c r="AO120" s="2063"/>
      <c r="AP120" s="2063"/>
      <c r="AQ120" s="2063"/>
      <c r="AR120" s="2063"/>
      <c r="AS120" s="2063"/>
      <c r="AT120" s="2063"/>
      <c r="AU120" s="2063"/>
      <c r="AV120" s="2063"/>
      <c r="AW120" s="2063"/>
      <c r="AX120" s="2063"/>
      <c r="AY120" s="2063"/>
      <c r="AZ120" s="2063"/>
      <c r="BA120" s="2063"/>
      <c r="BB120" s="2063"/>
      <c r="BC120" s="2063"/>
      <c r="BD120" s="2064"/>
      <c r="BE120" s="1101"/>
    </row>
    <row r="121" spans="1:57" ht="15.75" customHeight="1">
      <c r="A121" s="1097"/>
      <c r="B121" s="2068" t="s">
        <v>2008</v>
      </c>
      <c r="C121" s="2069"/>
      <c r="D121" s="2069"/>
      <c r="E121" s="2069"/>
      <c r="F121" s="2069"/>
      <c r="G121" s="2069"/>
      <c r="H121" s="2069"/>
      <c r="I121" s="2069"/>
      <c r="J121" s="2069"/>
      <c r="K121" s="2069"/>
      <c r="L121" s="2069"/>
      <c r="M121" s="2069"/>
      <c r="N121" s="2069"/>
      <c r="O121" s="2069"/>
      <c r="P121" s="2069"/>
      <c r="Q121" s="2069"/>
      <c r="R121" s="2069"/>
      <c r="S121" s="2069"/>
      <c r="T121" s="2069"/>
      <c r="U121" s="2070"/>
      <c r="V121" s="1097"/>
      <c r="W121" s="1097"/>
      <c r="X121" s="2065"/>
      <c r="Y121" s="2066"/>
      <c r="Z121" s="2066"/>
      <c r="AA121" s="2066"/>
      <c r="AB121" s="2066"/>
      <c r="AC121" s="2066"/>
      <c r="AD121" s="2066"/>
      <c r="AE121" s="2066"/>
      <c r="AF121" s="2066"/>
      <c r="AG121" s="2066"/>
      <c r="AH121" s="2066"/>
      <c r="AI121" s="2066"/>
      <c r="AJ121" s="2066"/>
      <c r="AK121" s="2066"/>
      <c r="AL121" s="2066"/>
      <c r="AM121" s="2066"/>
      <c r="AN121" s="2066"/>
      <c r="AO121" s="2066"/>
      <c r="AP121" s="2066"/>
      <c r="AQ121" s="2066"/>
      <c r="AR121" s="2066"/>
      <c r="AS121" s="2066"/>
      <c r="AT121" s="2066"/>
      <c r="AU121" s="2066"/>
      <c r="AV121" s="2066"/>
      <c r="AW121" s="2066"/>
      <c r="AX121" s="2066"/>
      <c r="AY121" s="2066"/>
      <c r="AZ121" s="2066"/>
      <c r="BA121" s="2066"/>
      <c r="BB121" s="2066"/>
      <c r="BC121" s="2066"/>
      <c r="BD121" s="2067"/>
      <c r="BE121" s="1101"/>
    </row>
    <row r="122" spans="1:57" ht="15.75" customHeight="1">
      <c r="A122" s="1097"/>
      <c r="B122" s="1976"/>
      <c r="C122" s="1977"/>
      <c r="D122" s="1977"/>
      <c r="E122" s="1977"/>
      <c r="F122" s="1977"/>
      <c r="G122" s="1977"/>
      <c r="H122" s="1977"/>
      <c r="I122" s="2038" t="s">
        <v>2009</v>
      </c>
      <c r="J122" s="2038"/>
      <c r="K122" s="2038"/>
      <c r="L122" s="2038"/>
      <c r="M122" s="2038"/>
      <c r="N122" s="2038"/>
      <c r="O122" s="2039" t="s">
        <v>2010</v>
      </c>
      <c r="P122" s="2039"/>
      <c r="Q122" s="2039"/>
      <c r="R122" s="2039"/>
      <c r="S122" s="2039"/>
      <c r="T122" s="2039"/>
      <c r="U122" s="2040"/>
      <c r="V122" s="1097"/>
      <c r="W122" s="1097"/>
      <c r="X122" s="1979" t="s">
        <v>2011</v>
      </c>
      <c r="Y122" s="1980"/>
      <c r="Z122" s="1980"/>
      <c r="AA122" s="1980"/>
      <c r="AB122" s="1980"/>
      <c r="AC122" s="1980"/>
      <c r="AD122" s="1980"/>
      <c r="AE122" s="1980"/>
      <c r="AF122" s="1980"/>
      <c r="AG122" s="1980"/>
      <c r="AH122" s="1980"/>
      <c r="AI122" s="1980"/>
      <c r="AJ122" s="1980"/>
      <c r="AK122" s="1980"/>
      <c r="AL122" s="1980"/>
      <c r="AM122" s="1980"/>
      <c r="AN122" s="1980"/>
      <c r="AO122" s="1980"/>
      <c r="AP122" s="1980"/>
      <c r="AQ122" s="1980"/>
      <c r="AR122" s="1980"/>
      <c r="AS122" s="1980"/>
      <c r="AT122" s="1980"/>
      <c r="AU122" s="1980"/>
      <c r="AV122" s="1980"/>
      <c r="AW122" s="1980"/>
      <c r="AX122" s="1980"/>
      <c r="AY122" s="1980"/>
      <c r="AZ122" s="1980"/>
      <c r="BA122" s="1980"/>
      <c r="BB122" s="1980"/>
      <c r="BC122" s="1980"/>
      <c r="BD122" s="1981"/>
      <c r="BE122" s="1101"/>
    </row>
    <row r="123" spans="1:57" ht="15.75" customHeight="1">
      <c r="A123" s="1097"/>
      <c r="B123" s="2011" t="s">
        <v>2012</v>
      </c>
      <c r="C123" s="2012"/>
      <c r="D123" s="2012"/>
      <c r="E123" s="2012"/>
      <c r="F123" s="2012"/>
      <c r="G123" s="2012"/>
      <c r="H123" s="2012"/>
      <c r="I123" s="2013">
        <v>313</v>
      </c>
      <c r="J123" s="2013"/>
      <c r="K123" s="2013"/>
      <c r="L123" s="2013"/>
      <c r="M123" s="2013"/>
      <c r="N123" s="2013"/>
      <c r="O123" s="2013">
        <v>11</v>
      </c>
      <c r="P123" s="2013"/>
      <c r="Q123" s="2013"/>
      <c r="R123" s="2013"/>
      <c r="S123" s="2013"/>
      <c r="T123" s="2013"/>
      <c r="U123" s="2014"/>
      <c r="V123" s="1097"/>
      <c r="W123" s="1097"/>
      <c r="X123" s="1982"/>
      <c r="Y123" s="1980"/>
      <c r="Z123" s="1980"/>
      <c r="AA123" s="1980"/>
      <c r="AB123" s="1980"/>
      <c r="AC123" s="1980"/>
      <c r="AD123" s="1980"/>
      <c r="AE123" s="1980"/>
      <c r="AF123" s="1980"/>
      <c r="AG123" s="1980"/>
      <c r="AH123" s="1980"/>
      <c r="AI123" s="1980"/>
      <c r="AJ123" s="1980"/>
      <c r="AK123" s="1980"/>
      <c r="AL123" s="1980"/>
      <c r="AM123" s="1980"/>
      <c r="AN123" s="1980"/>
      <c r="AO123" s="1980"/>
      <c r="AP123" s="1980"/>
      <c r="AQ123" s="1980"/>
      <c r="AR123" s="1980"/>
      <c r="AS123" s="1980"/>
      <c r="AT123" s="1980"/>
      <c r="AU123" s="1980"/>
      <c r="AV123" s="1980"/>
      <c r="AW123" s="1980"/>
      <c r="AX123" s="1980"/>
      <c r="AY123" s="1980"/>
      <c r="AZ123" s="1980"/>
      <c r="BA123" s="1980"/>
      <c r="BB123" s="1980"/>
      <c r="BC123" s="1980"/>
      <c r="BD123" s="1981"/>
      <c r="BE123" s="1101"/>
    </row>
    <row r="124" spans="1:57" ht="15.75" customHeight="1" thickBot="1">
      <c r="A124" s="1097"/>
      <c r="B124" s="2005" t="s">
        <v>2013</v>
      </c>
      <c r="C124" s="2006"/>
      <c r="D124" s="2006"/>
      <c r="E124" s="2006"/>
      <c r="F124" s="2006"/>
      <c r="G124" s="2006"/>
      <c r="H124" s="2006"/>
      <c r="I124" s="2007">
        <v>0</v>
      </c>
      <c r="J124" s="2007"/>
      <c r="K124" s="2007"/>
      <c r="L124" s="2007"/>
      <c r="M124" s="2007"/>
      <c r="N124" s="2007"/>
      <c r="O124" s="2060"/>
      <c r="P124" s="2060"/>
      <c r="Q124" s="2060"/>
      <c r="R124" s="2060"/>
      <c r="S124" s="2060"/>
      <c r="T124" s="2060"/>
      <c r="U124" s="2061"/>
      <c r="V124" s="1097"/>
      <c r="W124" s="1097"/>
      <c r="X124" s="1982"/>
      <c r="Y124" s="1980"/>
      <c r="Z124" s="1980"/>
      <c r="AA124" s="1980"/>
      <c r="AB124" s="1980"/>
      <c r="AC124" s="1980"/>
      <c r="AD124" s="1980"/>
      <c r="AE124" s="1980"/>
      <c r="AF124" s="1980"/>
      <c r="AG124" s="1980"/>
      <c r="AH124" s="1980"/>
      <c r="AI124" s="1980"/>
      <c r="AJ124" s="1980"/>
      <c r="AK124" s="1980"/>
      <c r="AL124" s="1980"/>
      <c r="AM124" s="1980"/>
      <c r="AN124" s="1980"/>
      <c r="AO124" s="1980"/>
      <c r="AP124" s="1980"/>
      <c r="AQ124" s="1980"/>
      <c r="AR124" s="1980"/>
      <c r="AS124" s="1980"/>
      <c r="AT124" s="1980"/>
      <c r="AU124" s="1980"/>
      <c r="AV124" s="1980"/>
      <c r="AW124" s="1980"/>
      <c r="AX124" s="1980"/>
      <c r="AY124" s="1980"/>
      <c r="AZ124" s="1980"/>
      <c r="BA124" s="1980"/>
      <c r="BB124" s="1980"/>
      <c r="BC124" s="1980"/>
      <c r="BD124" s="1981"/>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82"/>
      <c r="Y125" s="1980"/>
      <c r="Z125" s="1980"/>
      <c r="AA125" s="1980"/>
      <c r="AB125" s="1980"/>
      <c r="AC125" s="1980"/>
      <c r="AD125" s="1980"/>
      <c r="AE125" s="1980"/>
      <c r="AF125" s="1980"/>
      <c r="AG125" s="1980"/>
      <c r="AH125" s="1980"/>
      <c r="AI125" s="1980"/>
      <c r="AJ125" s="1980"/>
      <c r="AK125" s="1980"/>
      <c r="AL125" s="1980"/>
      <c r="AM125" s="1980"/>
      <c r="AN125" s="1980"/>
      <c r="AO125" s="1980"/>
      <c r="AP125" s="1980"/>
      <c r="AQ125" s="1980"/>
      <c r="AR125" s="1980"/>
      <c r="AS125" s="1980"/>
      <c r="AT125" s="1980"/>
      <c r="AU125" s="1980"/>
      <c r="AV125" s="1980"/>
      <c r="AW125" s="1980"/>
      <c r="AX125" s="1980"/>
      <c r="AY125" s="1980"/>
      <c r="AZ125" s="1980"/>
      <c r="BA125" s="1980"/>
      <c r="BB125" s="1980"/>
      <c r="BC125" s="1980"/>
      <c r="BD125" s="1981"/>
      <c r="BE125" s="1101"/>
    </row>
    <row r="126" spans="1:57" ht="15.75" customHeight="1" thickBot="1">
      <c r="A126" s="1097"/>
      <c r="B126" s="1117" t="s">
        <v>2014</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82"/>
      <c r="Y126" s="1980"/>
      <c r="Z126" s="1980"/>
      <c r="AA126" s="1980"/>
      <c r="AB126" s="1980"/>
      <c r="AC126" s="1980"/>
      <c r="AD126" s="1980"/>
      <c r="AE126" s="1980"/>
      <c r="AF126" s="1980"/>
      <c r="AG126" s="1980"/>
      <c r="AH126" s="1980"/>
      <c r="AI126" s="1980"/>
      <c r="AJ126" s="1980"/>
      <c r="AK126" s="1980"/>
      <c r="AL126" s="1980"/>
      <c r="AM126" s="1980"/>
      <c r="AN126" s="1980"/>
      <c r="AO126" s="1980"/>
      <c r="AP126" s="1980"/>
      <c r="AQ126" s="1980"/>
      <c r="AR126" s="1980"/>
      <c r="AS126" s="1980"/>
      <c r="AT126" s="1980"/>
      <c r="AU126" s="1980"/>
      <c r="AV126" s="1980"/>
      <c r="AW126" s="1980"/>
      <c r="AX126" s="1980"/>
      <c r="AY126" s="1980"/>
      <c r="AZ126" s="1980"/>
      <c r="BA126" s="1980"/>
      <c r="BB126" s="1980"/>
      <c r="BC126" s="1980"/>
      <c r="BD126" s="1981"/>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82"/>
      <c r="Y127" s="1980"/>
      <c r="Z127" s="1980"/>
      <c r="AA127" s="1980"/>
      <c r="AB127" s="1980"/>
      <c r="AC127" s="1980"/>
      <c r="AD127" s="1980"/>
      <c r="AE127" s="1980"/>
      <c r="AF127" s="1980"/>
      <c r="AG127" s="1980"/>
      <c r="AH127" s="1980"/>
      <c r="AI127" s="1980"/>
      <c r="AJ127" s="1980"/>
      <c r="AK127" s="1980"/>
      <c r="AL127" s="1980"/>
      <c r="AM127" s="1980"/>
      <c r="AN127" s="1980"/>
      <c r="AO127" s="1980"/>
      <c r="AP127" s="1980"/>
      <c r="AQ127" s="1980"/>
      <c r="AR127" s="1980"/>
      <c r="AS127" s="1980"/>
      <c r="AT127" s="1980"/>
      <c r="AU127" s="1980"/>
      <c r="AV127" s="1980"/>
      <c r="AW127" s="1980"/>
      <c r="AX127" s="1980"/>
      <c r="AY127" s="1980"/>
      <c r="AZ127" s="1980"/>
      <c r="BA127" s="1980"/>
      <c r="BB127" s="1980"/>
      <c r="BC127" s="1980"/>
      <c r="BD127" s="1981"/>
      <c r="BE127" s="1101"/>
    </row>
    <row r="128" spans="1:57" ht="15.75" customHeight="1">
      <c r="A128" s="1097"/>
      <c r="B128" s="2041" t="s">
        <v>2015</v>
      </c>
      <c r="C128" s="2042"/>
      <c r="D128" s="2042"/>
      <c r="E128" s="2042"/>
      <c r="F128" s="2042"/>
      <c r="G128" s="2042"/>
      <c r="H128" s="2042"/>
      <c r="I128" s="2042"/>
      <c r="J128" s="2042"/>
      <c r="K128" s="2042"/>
      <c r="L128" s="2042"/>
      <c r="M128" s="2042"/>
      <c r="N128" s="2042"/>
      <c r="O128" s="2042"/>
      <c r="P128" s="2042"/>
      <c r="Q128" s="2042"/>
      <c r="R128" s="2042"/>
      <c r="S128" s="2042"/>
      <c r="T128" s="2042"/>
      <c r="U128" s="2043"/>
      <c r="V128" s="1097"/>
      <c r="W128" s="1097"/>
      <c r="X128" s="1982"/>
      <c r="Y128" s="1980"/>
      <c r="Z128" s="1980"/>
      <c r="AA128" s="1980"/>
      <c r="AB128" s="1980"/>
      <c r="AC128" s="1980"/>
      <c r="AD128" s="1980"/>
      <c r="AE128" s="1980"/>
      <c r="AF128" s="1980"/>
      <c r="AG128" s="1980"/>
      <c r="AH128" s="1980"/>
      <c r="AI128" s="1980"/>
      <c r="AJ128" s="1980"/>
      <c r="AK128" s="1980"/>
      <c r="AL128" s="1980"/>
      <c r="AM128" s="1980"/>
      <c r="AN128" s="1980"/>
      <c r="AO128" s="1980"/>
      <c r="AP128" s="1980"/>
      <c r="AQ128" s="1980"/>
      <c r="AR128" s="1980"/>
      <c r="AS128" s="1980"/>
      <c r="AT128" s="1980"/>
      <c r="AU128" s="1980"/>
      <c r="AV128" s="1980"/>
      <c r="AW128" s="1980"/>
      <c r="AX128" s="1980"/>
      <c r="AY128" s="1980"/>
      <c r="AZ128" s="1980"/>
      <c r="BA128" s="1980"/>
      <c r="BB128" s="1980"/>
      <c r="BC128" s="1980"/>
      <c r="BD128" s="1981"/>
      <c r="BE128" s="1101"/>
    </row>
    <row r="129" spans="1:57" ht="15.75" customHeight="1">
      <c r="A129" s="1097"/>
      <c r="B129" s="1976"/>
      <c r="C129" s="1977"/>
      <c r="D129" s="1977"/>
      <c r="E129" s="1977"/>
      <c r="F129" s="1977"/>
      <c r="G129" s="1977"/>
      <c r="H129" s="1977"/>
      <c r="I129" s="2015" t="s">
        <v>1990</v>
      </c>
      <c r="J129" s="2015"/>
      <c r="K129" s="2015"/>
      <c r="L129" s="2015"/>
      <c r="M129" s="2015"/>
      <c r="N129" s="2015"/>
      <c r="O129" s="2015"/>
      <c r="P129" s="2015" t="s">
        <v>1991</v>
      </c>
      <c r="Q129" s="2015"/>
      <c r="R129" s="2015"/>
      <c r="S129" s="2015"/>
      <c r="T129" s="2015"/>
      <c r="U129" s="2016"/>
      <c r="V129" s="1097"/>
      <c r="W129" s="1097"/>
      <c r="X129" s="1982"/>
      <c r="Y129" s="1980"/>
      <c r="Z129" s="1980"/>
      <c r="AA129" s="1980"/>
      <c r="AB129" s="1980"/>
      <c r="AC129" s="1980"/>
      <c r="AD129" s="1980"/>
      <c r="AE129" s="1980"/>
      <c r="AF129" s="1980"/>
      <c r="AG129" s="1980"/>
      <c r="AH129" s="1980"/>
      <c r="AI129" s="1980"/>
      <c r="AJ129" s="1980"/>
      <c r="AK129" s="1980"/>
      <c r="AL129" s="1980"/>
      <c r="AM129" s="1980"/>
      <c r="AN129" s="1980"/>
      <c r="AO129" s="1980"/>
      <c r="AP129" s="1980"/>
      <c r="AQ129" s="1980"/>
      <c r="AR129" s="1980"/>
      <c r="AS129" s="1980"/>
      <c r="AT129" s="1980"/>
      <c r="AU129" s="1980"/>
      <c r="AV129" s="1980"/>
      <c r="AW129" s="1980"/>
      <c r="AX129" s="1980"/>
      <c r="AY129" s="1980"/>
      <c r="AZ129" s="1980"/>
      <c r="BA129" s="1980"/>
      <c r="BB129" s="1980"/>
      <c r="BC129" s="1980"/>
      <c r="BD129" s="1981"/>
      <c r="BE129" s="1101"/>
    </row>
    <row r="130" spans="1:57" ht="15.75" customHeight="1">
      <c r="A130" s="1097"/>
      <c r="B130" s="1976"/>
      <c r="C130" s="1977"/>
      <c r="D130" s="1977"/>
      <c r="E130" s="1977"/>
      <c r="F130" s="1977"/>
      <c r="G130" s="1977"/>
      <c r="H130" s="1977"/>
      <c r="I130" s="2015"/>
      <c r="J130" s="2015"/>
      <c r="K130" s="2015"/>
      <c r="L130" s="2015"/>
      <c r="M130" s="2015"/>
      <c r="N130" s="2015"/>
      <c r="O130" s="2015"/>
      <c r="P130" s="2015"/>
      <c r="Q130" s="2015"/>
      <c r="R130" s="2015"/>
      <c r="S130" s="2015"/>
      <c r="T130" s="2015"/>
      <c r="U130" s="2016"/>
      <c r="V130" s="1097"/>
      <c r="W130" s="1097"/>
      <c r="X130" s="1982"/>
      <c r="Y130" s="1980"/>
      <c r="Z130" s="1980"/>
      <c r="AA130" s="1980"/>
      <c r="AB130" s="1980"/>
      <c r="AC130" s="1980"/>
      <c r="AD130" s="1980"/>
      <c r="AE130" s="1980"/>
      <c r="AF130" s="1980"/>
      <c r="AG130" s="1980"/>
      <c r="AH130" s="1980"/>
      <c r="AI130" s="1980"/>
      <c r="AJ130" s="1980"/>
      <c r="AK130" s="1980"/>
      <c r="AL130" s="1980"/>
      <c r="AM130" s="1980"/>
      <c r="AN130" s="1980"/>
      <c r="AO130" s="1980"/>
      <c r="AP130" s="1980"/>
      <c r="AQ130" s="1980"/>
      <c r="AR130" s="1980"/>
      <c r="AS130" s="1980"/>
      <c r="AT130" s="1980"/>
      <c r="AU130" s="1980"/>
      <c r="AV130" s="1980"/>
      <c r="AW130" s="1980"/>
      <c r="AX130" s="1980"/>
      <c r="AY130" s="1980"/>
      <c r="AZ130" s="1980"/>
      <c r="BA130" s="1980"/>
      <c r="BB130" s="1980"/>
      <c r="BC130" s="1980"/>
      <c r="BD130" s="1981"/>
      <c r="BE130" s="1101"/>
    </row>
    <row r="131" spans="1:57" ht="15.75" customHeight="1">
      <c r="A131" s="1097"/>
      <c r="B131" s="2011" t="s">
        <v>2012</v>
      </c>
      <c r="C131" s="2012"/>
      <c r="D131" s="2012"/>
      <c r="E131" s="2012"/>
      <c r="F131" s="2012"/>
      <c r="G131" s="2012"/>
      <c r="H131" s="2012"/>
      <c r="I131" s="2013">
        <v>7</v>
      </c>
      <c r="J131" s="2013"/>
      <c r="K131" s="2013"/>
      <c r="L131" s="2013"/>
      <c r="M131" s="2013"/>
      <c r="N131" s="2013"/>
      <c r="O131" s="2013"/>
      <c r="P131" s="2013">
        <v>7</v>
      </c>
      <c r="Q131" s="2013"/>
      <c r="R131" s="2013"/>
      <c r="S131" s="2013"/>
      <c r="T131" s="2013"/>
      <c r="U131" s="2014"/>
      <c r="V131" s="1097"/>
      <c r="W131" s="1097"/>
      <c r="X131" s="1982"/>
      <c r="Y131" s="1980"/>
      <c r="Z131" s="1980"/>
      <c r="AA131" s="1980"/>
      <c r="AB131" s="1980"/>
      <c r="AC131" s="1980"/>
      <c r="AD131" s="1980"/>
      <c r="AE131" s="1980"/>
      <c r="AF131" s="1980"/>
      <c r="AG131" s="1980"/>
      <c r="AH131" s="1980"/>
      <c r="AI131" s="1980"/>
      <c r="AJ131" s="1980"/>
      <c r="AK131" s="1980"/>
      <c r="AL131" s="1980"/>
      <c r="AM131" s="1980"/>
      <c r="AN131" s="1980"/>
      <c r="AO131" s="1980"/>
      <c r="AP131" s="1980"/>
      <c r="AQ131" s="1980"/>
      <c r="AR131" s="1980"/>
      <c r="AS131" s="1980"/>
      <c r="AT131" s="1980"/>
      <c r="AU131" s="1980"/>
      <c r="AV131" s="1980"/>
      <c r="AW131" s="1980"/>
      <c r="AX131" s="1980"/>
      <c r="AY131" s="1980"/>
      <c r="AZ131" s="1980"/>
      <c r="BA131" s="1980"/>
      <c r="BB131" s="1980"/>
      <c r="BC131" s="1980"/>
      <c r="BD131" s="1981"/>
      <c r="BE131" s="1101"/>
    </row>
    <row r="132" spans="1:57" ht="15.75" customHeight="1" thickBot="1">
      <c r="A132" s="1097"/>
      <c r="B132" s="2005" t="s">
        <v>2013</v>
      </c>
      <c r="C132" s="2006"/>
      <c r="D132" s="2006"/>
      <c r="E132" s="2006"/>
      <c r="F132" s="2006"/>
      <c r="G132" s="2006"/>
      <c r="H132" s="2006"/>
      <c r="I132" s="2007">
        <v>0</v>
      </c>
      <c r="J132" s="2007"/>
      <c r="K132" s="2007"/>
      <c r="L132" s="2007"/>
      <c r="M132" s="2007"/>
      <c r="N132" s="2007"/>
      <c r="O132" s="2007"/>
      <c r="P132" s="2007">
        <v>0</v>
      </c>
      <c r="Q132" s="2007"/>
      <c r="R132" s="2007"/>
      <c r="S132" s="2007"/>
      <c r="T132" s="2007"/>
      <c r="U132" s="2008"/>
      <c r="V132" s="1097"/>
      <c r="W132" s="1097"/>
      <c r="X132" s="1983"/>
      <c r="Y132" s="1984"/>
      <c r="Z132" s="1984"/>
      <c r="AA132" s="1984"/>
      <c r="AB132" s="1984"/>
      <c r="AC132" s="1984"/>
      <c r="AD132" s="1984"/>
      <c r="AE132" s="1984"/>
      <c r="AF132" s="1984"/>
      <c r="AG132" s="1984"/>
      <c r="AH132" s="1984"/>
      <c r="AI132" s="1984"/>
      <c r="AJ132" s="1984"/>
      <c r="AK132" s="1984"/>
      <c r="AL132" s="1984"/>
      <c r="AM132" s="1984"/>
      <c r="AN132" s="1984"/>
      <c r="AO132" s="1984"/>
      <c r="AP132" s="1984"/>
      <c r="AQ132" s="1984"/>
      <c r="AR132" s="1984"/>
      <c r="AS132" s="1984"/>
      <c r="AT132" s="1984"/>
      <c r="AU132" s="1984"/>
      <c r="AV132" s="1984"/>
      <c r="AW132" s="1984"/>
      <c r="AX132" s="1984"/>
      <c r="AY132" s="1984"/>
      <c r="AZ132" s="1984"/>
      <c r="BA132" s="1984"/>
      <c r="BB132" s="1984"/>
      <c r="BC132" s="1984"/>
      <c r="BD132" s="1985"/>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33" t="s">
        <v>2016</v>
      </c>
      <c r="C134" s="2034"/>
      <c r="D134" s="2034"/>
      <c r="E134" s="2034"/>
      <c r="F134" s="2034"/>
      <c r="G134" s="2034"/>
      <c r="H134" s="2034"/>
      <c r="I134" s="2034"/>
      <c r="J134" s="2034"/>
      <c r="K134" s="2034"/>
      <c r="L134" s="2034"/>
      <c r="M134" s="2034"/>
      <c r="N134" s="2034"/>
      <c r="O134" s="2034"/>
      <c r="P134" s="2034"/>
      <c r="Q134" s="2034"/>
      <c r="R134" s="2034"/>
      <c r="S134" s="2034"/>
      <c r="T134" s="2034"/>
      <c r="U134" s="2034"/>
      <c r="V134" s="2034"/>
      <c r="W134" s="2034"/>
      <c r="X134" s="2034"/>
      <c r="Y134" s="2034"/>
      <c r="Z134" s="2034"/>
      <c r="AA134" s="2034"/>
      <c r="AB134" s="2034"/>
      <c r="AC134" s="2034"/>
      <c r="AD134" s="2034"/>
      <c r="AE134" s="2034"/>
      <c r="AF134" s="2034"/>
      <c r="AG134" s="2034"/>
      <c r="AH134" s="2020" t="s">
        <v>862</v>
      </c>
      <c r="AI134" s="2020"/>
      <c r="AJ134" s="2020"/>
      <c r="AK134" s="2020"/>
      <c r="AL134" s="2020"/>
      <c r="AM134" s="2020"/>
      <c r="AN134" s="2020"/>
      <c r="AO134" s="2020"/>
      <c r="AP134" s="2020"/>
      <c r="AQ134" s="2020"/>
      <c r="AR134" s="2020"/>
      <c r="AS134" s="2020"/>
      <c r="AT134" s="2020"/>
      <c r="AU134" s="2020"/>
      <c r="AV134" s="2020"/>
      <c r="AW134" s="2020"/>
      <c r="AX134" s="2021"/>
      <c r="AY134" s="1097"/>
      <c r="AZ134" s="1097"/>
      <c r="BA134" s="1097"/>
      <c r="BB134" s="1097"/>
      <c r="BC134" s="1097"/>
      <c r="BD134" s="1097"/>
      <c r="BE134" s="1101"/>
    </row>
    <row r="135" spans="1:57" ht="15.75" customHeight="1" thickBot="1">
      <c r="A135" s="1097"/>
      <c r="B135" s="2017" t="s">
        <v>2017</v>
      </c>
      <c r="C135" s="2018"/>
      <c r="D135" s="2018"/>
      <c r="E135" s="2018"/>
      <c r="F135" s="2018"/>
      <c r="G135" s="2018"/>
      <c r="H135" s="2018"/>
      <c r="I135" s="2018"/>
      <c r="J135" s="2018"/>
      <c r="K135" s="2018"/>
      <c r="L135" s="2018"/>
      <c r="M135" s="2018"/>
      <c r="N135" s="2018"/>
      <c r="O135" s="2018"/>
      <c r="P135" s="2018"/>
      <c r="Q135" s="2018"/>
      <c r="R135" s="2018"/>
      <c r="S135" s="2018"/>
      <c r="T135" s="2018"/>
      <c r="U135" s="2018"/>
      <c r="V135" s="2018"/>
      <c r="W135" s="2018"/>
      <c r="X135" s="2018"/>
      <c r="Y135" s="2018"/>
      <c r="Z135" s="2018"/>
      <c r="AA135" s="2018"/>
      <c r="AB135" s="2018"/>
      <c r="AC135" s="2018"/>
      <c r="AD135" s="2018"/>
      <c r="AE135" s="2018"/>
      <c r="AF135" s="2018"/>
      <c r="AG135" s="2019"/>
      <c r="AH135" s="2035" t="s">
        <v>2018</v>
      </c>
      <c r="AI135" s="2036"/>
      <c r="AJ135" s="2036"/>
      <c r="AK135" s="2036"/>
      <c r="AL135" s="2036"/>
      <c r="AM135" s="2036"/>
      <c r="AN135" s="2036"/>
      <c r="AO135" s="2036"/>
      <c r="AP135" s="2036"/>
      <c r="AQ135" s="2036"/>
      <c r="AR135" s="2036"/>
      <c r="AS135" s="2036"/>
      <c r="AT135" s="2036"/>
      <c r="AU135" s="2036"/>
      <c r="AV135" s="2036"/>
      <c r="AW135" s="2036"/>
      <c r="AX135" s="2037"/>
      <c r="AY135" s="1097"/>
      <c r="AZ135" s="1097"/>
      <c r="BA135" s="1097"/>
      <c r="BB135" s="1097"/>
      <c r="BC135" s="1097"/>
      <c r="BD135" s="1097"/>
      <c r="BE135" s="1101"/>
    </row>
    <row r="136" spans="1:57" ht="15.75" customHeight="1">
      <c r="A136" s="1097"/>
      <c r="B136" s="2017" t="s">
        <v>2019</v>
      </c>
      <c r="C136" s="2018"/>
      <c r="D136" s="2018"/>
      <c r="E136" s="2018"/>
      <c r="F136" s="2018"/>
      <c r="G136" s="2018"/>
      <c r="H136" s="2018"/>
      <c r="I136" s="2018"/>
      <c r="J136" s="2018"/>
      <c r="K136" s="2018"/>
      <c r="L136" s="2018"/>
      <c r="M136" s="2018"/>
      <c r="N136" s="2018"/>
      <c r="O136" s="2018"/>
      <c r="P136" s="2018"/>
      <c r="Q136" s="2018"/>
      <c r="R136" s="2018"/>
      <c r="S136" s="2018"/>
      <c r="T136" s="2018"/>
      <c r="U136" s="2018"/>
      <c r="V136" s="2018"/>
      <c r="W136" s="2018"/>
      <c r="X136" s="2018"/>
      <c r="Y136" s="2018"/>
      <c r="Z136" s="2018"/>
      <c r="AA136" s="2018"/>
      <c r="AB136" s="2018"/>
      <c r="AC136" s="2018"/>
      <c r="AD136" s="2018"/>
      <c r="AE136" s="2018"/>
      <c r="AF136" s="2018"/>
      <c r="AG136" s="2019"/>
      <c r="AH136" s="2020" t="s">
        <v>862</v>
      </c>
      <c r="AI136" s="2020"/>
      <c r="AJ136" s="2020"/>
      <c r="AK136" s="2020"/>
      <c r="AL136" s="2020"/>
      <c r="AM136" s="2020"/>
      <c r="AN136" s="2020"/>
      <c r="AO136" s="2020"/>
      <c r="AP136" s="2020"/>
      <c r="AQ136" s="2020"/>
      <c r="AR136" s="2020"/>
      <c r="AS136" s="2020"/>
      <c r="AT136" s="2020"/>
      <c r="AU136" s="2020"/>
      <c r="AV136" s="2020"/>
      <c r="AW136" s="2020"/>
      <c r="AX136" s="2021"/>
      <c r="AY136" s="1097"/>
      <c r="AZ136" s="1097"/>
      <c r="BA136" s="1097"/>
      <c r="BB136" s="1097"/>
      <c r="BC136" s="1097"/>
      <c r="BD136" s="1097"/>
      <c r="BE136" s="1101"/>
    </row>
    <row r="137" spans="1:57" ht="15.75" customHeight="1">
      <c r="A137" s="1097"/>
      <c r="B137" s="2022" t="s">
        <v>2020</v>
      </c>
      <c r="C137" s="2023"/>
      <c r="D137" s="2023"/>
      <c r="E137" s="2023"/>
      <c r="F137" s="2023"/>
      <c r="G137" s="2023"/>
      <c r="H137" s="2023"/>
      <c r="I137" s="2023"/>
      <c r="J137" s="2023"/>
      <c r="K137" s="2023"/>
      <c r="L137" s="2023"/>
      <c r="M137" s="2023"/>
      <c r="N137" s="2023"/>
      <c r="O137" s="2023"/>
      <c r="P137" s="2023"/>
      <c r="Q137" s="2023"/>
      <c r="R137" s="2024" t="s">
        <v>2021</v>
      </c>
      <c r="S137" s="2024"/>
      <c r="T137" s="2024"/>
      <c r="U137" s="2024"/>
      <c r="V137" s="2024"/>
      <c r="W137" s="2024"/>
      <c r="X137" s="2024"/>
      <c r="Y137" s="2024"/>
      <c r="Z137" s="2024"/>
      <c r="AA137" s="2024"/>
      <c r="AB137" s="2024"/>
      <c r="AC137" s="2024"/>
      <c r="AD137" s="2024"/>
      <c r="AE137" s="2024"/>
      <c r="AF137" s="2024"/>
      <c r="AG137" s="2024"/>
      <c r="AH137" s="2024"/>
      <c r="AI137" s="2024"/>
      <c r="AJ137" s="2024"/>
      <c r="AK137" s="2024"/>
      <c r="AL137" s="2024"/>
      <c r="AM137" s="2024"/>
      <c r="AN137" s="2024"/>
      <c r="AO137" s="2024"/>
      <c r="AP137" s="2024"/>
      <c r="AQ137" s="2024"/>
      <c r="AR137" s="2024"/>
      <c r="AS137" s="2024"/>
      <c r="AT137" s="2024"/>
      <c r="AU137" s="2024"/>
      <c r="AV137" s="2024"/>
      <c r="AW137" s="2024"/>
      <c r="AX137" s="2025"/>
      <c r="AY137" s="1097"/>
      <c r="AZ137" s="1097"/>
      <c r="BA137" s="1097"/>
      <c r="BB137" s="1097"/>
      <c r="BC137" s="1097" t="s">
        <v>254</v>
      </c>
      <c r="BD137" s="1097"/>
      <c r="BE137" s="1101"/>
    </row>
    <row r="138" spans="1:57" ht="15.75" customHeight="1">
      <c r="A138" s="1097"/>
      <c r="B138" s="2026" t="s">
        <v>2022</v>
      </c>
      <c r="C138" s="2027"/>
      <c r="D138" s="2027"/>
      <c r="E138" s="2027"/>
      <c r="F138" s="2027"/>
      <c r="G138" s="2027"/>
      <c r="H138" s="2027"/>
      <c r="I138" s="2027"/>
      <c r="J138" s="2027"/>
      <c r="K138" s="2027"/>
      <c r="L138" s="2027"/>
      <c r="M138" s="2027"/>
      <c r="N138" s="2027"/>
      <c r="O138" s="2027"/>
      <c r="P138" s="2027"/>
      <c r="Q138" s="2027"/>
      <c r="R138" s="2027"/>
      <c r="S138" s="2027"/>
      <c r="T138" s="2027"/>
      <c r="U138" s="2027"/>
      <c r="V138" s="2027"/>
      <c r="W138" s="2027"/>
      <c r="X138" s="2027"/>
      <c r="Y138" s="2027"/>
      <c r="Z138" s="2027"/>
      <c r="AA138" s="2027"/>
      <c r="AB138" s="2027"/>
      <c r="AC138" s="2027"/>
      <c r="AD138" s="2027"/>
      <c r="AE138" s="2027"/>
      <c r="AF138" s="2027"/>
      <c r="AG138" s="2027"/>
      <c r="AH138" s="2027"/>
      <c r="AI138" s="2027"/>
      <c r="AJ138" s="2027"/>
      <c r="AK138" s="2027"/>
      <c r="AL138" s="2027"/>
      <c r="AM138" s="2027"/>
      <c r="AN138" s="2027"/>
      <c r="AO138" s="2027"/>
      <c r="AP138" s="2027"/>
      <c r="AQ138" s="2027"/>
      <c r="AR138" s="2027"/>
      <c r="AS138" s="2027"/>
      <c r="AT138" s="2027"/>
      <c r="AU138" s="2027"/>
      <c r="AV138" s="2027"/>
      <c r="AW138" s="2027"/>
      <c r="AX138" s="2028"/>
      <c r="AY138" s="1097"/>
      <c r="AZ138" s="1097"/>
      <c r="BA138" s="1097"/>
      <c r="BB138" s="1097"/>
      <c r="BC138" s="1097"/>
      <c r="BD138" s="1097"/>
      <c r="BE138" s="1101"/>
    </row>
    <row r="139" spans="1:57" ht="15.75" customHeight="1">
      <c r="A139" s="1097"/>
      <c r="B139" s="2029"/>
      <c r="C139" s="2027"/>
      <c r="D139" s="2027"/>
      <c r="E139" s="2027"/>
      <c r="F139" s="2027"/>
      <c r="G139" s="2027"/>
      <c r="H139" s="2027"/>
      <c r="I139" s="2027"/>
      <c r="J139" s="2027"/>
      <c r="K139" s="2027"/>
      <c r="L139" s="2027"/>
      <c r="M139" s="2027"/>
      <c r="N139" s="2027"/>
      <c r="O139" s="2027"/>
      <c r="P139" s="2027"/>
      <c r="Q139" s="2027"/>
      <c r="R139" s="2027"/>
      <c r="S139" s="2027"/>
      <c r="T139" s="2027"/>
      <c r="U139" s="2027"/>
      <c r="V139" s="2027"/>
      <c r="W139" s="2027"/>
      <c r="X139" s="2027"/>
      <c r="Y139" s="2027"/>
      <c r="Z139" s="2027"/>
      <c r="AA139" s="2027"/>
      <c r="AB139" s="2027"/>
      <c r="AC139" s="2027"/>
      <c r="AD139" s="2027"/>
      <c r="AE139" s="2027"/>
      <c r="AF139" s="2027"/>
      <c r="AG139" s="2027"/>
      <c r="AH139" s="2027"/>
      <c r="AI139" s="2027"/>
      <c r="AJ139" s="2027"/>
      <c r="AK139" s="2027"/>
      <c r="AL139" s="2027"/>
      <c r="AM139" s="2027"/>
      <c r="AN139" s="2027"/>
      <c r="AO139" s="2027"/>
      <c r="AP139" s="2027"/>
      <c r="AQ139" s="2027"/>
      <c r="AR139" s="2027"/>
      <c r="AS139" s="2027"/>
      <c r="AT139" s="2027"/>
      <c r="AU139" s="2027"/>
      <c r="AV139" s="2027"/>
      <c r="AW139" s="2027"/>
      <c r="AX139" s="2028"/>
      <c r="AY139" s="1097"/>
      <c r="AZ139" s="1097"/>
      <c r="BA139" s="1097"/>
      <c r="BB139" s="1097"/>
      <c r="BC139" s="1097"/>
      <c r="BD139" s="1097"/>
      <c r="BE139" s="1101"/>
    </row>
    <row r="140" spans="1:57" ht="15.75" customHeight="1">
      <c r="A140" s="1097"/>
      <c r="B140" s="2029"/>
      <c r="C140" s="2027"/>
      <c r="D140" s="2027"/>
      <c r="E140" s="2027"/>
      <c r="F140" s="2027"/>
      <c r="G140" s="2027"/>
      <c r="H140" s="2027"/>
      <c r="I140" s="2027"/>
      <c r="J140" s="2027"/>
      <c r="K140" s="2027"/>
      <c r="L140" s="2027"/>
      <c r="M140" s="2027"/>
      <c r="N140" s="2027"/>
      <c r="O140" s="2027"/>
      <c r="P140" s="2027"/>
      <c r="Q140" s="2027"/>
      <c r="R140" s="2027"/>
      <c r="S140" s="2027"/>
      <c r="T140" s="2027"/>
      <c r="U140" s="2027"/>
      <c r="V140" s="2027"/>
      <c r="W140" s="2027"/>
      <c r="X140" s="2027"/>
      <c r="Y140" s="2027"/>
      <c r="Z140" s="2027"/>
      <c r="AA140" s="2027"/>
      <c r="AB140" s="2027"/>
      <c r="AC140" s="2027"/>
      <c r="AD140" s="2027"/>
      <c r="AE140" s="2027"/>
      <c r="AF140" s="2027"/>
      <c r="AG140" s="2027"/>
      <c r="AH140" s="2027"/>
      <c r="AI140" s="2027"/>
      <c r="AJ140" s="2027"/>
      <c r="AK140" s="2027"/>
      <c r="AL140" s="2027"/>
      <c r="AM140" s="2027"/>
      <c r="AN140" s="2027"/>
      <c r="AO140" s="2027"/>
      <c r="AP140" s="2027"/>
      <c r="AQ140" s="2027"/>
      <c r="AR140" s="2027"/>
      <c r="AS140" s="2027"/>
      <c r="AT140" s="2027"/>
      <c r="AU140" s="2027"/>
      <c r="AV140" s="2027"/>
      <c r="AW140" s="2027"/>
      <c r="AX140" s="2028"/>
      <c r="AY140" s="1097"/>
      <c r="AZ140" s="1097"/>
      <c r="BA140" s="1097"/>
      <c r="BB140" s="1097"/>
      <c r="BC140" s="1097"/>
      <c r="BD140" s="1097"/>
      <c r="BE140" s="1101"/>
    </row>
    <row r="141" spans="1:57" ht="15.75" customHeight="1">
      <c r="A141" s="1097"/>
      <c r="B141" s="2029"/>
      <c r="C141" s="2027"/>
      <c r="D141" s="2027"/>
      <c r="E141" s="2027"/>
      <c r="F141" s="2027"/>
      <c r="G141" s="2027"/>
      <c r="H141" s="2027"/>
      <c r="I141" s="2027"/>
      <c r="J141" s="2027"/>
      <c r="K141" s="2027"/>
      <c r="L141" s="2027"/>
      <c r="M141" s="2027"/>
      <c r="N141" s="2027"/>
      <c r="O141" s="2027"/>
      <c r="P141" s="2027"/>
      <c r="Q141" s="2027"/>
      <c r="R141" s="2027"/>
      <c r="S141" s="2027"/>
      <c r="T141" s="2027"/>
      <c r="U141" s="2027"/>
      <c r="V141" s="2027"/>
      <c r="W141" s="2027"/>
      <c r="X141" s="2027"/>
      <c r="Y141" s="2027"/>
      <c r="Z141" s="2027"/>
      <c r="AA141" s="2027"/>
      <c r="AB141" s="2027"/>
      <c r="AC141" s="2027"/>
      <c r="AD141" s="2027"/>
      <c r="AE141" s="2027"/>
      <c r="AF141" s="2027"/>
      <c r="AG141" s="2027"/>
      <c r="AH141" s="2027"/>
      <c r="AI141" s="2027"/>
      <c r="AJ141" s="2027"/>
      <c r="AK141" s="2027"/>
      <c r="AL141" s="2027"/>
      <c r="AM141" s="2027"/>
      <c r="AN141" s="2027"/>
      <c r="AO141" s="2027"/>
      <c r="AP141" s="2027"/>
      <c r="AQ141" s="2027"/>
      <c r="AR141" s="2027"/>
      <c r="AS141" s="2027"/>
      <c r="AT141" s="2027"/>
      <c r="AU141" s="2027"/>
      <c r="AV141" s="2027"/>
      <c r="AW141" s="2027"/>
      <c r="AX141" s="2028"/>
      <c r="AY141" s="1097"/>
      <c r="AZ141" s="1097"/>
      <c r="BA141" s="1097"/>
      <c r="BB141" s="1097"/>
      <c r="BC141" s="1097"/>
      <c r="BD141" s="1097"/>
      <c r="BE141" s="1101"/>
    </row>
    <row r="142" spans="1:57" ht="15.75" customHeight="1">
      <c r="A142" s="1097"/>
      <c r="B142" s="2029"/>
      <c r="C142" s="2027"/>
      <c r="D142" s="2027"/>
      <c r="E142" s="2027"/>
      <c r="F142" s="2027"/>
      <c r="G142" s="2027"/>
      <c r="H142" s="2027"/>
      <c r="I142" s="2027"/>
      <c r="J142" s="2027"/>
      <c r="K142" s="2027"/>
      <c r="L142" s="2027"/>
      <c r="M142" s="2027"/>
      <c r="N142" s="2027"/>
      <c r="O142" s="2027"/>
      <c r="P142" s="2027"/>
      <c r="Q142" s="2027"/>
      <c r="R142" s="2027"/>
      <c r="S142" s="2027"/>
      <c r="T142" s="2027"/>
      <c r="U142" s="2027"/>
      <c r="V142" s="2027"/>
      <c r="W142" s="2027"/>
      <c r="X142" s="2027"/>
      <c r="Y142" s="2027"/>
      <c r="Z142" s="2027"/>
      <c r="AA142" s="2027"/>
      <c r="AB142" s="2027"/>
      <c r="AC142" s="2027"/>
      <c r="AD142" s="2027"/>
      <c r="AE142" s="2027"/>
      <c r="AF142" s="2027"/>
      <c r="AG142" s="2027"/>
      <c r="AH142" s="2027"/>
      <c r="AI142" s="2027"/>
      <c r="AJ142" s="2027"/>
      <c r="AK142" s="2027"/>
      <c r="AL142" s="2027"/>
      <c r="AM142" s="2027"/>
      <c r="AN142" s="2027"/>
      <c r="AO142" s="2027"/>
      <c r="AP142" s="2027"/>
      <c r="AQ142" s="2027"/>
      <c r="AR142" s="2027"/>
      <c r="AS142" s="2027"/>
      <c r="AT142" s="2027"/>
      <c r="AU142" s="2027"/>
      <c r="AV142" s="2027"/>
      <c r="AW142" s="2027"/>
      <c r="AX142" s="2028"/>
      <c r="AY142" s="1097"/>
      <c r="AZ142" s="1097"/>
      <c r="BA142" s="1097"/>
      <c r="BB142" s="1097"/>
      <c r="BC142" s="1097"/>
      <c r="BD142" s="1097"/>
      <c r="BE142" s="1101"/>
    </row>
    <row r="143" spans="1:57" ht="15.75" customHeight="1">
      <c r="A143" s="1097"/>
      <c r="B143" s="2029"/>
      <c r="C143" s="2027"/>
      <c r="D143" s="2027"/>
      <c r="E143" s="2027"/>
      <c r="F143" s="2027"/>
      <c r="G143" s="2027"/>
      <c r="H143" s="2027"/>
      <c r="I143" s="2027"/>
      <c r="J143" s="2027"/>
      <c r="K143" s="2027"/>
      <c r="L143" s="2027"/>
      <c r="M143" s="2027"/>
      <c r="N143" s="2027"/>
      <c r="O143" s="2027"/>
      <c r="P143" s="2027"/>
      <c r="Q143" s="2027"/>
      <c r="R143" s="2027"/>
      <c r="S143" s="2027"/>
      <c r="T143" s="2027"/>
      <c r="U143" s="2027"/>
      <c r="V143" s="2027"/>
      <c r="W143" s="2027"/>
      <c r="X143" s="2027"/>
      <c r="Y143" s="2027"/>
      <c r="Z143" s="2027"/>
      <c r="AA143" s="2027"/>
      <c r="AB143" s="2027"/>
      <c r="AC143" s="2027"/>
      <c r="AD143" s="2027"/>
      <c r="AE143" s="2027"/>
      <c r="AF143" s="2027"/>
      <c r="AG143" s="2027"/>
      <c r="AH143" s="2027"/>
      <c r="AI143" s="2027"/>
      <c r="AJ143" s="2027"/>
      <c r="AK143" s="2027"/>
      <c r="AL143" s="2027"/>
      <c r="AM143" s="2027"/>
      <c r="AN143" s="2027"/>
      <c r="AO143" s="2027"/>
      <c r="AP143" s="2027"/>
      <c r="AQ143" s="2027"/>
      <c r="AR143" s="2027"/>
      <c r="AS143" s="2027"/>
      <c r="AT143" s="2027"/>
      <c r="AU143" s="2027"/>
      <c r="AV143" s="2027"/>
      <c r="AW143" s="2027"/>
      <c r="AX143" s="2028"/>
      <c r="AY143" s="1097"/>
      <c r="AZ143" s="1097"/>
      <c r="BA143" s="1097"/>
      <c r="BB143" s="1097"/>
      <c r="BC143" s="1097"/>
      <c r="BD143" s="1097"/>
      <c r="BE143" s="1101"/>
    </row>
    <row r="144" spans="1:57" ht="15.75" customHeight="1">
      <c r="A144" s="1097"/>
      <c r="B144" s="2029"/>
      <c r="C144" s="2027"/>
      <c r="D144" s="2027"/>
      <c r="E144" s="2027"/>
      <c r="F144" s="2027"/>
      <c r="G144" s="2027"/>
      <c r="H144" s="2027"/>
      <c r="I144" s="2027"/>
      <c r="J144" s="2027"/>
      <c r="K144" s="2027"/>
      <c r="L144" s="2027"/>
      <c r="M144" s="2027"/>
      <c r="N144" s="2027"/>
      <c r="O144" s="2027"/>
      <c r="P144" s="2027"/>
      <c r="Q144" s="2027"/>
      <c r="R144" s="2027"/>
      <c r="S144" s="2027"/>
      <c r="T144" s="2027"/>
      <c r="U144" s="2027"/>
      <c r="V144" s="2027"/>
      <c r="W144" s="2027"/>
      <c r="X144" s="2027"/>
      <c r="Y144" s="2027"/>
      <c r="Z144" s="2027"/>
      <c r="AA144" s="2027"/>
      <c r="AB144" s="2027"/>
      <c r="AC144" s="2027"/>
      <c r="AD144" s="2027"/>
      <c r="AE144" s="2027"/>
      <c r="AF144" s="2027"/>
      <c r="AG144" s="2027"/>
      <c r="AH144" s="2027"/>
      <c r="AI144" s="2027"/>
      <c r="AJ144" s="2027"/>
      <c r="AK144" s="2027"/>
      <c r="AL144" s="2027"/>
      <c r="AM144" s="2027"/>
      <c r="AN144" s="2027"/>
      <c r="AO144" s="2027"/>
      <c r="AP144" s="2027"/>
      <c r="AQ144" s="2027"/>
      <c r="AR144" s="2027"/>
      <c r="AS144" s="2027"/>
      <c r="AT144" s="2027"/>
      <c r="AU144" s="2027"/>
      <c r="AV144" s="2027"/>
      <c r="AW144" s="2027"/>
      <c r="AX144" s="2028"/>
      <c r="AY144" s="1097"/>
      <c r="AZ144" s="1097"/>
      <c r="BA144" s="1097"/>
      <c r="BB144" s="1097"/>
      <c r="BC144" s="1097"/>
      <c r="BD144" s="1097"/>
      <c r="BE144" s="1101"/>
    </row>
    <row r="145" spans="1:57" ht="15.75" customHeight="1">
      <c r="A145" s="1097"/>
      <c r="B145" s="2029"/>
      <c r="C145" s="2027"/>
      <c r="D145" s="2027"/>
      <c r="E145" s="2027"/>
      <c r="F145" s="2027"/>
      <c r="G145" s="2027"/>
      <c r="H145" s="2027"/>
      <c r="I145" s="2027"/>
      <c r="J145" s="2027"/>
      <c r="K145" s="2027"/>
      <c r="L145" s="2027"/>
      <c r="M145" s="2027"/>
      <c r="N145" s="2027"/>
      <c r="O145" s="2027"/>
      <c r="P145" s="2027"/>
      <c r="Q145" s="2027"/>
      <c r="R145" s="2027"/>
      <c r="S145" s="2027"/>
      <c r="T145" s="2027"/>
      <c r="U145" s="2027"/>
      <c r="V145" s="2027"/>
      <c r="W145" s="2027"/>
      <c r="X145" s="2027"/>
      <c r="Y145" s="2027"/>
      <c r="Z145" s="2027"/>
      <c r="AA145" s="2027"/>
      <c r="AB145" s="2027"/>
      <c r="AC145" s="2027"/>
      <c r="AD145" s="2027"/>
      <c r="AE145" s="2027"/>
      <c r="AF145" s="2027"/>
      <c r="AG145" s="2027"/>
      <c r="AH145" s="2027"/>
      <c r="AI145" s="2027"/>
      <c r="AJ145" s="2027"/>
      <c r="AK145" s="2027"/>
      <c r="AL145" s="2027"/>
      <c r="AM145" s="2027"/>
      <c r="AN145" s="2027"/>
      <c r="AO145" s="2027"/>
      <c r="AP145" s="2027"/>
      <c r="AQ145" s="2027"/>
      <c r="AR145" s="2027"/>
      <c r="AS145" s="2027"/>
      <c r="AT145" s="2027"/>
      <c r="AU145" s="2027"/>
      <c r="AV145" s="2027"/>
      <c r="AW145" s="2027"/>
      <c r="AX145" s="2028"/>
      <c r="AY145" s="1097"/>
      <c r="AZ145" s="1097"/>
      <c r="BA145" s="1097"/>
      <c r="BB145" s="1097"/>
      <c r="BC145" s="1097"/>
      <c r="BD145" s="1097"/>
      <c r="BE145" s="1101"/>
    </row>
    <row r="146" spans="1:57" ht="15.75" customHeight="1">
      <c r="A146" s="1097"/>
      <c r="B146" s="2029"/>
      <c r="C146" s="2027"/>
      <c r="D146" s="2027"/>
      <c r="E146" s="2027"/>
      <c r="F146" s="2027"/>
      <c r="G146" s="2027"/>
      <c r="H146" s="2027"/>
      <c r="I146" s="2027"/>
      <c r="J146" s="2027"/>
      <c r="K146" s="2027"/>
      <c r="L146" s="2027"/>
      <c r="M146" s="2027"/>
      <c r="N146" s="2027"/>
      <c r="O146" s="2027"/>
      <c r="P146" s="2027"/>
      <c r="Q146" s="2027"/>
      <c r="R146" s="2027"/>
      <c r="S146" s="2027"/>
      <c r="T146" s="2027"/>
      <c r="U146" s="2027"/>
      <c r="V146" s="2027"/>
      <c r="W146" s="2027"/>
      <c r="X146" s="2027"/>
      <c r="Y146" s="2027"/>
      <c r="Z146" s="2027"/>
      <c r="AA146" s="2027"/>
      <c r="AB146" s="2027"/>
      <c r="AC146" s="2027"/>
      <c r="AD146" s="2027"/>
      <c r="AE146" s="2027"/>
      <c r="AF146" s="2027"/>
      <c r="AG146" s="2027"/>
      <c r="AH146" s="2027"/>
      <c r="AI146" s="2027"/>
      <c r="AJ146" s="2027"/>
      <c r="AK146" s="2027"/>
      <c r="AL146" s="2027"/>
      <c r="AM146" s="2027"/>
      <c r="AN146" s="2027"/>
      <c r="AO146" s="2027"/>
      <c r="AP146" s="2027"/>
      <c r="AQ146" s="2027"/>
      <c r="AR146" s="2027"/>
      <c r="AS146" s="2027"/>
      <c r="AT146" s="2027"/>
      <c r="AU146" s="2027"/>
      <c r="AV146" s="2027"/>
      <c r="AW146" s="2027"/>
      <c r="AX146" s="2028"/>
      <c r="AY146" s="1097"/>
      <c r="AZ146" s="1097"/>
      <c r="BA146" s="1097"/>
      <c r="BB146" s="1097"/>
      <c r="BC146" s="1097"/>
      <c r="BD146" s="1097"/>
      <c r="BE146" s="1101"/>
    </row>
    <row r="147" spans="1:57" ht="15.75" customHeight="1" thickBot="1">
      <c r="A147" s="1097"/>
      <c r="B147" s="2030"/>
      <c r="C147" s="2031"/>
      <c r="D147" s="2031"/>
      <c r="E147" s="2031"/>
      <c r="F147" s="2031"/>
      <c r="G147" s="2031"/>
      <c r="H147" s="2031"/>
      <c r="I147" s="2031"/>
      <c r="J147" s="2031"/>
      <c r="K147" s="2031"/>
      <c r="L147" s="2031"/>
      <c r="M147" s="2031"/>
      <c r="N147" s="2031"/>
      <c r="O147" s="2031"/>
      <c r="P147" s="2031"/>
      <c r="Q147" s="2031"/>
      <c r="R147" s="2031"/>
      <c r="S147" s="2031"/>
      <c r="T147" s="2031"/>
      <c r="U147" s="2031"/>
      <c r="V147" s="2031"/>
      <c r="W147" s="2031"/>
      <c r="X147" s="2031"/>
      <c r="Y147" s="2031"/>
      <c r="Z147" s="2031"/>
      <c r="AA147" s="2031"/>
      <c r="AB147" s="2031"/>
      <c r="AC147" s="2031"/>
      <c r="AD147" s="2031"/>
      <c r="AE147" s="2031"/>
      <c r="AF147" s="2031"/>
      <c r="AG147" s="2031"/>
      <c r="AH147" s="2031"/>
      <c r="AI147" s="2031"/>
      <c r="AJ147" s="2031"/>
      <c r="AK147" s="2031"/>
      <c r="AL147" s="2031"/>
      <c r="AM147" s="2031"/>
      <c r="AN147" s="2031"/>
      <c r="AO147" s="2031"/>
      <c r="AP147" s="2031"/>
      <c r="AQ147" s="2031"/>
      <c r="AR147" s="2031"/>
      <c r="AS147" s="2031"/>
      <c r="AT147" s="2031"/>
      <c r="AU147" s="2031"/>
      <c r="AV147" s="2031"/>
      <c r="AW147" s="2031"/>
      <c r="AX147" s="2032"/>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2023</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2024</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09" t="s">
        <v>2025</v>
      </c>
      <c r="C151" s="1964"/>
      <c r="D151" s="1964"/>
      <c r="E151" s="1964"/>
      <c r="F151" s="1964"/>
      <c r="G151" s="1964"/>
      <c r="H151" s="1964"/>
      <c r="I151" s="1964"/>
      <c r="J151" s="1964"/>
      <c r="K151" s="1964"/>
      <c r="L151" s="1964"/>
      <c r="M151" s="1964"/>
      <c r="N151" s="1964"/>
      <c r="O151" s="1964"/>
      <c r="P151" s="1964"/>
      <c r="Q151" s="1964"/>
      <c r="R151" s="1964"/>
      <c r="S151" s="1964"/>
      <c r="T151" s="1964"/>
      <c r="U151" s="1965"/>
      <c r="V151" s="1097"/>
      <c r="W151" s="1098"/>
      <c r="X151" s="2009" t="s">
        <v>2026</v>
      </c>
      <c r="Y151" s="1964"/>
      <c r="Z151" s="1964"/>
      <c r="AA151" s="1964"/>
      <c r="AB151" s="1964"/>
      <c r="AC151" s="1964"/>
      <c r="AD151" s="1964"/>
      <c r="AE151" s="1964"/>
      <c r="AF151" s="1964"/>
      <c r="AG151" s="1964"/>
      <c r="AH151" s="1964"/>
      <c r="AI151" s="1964"/>
      <c r="AJ151" s="1964"/>
      <c r="AK151" s="1964"/>
      <c r="AL151" s="1964"/>
      <c r="AM151" s="1964"/>
      <c r="AN151" s="1964"/>
      <c r="AO151" s="1964"/>
      <c r="AP151" s="1964"/>
      <c r="AQ151" s="1965"/>
      <c r="AR151" s="1097"/>
      <c r="AS151" s="1097"/>
      <c r="AT151" s="1097"/>
      <c r="AU151" s="1097"/>
      <c r="AV151" s="1097"/>
      <c r="AW151" s="1097"/>
      <c r="AX151" s="1097"/>
      <c r="AY151" s="1097"/>
      <c r="AZ151" s="1097"/>
      <c r="BA151" s="1097"/>
      <c r="BB151" s="1097"/>
      <c r="BC151" s="1097"/>
      <c r="BD151" s="1097"/>
      <c r="BE151" s="1101"/>
    </row>
    <row r="152" spans="1:57" ht="15.75" customHeight="1">
      <c r="A152" s="1097"/>
      <c r="B152" s="1976"/>
      <c r="C152" s="1977"/>
      <c r="D152" s="1977"/>
      <c r="E152" s="1977"/>
      <c r="F152" s="1977"/>
      <c r="G152" s="1977"/>
      <c r="H152" s="1977"/>
      <c r="I152" s="2015" t="s">
        <v>1990</v>
      </c>
      <c r="J152" s="2015"/>
      <c r="K152" s="2015"/>
      <c r="L152" s="2015"/>
      <c r="M152" s="2015"/>
      <c r="N152" s="2015"/>
      <c r="O152" s="2015"/>
      <c r="P152" s="2015" t="s">
        <v>2027</v>
      </c>
      <c r="Q152" s="2015"/>
      <c r="R152" s="2015"/>
      <c r="S152" s="2015"/>
      <c r="T152" s="2015"/>
      <c r="U152" s="2016"/>
      <c r="V152" s="1097"/>
      <c r="W152" s="1097"/>
      <c r="X152" s="1976"/>
      <c r="Y152" s="1977"/>
      <c r="Z152" s="1977"/>
      <c r="AA152" s="1977"/>
      <c r="AB152" s="1977"/>
      <c r="AC152" s="1977"/>
      <c r="AD152" s="1977"/>
      <c r="AE152" s="2015" t="s">
        <v>1990</v>
      </c>
      <c r="AF152" s="2015"/>
      <c r="AG152" s="2015"/>
      <c r="AH152" s="2015"/>
      <c r="AI152" s="2015"/>
      <c r="AJ152" s="2015"/>
      <c r="AK152" s="2015"/>
      <c r="AL152" s="2015" t="s">
        <v>1991</v>
      </c>
      <c r="AM152" s="2015"/>
      <c r="AN152" s="2015"/>
      <c r="AO152" s="2015"/>
      <c r="AP152" s="2015"/>
      <c r="AQ152" s="2016"/>
      <c r="AR152" s="1097"/>
      <c r="AS152" s="1097"/>
      <c r="AT152" s="1097"/>
      <c r="AU152" s="1097"/>
      <c r="AV152" s="1097"/>
      <c r="AW152" s="1097"/>
      <c r="AX152" s="1097"/>
      <c r="AY152" s="1097"/>
      <c r="AZ152" s="1097"/>
      <c r="BA152" s="1097"/>
      <c r="BB152" s="1097"/>
      <c r="BC152" s="1097"/>
      <c r="BD152" s="1097"/>
      <c r="BE152" s="1101"/>
    </row>
    <row r="153" spans="1:57" ht="15.75" customHeight="1">
      <c r="A153" s="1097"/>
      <c r="B153" s="1976"/>
      <c r="C153" s="1977"/>
      <c r="D153" s="1977"/>
      <c r="E153" s="1977"/>
      <c r="F153" s="1977"/>
      <c r="G153" s="1977"/>
      <c r="H153" s="1977"/>
      <c r="I153" s="2015"/>
      <c r="J153" s="2015"/>
      <c r="K153" s="2015"/>
      <c r="L153" s="2015"/>
      <c r="M153" s="2015"/>
      <c r="N153" s="2015"/>
      <c r="O153" s="2015"/>
      <c r="P153" s="2015"/>
      <c r="Q153" s="2015"/>
      <c r="R153" s="2015"/>
      <c r="S153" s="2015"/>
      <c r="T153" s="2015"/>
      <c r="U153" s="2016"/>
      <c r="V153" s="1097"/>
      <c r="W153" s="1097"/>
      <c r="X153" s="1976"/>
      <c r="Y153" s="1977"/>
      <c r="Z153" s="1977"/>
      <c r="AA153" s="1977"/>
      <c r="AB153" s="1977"/>
      <c r="AC153" s="1977"/>
      <c r="AD153" s="1977"/>
      <c r="AE153" s="2015"/>
      <c r="AF153" s="2015"/>
      <c r="AG153" s="2015"/>
      <c r="AH153" s="2015"/>
      <c r="AI153" s="2015"/>
      <c r="AJ153" s="2015"/>
      <c r="AK153" s="2015"/>
      <c r="AL153" s="2015"/>
      <c r="AM153" s="2015"/>
      <c r="AN153" s="2015"/>
      <c r="AO153" s="2015"/>
      <c r="AP153" s="2015"/>
      <c r="AQ153" s="2016"/>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11" t="s">
        <v>2012</v>
      </c>
      <c r="C154" s="2012"/>
      <c r="D154" s="2012"/>
      <c r="E154" s="2012"/>
      <c r="F154" s="2012"/>
      <c r="G154" s="2012"/>
      <c r="H154" s="2012"/>
      <c r="I154" s="2013">
        <v>1</v>
      </c>
      <c r="J154" s="2013"/>
      <c r="K154" s="2013"/>
      <c r="L154" s="2013"/>
      <c r="M154" s="2013"/>
      <c r="N154" s="2013"/>
      <c r="O154" s="2013"/>
      <c r="P154" s="2013">
        <v>3</v>
      </c>
      <c r="Q154" s="2013"/>
      <c r="R154" s="2013"/>
      <c r="S154" s="2013"/>
      <c r="T154" s="2013"/>
      <c r="U154" s="2014"/>
      <c r="V154" s="1097"/>
      <c r="W154" s="1097"/>
      <c r="X154" s="2005" t="s">
        <v>2012</v>
      </c>
      <c r="Y154" s="2006"/>
      <c r="Z154" s="2006"/>
      <c r="AA154" s="2006"/>
      <c r="AB154" s="2006"/>
      <c r="AC154" s="2006"/>
      <c r="AD154" s="2006"/>
      <c r="AE154" s="2007">
        <v>40</v>
      </c>
      <c r="AF154" s="2007"/>
      <c r="AG154" s="2007"/>
      <c r="AH154" s="2007"/>
      <c r="AI154" s="2007"/>
      <c r="AJ154" s="2007"/>
      <c r="AK154" s="2007"/>
      <c r="AL154" s="2007">
        <v>61</v>
      </c>
      <c r="AM154" s="2007"/>
      <c r="AN154" s="2007"/>
      <c r="AO154" s="2007"/>
      <c r="AP154" s="2007"/>
      <c r="AQ154" s="2008"/>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05" t="s">
        <v>2013</v>
      </c>
      <c r="C155" s="2006"/>
      <c r="D155" s="2006"/>
      <c r="E155" s="2006"/>
      <c r="F155" s="2006"/>
      <c r="G155" s="2006"/>
      <c r="H155" s="2006"/>
      <c r="I155" s="2007">
        <v>0</v>
      </c>
      <c r="J155" s="2007"/>
      <c r="K155" s="2007"/>
      <c r="L155" s="2007"/>
      <c r="M155" s="2007"/>
      <c r="N155" s="2007"/>
      <c r="O155" s="2007"/>
      <c r="P155" s="2007">
        <v>7</v>
      </c>
      <c r="Q155" s="2007"/>
      <c r="R155" s="2007"/>
      <c r="S155" s="2007"/>
      <c r="T155" s="2007"/>
      <c r="U155" s="2008"/>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09" t="s">
        <v>2028</v>
      </c>
      <c r="D157" s="1964"/>
      <c r="E157" s="1964"/>
      <c r="F157" s="1964"/>
      <c r="G157" s="1964"/>
      <c r="H157" s="1964"/>
      <c r="I157" s="1964"/>
      <c r="J157" s="1964"/>
      <c r="K157" s="1964"/>
      <c r="L157" s="1964"/>
      <c r="M157" s="1964"/>
      <c r="N157" s="1964"/>
      <c r="O157" s="1964"/>
      <c r="P157" s="1964"/>
      <c r="Q157" s="1964"/>
      <c r="R157" s="1964"/>
      <c r="S157" s="1964"/>
      <c r="T157" s="1964"/>
      <c r="U157" s="1964"/>
      <c r="V157" s="1964"/>
      <c r="W157" s="1964"/>
      <c r="X157" s="1964"/>
      <c r="Y157" s="1964"/>
      <c r="Z157" s="1964"/>
      <c r="AA157" s="1964"/>
      <c r="AB157" s="1964"/>
      <c r="AC157" s="1964"/>
      <c r="AD157" s="1964"/>
      <c r="AE157" s="1964"/>
      <c r="AF157" s="1964"/>
      <c r="AG157" s="1965"/>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76" t="s">
        <v>2029</v>
      </c>
      <c r="D158" s="1977"/>
      <c r="E158" s="1977"/>
      <c r="F158" s="1977"/>
      <c r="G158" s="1977"/>
      <c r="H158" s="1977"/>
      <c r="I158" s="1977"/>
      <c r="J158" s="1977"/>
      <c r="K158" s="1977"/>
      <c r="L158" s="1977"/>
      <c r="M158" s="1977"/>
      <c r="N158" s="1977"/>
      <c r="O158" s="1977"/>
      <c r="P158" s="1977"/>
      <c r="Q158" s="1977" t="s">
        <v>2030</v>
      </c>
      <c r="R158" s="1977"/>
      <c r="S158" s="1977"/>
      <c r="T158" s="2010" t="s">
        <v>2031</v>
      </c>
      <c r="U158" s="2010"/>
      <c r="V158" s="2010"/>
      <c r="W158" s="2010"/>
      <c r="X158" s="2010"/>
      <c r="Y158" s="2010"/>
      <c r="Z158" s="2010"/>
      <c r="AA158" s="2010"/>
      <c r="AB158" s="1977" t="s">
        <v>2032</v>
      </c>
      <c r="AC158" s="1977"/>
      <c r="AD158" s="1977"/>
      <c r="AE158" s="1977"/>
      <c r="AF158" s="1977"/>
      <c r="AG158" s="1978"/>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92" t="s">
        <v>2033</v>
      </c>
      <c r="D159" s="1993"/>
      <c r="E159" s="1993"/>
      <c r="F159" s="1993"/>
      <c r="G159" s="1993"/>
      <c r="H159" s="1993"/>
      <c r="I159" s="1993"/>
      <c r="J159" s="1993"/>
      <c r="K159" s="1993"/>
      <c r="L159" s="1993"/>
      <c r="M159" s="1993"/>
      <c r="N159" s="1993"/>
      <c r="O159" s="1993"/>
      <c r="P159" s="1993"/>
      <c r="Q159" s="1934">
        <v>55</v>
      </c>
      <c r="R159" s="1934"/>
      <c r="S159" s="1934"/>
      <c r="T159" s="1986"/>
      <c r="U159" s="1986"/>
      <c r="V159" s="1986"/>
      <c r="W159" s="1986"/>
      <c r="X159" s="1986"/>
      <c r="Y159" s="1986"/>
      <c r="Z159" s="1986"/>
      <c r="AA159" s="1986"/>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92" t="s">
        <v>2034</v>
      </c>
      <c r="D160" s="1993"/>
      <c r="E160" s="1993"/>
      <c r="F160" s="1993"/>
      <c r="G160" s="1993"/>
      <c r="H160" s="1993"/>
      <c r="I160" s="1993"/>
      <c r="J160" s="1993"/>
      <c r="K160" s="1993"/>
      <c r="L160" s="1993"/>
      <c r="M160" s="1993"/>
      <c r="N160" s="1993"/>
      <c r="O160" s="1993"/>
      <c r="P160" s="1993"/>
      <c r="Q160" s="1934">
        <v>55</v>
      </c>
      <c r="R160" s="1934"/>
      <c r="S160" s="1934"/>
      <c r="T160" s="1995"/>
      <c r="U160" s="1995"/>
      <c r="V160" s="1995"/>
      <c r="W160" s="1995"/>
      <c r="X160" s="1995"/>
      <c r="Y160" s="1995"/>
      <c r="Z160" s="1995"/>
      <c r="AA160" s="1995"/>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92" t="s">
        <v>2035</v>
      </c>
      <c r="D161" s="1993"/>
      <c r="E161" s="1993"/>
      <c r="F161" s="1993"/>
      <c r="G161" s="1993"/>
      <c r="H161" s="1993"/>
      <c r="I161" s="1993"/>
      <c r="J161" s="1993"/>
      <c r="K161" s="1993"/>
      <c r="L161" s="1993"/>
      <c r="M161" s="1993"/>
      <c r="N161" s="1993"/>
      <c r="O161" s="1993"/>
      <c r="P161" s="1993"/>
      <c r="Q161" s="1934">
        <v>55</v>
      </c>
      <c r="R161" s="1934"/>
      <c r="S161" s="1934"/>
      <c r="T161" s="1986"/>
      <c r="U161" s="1986"/>
      <c r="V161" s="1986"/>
      <c r="W161" s="1986"/>
      <c r="X161" s="1986"/>
      <c r="Y161" s="1986"/>
      <c r="Z161" s="1986"/>
      <c r="AA161" s="1986"/>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92" t="s">
        <v>1955</v>
      </c>
      <c r="D162" s="1993"/>
      <c r="E162" s="1993"/>
      <c r="F162" s="1993"/>
      <c r="G162" s="1993"/>
      <c r="H162" s="1993"/>
      <c r="I162" s="1993"/>
      <c r="J162" s="1993"/>
      <c r="K162" s="1993"/>
      <c r="L162" s="1993"/>
      <c r="M162" s="1993"/>
      <c r="N162" s="1993"/>
      <c r="O162" s="1993"/>
      <c r="P162" s="1993"/>
      <c r="Q162" s="1934">
        <v>55</v>
      </c>
      <c r="R162" s="1934"/>
      <c r="S162" s="1934"/>
      <c r="T162" s="1986"/>
      <c r="U162" s="1986"/>
      <c r="V162" s="1986"/>
      <c r="W162" s="1986"/>
      <c r="X162" s="1986"/>
      <c r="Y162" s="1986"/>
      <c r="Z162" s="1986"/>
      <c r="AA162" s="1986"/>
      <c r="AB162" s="1996">
        <v>0</v>
      </c>
      <c r="AC162" s="1996"/>
      <c r="AD162" s="1996"/>
      <c r="AE162" s="1996"/>
      <c r="AF162" s="1996"/>
      <c r="AG162" s="1997"/>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92" t="s">
        <v>233</v>
      </c>
      <c r="D163" s="1993"/>
      <c r="E163" s="1993"/>
      <c r="F163" s="1994" t="s">
        <v>2036</v>
      </c>
      <c r="G163" s="1994"/>
      <c r="H163" s="1994"/>
      <c r="I163" s="1994"/>
      <c r="J163" s="1994"/>
      <c r="K163" s="1994"/>
      <c r="L163" s="1994"/>
      <c r="M163" s="1994"/>
      <c r="N163" s="1994"/>
      <c r="O163" s="1994"/>
      <c r="P163" s="1994"/>
      <c r="Q163" s="1934">
        <v>55</v>
      </c>
      <c r="R163" s="1934"/>
      <c r="S163" s="1934"/>
      <c r="T163" s="1995"/>
      <c r="U163" s="1995"/>
      <c r="V163" s="1995"/>
      <c r="W163" s="1995"/>
      <c r="X163" s="1995"/>
      <c r="Y163" s="1995"/>
      <c r="Z163" s="1995"/>
      <c r="AA163" s="1995"/>
      <c r="AB163" s="1996">
        <v>0</v>
      </c>
      <c r="AC163" s="1996"/>
      <c r="AD163" s="1996"/>
      <c r="AE163" s="1996"/>
      <c r="AF163" s="1996"/>
      <c r="AG163" s="1997"/>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92" t="s">
        <v>233</v>
      </c>
      <c r="D164" s="1993"/>
      <c r="E164" s="1993"/>
      <c r="F164" s="1994" t="s">
        <v>2036</v>
      </c>
      <c r="G164" s="1994"/>
      <c r="H164" s="1994"/>
      <c r="I164" s="1994"/>
      <c r="J164" s="1994"/>
      <c r="K164" s="1994"/>
      <c r="L164" s="1994"/>
      <c r="M164" s="1994"/>
      <c r="N164" s="1994"/>
      <c r="O164" s="1994"/>
      <c r="P164" s="1994"/>
      <c r="Q164" s="1934">
        <v>55</v>
      </c>
      <c r="R164" s="1934"/>
      <c r="S164" s="1934"/>
      <c r="T164" s="1995"/>
      <c r="U164" s="1995"/>
      <c r="V164" s="1995"/>
      <c r="W164" s="1995"/>
      <c r="X164" s="1995"/>
      <c r="Y164" s="1995"/>
      <c r="Z164" s="1995"/>
      <c r="AA164" s="1995"/>
      <c r="AB164" s="1996">
        <v>0</v>
      </c>
      <c r="AC164" s="1996"/>
      <c r="AD164" s="1996"/>
      <c r="AE164" s="1996"/>
      <c r="AF164" s="1996"/>
      <c r="AG164" s="1997"/>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98" t="s">
        <v>233</v>
      </c>
      <c r="D165" s="1999"/>
      <c r="E165" s="1999"/>
      <c r="F165" s="2000" t="s">
        <v>2036</v>
      </c>
      <c r="G165" s="2000"/>
      <c r="H165" s="2000"/>
      <c r="I165" s="2000"/>
      <c r="J165" s="2000"/>
      <c r="K165" s="2000"/>
      <c r="L165" s="2000"/>
      <c r="M165" s="2000"/>
      <c r="N165" s="2000"/>
      <c r="O165" s="2000"/>
      <c r="P165" s="2000"/>
      <c r="Q165" s="2001">
        <v>55</v>
      </c>
      <c r="R165" s="2001"/>
      <c r="S165" s="2001"/>
      <c r="T165" s="2002"/>
      <c r="U165" s="2002"/>
      <c r="V165" s="2002"/>
      <c r="W165" s="2002"/>
      <c r="X165" s="2002"/>
      <c r="Y165" s="2002"/>
      <c r="Z165" s="2002"/>
      <c r="AA165" s="2002"/>
      <c r="AB165" s="2003">
        <v>0</v>
      </c>
      <c r="AC165" s="2003"/>
      <c r="AD165" s="2003"/>
      <c r="AE165" s="2003"/>
      <c r="AF165" s="2003"/>
      <c r="AG165" s="2004"/>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62" t="s">
        <v>2037</v>
      </c>
      <c r="D167" s="1963"/>
      <c r="E167" s="1963"/>
      <c r="F167" s="1963"/>
      <c r="G167" s="1963"/>
      <c r="H167" s="1963"/>
      <c r="I167" s="1963"/>
      <c r="J167" s="1963"/>
      <c r="K167" s="1963"/>
      <c r="L167" s="1963"/>
      <c r="M167" s="1963"/>
      <c r="N167" s="1972"/>
      <c r="O167" s="1097"/>
      <c r="P167" s="1973" t="s">
        <v>2038</v>
      </c>
      <c r="Q167" s="1974"/>
      <c r="R167" s="1974"/>
      <c r="S167" s="1974"/>
      <c r="T167" s="1974"/>
      <c r="U167" s="1974"/>
      <c r="V167" s="1974"/>
      <c r="W167" s="1974"/>
      <c r="X167" s="1974"/>
      <c r="Y167" s="1974"/>
      <c r="Z167" s="1974"/>
      <c r="AA167" s="1974"/>
      <c r="AB167" s="1974"/>
      <c r="AC167" s="1974"/>
      <c r="AD167" s="1974"/>
      <c r="AE167" s="1974"/>
      <c r="AF167" s="1974"/>
      <c r="AG167" s="1974"/>
      <c r="AH167" s="1974"/>
      <c r="AI167" s="1974"/>
      <c r="AJ167" s="1974"/>
      <c r="AK167" s="1974"/>
      <c r="AL167" s="1974"/>
      <c r="AM167" s="1974"/>
      <c r="AN167" s="1974"/>
      <c r="AO167" s="1975"/>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76" t="s">
        <v>2039</v>
      </c>
      <c r="D168" s="1977"/>
      <c r="E168" s="1977"/>
      <c r="F168" s="1977"/>
      <c r="G168" s="1977"/>
      <c r="H168" s="1977"/>
      <c r="I168" s="1977" t="s">
        <v>2040</v>
      </c>
      <c r="J168" s="1977"/>
      <c r="K168" s="1977"/>
      <c r="L168" s="1977"/>
      <c r="M168" s="1977"/>
      <c r="N168" s="1978"/>
      <c r="O168" s="1097"/>
      <c r="P168" s="1979" t="s">
        <v>2041</v>
      </c>
      <c r="Q168" s="1980"/>
      <c r="R168" s="1980"/>
      <c r="S168" s="1980"/>
      <c r="T168" s="1980"/>
      <c r="U168" s="1980"/>
      <c r="V168" s="1980"/>
      <c r="W168" s="1980"/>
      <c r="X168" s="1980"/>
      <c r="Y168" s="1980"/>
      <c r="Z168" s="1980"/>
      <c r="AA168" s="1980"/>
      <c r="AB168" s="1980"/>
      <c r="AC168" s="1980"/>
      <c r="AD168" s="1980"/>
      <c r="AE168" s="1980"/>
      <c r="AF168" s="1980"/>
      <c r="AG168" s="1980"/>
      <c r="AH168" s="1980"/>
      <c r="AI168" s="1980"/>
      <c r="AJ168" s="1980"/>
      <c r="AK168" s="1980"/>
      <c r="AL168" s="1980"/>
      <c r="AM168" s="1980"/>
      <c r="AN168" s="1980"/>
      <c r="AO168" s="1981"/>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24" t="s">
        <v>2042</v>
      </c>
      <c r="D169" s="1925"/>
      <c r="E169" s="1925"/>
      <c r="F169" s="1925"/>
      <c r="G169" s="1925"/>
      <c r="H169" s="1925"/>
      <c r="I169" s="1986">
        <v>46055</v>
      </c>
      <c r="J169" s="1986"/>
      <c r="K169" s="1986"/>
      <c r="L169" s="1986"/>
      <c r="M169" s="1986"/>
      <c r="N169" s="1987"/>
      <c r="O169" s="1097"/>
      <c r="P169" s="1982"/>
      <c r="Q169" s="1980"/>
      <c r="R169" s="1980"/>
      <c r="S169" s="1980"/>
      <c r="T169" s="1980"/>
      <c r="U169" s="1980"/>
      <c r="V169" s="1980"/>
      <c r="W169" s="1980"/>
      <c r="X169" s="1980"/>
      <c r="Y169" s="1980"/>
      <c r="Z169" s="1980"/>
      <c r="AA169" s="1980"/>
      <c r="AB169" s="1980"/>
      <c r="AC169" s="1980"/>
      <c r="AD169" s="1980"/>
      <c r="AE169" s="1980"/>
      <c r="AF169" s="1980"/>
      <c r="AG169" s="1980"/>
      <c r="AH169" s="1980"/>
      <c r="AI169" s="1980"/>
      <c r="AJ169" s="1980"/>
      <c r="AK169" s="1980"/>
      <c r="AL169" s="1980"/>
      <c r="AM169" s="1980"/>
      <c r="AN169" s="1980"/>
      <c r="AO169" s="1981"/>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24" t="s">
        <v>2043</v>
      </c>
      <c r="D170" s="1925"/>
      <c r="E170" s="1925"/>
      <c r="F170" s="1925"/>
      <c r="G170" s="1925"/>
      <c r="H170" s="1925"/>
      <c r="I170" s="1986">
        <v>46080</v>
      </c>
      <c r="J170" s="1986"/>
      <c r="K170" s="1986"/>
      <c r="L170" s="1986"/>
      <c r="M170" s="1986"/>
      <c r="N170" s="1987"/>
      <c r="O170" s="1097"/>
      <c r="P170" s="1982"/>
      <c r="Q170" s="1980"/>
      <c r="R170" s="1980"/>
      <c r="S170" s="1980"/>
      <c r="T170" s="1980"/>
      <c r="U170" s="1980"/>
      <c r="V170" s="1980"/>
      <c r="W170" s="1980"/>
      <c r="X170" s="1980"/>
      <c r="Y170" s="1980"/>
      <c r="Z170" s="1980"/>
      <c r="AA170" s="1980"/>
      <c r="AB170" s="1980"/>
      <c r="AC170" s="1980"/>
      <c r="AD170" s="1980"/>
      <c r="AE170" s="1980"/>
      <c r="AF170" s="1980"/>
      <c r="AG170" s="1980"/>
      <c r="AH170" s="1980"/>
      <c r="AI170" s="1980"/>
      <c r="AJ170" s="1980"/>
      <c r="AK170" s="1980"/>
      <c r="AL170" s="1980"/>
      <c r="AM170" s="1980"/>
      <c r="AN170" s="1980"/>
      <c r="AO170" s="1981"/>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24"/>
      <c r="D171" s="1925"/>
      <c r="E171" s="1925"/>
      <c r="F171" s="1925"/>
      <c r="G171" s="1925"/>
      <c r="H171" s="1925"/>
      <c r="I171" s="1986"/>
      <c r="J171" s="1986"/>
      <c r="K171" s="1986"/>
      <c r="L171" s="1986"/>
      <c r="M171" s="1986"/>
      <c r="N171" s="1987"/>
      <c r="O171" s="1097"/>
      <c r="P171" s="1982"/>
      <c r="Q171" s="1980"/>
      <c r="R171" s="1980"/>
      <c r="S171" s="1980"/>
      <c r="T171" s="1980"/>
      <c r="U171" s="1980"/>
      <c r="V171" s="1980"/>
      <c r="W171" s="1980"/>
      <c r="X171" s="1980"/>
      <c r="Y171" s="1980"/>
      <c r="Z171" s="1980"/>
      <c r="AA171" s="1980"/>
      <c r="AB171" s="1980"/>
      <c r="AC171" s="1980"/>
      <c r="AD171" s="1980"/>
      <c r="AE171" s="1980"/>
      <c r="AF171" s="1980"/>
      <c r="AG171" s="1980"/>
      <c r="AH171" s="1980"/>
      <c r="AI171" s="1980"/>
      <c r="AJ171" s="1980"/>
      <c r="AK171" s="1980"/>
      <c r="AL171" s="1980"/>
      <c r="AM171" s="1980"/>
      <c r="AN171" s="1980"/>
      <c r="AO171" s="1981"/>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24"/>
      <c r="D172" s="1925"/>
      <c r="E172" s="1925"/>
      <c r="F172" s="1925"/>
      <c r="G172" s="1925"/>
      <c r="H172" s="1925"/>
      <c r="I172" s="1986"/>
      <c r="J172" s="1986"/>
      <c r="K172" s="1986"/>
      <c r="L172" s="1986"/>
      <c r="M172" s="1986"/>
      <c r="N172" s="1987"/>
      <c r="O172" s="1097"/>
      <c r="P172" s="1982"/>
      <c r="Q172" s="1980"/>
      <c r="R172" s="1980"/>
      <c r="S172" s="1980"/>
      <c r="T172" s="1980"/>
      <c r="U172" s="1980"/>
      <c r="V172" s="1980"/>
      <c r="W172" s="1980"/>
      <c r="X172" s="1980"/>
      <c r="Y172" s="1980"/>
      <c r="Z172" s="1980"/>
      <c r="AA172" s="1980"/>
      <c r="AB172" s="1980"/>
      <c r="AC172" s="1980"/>
      <c r="AD172" s="1980"/>
      <c r="AE172" s="1980"/>
      <c r="AF172" s="1980"/>
      <c r="AG172" s="1980"/>
      <c r="AH172" s="1980"/>
      <c r="AI172" s="1980"/>
      <c r="AJ172" s="1980"/>
      <c r="AK172" s="1980"/>
      <c r="AL172" s="1980"/>
      <c r="AM172" s="1980"/>
      <c r="AN172" s="1980"/>
      <c r="AO172" s="1981"/>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24"/>
      <c r="D173" s="1925"/>
      <c r="E173" s="1925"/>
      <c r="F173" s="1925"/>
      <c r="G173" s="1925"/>
      <c r="H173" s="1925"/>
      <c r="I173" s="1986"/>
      <c r="J173" s="1986"/>
      <c r="K173" s="1986"/>
      <c r="L173" s="1986"/>
      <c r="M173" s="1986"/>
      <c r="N173" s="1987"/>
      <c r="O173" s="1097"/>
      <c r="P173" s="1982"/>
      <c r="Q173" s="1980"/>
      <c r="R173" s="1980"/>
      <c r="S173" s="1980"/>
      <c r="T173" s="1980"/>
      <c r="U173" s="1980"/>
      <c r="V173" s="1980"/>
      <c r="W173" s="1980"/>
      <c r="X173" s="1980"/>
      <c r="Y173" s="1980"/>
      <c r="Z173" s="1980"/>
      <c r="AA173" s="1980"/>
      <c r="AB173" s="1980"/>
      <c r="AC173" s="1980"/>
      <c r="AD173" s="1980"/>
      <c r="AE173" s="1980"/>
      <c r="AF173" s="1980"/>
      <c r="AG173" s="1980"/>
      <c r="AH173" s="1980"/>
      <c r="AI173" s="1980"/>
      <c r="AJ173" s="1980"/>
      <c r="AK173" s="1980"/>
      <c r="AL173" s="1980"/>
      <c r="AM173" s="1980"/>
      <c r="AN173" s="1980"/>
      <c r="AO173" s="1981"/>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24"/>
      <c r="D174" s="1925"/>
      <c r="E174" s="1925"/>
      <c r="F174" s="1925"/>
      <c r="G174" s="1925"/>
      <c r="H174" s="1925"/>
      <c r="I174" s="1986"/>
      <c r="J174" s="1986"/>
      <c r="K174" s="1986"/>
      <c r="L174" s="1986"/>
      <c r="M174" s="1986"/>
      <c r="N174" s="1987"/>
      <c r="O174" s="1097"/>
      <c r="P174" s="1982"/>
      <c r="Q174" s="1980"/>
      <c r="R174" s="1980"/>
      <c r="S174" s="1980"/>
      <c r="T174" s="1980"/>
      <c r="U174" s="1980"/>
      <c r="V174" s="1980"/>
      <c r="W174" s="1980"/>
      <c r="X174" s="1980"/>
      <c r="Y174" s="1980"/>
      <c r="Z174" s="1980"/>
      <c r="AA174" s="1980"/>
      <c r="AB174" s="1980"/>
      <c r="AC174" s="1980"/>
      <c r="AD174" s="1980"/>
      <c r="AE174" s="1980"/>
      <c r="AF174" s="1980"/>
      <c r="AG174" s="1980"/>
      <c r="AH174" s="1980"/>
      <c r="AI174" s="1980"/>
      <c r="AJ174" s="1980"/>
      <c r="AK174" s="1980"/>
      <c r="AL174" s="1980"/>
      <c r="AM174" s="1980"/>
      <c r="AN174" s="1980"/>
      <c r="AO174" s="1981"/>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88"/>
      <c r="D175" s="1989"/>
      <c r="E175" s="1989"/>
      <c r="F175" s="1989"/>
      <c r="G175" s="1989"/>
      <c r="H175" s="1989"/>
      <c r="I175" s="1990"/>
      <c r="J175" s="1990"/>
      <c r="K175" s="1990"/>
      <c r="L175" s="1990"/>
      <c r="M175" s="1990"/>
      <c r="N175" s="1991"/>
      <c r="O175" s="1097"/>
      <c r="P175" s="1983"/>
      <c r="Q175" s="1984"/>
      <c r="R175" s="1984"/>
      <c r="S175" s="1984"/>
      <c r="T175" s="1984"/>
      <c r="U175" s="1984"/>
      <c r="V175" s="1984"/>
      <c r="W175" s="1984"/>
      <c r="X175" s="1984"/>
      <c r="Y175" s="1984"/>
      <c r="Z175" s="1984"/>
      <c r="AA175" s="1984"/>
      <c r="AB175" s="1984"/>
      <c r="AC175" s="1984"/>
      <c r="AD175" s="1984"/>
      <c r="AE175" s="1984"/>
      <c r="AF175" s="1984"/>
      <c r="AG175" s="1984"/>
      <c r="AH175" s="1984"/>
      <c r="AI175" s="1984"/>
      <c r="AJ175" s="1984"/>
      <c r="AK175" s="1984"/>
      <c r="AL175" s="1984"/>
      <c r="AM175" s="1984"/>
      <c r="AN175" s="1984"/>
      <c r="AO175" s="1985"/>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53" t="s">
        <v>2044</v>
      </c>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1954"/>
      <c r="AE177" s="1955"/>
      <c r="AF177" s="1097"/>
      <c r="AG177" s="1097"/>
      <c r="AH177" s="1824"/>
      <c r="AI177" s="1824"/>
      <c r="AJ177" s="1824"/>
      <c r="AK177" s="1824"/>
      <c r="AL177" s="1824"/>
      <c r="AM177" s="1824"/>
      <c r="AN177" s="1824"/>
      <c r="AO177" s="1824"/>
      <c r="AP177" s="1824"/>
      <c r="AQ177" s="1824"/>
      <c r="AR177" s="1824"/>
      <c r="AS177" s="1824"/>
      <c r="AT177" s="1824"/>
      <c r="AU177" s="1824"/>
      <c r="AV177" s="1824"/>
      <c r="AW177" s="1824"/>
      <c r="AX177" s="1824"/>
      <c r="AY177" s="1824"/>
      <c r="AZ177" s="1824"/>
      <c r="BA177" s="1824"/>
      <c r="BB177" s="1824"/>
      <c r="BC177" s="1824"/>
      <c r="BD177" s="1824"/>
      <c r="BE177" s="1824"/>
    </row>
    <row r="178" spans="1:57" ht="15.75" customHeight="1" thickBot="1">
      <c r="A178" s="1097"/>
      <c r="B178" s="1097"/>
      <c r="C178" s="1956"/>
      <c r="D178" s="1957"/>
      <c r="E178" s="1957"/>
      <c r="F178" s="1957"/>
      <c r="G178" s="1957"/>
      <c r="H178" s="1957"/>
      <c r="I178" s="1957"/>
      <c r="J178" s="1957"/>
      <c r="K178" s="1957"/>
      <c r="L178" s="1957"/>
      <c r="M178" s="1957"/>
      <c r="N178" s="1957"/>
      <c r="O178" s="1957"/>
      <c r="P178" s="1957"/>
      <c r="Q178" s="1957"/>
      <c r="R178" s="1957"/>
      <c r="S178" s="1957"/>
      <c r="T178" s="1957"/>
      <c r="U178" s="1957"/>
      <c r="V178" s="1957"/>
      <c r="W178" s="1957"/>
      <c r="X178" s="1957"/>
      <c r="Y178" s="1957"/>
      <c r="Z178" s="1957"/>
      <c r="AA178" s="1957"/>
      <c r="AB178" s="1957"/>
      <c r="AC178" s="1957"/>
      <c r="AD178" s="1957"/>
      <c r="AE178" s="1958"/>
      <c r="AF178" s="1097"/>
      <c r="AG178" s="1097"/>
      <c r="AH178" s="1824"/>
      <c r="AI178" s="1824"/>
      <c r="AJ178" s="1824"/>
      <c r="AK178" s="1824"/>
      <c r="AL178" s="1824"/>
      <c r="AM178" s="1824"/>
      <c r="AN178" s="1824"/>
      <c r="AO178" s="1824"/>
      <c r="AP178" s="1824"/>
      <c r="AQ178" s="1824"/>
      <c r="AR178" s="1824"/>
      <c r="AS178" s="1824"/>
      <c r="AT178" s="1824"/>
      <c r="AU178" s="1824"/>
      <c r="AV178" s="1824"/>
      <c r="AW178" s="1824"/>
      <c r="AX178" s="1824"/>
      <c r="AY178" s="1824"/>
      <c r="AZ178" s="1824"/>
      <c r="BA178" s="1824"/>
      <c r="BB178" s="1824"/>
      <c r="BC178" s="1824"/>
      <c r="BD178" s="1824"/>
      <c r="BE178" s="1824"/>
    </row>
    <row r="179" spans="1:57" ht="15.75" customHeight="1">
      <c r="A179" s="1097"/>
      <c r="B179" s="1097"/>
      <c r="C179" s="1962" t="s">
        <v>2029</v>
      </c>
      <c r="D179" s="1963"/>
      <c r="E179" s="1963"/>
      <c r="F179" s="1963"/>
      <c r="G179" s="1963"/>
      <c r="H179" s="1963"/>
      <c r="I179" s="1963"/>
      <c r="J179" s="1963"/>
      <c r="K179" s="1963"/>
      <c r="L179" s="1963"/>
      <c r="M179" s="1963"/>
      <c r="N179" s="1963" t="s">
        <v>2045</v>
      </c>
      <c r="O179" s="1963"/>
      <c r="P179" s="1963"/>
      <c r="Q179" s="1963"/>
      <c r="R179" s="1963"/>
      <c r="S179" s="1963"/>
      <c r="T179" s="1963"/>
      <c r="U179" s="1964" t="s">
        <v>2029</v>
      </c>
      <c r="V179" s="1964"/>
      <c r="W179" s="1964"/>
      <c r="X179" s="1964"/>
      <c r="Y179" s="1964"/>
      <c r="Z179" s="1964"/>
      <c r="AA179" s="1964"/>
      <c r="AB179" s="1964"/>
      <c r="AC179" s="1964"/>
      <c r="AD179" s="1964"/>
      <c r="AE179" s="1965"/>
      <c r="AF179" s="1097"/>
      <c r="AG179" s="1097"/>
      <c r="AH179" s="1824"/>
      <c r="AI179" s="1824"/>
      <c r="AJ179" s="1824"/>
      <c r="AK179" s="1824"/>
      <c r="AL179" s="1824"/>
      <c r="AM179" s="1824"/>
      <c r="AN179" s="1824"/>
      <c r="AO179" s="1824"/>
      <c r="AP179" s="1824"/>
      <c r="AQ179" s="1824"/>
      <c r="AR179" s="1824"/>
      <c r="AS179" s="1824"/>
      <c r="AT179" s="1824"/>
      <c r="AU179" s="1824"/>
      <c r="AV179" s="1824"/>
      <c r="AW179" s="1824"/>
      <c r="AX179" s="1824"/>
      <c r="AY179" s="1824"/>
      <c r="AZ179" s="1824"/>
      <c r="BA179" s="1824"/>
      <c r="BB179" s="1824"/>
      <c r="BC179" s="1824"/>
      <c r="BD179" s="1824"/>
      <c r="BE179" s="1824"/>
    </row>
    <row r="180" spans="1:57" ht="15.75" customHeight="1">
      <c r="A180" s="1097"/>
      <c r="B180" s="1097"/>
      <c r="C180" s="1941" t="s">
        <v>2046</v>
      </c>
      <c r="D180" s="1942"/>
      <c r="E180" s="1942"/>
      <c r="F180" s="1942"/>
      <c r="G180" s="1942"/>
      <c r="H180" s="1942"/>
      <c r="I180" s="1942"/>
      <c r="J180" s="1942"/>
      <c r="K180" s="1942"/>
      <c r="L180" s="1942"/>
      <c r="M180" s="1942"/>
      <c r="N180" s="1952">
        <f>'Sources and Uses Budget'!B105</f>
        <v>78307447</v>
      </c>
      <c r="O180" s="1952"/>
      <c r="P180" s="1952"/>
      <c r="Q180" s="1952"/>
      <c r="R180" s="1952"/>
      <c r="S180" s="1952"/>
      <c r="T180" s="1952"/>
      <c r="U180" s="1966"/>
      <c r="V180" s="1966"/>
      <c r="W180" s="1966"/>
      <c r="X180" s="1966"/>
      <c r="Y180" s="1966"/>
      <c r="Z180" s="1966"/>
      <c r="AA180" s="1966"/>
      <c r="AB180" s="1966"/>
      <c r="AC180" s="1966"/>
      <c r="AD180" s="1966"/>
      <c r="AE180" s="1967"/>
      <c r="AF180" s="1097"/>
      <c r="AG180" s="1097"/>
      <c r="AH180" s="1824"/>
      <c r="AI180" s="1824"/>
      <c r="AJ180" s="1824"/>
      <c r="AK180" s="1824"/>
      <c r="AL180" s="1824"/>
      <c r="AM180" s="1824"/>
      <c r="AN180" s="1824"/>
      <c r="AO180" s="1824"/>
      <c r="AP180" s="1824"/>
      <c r="AQ180" s="1824"/>
      <c r="AR180" s="1824"/>
      <c r="AS180" s="1824"/>
      <c r="AT180" s="1824"/>
      <c r="AU180" s="1824"/>
      <c r="AV180" s="1824"/>
      <c r="AW180" s="1824"/>
      <c r="AX180" s="1824"/>
      <c r="AY180" s="1824"/>
      <c r="AZ180" s="1824"/>
      <c r="BA180" s="1824"/>
      <c r="BB180" s="1824"/>
      <c r="BC180" s="1824"/>
      <c r="BD180" s="1824"/>
      <c r="BE180" s="1824"/>
    </row>
    <row r="181" spans="1:57" ht="15.75" customHeight="1">
      <c r="A181" s="1097"/>
      <c r="B181" s="1097"/>
      <c r="C181" s="1941" t="s">
        <v>2047</v>
      </c>
      <c r="D181" s="1942"/>
      <c r="E181" s="1942"/>
      <c r="F181" s="1942"/>
      <c r="G181" s="1942"/>
      <c r="H181" s="1942"/>
      <c r="I181" s="1942"/>
      <c r="J181" s="1942"/>
      <c r="K181" s="1942"/>
      <c r="L181" s="1942"/>
      <c r="M181" s="1942"/>
      <c r="N181" s="1952">
        <f>N180/J29</f>
        <v>692986.25663716812</v>
      </c>
      <c r="O181" s="1952"/>
      <c r="P181" s="1952"/>
      <c r="Q181" s="1952"/>
      <c r="R181" s="1952"/>
      <c r="S181" s="1952"/>
      <c r="T181" s="1952"/>
      <c r="U181" s="1134"/>
      <c r="V181" s="1134"/>
      <c r="W181" s="1134"/>
      <c r="X181" s="1134"/>
      <c r="Y181" s="1134"/>
      <c r="Z181" s="1134"/>
      <c r="AA181" s="1134"/>
      <c r="AB181" s="1134"/>
      <c r="AC181" s="1134"/>
      <c r="AD181" s="1134"/>
      <c r="AE181" s="1135"/>
      <c r="AF181" s="1097"/>
      <c r="AG181" s="1097"/>
      <c r="AH181" s="1824"/>
      <c r="AI181" s="1824"/>
      <c r="AJ181" s="1824"/>
      <c r="AK181" s="1824"/>
      <c r="AL181" s="1824"/>
      <c r="AM181" s="1824"/>
      <c r="AN181" s="1824"/>
      <c r="AO181" s="1824"/>
      <c r="AP181" s="1824"/>
      <c r="AQ181" s="1824"/>
      <c r="AR181" s="1824"/>
      <c r="AS181" s="1824"/>
      <c r="AT181" s="1824"/>
      <c r="AU181" s="1824"/>
      <c r="AV181" s="1824"/>
      <c r="AW181" s="1824"/>
      <c r="AX181" s="1824"/>
      <c r="AY181" s="1824"/>
      <c r="AZ181" s="1824"/>
      <c r="BA181" s="1824"/>
      <c r="BB181" s="1824"/>
      <c r="BC181" s="1824"/>
      <c r="BD181" s="1824"/>
      <c r="BE181" s="1824"/>
    </row>
    <row r="182" spans="1:57" ht="15.75" customHeight="1">
      <c r="A182" s="1097"/>
      <c r="B182" s="1097"/>
      <c r="C182" s="1968" t="s">
        <v>2048</v>
      </c>
      <c r="D182" s="1969"/>
      <c r="E182" s="1969"/>
      <c r="F182" s="1969"/>
      <c r="G182" s="1969"/>
      <c r="H182" s="1969"/>
      <c r="I182" s="1969"/>
      <c r="J182" s="1969"/>
      <c r="K182" s="1969"/>
      <c r="L182" s="1969"/>
      <c r="M182" s="1969"/>
      <c r="N182" s="1970">
        <v>0</v>
      </c>
      <c r="O182" s="1970"/>
      <c r="P182" s="1970"/>
      <c r="Q182" s="1970"/>
      <c r="R182" s="1970"/>
      <c r="S182" s="1970"/>
      <c r="T182" s="1970"/>
      <c r="U182" s="1928"/>
      <c r="V182" s="1928"/>
      <c r="W182" s="1928"/>
      <c r="X182" s="1928"/>
      <c r="Y182" s="1928"/>
      <c r="Z182" s="1928"/>
      <c r="AA182" s="1928"/>
      <c r="AB182" s="1928"/>
      <c r="AC182" s="1928"/>
      <c r="AD182" s="1928"/>
      <c r="AE182" s="1929"/>
      <c r="AF182" s="1097"/>
      <c r="AG182" s="1097"/>
      <c r="AH182" s="1824"/>
      <c r="AI182" s="1824"/>
      <c r="AJ182" s="1824"/>
      <c r="AK182" s="1824"/>
      <c r="AL182" s="1824"/>
      <c r="AM182" s="1824"/>
      <c r="AN182" s="1824"/>
      <c r="AO182" s="1824"/>
      <c r="AP182" s="1824"/>
      <c r="AQ182" s="1824"/>
      <c r="AR182" s="1824"/>
      <c r="AS182" s="1824"/>
      <c r="AT182" s="1824"/>
      <c r="AU182" s="1824"/>
      <c r="AV182" s="1824"/>
      <c r="AW182" s="1824"/>
      <c r="AX182" s="1824"/>
      <c r="AY182" s="1824"/>
      <c r="AZ182" s="1824"/>
      <c r="BA182" s="1824"/>
      <c r="BB182" s="1824"/>
      <c r="BC182" s="1824"/>
      <c r="BD182" s="1824"/>
      <c r="BE182" s="1824"/>
    </row>
    <row r="183" spans="1:57" ht="15.75" customHeight="1" thickBot="1">
      <c r="A183" s="1097"/>
      <c r="B183" s="1097"/>
      <c r="C183" s="1941" t="s">
        <v>2049</v>
      </c>
      <c r="D183" s="1942"/>
      <c r="E183" s="1942"/>
      <c r="F183" s="1942"/>
      <c r="G183" s="1942"/>
      <c r="H183" s="1942"/>
      <c r="I183" s="1942"/>
      <c r="J183" s="1942"/>
      <c r="K183" s="1942"/>
      <c r="L183" s="1942"/>
      <c r="M183" s="1942"/>
      <c r="N183" s="1971">
        <f>SUM('Sources and Uses Budget'!B85:B86)</f>
        <v>3955000</v>
      </c>
      <c r="O183" s="1971"/>
      <c r="P183" s="1971"/>
      <c r="Q183" s="1971"/>
      <c r="R183" s="1971"/>
      <c r="S183" s="1971"/>
      <c r="T183" s="1971"/>
      <c r="U183" s="1928"/>
      <c r="V183" s="1928"/>
      <c r="W183" s="1928"/>
      <c r="X183" s="1928"/>
      <c r="Y183" s="1928"/>
      <c r="Z183" s="1928"/>
      <c r="AA183" s="1928"/>
      <c r="AB183" s="1928"/>
      <c r="AC183" s="1928"/>
      <c r="AD183" s="1928"/>
      <c r="AE183" s="1929"/>
      <c r="AF183" s="1097"/>
      <c r="AG183" s="1097"/>
      <c r="AH183" s="1824"/>
      <c r="AI183" s="1824"/>
      <c r="AJ183" s="1824"/>
      <c r="AK183" s="1824"/>
      <c r="AL183" s="1824"/>
      <c r="AM183" s="1824"/>
      <c r="AN183" s="1824"/>
      <c r="AO183" s="1824"/>
      <c r="AP183" s="1824"/>
      <c r="AQ183" s="1824"/>
      <c r="AR183" s="1824"/>
      <c r="AS183" s="1824"/>
      <c r="AT183" s="1824"/>
      <c r="AU183" s="1824"/>
      <c r="AV183" s="1824"/>
      <c r="AW183" s="1824"/>
      <c r="AX183" s="1824"/>
      <c r="AY183" s="1824"/>
      <c r="AZ183" s="1824"/>
      <c r="BA183" s="1824"/>
      <c r="BB183" s="1824"/>
      <c r="BC183" s="1824"/>
      <c r="BD183" s="1824"/>
      <c r="BE183" s="1824"/>
    </row>
    <row r="184" spans="1:57" ht="15.75" customHeight="1" thickBot="1">
      <c r="A184" s="1097"/>
      <c r="B184" s="1097"/>
      <c r="C184" s="1941" t="s">
        <v>2050</v>
      </c>
      <c r="D184" s="1942"/>
      <c r="E184" s="1942"/>
      <c r="F184" s="1942"/>
      <c r="G184" s="1942"/>
      <c r="H184" s="1942"/>
      <c r="I184" s="1942"/>
      <c r="J184" s="1942"/>
      <c r="K184" s="1942"/>
      <c r="L184" s="1942"/>
      <c r="M184" s="1942"/>
      <c r="N184" s="1971">
        <f>'Sources and Uses Budget'!B8</f>
        <v>2900000</v>
      </c>
      <c r="O184" s="1971"/>
      <c r="P184" s="1971"/>
      <c r="Q184" s="1971"/>
      <c r="R184" s="1971"/>
      <c r="S184" s="1971"/>
      <c r="T184" s="1971"/>
      <c r="U184" s="1928"/>
      <c r="V184" s="1928"/>
      <c r="W184" s="1928"/>
      <c r="X184" s="1928"/>
      <c r="Y184" s="1928"/>
      <c r="Z184" s="1928"/>
      <c r="AA184" s="1928"/>
      <c r="AB184" s="1928"/>
      <c r="AC184" s="1928"/>
      <c r="AD184" s="1928"/>
      <c r="AE184" s="1929"/>
      <c r="AF184" s="1097"/>
      <c r="AG184" s="1097"/>
      <c r="AH184" s="1938" t="s">
        <v>2051</v>
      </c>
      <c r="AI184" s="1939"/>
      <c r="AJ184" s="1939"/>
      <c r="AK184" s="1939"/>
      <c r="AL184" s="1939"/>
      <c r="AM184" s="1939"/>
      <c r="AN184" s="1939"/>
      <c r="AO184" s="1939"/>
      <c r="AP184" s="1939"/>
      <c r="AQ184" s="1939"/>
      <c r="AR184" s="1939"/>
      <c r="AS184" s="1939"/>
      <c r="AT184" s="1939"/>
      <c r="AU184" s="1939"/>
      <c r="AV184" s="1939"/>
      <c r="AW184" s="1939"/>
      <c r="AX184" s="1939"/>
      <c r="AY184" s="1939"/>
      <c r="AZ184" s="1939"/>
      <c r="BA184" s="1939"/>
      <c r="BB184" s="1939"/>
      <c r="BC184" s="1939"/>
      <c r="BD184" s="1939"/>
      <c r="BE184" s="1940"/>
    </row>
    <row r="185" spans="1:57" ht="15.75" customHeight="1">
      <c r="A185" s="1097"/>
      <c r="B185" s="1097"/>
      <c r="C185" s="1941" t="s">
        <v>2052</v>
      </c>
      <c r="D185" s="1942"/>
      <c r="E185" s="1942"/>
      <c r="F185" s="1942"/>
      <c r="G185" s="1942"/>
      <c r="H185" s="1942"/>
      <c r="I185" s="1942"/>
      <c r="J185" s="1942"/>
      <c r="K185" s="1942"/>
      <c r="L185" s="1942"/>
      <c r="M185" s="1942"/>
      <c r="N185" s="1927">
        <v>0</v>
      </c>
      <c r="O185" s="1927"/>
      <c r="P185" s="1927"/>
      <c r="Q185" s="1927"/>
      <c r="R185" s="1927"/>
      <c r="S185" s="1927"/>
      <c r="T185" s="1927"/>
      <c r="U185" s="1928"/>
      <c r="V185" s="1928"/>
      <c r="W185" s="1928"/>
      <c r="X185" s="1928"/>
      <c r="Y185" s="1928"/>
      <c r="Z185" s="1928"/>
      <c r="AA185" s="1928"/>
      <c r="AB185" s="1928"/>
      <c r="AC185" s="1928"/>
      <c r="AD185" s="1928"/>
      <c r="AE185" s="1929"/>
      <c r="AF185" s="1097"/>
      <c r="AG185" s="1097"/>
      <c r="AH185" s="1943" t="s">
        <v>2051</v>
      </c>
      <c r="AI185" s="1944"/>
      <c r="AJ185" s="1944"/>
      <c r="AK185" s="1944"/>
      <c r="AL185" s="1944"/>
      <c r="AM185" s="1944"/>
      <c r="AN185" s="1944"/>
      <c r="AO185" s="1944"/>
      <c r="AP185" s="1944"/>
      <c r="AQ185" s="1944"/>
      <c r="AR185" s="1944"/>
      <c r="AS185" s="1944"/>
      <c r="AT185" s="1944"/>
      <c r="AU185" s="1945"/>
      <c r="AV185" s="1945"/>
      <c r="AW185" s="1945"/>
      <c r="AX185" s="1945"/>
      <c r="AY185" s="1945"/>
      <c r="AZ185" s="1945"/>
      <c r="BA185" s="1945"/>
      <c r="BB185" s="1945"/>
      <c r="BC185" s="1946"/>
      <c r="BD185" s="1947"/>
      <c r="BE185" s="1948"/>
    </row>
    <row r="186" spans="1:57" ht="15.75" customHeight="1">
      <c r="A186" s="1097"/>
      <c r="B186" s="1097"/>
      <c r="C186" s="1941" t="s">
        <v>2053</v>
      </c>
      <c r="D186" s="1942"/>
      <c r="E186" s="1942"/>
      <c r="F186" s="1942"/>
      <c r="G186" s="1942"/>
      <c r="H186" s="1942"/>
      <c r="I186" s="1942"/>
      <c r="J186" s="1942"/>
      <c r="K186" s="1942"/>
      <c r="L186" s="1942"/>
      <c r="M186" s="1942"/>
      <c r="N186" s="1927">
        <v>0</v>
      </c>
      <c r="O186" s="1927"/>
      <c r="P186" s="1927"/>
      <c r="Q186" s="1927"/>
      <c r="R186" s="1927"/>
      <c r="S186" s="1927"/>
      <c r="T186" s="1927"/>
      <c r="U186" s="1928"/>
      <c r="V186" s="1928"/>
      <c r="W186" s="1928"/>
      <c r="X186" s="1928"/>
      <c r="Y186" s="1928"/>
      <c r="Z186" s="1928"/>
      <c r="AA186" s="1928"/>
      <c r="AB186" s="1928"/>
      <c r="AC186" s="1928"/>
      <c r="AD186" s="1928"/>
      <c r="AE186" s="1929"/>
      <c r="AF186" s="1097"/>
      <c r="AG186" s="1097"/>
      <c r="AH186" s="1959" t="s">
        <v>2054</v>
      </c>
      <c r="AI186" s="1960"/>
      <c r="AJ186" s="1960"/>
      <c r="AK186" s="1960"/>
      <c r="AL186" s="1960"/>
      <c r="AM186" s="1960"/>
      <c r="AN186" s="1960"/>
      <c r="AO186" s="1960"/>
      <c r="AP186" s="1960"/>
      <c r="AQ186" s="1960"/>
      <c r="AR186" s="1960"/>
      <c r="AS186" s="1960"/>
      <c r="AT186" s="1960"/>
      <c r="AU186" s="1961"/>
      <c r="AV186" s="1961"/>
      <c r="AW186" s="1961"/>
      <c r="AX186" s="1961"/>
      <c r="AY186" s="1961"/>
      <c r="AZ186" s="1961"/>
      <c r="BA186" s="1961"/>
      <c r="BB186" s="1961"/>
      <c r="BC186" s="1949"/>
      <c r="BD186" s="1950"/>
      <c r="BE186" s="1951"/>
    </row>
    <row r="187" spans="1:57" ht="15.75" customHeight="1">
      <c r="A187" s="1097"/>
      <c r="B187" s="1097"/>
      <c r="C187" s="1933" t="s">
        <v>1068</v>
      </c>
      <c r="D187" s="1934"/>
      <c r="E187" s="1926" t="s">
        <v>2036</v>
      </c>
      <c r="F187" s="1926"/>
      <c r="G187" s="1926"/>
      <c r="H187" s="1926"/>
      <c r="I187" s="1926"/>
      <c r="J187" s="1926"/>
      <c r="K187" s="1926"/>
      <c r="L187" s="1926"/>
      <c r="M187" s="1926"/>
      <c r="N187" s="1927">
        <v>0</v>
      </c>
      <c r="O187" s="1927"/>
      <c r="P187" s="1927"/>
      <c r="Q187" s="1927"/>
      <c r="R187" s="1927"/>
      <c r="S187" s="1927"/>
      <c r="T187" s="1927"/>
      <c r="U187" s="1928"/>
      <c r="V187" s="1928"/>
      <c r="W187" s="1928"/>
      <c r="X187" s="1928"/>
      <c r="Y187" s="1928"/>
      <c r="Z187" s="1928"/>
      <c r="AA187" s="1928"/>
      <c r="AB187" s="1928"/>
      <c r="AC187" s="1928"/>
      <c r="AD187" s="1928"/>
      <c r="AE187" s="1929"/>
      <c r="AF187" s="1097"/>
      <c r="AG187" s="1097"/>
      <c r="AH187" s="1935" t="s">
        <v>2055</v>
      </c>
      <c r="AI187" s="1936"/>
      <c r="AJ187" s="1936"/>
      <c r="AK187" s="1936"/>
      <c r="AL187" s="1936"/>
      <c r="AM187" s="1936"/>
      <c r="AN187" s="1936"/>
      <c r="AO187" s="1936"/>
      <c r="AP187" s="1936"/>
      <c r="AQ187" s="1936"/>
      <c r="AR187" s="1936"/>
      <c r="AS187" s="1936"/>
      <c r="AT187" s="1936"/>
      <c r="AU187" s="1937">
        <f>SUM(AU185:BB186)</f>
        <v>0</v>
      </c>
      <c r="AV187" s="1937"/>
      <c r="AW187" s="1937"/>
      <c r="AX187" s="1937"/>
      <c r="AY187" s="1937"/>
      <c r="AZ187" s="1937"/>
      <c r="BA187" s="1937"/>
      <c r="BB187" s="1937"/>
      <c r="BC187" s="1949"/>
      <c r="BD187" s="1950"/>
      <c r="BE187" s="1951"/>
    </row>
    <row r="188" spans="1:57" ht="15.75" customHeight="1" thickBot="1">
      <c r="A188" s="1097"/>
      <c r="B188" s="1097"/>
      <c r="C188" s="1924" t="s">
        <v>1068</v>
      </c>
      <c r="D188" s="1925"/>
      <c r="E188" s="1926" t="s">
        <v>2036</v>
      </c>
      <c r="F188" s="1926"/>
      <c r="G188" s="1926"/>
      <c r="H188" s="1926"/>
      <c r="I188" s="1926"/>
      <c r="J188" s="1926"/>
      <c r="K188" s="1926"/>
      <c r="L188" s="1926"/>
      <c r="M188" s="1926"/>
      <c r="N188" s="1927">
        <v>0</v>
      </c>
      <c r="O188" s="1927"/>
      <c r="P188" s="1927"/>
      <c r="Q188" s="1927"/>
      <c r="R188" s="1927"/>
      <c r="S188" s="1927"/>
      <c r="T188" s="1927"/>
      <c r="U188" s="1928"/>
      <c r="V188" s="1928"/>
      <c r="W188" s="1928"/>
      <c r="X188" s="1928"/>
      <c r="Y188" s="1928"/>
      <c r="Z188" s="1928"/>
      <c r="AA188" s="1928"/>
      <c r="AB188" s="1928"/>
      <c r="AC188" s="1928"/>
      <c r="AD188" s="1928"/>
      <c r="AE188" s="1929"/>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30"/>
      <c r="BD188" s="1931"/>
      <c r="BE188" s="1932"/>
    </row>
    <row r="189" spans="1:57" ht="15.75" customHeight="1" thickBot="1">
      <c r="A189" s="1097"/>
      <c r="B189" s="1097"/>
      <c r="C189" s="1912" t="s">
        <v>1068</v>
      </c>
      <c r="D189" s="1913"/>
      <c r="E189" s="1914" t="s">
        <v>2036</v>
      </c>
      <c r="F189" s="1914"/>
      <c r="G189" s="1914"/>
      <c r="H189" s="1914"/>
      <c r="I189" s="1914"/>
      <c r="J189" s="1914"/>
      <c r="K189" s="1914"/>
      <c r="L189" s="1914"/>
      <c r="M189" s="1915"/>
      <c r="N189" s="1916">
        <v>0</v>
      </c>
      <c r="O189" s="1916"/>
      <c r="P189" s="1916"/>
      <c r="Q189" s="1916"/>
      <c r="R189" s="1916"/>
      <c r="S189" s="1916"/>
      <c r="T189" s="1917"/>
      <c r="U189" s="1918"/>
      <c r="V189" s="1919"/>
      <c r="W189" s="1919"/>
      <c r="X189" s="1919"/>
      <c r="Y189" s="1919"/>
      <c r="Z189" s="1919"/>
      <c r="AA189" s="1919"/>
      <c r="AB189" s="1919"/>
      <c r="AC189" s="1919"/>
      <c r="AD189" s="1919"/>
      <c r="AE189" s="1920"/>
      <c r="AF189" s="1097"/>
      <c r="AG189" s="1097"/>
      <c r="AH189" s="1921" t="s">
        <v>2056</v>
      </c>
      <c r="AI189" s="1922"/>
      <c r="AJ189" s="1922"/>
      <c r="AK189" s="1922"/>
      <c r="AL189" s="1922"/>
      <c r="AM189" s="1922"/>
      <c r="AN189" s="1922"/>
      <c r="AO189" s="1922"/>
      <c r="AP189" s="1922"/>
      <c r="AQ189" s="1922"/>
      <c r="AR189" s="1922"/>
      <c r="AS189" s="1922"/>
      <c r="AT189" s="1922"/>
      <c r="AU189" s="1923"/>
      <c r="AV189" s="1923"/>
      <c r="AW189" s="1923"/>
      <c r="AX189" s="1923"/>
      <c r="AY189" s="1923"/>
      <c r="AZ189" s="1923"/>
      <c r="BA189" s="1923"/>
      <c r="BB189" s="1923"/>
      <c r="BC189" s="1053"/>
      <c r="BD189" s="1053"/>
      <c r="BE189" s="1138"/>
    </row>
    <row r="190" spans="1:57" ht="15.75" customHeight="1">
      <c r="A190" s="1097"/>
      <c r="B190" s="1097"/>
      <c r="C190" s="1895" t="s">
        <v>2057</v>
      </c>
      <c r="D190" s="1896"/>
      <c r="E190" s="1896"/>
      <c r="F190" s="1896"/>
      <c r="G190" s="1896"/>
      <c r="H190" s="1896"/>
      <c r="I190" s="1896"/>
      <c r="J190" s="1896"/>
      <c r="K190" s="1896"/>
      <c r="L190" s="1896"/>
      <c r="M190" s="1896"/>
      <c r="N190" s="1897">
        <f>SUM(N182:T189)</f>
        <v>6855000</v>
      </c>
      <c r="O190" s="1897"/>
      <c r="P190" s="1897"/>
      <c r="Q190" s="1897"/>
      <c r="R190" s="1897"/>
      <c r="S190" s="1897"/>
      <c r="T190" s="1898"/>
      <c r="U190" s="1097"/>
      <c r="V190" s="1097"/>
      <c r="W190" s="1097"/>
      <c r="X190" s="1097"/>
      <c r="Y190" s="1097"/>
      <c r="Z190" s="1097"/>
      <c r="AA190" s="1097"/>
      <c r="AB190" s="1097"/>
      <c r="AC190" s="1097"/>
      <c r="AD190" s="1097"/>
      <c r="AE190" s="1097"/>
      <c r="AF190" s="1097"/>
      <c r="AG190" s="1097"/>
      <c r="AH190" s="1899" t="s">
        <v>2058</v>
      </c>
      <c r="AI190" s="1900"/>
      <c r="AJ190" s="1900"/>
      <c r="AK190" s="1900"/>
      <c r="AL190" s="1900"/>
      <c r="AM190" s="1900"/>
      <c r="AN190" s="1900"/>
      <c r="AO190" s="1900"/>
      <c r="AP190" s="1900"/>
      <c r="AQ190" s="1900"/>
      <c r="AR190" s="1900"/>
      <c r="AS190" s="1900"/>
      <c r="AT190" s="1900"/>
      <c r="AU190" s="1900"/>
      <c r="AV190" s="1900"/>
      <c r="AW190" s="1900"/>
      <c r="AX190" s="1900"/>
      <c r="AY190" s="1900"/>
      <c r="AZ190" s="1900"/>
      <c r="BA190" s="1900"/>
      <c r="BB190" s="1900"/>
      <c r="BC190" s="1900"/>
      <c r="BD190" s="1900"/>
      <c r="BE190" s="1901"/>
    </row>
    <row r="191" spans="1:57" ht="15.75" customHeight="1" thickBot="1">
      <c r="A191" s="1097"/>
      <c r="B191" s="1097"/>
      <c r="C191" s="1905" t="s">
        <v>2059</v>
      </c>
      <c r="D191" s="1906"/>
      <c r="E191" s="1906"/>
      <c r="F191" s="1906"/>
      <c r="G191" s="1906"/>
      <c r="H191" s="1906"/>
      <c r="I191" s="1906"/>
      <c r="J191" s="1906"/>
      <c r="K191" s="1906"/>
      <c r="L191" s="1906"/>
      <c r="M191" s="1906"/>
      <c r="N191" s="1907">
        <f>(N180-N190)/J29</f>
        <v>632322.53982300882</v>
      </c>
      <c r="O191" s="1908"/>
      <c r="P191" s="1908"/>
      <c r="Q191" s="1908"/>
      <c r="R191" s="1908"/>
      <c r="S191" s="1908"/>
      <c r="T191" s="1909"/>
      <c r="U191" s="1102"/>
      <c r="V191" s="1097"/>
      <c r="W191" s="1097"/>
      <c r="X191" s="1097"/>
      <c r="Y191" s="1097"/>
      <c r="Z191" s="1097"/>
      <c r="AA191" s="1097"/>
      <c r="AB191" s="1097"/>
      <c r="AC191" s="1097"/>
      <c r="AD191" s="1097"/>
      <c r="AE191" s="1097"/>
      <c r="AF191" s="1097"/>
      <c r="AG191" s="1097"/>
      <c r="AH191" s="1902"/>
      <c r="AI191" s="1903"/>
      <c r="AJ191" s="1903"/>
      <c r="AK191" s="1903"/>
      <c r="AL191" s="1903"/>
      <c r="AM191" s="1903"/>
      <c r="AN191" s="1903"/>
      <c r="AO191" s="1903"/>
      <c r="AP191" s="1903"/>
      <c r="AQ191" s="1903"/>
      <c r="AR191" s="1903"/>
      <c r="AS191" s="1903"/>
      <c r="AT191" s="1903"/>
      <c r="AU191" s="1903"/>
      <c r="AV191" s="1903"/>
      <c r="AW191" s="1903"/>
      <c r="AX191" s="1903"/>
      <c r="AY191" s="1903"/>
      <c r="AZ191" s="1903"/>
      <c r="BA191" s="1903"/>
      <c r="BB191" s="1903"/>
      <c r="BC191" s="1903"/>
      <c r="BD191" s="1903"/>
      <c r="BE191" s="1904"/>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10"/>
      <c r="AI192" s="1910"/>
      <c r="AJ192" s="1910"/>
      <c r="AK192" s="1910"/>
      <c r="AL192" s="1910"/>
      <c r="AM192" s="1910"/>
      <c r="AN192" s="1910"/>
      <c r="AO192" s="1910"/>
      <c r="AP192" s="1910"/>
      <c r="AQ192" s="1910"/>
      <c r="AR192" s="1910"/>
      <c r="AS192" s="1911"/>
      <c r="AT192" s="1911"/>
      <c r="AU192" s="1911"/>
      <c r="AV192" s="1911"/>
      <c r="AW192" s="1911"/>
      <c r="AX192" s="1911"/>
      <c r="AY192" s="1911"/>
      <c r="AZ192" s="1911"/>
      <c r="BA192" s="1911"/>
      <c r="BB192" s="1911"/>
      <c r="BC192" s="1911"/>
      <c r="BD192" s="1911"/>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90" t="s">
        <v>2060</v>
      </c>
      <c r="D194" s="1891"/>
      <c r="E194" s="1891"/>
      <c r="F194" s="1891"/>
      <c r="G194" s="1891"/>
      <c r="H194" s="1891"/>
      <c r="I194" s="1891"/>
      <c r="J194" s="1891"/>
      <c r="K194" s="1891"/>
      <c r="L194" s="1891"/>
      <c r="M194" s="1891"/>
      <c r="N194" s="1891"/>
      <c r="O194" s="1891"/>
      <c r="P194" s="1891"/>
      <c r="Q194" s="1891"/>
      <c r="R194" s="1891"/>
      <c r="S194" s="1891"/>
      <c r="T194" s="1891"/>
      <c r="U194" s="1891"/>
      <c r="V194" s="1891"/>
      <c r="W194" s="1891"/>
      <c r="X194" s="1891"/>
      <c r="Y194" s="1891"/>
      <c r="Z194" s="1891"/>
      <c r="AA194" s="1891"/>
      <c r="AB194" s="1891"/>
      <c r="AC194" s="1891"/>
      <c r="AD194" s="1891"/>
      <c r="AE194" s="1892"/>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93" t="s">
        <v>2061</v>
      </c>
      <c r="D195" s="1893"/>
      <c r="E195" s="1893"/>
      <c r="F195" s="1893"/>
      <c r="G195" s="1893"/>
      <c r="H195" s="1893"/>
      <c r="I195" s="1893"/>
      <c r="J195" s="1893"/>
      <c r="K195" s="1893"/>
      <c r="L195" s="1893"/>
      <c r="M195" s="1893"/>
      <c r="N195" s="1893"/>
      <c r="O195" s="1894" t="s">
        <v>2062</v>
      </c>
      <c r="P195" s="1894"/>
      <c r="Q195" s="1894"/>
      <c r="R195" s="1894"/>
      <c r="S195" s="1894"/>
      <c r="T195" s="1894"/>
      <c r="U195" s="1894"/>
      <c r="V195" s="1894"/>
      <c r="W195" s="1894"/>
      <c r="X195" s="1894" t="s">
        <v>2063</v>
      </c>
      <c r="Y195" s="1894"/>
      <c r="Z195" s="1894"/>
      <c r="AA195" s="1894"/>
      <c r="AB195" s="1894"/>
      <c r="AC195" s="1894"/>
      <c r="AD195" s="1894"/>
      <c r="AE195" s="1894"/>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85" t="s">
        <v>2064</v>
      </c>
      <c r="D196" s="1885"/>
      <c r="E196" s="1885"/>
      <c r="F196" s="1885"/>
      <c r="G196" s="1885"/>
      <c r="H196" s="1885"/>
      <c r="I196" s="1885"/>
      <c r="J196" s="1885"/>
      <c r="K196" s="1885"/>
      <c r="L196" s="1885"/>
      <c r="M196" s="1885"/>
      <c r="N196" s="1885"/>
      <c r="O196" s="1886"/>
      <c r="P196" s="1886"/>
      <c r="Q196" s="1886"/>
      <c r="R196" s="1886"/>
      <c r="S196" s="1886"/>
      <c r="T196" s="1886"/>
      <c r="U196" s="1886"/>
      <c r="V196" s="1886"/>
      <c r="W196" s="1886"/>
      <c r="X196" s="1887"/>
      <c r="Y196" s="1887"/>
      <c r="Z196" s="1887"/>
      <c r="AA196" s="1887"/>
      <c r="AB196" s="1887"/>
      <c r="AC196" s="1887"/>
      <c r="AD196" s="1887"/>
      <c r="AE196" s="1887"/>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85" t="s">
        <v>2065</v>
      </c>
      <c r="D197" s="1885"/>
      <c r="E197" s="1885"/>
      <c r="F197" s="1885"/>
      <c r="G197" s="1885"/>
      <c r="H197" s="1885"/>
      <c r="I197" s="1885"/>
      <c r="J197" s="1885"/>
      <c r="K197" s="1885"/>
      <c r="L197" s="1885"/>
      <c r="M197" s="1885"/>
      <c r="N197" s="1885"/>
      <c r="O197" s="1886"/>
      <c r="P197" s="1886"/>
      <c r="Q197" s="1886"/>
      <c r="R197" s="1886"/>
      <c r="S197" s="1886"/>
      <c r="T197" s="1886"/>
      <c r="U197" s="1886"/>
      <c r="V197" s="1886"/>
      <c r="W197" s="1886"/>
      <c r="X197" s="1887"/>
      <c r="Y197" s="1887"/>
      <c r="Z197" s="1887"/>
      <c r="AA197" s="1887"/>
      <c r="AB197" s="1887"/>
      <c r="AC197" s="1887"/>
      <c r="AD197" s="1887"/>
      <c r="AE197" s="1887"/>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85" t="s">
        <v>2066</v>
      </c>
      <c r="D198" s="1885"/>
      <c r="E198" s="1885"/>
      <c r="F198" s="1885"/>
      <c r="G198" s="1885"/>
      <c r="H198" s="1885"/>
      <c r="I198" s="1885"/>
      <c r="J198" s="1885"/>
      <c r="K198" s="1885"/>
      <c r="L198" s="1885"/>
      <c r="M198" s="1885"/>
      <c r="N198" s="1885"/>
      <c r="O198" s="1888">
        <f>SUM(O196:W197)</f>
        <v>0</v>
      </c>
      <c r="P198" s="1889"/>
      <c r="Q198" s="1889"/>
      <c r="R198" s="1889"/>
      <c r="S198" s="1889"/>
      <c r="T198" s="1889"/>
      <c r="U198" s="1889"/>
      <c r="V198" s="1889"/>
      <c r="W198" s="1889"/>
      <c r="X198" s="1889" t="s">
        <v>2067</v>
      </c>
      <c r="Y198" s="1889"/>
      <c r="Z198" s="1889"/>
      <c r="AA198" s="1889"/>
      <c r="AB198" s="1889"/>
      <c r="AC198" s="1889"/>
      <c r="AD198" s="1889"/>
      <c r="AE198" s="1889"/>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59" t="s">
        <v>2068</v>
      </c>
      <c r="D199" s="1859"/>
      <c r="E199" s="1859"/>
      <c r="F199" s="1859"/>
      <c r="G199" s="1859"/>
      <c r="H199" s="1859"/>
      <c r="I199" s="1859"/>
      <c r="J199" s="1859"/>
      <c r="K199" s="1859"/>
      <c r="L199" s="1859"/>
      <c r="M199" s="1859"/>
      <c r="N199" s="1859"/>
      <c r="O199" s="1859"/>
      <c r="P199" s="1859"/>
      <c r="Q199" s="1859"/>
      <c r="R199" s="1859"/>
      <c r="S199" s="1859"/>
      <c r="T199" s="1859"/>
      <c r="U199" s="1859"/>
      <c r="V199" s="1859"/>
      <c r="W199" s="1859"/>
      <c r="X199" s="1859"/>
      <c r="Y199" s="1859"/>
      <c r="Z199" s="1859"/>
      <c r="AA199" s="1859"/>
      <c r="AB199" s="1859"/>
      <c r="AC199" s="1859"/>
      <c r="AD199" s="1859"/>
      <c r="AE199" s="1859"/>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60" t="s">
        <v>2069</v>
      </c>
      <c r="D201" s="1861"/>
      <c r="E201" s="1861"/>
      <c r="F201" s="1861"/>
      <c r="G201" s="1861"/>
      <c r="H201" s="1861"/>
      <c r="I201" s="1861"/>
      <c r="J201" s="1861"/>
      <c r="K201" s="1861"/>
      <c r="L201" s="1861"/>
      <c r="M201" s="1861"/>
      <c r="N201" s="1861"/>
      <c r="O201" s="1861"/>
      <c r="P201" s="1861"/>
      <c r="Q201" s="1861"/>
      <c r="R201" s="1861"/>
      <c r="S201" s="1861"/>
      <c r="T201" s="1861"/>
      <c r="U201" s="1861"/>
      <c r="V201" s="1861"/>
      <c r="W201" s="1861"/>
      <c r="X201" s="1861"/>
      <c r="Y201" s="1861"/>
      <c r="Z201" s="1861"/>
      <c r="AA201" s="1861"/>
      <c r="AB201" s="1861"/>
      <c r="AC201" s="1861"/>
      <c r="AD201" s="1861"/>
      <c r="AE201" s="1861"/>
      <c r="AF201" s="1861"/>
      <c r="AG201" s="1861"/>
      <c r="AH201" s="1861"/>
      <c r="AI201" s="1861"/>
      <c r="AJ201" s="1861"/>
      <c r="AK201" s="1862"/>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63" t="s">
        <v>2070</v>
      </c>
      <c r="D202" s="1864"/>
      <c r="E202" s="1864"/>
      <c r="F202" s="1865"/>
      <c r="G202" s="1869" t="s">
        <v>2071</v>
      </c>
      <c r="H202" s="1864"/>
      <c r="I202" s="1864"/>
      <c r="J202" s="1864"/>
      <c r="K202" s="1864"/>
      <c r="L202" s="1864"/>
      <c r="M202" s="1864"/>
      <c r="N202" s="1864"/>
      <c r="O202" s="1865"/>
      <c r="P202" s="1871" t="s">
        <v>2072</v>
      </c>
      <c r="Q202" s="1872"/>
      <c r="R202" s="1872"/>
      <c r="S202" s="1872"/>
      <c r="T202" s="1873"/>
      <c r="U202" s="1877" t="s">
        <v>2073</v>
      </c>
      <c r="V202" s="1878"/>
      <c r="W202" s="1878"/>
      <c r="X202" s="1879"/>
      <c r="Y202" s="1877" t="s">
        <v>2074</v>
      </c>
      <c r="Z202" s="1878"/>
      <c r="AA202" s="1878"/>
      <c r="AB202" s="1879"/>
      <c r="AC202" s="1877" t="s">
        <v>2075</v>
      </c>
      <c r="AD202" s="1878"/>
      <c r="AE202" s="1878"/>
      <c r="AF202" s="1879"/>
      <c r="AG202" s="1869" t="s">
        <v>2076</v>
      </c>
      <c r="AH202" s="1864"/>
      <c r="AI202" s="1864"/>
      <c r="AJ202" s="1864"/>
      <c r="AK202" s="1883"/>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66"/>
      <c r="D203" s="1867"/>
      <c r="E203" s="1867"/>
      <c r="F203" s="1868"/>
      <c r="G203" s="1870"/>
      <c r="H203" s="1867"/>
      <c r="I203" s="1867"/>
      <c r="J203" s="1867"/>
      <c r="K203" s="1867"/>
      <c r="L203" s="1867"/>
      <c r="M203" s="1867"/>
      <c r="N203" s="1867"/>
      <c r="O203" s="1868"/>
      <c r="P203" s="1874"/>
      <c r="Q203" s="1875"/>
      <c r="R203" s="1875"/>
      <c r="S203" s="1875"/>
      <c r="T203" s="1876"/>
      <c r="U203" s="1880"/>
      <c r="V203" s="1881"/>
      <c r="W203" s="1881"/>
      <c r="X203" s="1882"/>
      <c r="Y203" s="1880"/>
      <c r="Z203" s="1881"/>
      <c r="AA203" s="1881"/>
      <c r="AB203" s="1882"/>
      <c r="AC203" s="1880"/>
      <c r="AD203" s="1881"/>
      <c r="AE203" s="1881"/>
      <c r="AF203" s="1882"/>
      <c r="AG203" s="1870"/>
      <c r="AH203" s="1867"/>
      <c r="AI203" s="1867"/>
      <c r="AJ203" s="1867"/>
      <c r="AK203" s="1884"/>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38">
        <v>1</v>
      </c>
      <c r="D204" s="1839"/>
      <c r="E204" s="1839"/>
      <c r="F204" s="1839"/>
      <c r="G204" s="1840" t="s">
        <v>2077</v>
      </c>
      <c r="H204" s="1840"/>
      <c r="I204" s="1840"/>
      <c r="J204" s="1840"/>
      <c r="K204" s="1840"/>
      <c r="L204" s="1840"/>
      <c r="M204" s="1840"/>
      <c r="N204" s="1840"/>
      <c r="O204" s="1840"/>
      <c r="P204" s="1841">
        <v>46419</v>
      </c>
      <c r="Q204" s="1858"/>
      <c r="R204" s="1858"/>
      <c r="S204" s="1858"/>
      <c r="T204" s="1858"/>
      <c r="U204" s="1842"/>
      <c r="V204" s="1842"/>
      <c r="W204" s="1842"/>
      <c r="X204" s="1842"/>
      <c r="Y204" s="1842"/>
      <c r="Z204" s="1842"/>
      <c r="AA204" s="1842"/>
      <c r="AB204" s="1842"/>
      <c r="AC204" s="1843">
        <v>0.10939503125580136</v>
      </c>
      <c r="AD204" s="1843"/>
      <c r="AE204" s="1843"/>
      <c r="AF204" s="1843"/>
      <c r="AG204" s="1827" t="s">
        <v>2078</v>
      </c>
      <c r="AH204" s="1828"/>
      <c r="AI204" s="1828"/>
      <c r="AJ204" s="1828"/>
      <c r="AK204" s="1829"/>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38">
        <v>2</v>
      </c>
      <c r="D205" s="1839"/>
      <c r="E205" s="1839"/>
      <c r="F205" s="1839"/>
      <c r="G205" s="1840" t="s">
        <v>2079</v>
      </c>
      <c r="H205" s="1840"/>
      <c r="I205" s="1840"/>
      <c r="J205" s="1840"/>
      <c r="K205" s="1840"/>
      <c r="L205" s="1840"/>
      <c r="M205" s="1840"/>
      <c r="N205" s="1840"/>
      <c r="O205" s="1840"/>
      <c r="P205" s="1841">
        <v>47331</v>
      </c>
      <c r="Q205" s="1841"/>
      <c r="R205" s="1841"/>
      <c r="S205" s="1841"/>
      <c r="T205" s="1841"/>
      <c r="U205" s="1842"/>
      <c r="V205" s="1842"/>
      <c r="W205" s="1842"/>
      <c r="X205" s="1842"/>
      <c r="Y205" s="1842"/>
      <c r="Z205" s="1842"/>
      <c r="AA205" s="1842"/>
      <c r="AB205" s="1842"/>
      <c r="AC205" s="1843">
        <v>0.78880392176811254</v>
      </c>
      <c r="AD205" s="1843"/>
      <c r="AE205" s="1843"/>
      <c r="AF205" s="1843"/>
      <c r="AG205" s="1827" t="s">
        <v>1463</v>
      </c>
      <c r="AH205" s="1828"/>
      <c r="AI205" s="1828"/>
      <c r="AJ205" s="1828"/>
      <c r="AK205" s="1829"/>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38">
        <v>3</v>
      </c>
      <c r="D206" s="1839"/>
      <c r="E206" s="1839"/>
      <c r="F206" s="1839"/>
      <c r="G206" s="1840">
        <v>8609</v>
      </c>
      <c r="H206" s="1840"/>
      <c r="I206" s="1840"/>
      <c r="J206" s="1840"/>
      <c r="K206" s="1840"/>
      <c r="L206" s="1840"/>
      <c r="M206" s="1840"/>
      <c r="N206" s="1840"/>
      <c r="O206" s="1840"/>
      <c r="P206" s="1841">
        <v>47696</v>
      </c>
      <c r="Q206" s="1841"/>
      <c r="R206" s="1841"/>
      <c r="S206" s="1841"/>
      <c r="T206" s="1841"/>
      <c r="U206" s="1842"/>
      <c r="V206" s="1842"/>
      <c r="W206" s="1842"/>
      <c r="X206" s="1842"/>
      <c r="Y206" s="1842"/>
      <c r="Z206" s="1842"/>
      <c r="AA206" s="1842"/>
      <c r="AB206" s="1842"/>
      <c r="AC206" s="1843">
        <v>0.10180104697608613</v>
      </c>
      <c r="AD206" s="1843"/>
      <c r="AE206" s="1843"/>
      <c r="AF206" s="1843"/>
      <c r="AG206" s="1827" t="s">
        <v>2078</v>
      </c>
      <c r="AH206" s="1828"/>
      <c r="AI206" s="1828"/>
      <c r="AJ206" s="1828"/>
      <c r="AK206" s="1829"/>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38">
        <v>4</v>
      </c>
      <c r="D207" s="1839"/>
      <c r="E207" s="1839"/>
      <c r="F207" s="1839"/>
      <c r="G207" s="1840" t="s">
        <v>2080</v>
      </c>
      <c r="H207" s="1840"/>
      <c r="I207" s="1840"/>
      <c r="J207" s="1840"/>
      <c r="K207" s="1840"/>
      <c r="L207" s="1840"/>
      <c r="M207" s="1840"/>
      <c r="N207" s="1840"/>
      <c r="O207" s="1840"/>
      <c r="P207" s="1841"/>
      <c r="Q207" s="1841"/>
      <c r="R207" s="1841"/>
      <c r="S207" s="1841"/>
      <c r="T207" s="1841"/>
      <c r="U207" s="1842" t="s">
        <v>2080</v>
      </c>
      <c r="V207" s="1842"/>
      <c r="W207" s="1842"/>
      <c r="X207" s="1842"/>
      <c r="Y207" s="1842" t="s">
        <v>2080</v>
      </c>
      <c r="Z207" s="1842"/>
      <c r="AA207" s="1842"/>
      <c r="AB207" s="1842"/>
      <c r="AC207" s="1843" t="s">
        <v>2080</v>
      </c>
      <c r="AD207" s="1843"/>
      <c r="AE207" s="1843"/>
      <c r="AF207" s="1843"/>
      <c r="AG207" s="1827"/>
      <c r="AH207" s="1828"/>
      <c r="AI207" s="1828"/>
      <c r="AJ207" s="1828"/>
      <c r="AK207" s="1829"/>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38">
        <v>5</v>
      </c>
      <c r="D208" s="1839"/>
      <c r="E208" s="1839"/>
      <c r="F208" s="1839"/>
      <c r="G208" s="1840" t="s">
        <v>2080</v>
      </c>
      <c r="H208" s="1840"/>
      <c r="I208" s="1840"/>
      <c r="J208" s="1840"/>
      <c r="K208" s="1840"/>
      <c r="L208" s="1840"/>
      <c r="M208" s="1840"/>
      <c r="N208" s="1840"/>
      <c r="O208" s="1840"/>
      <c r="P208" s="1841"/>
      <c r="Q208" s="1841"/>
      <c r="R208" s="1841"/>
      <c r="S208" s="1841"/>
      <c r="T208" s="1841"/>
      <c r="U208" s="1842" t="s">
        <v>2080</v>
      </c>
      <c r="V208" s="1842"/>
      <c r="W208" s="1842"/>
      <c r="X208" s="1842"/>
      <c r="Y208" s="1842" t="s">
        <v>2080</v>
      </c>
      <c r="Z208" s="1842"/>
      <c r="AA208" s="1842"/>
      <c r="AB208" s="1842"/>
      <c r="AC208" s="1843" t="s">
        <v>2080</v>
      </c>
      <c r="AD208" s="1843"/>
      <c r="AE208" s="1843"/>
      <c r="AF208" s="1843"/>
      <c r="AG208" s="1827"/>
      <c r="AH208" s="1828"/>
      <c r="AI208" s="1828"/>
      <c r="AJ208" s="1828"/>
      <c r="AK208" s="1829"/>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38">
        <v>6</v>
      </c>
      <c r="D209" s="1839"/>
      <c r="E209" s="1839"/>
      <c r="F209" s="1839"/>
      <c r="G209" s="1840" t="s">
        <v>2080</v>
      </c>
      <c r="H209" s="1840"/>
      <c r="I209" s="1840"/>
      <c r="J209" s="1840"/>
      <c r="K209" s="1840"/>
      <c r="L209" s="1840"/>
      <c r="M209" s="1840"/>
      <c r="N209" s="1840"/>
      <c r="O209" s="1840"/>
      <c r="P209" s="1841"/>
      <c r="Q209" s="1841"/>
      <c r="R209" s="1841"/>
      <c r="S209" s="1841"/>
      <c r="T209" s="1841"/>
      <c r="U209" s="1842"/>
      <c r="V209" s="1842"/>
      <c r="W209" s="1842"/>
      <c r="X209" s="1842"/>
      <c r="Y209" s="1842"/>
      <c r="Z209" s="1842"/>
      <c r="AA209" s="1842"/>
      <c r="AB209" s="1842"/>
      <c r="AC209" s="1843" t="s">
        <v>2080</v>
      </c>
      <c r="AD209" s="1843"/>
      <c r="AE209" s="1843"/>
      <c r="AF209" s="1843"/>
      <c r="AG209" s="1827"/>
      <c r="AH209" s="1828"/>
      <c r="AI209" s="1828"/>
      <c r="AJ209" s="1828"/>
      <c r="AK209" s="1829"/>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38">
        <v>7</v>
      </c>
      <c r="D210" s="1839"/>
      <c r="E210" s="1839"/>
      <c r="F210" s="1839"/>
      <c r="G210" s="1840"/>
      <c r="H210" s="1840"/>
      <c r="I210" s="1840"/>
      <c r="J210" s="1840"/>
      <c r="K210" s="1840"/>
      <c r="L210" s="1840"/>
      <c r="M210" s="1840"/>
      <c r="N210" s="1840"/>
      <c r="O210" s="1840"/>
      <c r="P210" s="1841"/>
      <c r="Q210" s="1841"/>
      <c r="R210" s="1841"/>
      <c r="S210" s="1841"/>
      <c r="T210" s="1841"/>
      <c r="U210" s="1842"/>
      <c r="V210" s="1842"/>
      <c r="W210" s="1842"/>
      <c r="X210" s="1842"/>
      <c r="Y210" s="1842"/>
      <c r="Z210" s="1842"/>
      <c r="AA210" s="1842"/>
      <c r="AB210" s="1842"/>
      <c r="AC210" s="1843" t="s">
        <v>2080</v>
      </c>
      <c r="AD210" s="1843"/>
      <c r="AE210" s="1843"/>
      <c r="AF210" s="1843"/>
      <c r="AG210" s="1827"/>
      <c r="AH210" s="1828"/>
      <c r="AI210" s="1828"/>
      <c r="AJ210" s="1828"/>
      <c r="AK210" s="1829"/>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30" t="s">
        <v>2081</v>
      </c>
      <c r="D211" s="1831"/>
      <c r="E211" s="1831"/>
      <c r="F211" s="1831"/>
      <c r="G211" s="1831"/>
      <c r="H211" s="1831"/>
      <c r="I211" s="1831"/>
      <c r="J211" s="1831"/>
      <c r="K211" s="1831"/>
      <c r="L211" s="1831"/>
      <c r="M211" s="1831"/>
      <c r="N211" s="1831"/>
      <c r="O211" s="1831"/>
      <c r="P211" s="1832"/>
      <c r="Q211" s="1832"/>
      <c r="R211" s="1832"/>
      <c r="S211" s="1832"/>
      <c r="T211" s="1832"/>
      <c r="U211" s="1833">
        <f>-SUM(U204:U210)</f>
        <v>0</v>
      </c>
      <c r="V211" s="1833"/>
      <c r="W211" s="1833"/>
      <c r="X211" s="1833"/>
      <c r="Y211" s="1833">
        <f>-SUM(Y204:Y210)</f>
        <v>0</v>
      </c>
      <c r="Z211" s="1833"/>
      <c r="AA211" s="1833"/>
      <c r="AB211" s="1833"/>
      <c r="AC211" s="1834">
        <f>-SUM(AC204:AC210)</f>
        <v>-1</v>
      </c>
      <c r="AD211" s="1834"/>
      <c r="AE211" s="1834"/>
      <c r="AF211" s="1834"/>
      <c r="AG211" s="1835"/>
      <c r="AH211" s="1836"/>
      <c r="AI211" s="1836"/>
      <c r="AJ211" s="1836"/>
      <c r="AK211" s="1837"/>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2082</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14" t="s">
        <v>2083</v>
      </c>
      <c r="C216" s="1815"/>
      <c r="D216" s="1815"/>
      <c r="E216" s="1815"/>
      <c r="F216" s="1815"/>
      <c r="G216" s="1815"/>
      <c r="H216" s="1815"/>
      <c r="I216" s="1815"/>
      <c r="J216" s="1815"/>
      <c r="K216" s="1815"/>
      <c r="L216" s="1815"/>
      <c r="M216" s="1815"/>
      <c r="N216" s="1815"/>
      <c r="O216" s="1815"/>
      <c r="P216" s="1815"/>
      <c r="Q216" s="1815"/>
      <c r="R216" s="1815"/>
      <c r="S216" s="1815"/>
      <c r="T216" s="1815"/>
      <c r="U216" s="1815"/>
      <c r="V216" s="1815"/>
      <c r="W216" s="1815"/>
      <c r="X216" s="1815"/>
      <c r="Y216" s="1815"/>
      <c r="Z216" s="1815"/>
      <c r="AA216" s="1815"/>
      <c r="AB216" s="1815"/>
      <c r="AC216" s="1815"/>
      <c r="AD216" s="1815"/>
      <c r="AE216" s="1815"/>
      <c r="AF216" s="1815"/>
      <c r="AG216" s="1815"/>
      <c r="AH216" s="1815"/>
      <c r="AI216" s="1815"/>
      <c r="AJ216" s="1815"/>
      <c r="AK216" s="1815"/>
      <c r="AL216" s="1815"/>
      <c r="AM216" s="1815"/>
      <c r="AN216" s="1815"/>
      <c r="AO216" s="1815"/>
      <c r="AP216" s="1815"/>
      <c r="AQ216" s="1815"/>
      <c r="AR216" s="1815"/>
      <c r="AS216" s="1815"/>
      <c r="AT216" s="1815"/>
      <c r="AU216" s="1815"/>
      <c r="AV216" s="1815"/>
      <c r="AW216" s="1815"/>
      <c r="AX216" s="1815"/>
      <c r="AY216" s="1815"/>
      <c r="AZ216" s="1815"/>
      <c r="BA216" s="1815"/>
      <c r="BB216" s="1815"/>
      <c r="BC216" s="1815"/>
      <c r="BD216" s="1816"/>
      <c r="BE216" s="1101"/>
    </row>
    <row r="217" spans="1:57" ht="15.75" customHeight="1">
      <c r="A217" s="1097"/>
      <c r="B217" s="1817"/>
      <c r="C217" s="1818"/>
      <c r="D217" s="1818"/>
      <c r="E217" s="1818"/>
      <c r="F217" s="1818"/>
      <c r="G217" s="1818"/>
      <c r="H217" s="1818"/>
      <c r="I217" s="1818"/>
      <c r="J217" s="1818"/>
      <c r="K217" s="1818"/>
      <c r="L217" s="1818"/>
      <c r="M217" s="1818"/>
      <c r="N217" s="1818"/>
      <c r="O217" s="1818"/>
      <c r="P217" s="1818"/>
      <c r="Q217" s="1818"/>
      <c r="R217" s="1818"/>
      <c r="S217" s="1818"/>
      <c r="T217" s="1818"/>
      <c r="U217" s="1818"/>
      <c r="V217" s="1818"/>
      <c r="W217" s="1818"/>
      <c r="X217" s="1818"/>
      <c r="Y217" s="1818"/>
      <c r="Z217" s="1818"/>
      <c r="AA217" s="1818"/>
      <c r="AB217" s="1818"/>
      <c r="AC217" s="1818"/>
      <c r="AD217" s="1818"/>
      <c r="AE217" s="1818"/>
      <c r="AF217" s="1818"/>
      <c r="AG217" s="1818"/>
      <c r="AH217" s="1818"/>
      <c r="AI217" s="1818"/>
      <c r="AJ217" s="1818"/>
      <c r="AK217" s="1818"/>
      <c r="AL217" s="1818"/>
      <c r="AM217" s="1818"/>
      <c r="AN217" s="1818"/>
      <c r="AO217" s="1818"/>
      <c r="AP217" s="1818"/>
      <c r="AQ217" s="1818"/>
      <c r="AR217" s="1818"/>
      <c r="AS217" s="1818"/>
      <c r="AT217" s="1818"/>
      <c r="AU217" s="1818"/>
      <c r="AV217" s="1818"/>
      <c r="AW217" s="1818"/>
      <c r="AX217" s="1818"/>
      <c r="AY217" s="1818"/>
      <c r="AZ217" s="1818"/>
      <c r="BA217" s="1818"/>
      <c r="BB217" s="1818"/>
      <c r="BC217" s="1818"/>
      <c r="BD217" s="1819"/>
      <c r="BE217" s="1101"/>
    </row>
    <row r="218" spans="1:57" ht="15.75" customHeight="1">
      <c r="A218" s="1097"/>
      <c r="B218" s="1820" t="s">
        <v>2084</v>
      </c>
      <c r="C218" s="1821"/>
      <c r="D218" s="1821"/>
      <c r="E218" s="1821"/>
      <c r="F218" s="1821"/>
      <c r="G218" s="1821"/>
      <c r="H218" s="1821"/>
      <c r="I218" s="1821"/>
      <c r="J218" s="1821"/>
      <c r="K218" s="1821"/>
      <c r="L218" s="1821"/>
      <c r="M218" s="1821"/>
      <c r="N218" s="1821"/>
      <c r="O218" s="1821"/>
      <c r="P218" s="1821"/>
      <c r="Q218" s="1821"/>
      <c r="R218" s="1821"/>
      <c r="S218" s="1821"/>
      <c r="T218" s="1821"/>
      <c r="U218" s="1821"/>
      <c r="V218" s="1821"/>
      <c r="W218" s="1821"/>
      <c r="X218" s="1821"/>
      <c r="Y218" s="1821"/>
      <c r="Z218" s="1821"/>
      <c r="AA218" s="1821"/>
      <c r="AB218" s="1821"/>
      <c r="AC218" s="1821"/>
      <c r="AD218" s="1821"/>
      <c r="AE218" s="1821"/>
      <c r="AF218" s="1821"/>
      <c r="AG218" s="1821"/>
      <c r="AH218" s="1821"/>
      <c r="AI218" s="1821"/>
      <c r="AJ218" s="1821"/>
      <c r="AK218" s="1821"/>
      <c r="AL218" s="1821"/>
      <c r="AM218" s="1821"/>
      <c r="AN218" s="1821"/>
      <c r="AO218" s="1821"/>
      <c r="AP218" s="1821"/>
      <c r="AQ218" s="1821"/>
      <c r="AR218" s="1821"/>
      <c r="AS218" s="1821"/>
      <c r="AT218" s="1821"/>
      <c r="AU218" s="1821"/>
      <c r="AV218" s="1821"/>
      <c r="AW218" s="1821"/>
      <c r="AX218" s="1821"/>
      <c r="AY218" s="1821"/>
      <c r="AZ218" s="1821"/>
      <c r="BA218" s="1821"/>
      <c r="BB218" s="1821"/>
      <c r="BC218" s="1821"/>
      <c r="BD218" s="1822"/>
      <c r="BE218" s="1101"/>
    </row>
    <row r="219" spans="1:57" ht="15.75" customHeight="1">
      <c r="A219" s="1097"/>
      <c r="B219" s="1820" t="s">
        <v>2085</v>
      </c>
      <c r="C219" s="1821"/>
      <c r="D219" s="1821"/>
      <c r="E219" s="1821"/>
      <c r="F219" s="1821"/>
      <c r="G219" s="1821"/>
      <c r="H219" s="1821"/>
      <c r="I219" s="1821"/>
      <c r="J219" s="1821"/>
      <c r="K219" s="1821"/>
      <c r="L219" s="1821"/>
      <c r="M219" s="1821"/>
      <c r="N219" s="1821"/>
      <c r="O219" s="1821"/>
      <c r="P219" s="1821"/>
      <c r="Q219" s="1821"/>
      <c r="R219" s="1821"/>
      <c r="S219" s="1821"/>
      <c r="T219" s="1821"/>
      <c r="U219" s="1821"/>
      <c r="V219" s="1821"/>
      <c r="W219" s="1821"/>
      <c r="X219" s="1821"/>
      <c r="Y219" s="1821"/>
      <c r="Z219" s="1821"/>
      <c r="AA219" s="1821"/>
      <c r="AB219" s="1821"/>
      <c r="AC219" s="1821"/>
      <c r="AD219" s="1821"/>
      <c r="AE219" s="1821"/>
      <c r="AF219" s="1821"/>
      <c r="AG219" s="1821"/>
      <c r="AH219" s="1821"/>
      <c r="AI219" s="1821"/>
      <c r="AJ219" s="1821"/>
      <c r="AK219" s="1821"/>
      <c r="AL219" s="1821"/>
      <c r="AM219" s="1821"/>
      <c r="AN219" s="1821"/>
      <c r="AO219" s="1821"/>
      <c r="AP219" s="1821"/>
      <c r="AQ219" s="1821"/>
      <c r="AR219" s="1821"/>
      <c r="AS219" s="1821"/>
      <c r="AT219" s="1821"/>
      <c r="AU219" s="1821"/>
      <c r="AV219" s="1821"/>
      <c r="AW219" s="1821"/>
      <c r="AX219" s="1821"/>
      <c r="AY219" s="1821"/>
      <c r="AZ219" s="1821"/>
      <c r="BA219" s="1821"/>
      <c r="BB219" s="1821"/>
      <c r="BC219" s="1821"/>
      <c r="BD219" s="1822"/>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23" t="s">
        <v>2086</v>
      </c>
      <c r="C221" s="1824"/>
      <c r="D221" s="1824"/>
      <c r="E221" s="1824"/>
      <c r="F221" s="1824"/>
      <c r="G221" s="1824"/>
      <c r="H221" s="1824"/>
      <c r="I221" s="1824"/>
      <c r="J221" s="1824"/>
      <c r="K221" s="1824"/>
      <c r="L221" s="1824"/>
      <c r="M221" s="1824"/>
      <c r="N221" s="1824"/>
      <c r="O221" s="1824"/>
      <c r="P221" s="1824"/>
      <c r="Q221" s="1824"/>
      <c r="R221" s="1824"/>
      <c r="S221" s="1824"/>
      <c r="T221" s="1824"/>
      <c r="U221" s="1824"/>
      <c r="V221" s="1824"/>
      <c r="W221" s="1824"/>
      <c r="X221" s="1824"/>
      <c r="Y221" s="1824"/>
      <c r="Z221" s="1824"/>
      <c r="AA221" s="1824"/>
      <c r="AB221" s="1824"/>
      <c r="AC221" s="1824"/>
      <c r="AD221" s="1824"/>
      <c r="AE221" s="1824"/>
      <c r="AF221" s="1824"/>
      <c r="AG221" s="1824"/>
      <c r="AH221" s="1824"/>
      <c r="AI221" s="1824"/>
      <c r="AJ221" s="1824"/>
      <c r="AK221" s="1824"/>
      <c r="AL221" s="1824"/>
      <c r="AM221" s="1824"/>
      <c r="AN221" s="1824"/>
      <c r="AO221" s="1824"/>
      <c r="AP221" s="1824"/>
      <c r="AQ221" s="1824"/>
      <c r="AR221" s="1824"/>
      <c r="AS221" s="1824"/>
      <c r="AT221" s="1824"/>
      <c r="AU221" s="1824"/>
      <c r="AV221" s="1824"/>
      <c r="AW221" s="1824"/>
      <c r="AX221" s="1824"/>
      <c r="AY221" s="1824"/>
      <c r="AZ221" s="1824"/>
      <c r="BA221" s="1824"/>
      <c r="BB221" s="1824"/>
      <c r="BC221" s="1824"/>
      <c r="BD221" s="1825"/>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2087</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26" t="s">
        <v>2088</v>
      </c>
      <c r="I225" s="1826"/>
      <c r="J225" s="1826"/>
      <c r="K225" s="1826"/>
      <c r="L225" s="1826"/>
      <c r="M225" s="1826"/>
      <c r="N225" s="1826"/>
      <c r="O225" s="1826"/>
      <c r="P225" s="1826"/>
      <c r="Q225" s="1826"/>
      <c r="R225" s="1826"/>
      <c r="S225" s="1826"/>
      <c r="T225" s="1826"/>
      <c r="U225" s="1826"/>
      <c r="V225" s="1826"/>
      <c r="W225" s="1826"/>
      <c r="X225" s="1826"/>
      <c r="Y225" s="1826"/>
      <c r="Z225" s="1826"/>
      <c r="AA225" s="1826"/>
      <c r="AB225" s="1826"/>
      <c r="AC225" s="1826"/>
      <c r="AD225" s="1826"/>
      <c r="AE225" s="1826"/>
      <c r="AF225" s="1826"/>
      <c r="AG225" s="1826"/>
      <c r="AH225" s="1826"/>
      <c r="AI225" s="1826"/>
      <c r="AJ225" s="1826"/>
      <c r="AK225" s="1826"/>
      <c r="AL225" s="1826"/>
      <c r="AM225" s="1826"/>
      <c r="AN225" s="1826"/>
      <c r="AO225" s="1826"/>
      <c r="AP225" s="1826"/>
      <c r="AQ225" s="1826"/>
      <c r="AR225" s="1826"/>
      <c r="AS225" s="1826"/>
      <c r="AT225" s="1826"/>
      <c r="AU225" s="1826"/>
      <c r="AV225" s="1826"/>
      <c r="AW225" s="1826"/>
      <c r="AX225" s="1826"/>
      <c r="AY225" s="1826"/>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53" t="s">
        <v>2089</v>
      </c>
      <c r="I227" s="1853"/>
      <c r="J227" s="1853"/>
      <c r="K227" s="1853"/>
      <c r="L227" s="1853"/>
      <c r="M227" s="1853"/>
      <c r="N227" s="1853"/>
      <c r="O227" s="1853"/>
      <c r="P227" s="1853"/>
      <c r="Q227" s="1853"/>
      <c r="R227" s="1853"/>
      <c r="S227" s="1853"/>
      <c r="T227" s="1853"/>
      <c r="U227" s="1853"/>
      <c r="V227" s="1853"/>
      <c r="W227" s="1853"/>
      <c r="X227" s="1853"/>
      <c r="Y227" s="1853"/>
      <c r="Z227" s="1853"/>
      <c r="AA227" s="1853"/>
      <c r="AB227" s="1853"/>
      <c r="AC227" s="1853"/>
      <c r="AD227" s="1853"/>
      <c r="AE227" s="1853"/>
      <c r="AF227" s="1853"/>
      <c r="AG227" s="1853"/>
      <c r="AH227" s="1853"/>
      <c r="AI227" s="1853"/>
      <c r="AJ227" s="1853"/>
      <c r="AK227" s="1853"/>
      <c r="AL227" s="1853"/>
      <c r="AM227" s="1853"/>
      <c r="AN227" s="1853"/>
      <c r="AO227" s="1853"/>
      <c r="AP227" s="1853"/>
      <c r="AQ227" s="1853"/>
      <c r="AR227" s="1853"/>
      <c r="AS227" s="1853"/>
      <c r="AT227" s="1853"/>
      <c r="AU227" s="1853"/>
      <c r="AV227" s="1853"/>
      <c r="AW227" s="1853"/>
      <c r="AX227" s="1853"/>
      <c r="AY227" s="1853"/>
      <c r="AZ227" s="1853"/>
      <c r="BA227" s="1097"/>
      <c r="BB227" s="1097"/>
      <c r="BC227" s="1097"/>
      <c r="BD227" s="1101"/>
      <c r="BE227" s="1101"/>
    </row>
    <row r="228" spans="1:57" ht="15.75" customHeight="1">
      <c r="A228" s="1097"/>
      <c r="B228" s="1096"/>
      <c r="C228" s="1097"/>
      <c r="D228" s="1097"/>
      <c r="E228" s="1097"/>
      <c r="F228" s="1097"/>
      <c r="G228" s="1097"/>
      <c r="H228" s="1853"/>
      <c r="I228" s="1853"/>
      <c r="J228" s="1853"/>
      <c r="K228" s="1853"/>
      <c r="L228" s="1853"/>
      <c r="M228" s="1853"/>
      <c r="N228" s="1853"/>
      <c r="O228" s="1853"/>
      <c r="P228" s="1853"/>
      <c r="Q228" s="1853"/>
      <c r="R228" s="1853"/>
      <c r="S228" s="1853"/>
      <c r="T228" s="1853"/>
      <c r="U228" s="1853"/>
      <c r="V228" s="1853"/>
      <c r="W228" s="1853"/>
      <c r="X228" s="1853"/>
      <c r="Y228" s="1853"/>
      <c r="Z228" s="1853"/>
      <c r="AA228" s="1853"/>
      <c r="AB228" s="1853"/>
      <c r="AC228" s="1853"/>
      <c r="AD228" s="1853"/>
      <c r="AE228" s="1853"/>
      <c r="AF228" s="1853"/>
      <c r="AG228" s="1853"/>
      <c r="AH228" s="1853"/>
      <c r="AI228" s="1853"/>
      <c r="AJ228" s="1853"/>
      <c r="AK228" s="1853"/>
      <c r="AL228" s="1853"/>
      <c r="AM228" s="1853"/>
      <c r="AN228" s="1853"/>
      <c r="AO228" s="1853"/>
      <c r="AP228" s="1853"/>
      <c r="AQ228" s="1853"/>
      <c r="AR228" s="1853"/>
      <c r="AS228" s="1853"/>
      <c r="AT228" s="1853"/>
      <c r="AU228" s="1853"/>
      <c r="AV228" s="1853"/>
      <c r="AW228" s="1853"/>
      <c r="AX228" s="1853"/>
      <c r="AY228" s="1853"/>
      <c r="AZ228" s="1853"/>
      <c r="BA228" s="1097"/>
      <c r="BB228" s="1097"/>
      <c r="BC228" s="1097"/>
      <c r="BD228" s="1101"/>
      <c r="BE228" s="1101"/>
    </row>
    <row r="229" spans="1:57" ht="15.75" customHeight="1">
      <c r="A229" s="1097"/>
      <c r="B229" s="1096"/>
      <c r="C229" s="1097"/>
      <c r="D229" s="1097"/>
      <c r="E229" s="1097"/>
      <c r="F229" s="1097"/>
      <c r="G229" s="1097"/>
      <c r="H229" s="1853"/>
      <c r="I229" s="1853"/>
      <c r="J229" s="1853"/>
      <c r="K229" s="1853"/>
      <c r="L229" s="1853"/>
      <c r="M229" s="1853"/>
      <c r="N229" s="1853"/>
      <c r="O229" s="1853"/>
      <c r="P229" s="1853"/>
      <c r="Q229" s="1853"/>
      <c r="R229" s="1853"/>
      <c r="S229" s="1853"/>
      <c r="T229" s="1853"/>
      <c r="U229" s="1853"/>
      <c r="V229" s="1853"/>
      <c r="W229" s="1853"/>
      <c r="X229" s="1853"/>
      <c r="Y229" s="1853"/>
      <c r="Z229" s="1853"/>
      <c r="AA229" s="1853"/>
      <c r="AB229" s="1853"/>
      <c r="AC229" s="1853"/>
      <c r="AD229" s="1853"/>
      <c r="AE229" s="1853"/>
      <c r="AF229" s="1853"/>
      <c r="AG229" s="1853"/>
      <c r="AH229" s="1853"/>
      <c r="AI229" s="1853"/>
      <c r="AJ229" s="1853"/>
      <c r="AK229" s="1853"/>
      <c r="AL229" s="1853"/>
      <c r="AM229" s="1853"/>
      <c r="AN229" s="1853"/>
      <c r="AO229" s="1853"/>
      <c r="AP229" s="1853"/>
      <c r="AQ229" s="1853"/>
      <c r="AR229" s="1853"/>
      <c r="AS229" s="1853"/>
      <c r="AT229" s="1853"/>
      <c r="AU229" s="1853"/>
      <c r="AV229" s="1853"/>
      <c r="AW229" s="1853"/>
      <c r="AX229" s="1853"/>
      <c r="AY229" s="1853"/>
      <c r="AZ229" s="1853"/>
      <c r="BA229" s="1097"/>
      <c r="BB229" s="1097"/>
      <c r="BC229" s="1097"/>
      <c r="BD229" s="1101"/>
      <c r="BE229" s="1101"/>
    </row>
    <row r="230" spans="1:57" ht="15.75" customHeight="1">
      <c r="A230" s="1097"/>
      <c r="B230" s="1096"/>
      <c r="C230" s="1097"/>
      <c r="D230" s="1097"/>
      <c r="E230" s="1097"/>
      <c r="F230" s="1097"/>
      <c r="G230" s="1097"/>
      <c r="H230" s="1853"/>
      <c r="I230" s="1853"/>
      <c r="J230" s="1853"/>
      <c r="K230" s="1853"/>
      <c r="L230" s="1853"/>
      <c r="M230" s="1853"/>
      <c r="N230" s="1853"/>
      <c r="O230" s="1853"/>
      <c r="P230" s="1853"/>
      <c r="Q230" s="1853"/>
      <c r="R230" s="1853"/>
      <c r="S230" s="1853"/>
      <c r="T230" s="1853"/>
      <c r="U230" s="1853"/>
      <c r="V230" s="1853"/>
      <c r="W230" s="1853"/>
      <c r="X230" s="1853"/>
      <c r="Y230" s="1853"/>
      <c r="Z230" s="1853"/>
      <c r="AA230" s="1853"/>
      <c r="AB230" s="1853"/>
      <c r="AC230" s="1853"/>
      <c r="AD230" s="1853"/>
      <c r="AE230" s="1853"/>
      <c r="AF230" s="1853"/>
      <c r="AG230" s="1853"/>
      <c r="AH230" s="1853"/>
      <c r="AI230" s="1853"/>
      <c r="AJ230" s="1853"/>
      <c r="AK230" s="1853"/>
      <c r="AL230" s="1853"/>
      <c r="AM230" s="1853"/>
      <c r="AN230" s="1853"/>
      <c r="AO230" s="1853"/>
      <c r="AP230" s="1853"/>
      <c r="AQ230" s="1853"/>
      <c r="AR230" s="1853"/>
      <c r="AS230" s="1853"/>
      <c r="AT230" s="1853"/>
      <c r="AU230" s="1853"/>
      <c r="AV230" s="1853"/>
      <c r="AW230" s="1853"/>
      <c r="AX230" s="1853"/>
      <c r="AY230" s="1853"/>
      <c r="AZ230" s="1853"/>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54" t="s">
        <v>2090</v>
      </c>
      <c r="I232" s="1854"/>
      <c r="J232" s="1854"/>
      <c r="K232" s="1854"/>
      <c r="L232" s="1854"/>
      <c r="M232" s="1854"/>
      <c r="N232" s="1854"/>
      <c r="O232" s="1854"/>
      <c r="P232" s="1854"/>
      <c r="Q232" s="1854"/>
      <c r="R232" s="1854"/>
      <c r="S232" s="1854"/>
      <c r="T232" s="1854"/>
      <c r="U232" s="1854"/>
      <c r="V232" s="1854"/>
      <c r="W232" s="1854"/>
      <c r="X232" s="1854"/>
      <c r="Y232" s="1854"/>
      <c r="Z232" s="1854"/>
      <c r="AA232" s="1854"/>
      <c r="AB232" s="1854"/>
      <c r="AC232" s="1854"/>
      <c r="AD232" s="1854"/>
      <c r="AE232" s="1854"/>
      <c r="AF232" s="1854"/>
      <c r="AG232" s="1854"/>
      <c r="AH232" s="1854"/>
      <c r="AI232" s="1854"/>
      <c r="AJ232" s="1854"/>
      <c r="AK232" s="1854"/>
      <c r="AL232" s="1854"/>
      <c r="AM232" s="1854"/>
      <c r="AN232" s="1854"/>
      <c r="AO232" s="1854"/>
      <c r="AP232" s="1854"/>
      <c r="AQ232" s="1854"/>
      <c r="AR232" s="1854"/>
      <c r="AS232" s="1854"/>
      <c r="AT232" s="1854"/>
      <c r="AU232" s="1854"/>
      <c r="AV232" s="1854"/>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44" t="s">
        <v>2091</v>
      </c>
      <c r="I234" s="1844"/>
      <c r="J234" s="1844"/>
      <c r="K234" s="1844"/>
      <c r="L234" s="1145"/>
      <c r="M234" s="1145"/>
      <c r="N234" s="1145"/>
      <c r="O234" s="1145"/>
      <c r="P234" s="1145"/>
      <c r="Q234" s="1145"/>
      <c r="R234" s="1145"/>
      <c r="S234" s="1855"/>
      <c r="T234" s="1856"/>
      <c r="U234" s="1856"/>
      <c r="V234" s="1856"/>
      <c r="W234" s="1856"/>
      <c r="X234" s="1856"/>
      <c r="Y234" s="1856"/>
      <c r="Z234" s="1856"/>
      <c r="AA234" s="1856"/>
      <c r="AB234" s="1856"/>
      <c r="AC234" s="1856"/>
      <c r="AD234" s="1856"/>
      <c r="AE234" s="1856"/>
      <c r="AF234" s="1856"/>
      <c r="AG234" s="1856"/>
      <c r="AH234" s="1856"/>
      <c r="AI234" s="1856"/>
      <c r="AJ234" s="1857"/>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44" t="s">
        <v>1986</v>
      </c>
      <c r="I236" s="1844"/>
      <c r="J236" s="1844"/>
      <c r="K236" s="1147"/>
      <c r="L236" s="1145"/>
      <c r="M236" s="1145"/>
      <c r="N236" s="1145"/>
      <c r="O236" s="1145"/>
      <c r="P236" s="1145"/>
      <c r="Q236" s="1145"/>
      <c r="R236" s="1145"/>
      <c r="S236" s="1845" t="s">
        <v>805</v>
      </c>
      <c r="T236" s="1846"/>
      <c r="U236" s="1846"/>
      <c r="V236" s="1846"/>
      <c r="W236" s="1846"/>
      <c r="X236" s="1846"/>
      <c r="Y236" s="1846"/>
      <c r="Z236" s="1846"/>
      <c r="AA236" s="1846"/>
      <c r="AB236" s="1846"/>
      <c r="AC236" s="1846"/>
      <c r="AD236" s="1846"/>
      <c r="AE236" s="1846"/>
      <c r="AF236" s="1846"/>
      <c r="AG236" s="1846"/>
      <c r="AH236" s="1846"/>
      <c r="AI236" s="1846"/>
      <c r="AJ236" s="1847"/>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44" t="s">
        <v>824</v>
      </c>
      <c r="I238" s="1844"/>
      <c r="J238" s="1147"/>
      <c r="K238" s="1147"/>
      <c r="L238" s="1145"/>
      <c r="M238" s="1145"/>
      <c r="N238" s="1145"/>
      <c r="O238" s="1145"/>
      <c r="P238" s="1145"/>
      <c r="Q238" s="1145"/>
      <c r="R238" s="1145"/>
      <c r="S238" s="1845" t="s">
        <v>810</v>
      </c>
      <c r="T238" s="1846"/>
      <c r="U238" s="1846"/>
      <c r="V238" s="1846"/>
      <c r="W238" s="1846"/>
      <c r="X238" s="1846"/>
      <c r="Y238" s="1846"/>
      <c r="Z238" s="1846"/>
      <c r="AA238" s="1846"/>
      <c r="AB238" s="1846"/>
      <c r="AC238" s="1846"/>
      <c r="AD238" s="1846"/>
      <c r="AE238" s="1846"/>
      <c r="AF238" s="1846"/>
      <c r="AG238" s="1846"/>
      <c r="AH238" s="1846"/>
      <c r="AI238" s="1846"/>
      <c r="AJ238" s="1847"/>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48" t="s">
        <v>2092</v>
      </c>
      <c r="I240" s="1848"/>
      <c r="J240" s="1848"/>
      <c r="K240" s="1848"/>
      <c r="L240" s="1848"/>
      <c r="M240" s="1848"/>
      <c r="N240" s="1848"/>
      <c r="O240" s="1848"/>
      <c r="P240" s="1145"/>
      <c r="Q240" s="1145"/>
      <c r="R240" s="1145"/>
      <c r="S240" s="1845" t="s">
        <v>673</v>
      </c>
      <c r="T240" s="1846"/>
      <c r="U240" s="1846"/>
      <c r="V240" s="1846"/>
      <c r="W240" s="1846"/>
      <c r="X240" s="1846"/>
      <c r="Y240" s="1846"/>
      <c r="Z240" s="1846"/>
      <c r="AA240" s="1846"/>
      <c r="AB240" s="1846"/>
      <c r="AC240" s="1846"/>
      <c r="AD240" s="1846"/>
      <c r="AE240" s="1846"/>
      <c r="AF240" s="1846"/>
      <c r="AG240" s="1846"/>
      <c r="AH240" s="1846"/>
      <c r="AI240" s="1846"/>
      <c r="AJ240" s="1847"/>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49" t="s">
        <v>2093</v>
      </c>
      <c r="I242" s="1849"/>
      <c r="J242" s="1145"/>
      <c r="K242" s="1145"/>
      <c r="L242" s="1145"/>
      <c r="M242" s="1145"/>
      <c r="N242" s="1145"/>
      <c r="O242" s="1145"/>
      <c r="P242" s="1145"/>
      <c r="Q242" s="1145"/>
      <c r="R242" s="1145"/>
      <c r="S242" s="1850">
        <v>46150</v>
      </c>
      <c r="T242" s="1851"/>
      <c r="U242" s="1851"/>
      <c r="V242" s="1851"/>
      <c r="W242" s="1851"/>
      <c r="X242" s="1851"/>
      <c r="Y242" s="1851"/>
      <c r="Z242" s="1851"/>
      <c r="AA242" s="1851"/>
      <c r="AB242" s="1851"/>
      <c r="AC242" s="1851"/>
      <c r="AD242" s="1851"/>
      <c r="AE242" s="1851"/>
      <c r="AF242" s="1851"/>
      <c r="AG242" s="1851"/>
      <c r="AH242" s="1851"/>
      <c r="AI242" s="1851"/>
      <c r="AJ242" s="1852"/>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C205:F205"/>
    <mergeCell ref="C204:F204"/>
    <mergeCell ref="AG204:AK204"/>
    <mergeCell ref="G205:O205"/>
    <mergeCell ref="P205:T205"/>
    <mergeCell ref="U205:X205"/>
    <mergeCell ref="Y205:AB205"/>
    <mergeCell ref="AC205:AF205"/>
    <mergeCell ref="AG205:AK205"/>
    <mergeCell ref="G204:O204"/>
    <mergeCell ref="P204:T204"/>
    <mergeCell ref="U204:X204"/>
    <mergeCell ref="Y204:AB204"/>
    <mergeCell ref="AC204:AF204"/>
    <mergeCell ref="C207:F207"/>
    <mergeCell ref="G207:O207"/>
    <mergeCell ref="P207:T207"/>
    <mergeCell ref="U207:X207"/>
    <mergeCell ref="Y207:AB207"/>
    <mergeCell ref="AC207:AF207"/>
    <mergeCell ref="AG207:AK207"/>
    <mergeCell ref="C206:F206"/>
    <mergeCell ref="AG206:AK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8" fitToHeight="0"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3" zoomScale="90" zoomScaleNormal="90" workbookViewId="0">
      <selection activeCell="Y21" sqref="Y21:AC21"/>
    </sheetView>
  </sheetViews>
  <sheetFormatPr defaultColWidth="0" defaultRowHeight="13" customHeight="1" zeroHeight="1"/>
  <cols>
    <col min="1" max="1" width="1.453125" style="305" customWidth="1"/>
    <col min="2" max="2" width="0.81640625" style="305" customWidth="1"/>
    <col min="3" max="18" width="2.453125" style="305" customWidth="1"/>
    <col min="19" max="19" width="6.453125" style="305" customWidth="1"/>
    <col min="20" max="39" width="2.453125" style="305" customWidth="1"/>
    <col min="40" max="40" width="1.453125" style="305" customWidth="1"/>
    <col min="41" max="256" width="2.453125" style="305" hidden="1"/>
    <col min="257" max="257" width="1.453125" style="305" hidden="1" customWidth="1"/>
    <col min="258" max="258" width="0.81640625" style="305" hidden="1" customWidth="1"/>
    <col min="259" max="274" width="2.453125" style="305" hidden="1" customWidth="1"/>
    <col min="275" max="275" width="4" style="305" hidden="1" customWidth="1"/>
    <col min="276" max="295" width="2.453125" style="305" hidden="1" customWidth="1"/>
    <col min="296" max="296" width="1.453125" style="305" hidden="1" customWidth="1"/>
    <col min="297" max="512" width="2.453125" style="305" hidden="1"/>
    <col min="513" max="513" width="1.453125" style="305" hidden="1" customWidth="1"/>
    <col min="514" max="514" width="0.81640625" style="305" hidden="1" customWidth="1"/>
    <col min="515" max="530" width="2.453125" style="305" hidden="1" customWidth="1"/>
    <col min="531" max="531" width="4" style="305" hidden="1" customWidth="1"/>
    <col min="532" max="551" width="2.453125" style="305" hidden="1" customWidth="1"/>
    <col min="552" max="552" width="1.453125" style="305" hidden="1" customWidth="1"/>
    <col min="553" max="768" width="2.453125" style="305" hidden="1"/>
    <col min="769" max="769" width="1.453125" style="305" hidden="1" customWidth="1"/>
    <col min="770" max="770" width="0.81640625" style="305" hidden="1" customWidth="1"/>
    <col min="771" max="786" width="2.453125" style="305" hidden="1" customWidth="1"/>
    <col min="787" max="787" width="4" style="305" hidden="1" customWidth="1"/>
    <col min="788" max="807" width="2.453125" style="305" hidden="1" customWidth="1"/>
    <col min="808" max="808" width="1.453125" style="305" hidden="1" customWidth="1"/>
    <col min="809" max="1024" width="2.453125" style="305" hidden="1"/>
    <col min="1025" max="1025" width="1.453125" style="305" hidden="1" customWidth="1"/>
    <col min="1026" max="1026" width="0.81640625" style="305" hidden="1" customWidth="1"/>
    <col min="1027" max="1042" width="2.453125" style="305" hidden="1" customWidth="1"/>
    <col min="1043" max="1043" width="4" style="305" hidden="1" customWidth="1"/>
    <col min="1044" max="1063" width="2.453125" style="305" hidden="1" customWidth="1"/>
    <col min="1064" max="1064" width="1.453125" style="305" hidden="1" customWidth="1"/>
    <col min="1065" max="1280" width="2.453125" style="305" hidden="1"/>
    <col min="1281" max="1281" width="1.453125" style="305" hidden="1" customWidth="1"/>
    <col min="1282" max="1282" width="0.81640625" style="305" hidden="1" customWidth="1"/>
    <col min="1283" max="1298" width="2.453125" style="305" hidden="1" customWidth="1"/>
    <col min="1299" max="1299" width="4" style="305" hidden="1" customWidth="1"/>
    <col min="1300" max="1319" width="2.453125" style="305" hidden="1" customWidth="1"/>
    <col min="1320" max="1320" width="1.453125" style="305" hidden="1" customWidth="1"/>
    <col min="1321" max="1536" width="2.453125" style="305" hidden="1"/>
    <col min="1537" max="1537" width="1.453125" style="305" hidden="1" customWidth="1"/>
    <col min="1538" max="1538" width="0.81640625" style="305" hidden="1" customWidth="1"/>
    <col min="1539" max="1554" width="2.453125" style="305" hidden="1" customWidth="1"/>
    <col min="1555" max="1555" width="4" style="305" hidden="1" customWidth="1"/>
    <col min="1556" max="1575" width="2.453125" style="305" hidden="1" customWidth="1"/>
    <col min="1576" max="1576" width="1.453125" style="305" hidden="1" customWidth="1"/>
    <col min="1577" max="1792" width="2.453125" style="305" hidden="1"/>
    <col min="1793" max="1793" width="1.453125" style="305" hidden="1" customWidth="1"/>
    <col min="1794" max="1794" width="0.81640625" style="305" hidden="1" customWidth="1"/>
    <col min="1795" max="1810" width="2.453125" style="305" hidden="1" customWidth="1"/>
    <col min="1811" max="1811" width="4" style="305" hidden="1" customWidth="1"/>
    <col min="1812" max="1831" width="2.453125" style="305" hidden="1" customWidth="1"/>
    <col min="1832" max="1832" width="1.453125" style="305" hidden="1" customWidth="1"/>
    <col min="1833" max="2048" width="2.453125" style="305" hidden="1"/>
    <col min="2049" max="2049" width="1.453125" style="305" hidden="1" customWidth="1"/>
    <col min="2050" max="2050" width="0.81640625" style="305" hidden="1" customWidth="1"/>
    <col min="2051" max="2066" width="2.453125" style="305" hidden="1" customWidth="1"/>
    <col min="2067" max="2067" width="4" style="305" hidden="1" customWidth="1"/>
    <col min="2068" max="2087" width="2.453125" style="305" hidden="1" customWidth="1"/>
    <col min="2088" max="2088" width="1.453125" style="305" hidden="1" customWidth="1"/>
    <col min="2089" max="2304" width="2.453125" style="305" hidden="1"/>
    <col min="2305" max="2305" width="1.453125" style="305" hidden="1" customWidth="1"/>
    <col min="2306" max="2306" width="0.81640625" style="305" hidden="1" customWidth="1"/>
    <col min="2307" max="2322" width="2.453125" style="305" hidden="1" customWidth="1"/>
    <col min="2323" max="2323" width="4" style="305" hidden="1" customWidth="1"/>
    <col min="2324" max="2343" width="2.453125" style="305" hidden="1" customWidth="1"/>
    <col min="2344" max="2344" width="1.453125" style="305" hidden="1" customWidth="1"/>
    <col min="2345" max="2560" width="2.453125" style="305" hidden="1"/>
    <col min="2561" max="2561" width="1.453125" style="305" hidden="1" customWidth="1"/>
    <col min="2562" max="2562" width="0.81640625" style="305" hidden="1" customWidth="1"/>
    <col min="2563" max="2578" width="2.453125" style="305" hidden="1" customWidth="1"/>
    <col min="2579" max="2579" width="4" style="305" hidden="1" customWidth="1"/>
    <col min="2580" max="2599" width="2.453125" style="305" hidden="1" customWidth="1"/>
    <col min="2600" max="2600" width="1.453125" style="305" hidden="1" customWidth="1"/>
    <col min="2601" max="2816" width="2.453125" style="305" hidden="1"/>
    <col min="2817" max="2817" width="1.453125" style="305" hidden="1" customWidth="1"/>
    <col min="2818" max="2818" width="0.81640625" style="305" hidden="1" customWidth="1"/>
    <col min="2819" max="2834" width="2.453125" style="305" hidden="1" customWidth="1"/>
    <col min="2835" max="2835" width="4" style="305" hidden="1" customWidth="1"/>
    <col min="2836" max="2855" width="2.453125" style="305" hidden="1" customWidth="1"/>
    <col min="2856" max="2856" width="1.453125" style="305" hidden="1" customWidth="1"/>
    <col min="2857" max="3072" width="2.453125" style="305" hidden="1"/>
    <col min="3073" max="3073" width="1.453125" style="305" hidden="1" customWidth="1"/>
    <col min="3074" max="3074" width="0.81640625" style="305" hidden="1" customWidth="1"/>
    <col min="3075" max="3090" width="2.453125" style="305" hidden="1" customWidth="1"/>
    <col min="3091" max="3091" width="4" style="305" hidden="1" customWidth="1"/>
    <col min="3092" max="3111" width="2.453125" style="305" hidden="1" customWidth="1"/>
    <col min="3112" max="3112" width="1.453125" style="305" hidden="1" customWidth="1"/>
    <col min="3113" max="3328" width="2.453125" style="305" hidden="1"/>
    <col min="3329" max="3329" width="1.453125" style="305" hidden="1" customWidth="1"/>
    <col min="3330" max="3330" width="0.81640625" style="305" hidden="1" customWidth="1"/>
    <col min="3331" max="3346" width="2.453125" style="305" hidden="1" customWidth="1"/>
    <col min="3347" max="3347" width="4" style="305" hidden="1" customWidth="1"/>
    <col min="3348" max="3367" width="2.453125" style="305" hidden="1" customWidth="1"/>
    <col min="3368" max="3368" width="1.453125" style="305" hidden="1" customWidth="1"/>
    <col min="3369" max="3584" width="2.453125" style="305" hidden="1"/>
    <col min="3585" max="3585" width="1.453125" style="305" hidden="1" customWidth="1"/>
    <col min="3586" max="3586" width="0.81640625" style="305" hidden="1" customWidth="1"/>
    <col min="3587" max="3602" width="2.453125" style="305" hidden="1" customWidth="1"/>
    <col min="3603" max="3603" width="4" style="305" hidden="1" customWidth="1"/>
    <col min="3604" max="3623" width="2.453125" style="305" hidden="1" customWidth="1"/>
    <col min="3624" max="3624" width="1.453125" style="305" hidden="1" customWidth="1"/>
    <col min="3625" max="3840" width="2.453125" style="305" hidden="1"/>
    <col min="3841" max="3841" width="1.453125" style="305" hidden="1" customWidth="1"/>
    <col min="3842" max="3842" width="0.81640625" style="305" hidden="1" customWidth="1"/>
    <col min="3843" max="3858" width="2.453125" style="305" hidden="1" customWidth="1"/>
    <col min="3859" max="3859" width="4" style="305" hidden="1" customWidth="1"/>
    <col min="3860" max="3879" width="2.453125" style="305" hidden="1" customWidth="1"/>
    <col min="3880" max="3880" width="1.453125" style="305" hidden="1" customWidth="1"/>
    <col min="3881" max="4096" width="2.453125" style="305" hidden="1"/>
    <col min="4097" max="4097" width="1.453125" style="305" hidden="1" customWidth="1"/>
    <col min="4098" max="4098" width="0.81640625" style="305" hidden="1" customWidth="1"/>
    <col min="4099" max="4114" width="2.453125" style="305" hidden="1" customWidth="1"/>
    <col min="4115" max="4115" width="4" style="305" hidden="1" customWidth="1"/>
    <col min="4116" max="4135" width="2.453125" style="305" hidden="1" customWidth="1"/>
    <col min="4136" max="4136" width="1.453125" style="305" hidden="1" customWidth="1"/>
    <col min="4137" max="4352" width="2.453125" style="305" hidden="1"/>
    <col min="4353" max="4353" width="1.453125" style="305" hidden="1" customWidth="1"/>
    <col min="4354" max="4354" width="0.81640625" style="305" hidden="1" customWidth="1"/>
    <col min="4355" max="4370" width="2.453125" style="305" hidden="1" customWidth="1"/>
    <col min="4371" max="4371" width="4" style="305" hidden="1" customWidth="1"/>
    <col min="4372" max="4391" width="2.453125" style="305" hidden="1" customWidth="1"/>
    <col min="4392" max="4392" width="1.453125" style="305" hidden="1" customWidth="1"/>
    <col min="4393" max="4608" width="2.453125" style="305" hidden="1"/>
    <col min="4609" max="4609" width="1.453125" style="305" hidden="1" customWidth="1"/>
    <col min="4610" max="4610" width="0.81640625" style="305" hidden="1" customWidth="1"/>
    <col min="4611" max="4626" width="2.453125" style="305" hidden="1" customWidth="1"/>
    <col min="4627" max="4627" width="4" style="305" hidden="1" customWidth="1"/>
    <col min="4628" max="4647" width="2.453125" style="305" hidden="1" customWidth="1"/>
    <col min="4648" max="4648" width="1.453125" style="305" hidden="1" customWidth="1"/>
    <col min="4649" max="4864" width="2.453125" style="305" hidden="1"/>
    <col min="4865" max="4865" width="1.453125" style="305" hidden="1" customWidth="1"/>
    <col min="4866" max="4866" width="0.81640625" style="305" hidden="1" customWidth="1"/>
    <col min="4867" max="4882" width="2.453125" style="305" hidden="1" customWidth="1"/>
    <col min="4883" max="4883" width="4" style="305" hidden="1" customWidth="1"/>
    <col min="4884" max="4903" width="2.453125" style="305" hidden="1" customWidth="1"/>
    <col min="4904" max="4904" width="1.453125" style="305" hidden="1" customWidth="1"/>
    <col min="4905" max="5120" width="2.453125" style="305" hidden="1"/>
    <col min="5121" max="5121" width="1.453125" style="305" hidden="1" customWidth="1"/>
    <col min="5122" max="5122" width="0.81640625" style="305" hidden="1" customWidth="1"/>
    <col min="5123" max="5138" width="2.453125" style="305" hidden="1" customWidth="1"/>
    <col min="5139" max="5139" width="4" style="305" hidden="1" customWidth="1"/>
    <col min="5140" max="5159" width="2.453125" style="305" hidden="1" customWidth="1"/>
    <col min="5160" max="5160" width="1.453125" style="305" hidden="1" customWidth="1"/>
    <col min="5161" max="5376" width="2.453125" style="305" hidden="1"/>
    <col min="5377" max="5377" width="1.453125" style="305" hidden="1" customWidth="1"/>
    <col min="5378" max="5378" width="0.81640625" style="305" hidden="1" customWidth="1"/>
    <col min="5379" max="5394" width="2.453125" style="305" hidden="1" customWidth="1"/>
    <col min="5395" max="5395" width="4" style="305" hidden="1" customWidth="1"/>
    <col min="5396" max="5415" width="2.453125" style="305" hidden="1" customWidth="1"/>
    <col min="5416" max="5416" width="1.453125" style="305" hidden="1" customWidth="1"/>
    <col min="5417" max="5632" width="2.453125" style="305" hidden="1"/>
    <col min="5633" max="5633" width="1.453125" style="305" hidden="1" customWidth="1"/>
    <col min="5634" max="5634" width="0.81640625" style="305" hidden="1" customWidth="1"/>
    <col min="5635" max="5650" width="2.453125" style="305" hidden="1" customWidth="1"/>
    <col min="5651" max="5651" width="4" style="305" hidden="1" customWidth="1"/>
    <col min="5652" max="5671" width="2.453125" style="305" hidden="1" customWidth="1"/>
    <col min="5672" max="5672" width="1.453125" style="305" hidden="1" customWidth="1"/>
    <col min="5673" max="5888" width="2.453125" style="305" hidden="1"/>
    <col min="5889" max="5889" width="1.453125" style="305" hidden="1" customWidth="1"/>
    <col min="5890" max="5890" width="0.81640625" style="305" hidden="1" customWidth="1"/>
    <col min="5891" max="5906" width="2.453125" style="305" hidden="1" customWidth="1"/>
    <col min="5907" max="5907" width="4" style="305" hidden="1" customWidth="1"/>
    <col min="5908" max="5927" width="2.453125" style="305" hidden="1" customWidth="1"/>
    <col min="5928" max="5928" width="1.453125" style="305" hidden="1" customWidth="1"/>
    <col min="5929" max="6144" width="2.453125" style="305" hidden="1"/>
    <col min="6145" max="6145" width="1.453125" style="305" hidden="1" customWidth="1"/>
    <col min="6146" max="6146" width="0.81640625" style="305" hidden="1" customWidth="1"/>
    <col min="6147" max="6162" width="2.453125" style="305" hidden="1" customWidth="1"/>
    <col min="6163" max="6163" width="4" style="305" hidden="1" customWidth="1"/>
    <col min="6164" max="6183" width="2.453125" style="305" hidden="1" customWidth="1"/>
    <col min="6184" max="6184" width="1.453125" style="305" hidden="1" customWidth="1"/>
    <col min="6185" max="6400" width="2.453125" style="305" hidden="1"/>
    <col min="6401" max="6401" width="1.453125" style="305" hidden="1" customWidth="1"/>
    <col min="6402" max="6402" width="0.81640625" style="305" hidden="1" customWidth="1"/>
    <col min="6403" max="6418" width="2.453125" style="305" hidden="1" customWidth="1"/>
    <col min="6419" max="6419" width="4" style="305" hidden="1" customWidth="1"/>
    <col min="6420" max="6439" width="2.453125" style="305" hidden="1" customWidth="1"/>
    <col min="6440" max="6440" width="1.453125" style="305" hidden="1" customWidth="1"/>
    <col min="6441" max="6656" width="2.453125" style="305" hidden="1"/>
    <col min="6657" max="6657" width="1.453125" style="305" hidden="1" customWidth="1"/>
    <col min="6658" max="6658" width="0.81640625" style="305" hidden="1" customWidth="1"/>
    <col min="6659" max="6674" width="2.453125" style="305" hidden="1" customWidth="1"/>
    <col min="6675" max="6675" width="4" style="305" hidden="1" customWidth="1"/>
    <col min="6676" max="6695" width="2.453125" style="305" hidden="1" customWidth="1"/>
    <col min="6696" max="6696" width="1.453125" style="305" hidden="1" customWidth="1"/>
    <col min="6697" max="6912" width="2.453125" style="305" hidden="1"/>
    <col min="6913" max="6913" width="1.453125" style="305" hidden="1" customWidth="1"/>
    <col min="6914" max="6914" width="0.81640625" style="305" hidden="1" customWidth="1"/>
    <col min="6915" max="6930" width="2.453125" style="305" hidden="1" customWidth="1"/>
    <col min="6931" max="6931" width="4" style="305" hidden="1" customWidth="1"/>
    <col min="6932" max="6951" width="2.453125" style="305" hidden="1" customWidth="1"/>
    <col min="6952" max="6952" width="1.453125" style="305" hidden="1" customWidth="1"/>
    <col min="6953" max="7168" width="2.453125" style="305" hidden="1"/>
    <col min="7169" max="7169" width="1.453125" style="305" hidden="1" customWidth="1"/>
    <col min="7170" max="7170" width="0.81640625" style="305" hidden="1" customWidth="1"/>
    <col min="7171" max="7186" width="2.453125" style="305" hidden="1" customWidth="1"/>
    <col min="7187" max="7187" width="4" style="305" hidden="1" customWidth="1"/>
    <col min="7188" max="7207" width="2.453125" style="305" hidden="1" customWidth="1"/>
    <col min="7208" max="7208" width="1.453125" style="305" hidden="1" customWidth="1"/>
    <col min="7209" max="7424" width="2.453125" style="305" hidden="1"/>
    <col min="7425" max="7425" width="1.453125" style="305" hidden="1" customWidth="1"/>
    <col min="7426" max="7426" width="0.81640625" style="305" hidden="1" customWidth="1"/>
    <col min="7427" max="7442" width="2.453125" style="305" hidden="1" customWidth="1"/>
    <col min="7443" max="7443" width="4" style="305" hidden="1" customWidth="1"/>
    <col min="7444" max="7463" width="2.453125" style="305" hidden="1" customWidth="1"/>
    <col min="7464" max="7464" width="1.453125" style="305" hidden="1" customWidth="1"/>
    <col min="7465" max="7680" width="2.453125" style="305" hidden="1"/>
    <col min="7681" max="7681" width="1.453125" style="305" hidden="1" customWidth="1"/>
    <col min="7682" max="7682" width="0.81640625" style="305" hidden="1" customWidth="1"/>
    <col min="7683" max="7698" width="2.453125" style="305" hidden="1" customWidth="1"/>
    <col min="7699" max="7699" width="4" style="305" hidden="1" customWidth="1"/>
    <col min="7700" max="7719" width="2.453125" style="305" hidden="1" customWidth="1"/>
    <col min="7720" max="7720" width="1.453125" style="305" hidden="1" customWidth="1"/>
    <col min="7721" max="7936" width="2.453125" style="305" hidden="1"/>
    <col min="7937" max="7937" width="1.453125" style="305" hidden="1" customWidth="1"/>
    <col min="7938" max="7938" width="0.81640625" style="305" hidden="1" customWidth="1"/>
    <col min="7939" max="7954" width="2.453125" style="305" hidden="1" customWidth="1"/>
    <col min="7955" max="7955" width="4" style="305" hidden="1" customWidth="1"/>
    <col min="7956" max="7975" width="2.453125" style="305" hidden="1" customWidth="1"/>
    <col min="7976" max="7976" width="1.453125" style="305" hidden="1" customWidth="1"/>
    <col min="7977" max="8192" width="2.453125" style="305" hidden="1"/>
    <col min="8193" max="8193" width="1.453125" style="305" hidden="1" customWidth="1"/>
    <col min="8194" max="8194" width="0.81640625" style="305" hidden="1" customWidth="1"/>
    <col min="8195" max="8210" width="2.453125" style="305" hidden="1" customWidth="1"/>
    <col min="8211" max="8211" width="4" style="305" hidden="1" customWidth="1"/>
    <col min="8212" max="8231" width="2.453125" style="305" hidden="1" customWidth="1"/>
    <col min="8232" max="8232" width="1.453125" style="305" hidden="1" customWidth="1"/>
    <col min="8233" max="8448" width="2.453125" style="305" hidden="1"/>
    <col min="8449" max="8449" width="1.453125" style="305" hidden="1" customWidth="1"/>
    <col min="8450" max="8450" width="0.81640625" style="305" hidden="1" customWidth="1"/>
    <col min="8451" max="8466" width="2.453125" style="305" hidden="1" customWidth="1"/>
    <col min="8467" max="8467" width="4" style="305" hidden="1" customWidth="1"/>
    <col min="8468" max="8487" width="2.453125" style="305" hidden="1" customWidth="1"/>
    <col min="8488" max="8488" width="1.453125" style="305" hidden="1" customWidth="1"/>
    <col min="8489" max="8704" width="2.453125" style="305" hidden="1"/>
    <col min="8705" max="8705" width="1.453125" style="305" hidden="1" customWidth="1"/>
    <col min="8706" max="8706" width="0.81640625" style="305" hidden="1" customWidth="1"/>
    <col min="8707" max="8722" width="2.453125" style="305" hidden="1" customWidth="1"/>
    <col min="8723" max="8723" width="4" style="305" hidden="1" customWidth="1"/>
    <col min="8724" max="8743" width="2.453125" style="305" hidden="1" customWidth="1"/>
    <col min="8744" max="8744" width="1.453125" style="305" hidden="1" customWidth="1"/>
    <col min="8745" max="8960" width="2.453125" style="305" hidden="1"/>
    <col min="8961" max="8961" width="1.453125" style="305" hidden="1" customWidth="1"/>
    <col min="8962" max="8962" width="0.81640625" style="305" hidden="1" customWidth="1"/>
    <col min="8963" max="8978" width="2.453125" style="305" hidden="1" customWidth="1"/>
    <col min="8979" max="8979" width="4" style="305" hidden="1" customWidth="1"/>
    <col min="8980" max="8999" width="2.453125" style="305" hidden="1" customWidth="1"/>
    <col min="9000" max="9000" width="1.453125" style="305" hidden="1" customWidth="1"/>
    <col min="9001" max="9216" width="2.453125" style="305" hidden="1"/>
    <col min="9217" max="9217" width="1.453125" style="305" hidden="1" customWidth="1"/>
    <col min="9218" max="9218" width="0.81640625" style="305" hidden="1" customWidth="1"/>
    <col min="9219" max="9234" width="2.453125" style="305" hidden="1" customWidth="1"/>
    <col min="9235" max="9235" width="4" style="305" hidden="1" customWidth="1"/>
    <col min="9236" max="9255" width="2.453125" style="305" hidden="1" customWidth="1"/>
    <col min="9256" max="9256" width="1.453125" style="305" hidden="1" customWidth="1"/>
    <col min="9257" max="9472" width="2.453125" style="305" hidden="1"/>
    <col min="9473" max="9473" width="1.453125" style="305" hidden="1" customWidth="1"/>
    <col min="9474" max="9474" width="0.81640625" style="305" hidden="1" customWidth="1"/>
    <col min="9475" max="9490" width="2.453125" style="305" hidden="1" customWidth="1"/>
    <col min="9491" max="9491" width="4" style="305" hidden="1" customWidth="1"/>
    <col min="9492" max="9511" width="2.453125" style="305" hidden="1" customWidth="1"/>
    <col min="9512" max="9512" width="1.453125" style="305" hidden="1" customWidth="1"/>
    <col min="9513" max="9728" width="2.453125" style="305" hidden="1"/>
    <col min="9729" max="9729" width="1.453125" style="305" hidden="1" customWidth="1"/>
    <col min="9730" max="9730" width="0.81640625" style="305" hidden="1" customWidth="1"/>
    <col min="9731" max="9746" width="2.453125" style="305" hidden="1" customWidth="1"/>
    <col min="9747" max="9747" width="4" style="305" hidden="1" customWidth="1"/>
    <col min="9748" max="9767" width="2.453125" style="305" hidden="1" customWidth="1"/>
    <col min="9768" max="9768" width="1.453125" style="305" hidden="1" customWidth="1"/>
    <col min="9769" max="9984" width="2.453125" style="305" hidden="1"/>
    <col min="9985" max="9985" width="1.453125" style="305" hidden="1" customWidth="1"/>
    <col min="9986" max="9986" width="0.81640625" style="305" hidden="1" customWidth="1"/>
    <col min="9987" max="10002" width="2.453125" style="305" hidden="1" customWidth="1"/>
    <col min="10003" max="10003" width="4" style="305" hidden="1" customWidth="1"/>
    <col min="10004" max="10023" width="2.453125" style="305" hidden="1" customWidth="1"/>
    <col min="10024" max="10024" width="1.453125" style="305" hidden="1" customWidth="1"/>
    <col min="10025" max="10240" width="2.453125" style="305" hidden="1"/>
    <col min="10241" max="10241" width="1.453125" style="305" hidden="1" customWidth="1"/>
    <col min="10242" max="10242" width="0.81640625" style="305" hidden="1" customWidth="1"/>
    <col min="10243" max="10258" width="2.453125" style="305" hidden="1" customWidth="1"/>
    <col min="10259" max="10259" width="4" style="305" hidden="1" customWidth="1"/>
    <col min="10260" max="10279" width="2.453125" style="305" hidden="1" customWidth="1"/>
    <col min="10280" max="10280" width="1.453125" style="305" hidden="1" customWidth="1"/>
    <col min="10281" max="10496" width="2.453125" style="305" hidden="1"/>
    <col min="10497" max="10497" width="1.453125" style="305" hidden="1" customWidth="1"/>
    <col min="10498" max="10498" width="0.81640625" style="305" hidden="1" customWidth="1"/>
    <col min="10499" max="10514" width="2.453125" style="305" hidden="1" customWidth="1"/>
    <col min="10515" max="10515" width="4" style="305" hidden="1" customWidth="1"/>
    <col min="10516" max="10535" width="2.453125" style="305" hidden="1" customWidth="1"/>
    <col min="10536" max="10536" width="1.453125" style="305" hidden="1" customWidth="1"/>
    <col min="10537" max="10752" width="2.453125" style="305" hidden="1"/>
    <col min="10753" max="10753" width="1.453125" style="305" hidden="1" customWidth="1"/>
    <col min="10754" max="10754" width="0.81640625" style="305" hidden="1" customWidth="1"/>
    <col min="10755" max="10770" width="2.453125" style="305" hidden="1" customWidth="1"/>
    <col min="10771" max="10771" width="4" style="305" hidden="1" customWidth="1"/>
    <col min="10772" max="10791" width="2.453125" style="305" hidden="1" customWidth="1"/>
    <col min="10792" max="10792" width="1.453125" style="305" hidden="1" customWidth="1"/>
    <col min="10793" max="11008" width="2.453125" style="305" hidden="1"/>
    <col min="11009" max="11009" width="1.453125" style="305" hidden="1" customWidth="1"/>
    <col min="11010" max="11010" width="0.81640625" style="305" hidden="1" customWidth="1"/>
    <col min="11011" max="11026" width="2.453125" style="305" hidden="1" customWidth="1"/>
    <col min="11027" max="11027" width="4" style="305" hidden="1" customWidth="1"/>
    <col min="11028" max="11047" width="2.453125" style="305" hidden="1" customWidth="1"/>
    <col min="11048" max="11048" width="1.453125" style="305" hidden="1" customWidth="1"/>
    <col min="11049" max="11264" width="2.453125" style="305" hidden="1"/>
    <col min="11265" max="11265" width="1.453125" style="305" hidden="1" customWidth="1"/>
    <col min="11266" max="11266" width="0.81640625" style="305" hidden="1" customWidth="1"/>
    <col min="11267" max="11282" width="2.453125" style="305" hidden="1" customWidth="1"/>
    <col min="11283" max="11283" width="4" style="305" hidden="1" customWidth="1"/>
    <col min="11284" max="11303" width="2.453125" style="305" hidden="1" customWidth="1"/>
    <col min="11304" max="11304" width="1.453125" style="305" hidden="1" customWidth="1"/>
    <col min="11305" max="11520" width="2.453125" style="305" hidden="1"/>
    <col min="11521" max="11521" width="1.453125" style="305" hidden="1" customWidth="1"/>
    <col min="11522" max="11522" width="0.81640625" style="305" hidden="1" customWidth="1"/>
    <col min="11523" max="11538" width="2.453125" style="305" hidden="1" customWidth="1"/>
    <col min="11539" max="11539" width="4" style="305" hidden="1" customWidth="1"/>
    <col min="11540" max="11559" width="2.453125" style="305" hidden="1" customWidth="1"/>
    <col min="11560" max="11560" width="1.453125" style="305" hidden="1" customWidth="1"/>
    <col min="11561" max="11776" width="2.453125" style="305" hidden="1"/>
    <col min="11777" max="11777" width="1.453125" style="305" hidden="1" customWidth="1"/>
    <col min="11778" max="11778" width="0.81640625" style="305" hidden="1" customWidth="1"/>
    <col min="11779" max="11794" width="2.453125" style="305" hidden="1" customWidth="1"/>
    <col min="11795" max="11795" width="4" style="305" hidden="1" customWidth="1"/>
    <col min="11796" max="11815" width="2.453125" style="305" hidden="1" customWidth="1"/>
    <col min="11816" max="11816" width="1.453125" style="305" hidden="1" customWidth="1"/>
    <col min="11817" max="12032" width="2.453125" style="305" hidden="1"/>
    <col min="12033" max="12033" width="1.453125" style="305" hidden="1" customWidth="1"/>
    <col min="12034" max="12034" width="0.81640625" style="305" hidden="1" customWidth="1"/>
    <col min="12035" max="12050" width="2.453125" style="305" hidden="1" customWidth="1"/>
    <col min="12051" max="12051" width="4" style="305" hidden="1" customWidth="1"/>
    <col min="12052" max="12071" width="2.453125" style="305" hidden="1" customWidth="1"/>
    <col min="12072" max="12072" width="1.453125" style="305" hidden="1" customWidth="1"/>
    <col min="12073" max="12288" width="2.453125" style="305" hidden="1"/>
    <col min="12289" max="12289" width="1.453125" style="305" hidden="1" customWidth="1"/>
    <col min="12290" max="12290" width="0.81640625" style="305" hidden="1" customWidth="1"/>
    <col min="12291" max="12306" width="2.453125" style="305" hidden="1" customWidth="1"/>
    <col min="12307" max="12307" width="4" style="305" hidden="1" customWidth="1"/>
    <col min="12308" max="12327" width="2.453125" style="305" hidden="1" customWidth="1"/>
    <col min="12328" max="12328" width="1.453125" style="305" hidden="1" customWidth="1"/>
    <col min="12329" max="12544" width="2.453125" style="305" hidden="1"/>
    <col min="12545" max="12545" width="1.453125" style="305" hidden="1" customWidth="1"/>
    <col min="12546" max="12546" width="0.81640625" style="305" hidden="1" customWidth="1"/>
    <col min="12547" max="12562" width="2.453125" style="305" hidden="1" customWidth="1"/>
    <col min="12563" max="12563" width="4" style="305" hidden="1" customWidth="1"/>
    <col min="12564" max="12583" width="2.453125" style="305" hidden="1" customWidth="1"/>
    <col min="12584" max="12584" width="1.453125" style="305" hidden="1" customWidth="1"/>
    <col min="12585" max="12800" width="2.453125" style="305" hidden="1"/>
    <col min="12801" max="12801" width="1.453125" style="305" hidden="1" customWidth="1"/>
    <col min="12802" max="12802" width="0.81640625" style="305" hidden="1" customWidth="1"/>
    <col min="12803" max="12818" width="2.453125" style="305" hidden="1" customWidth="1"/>
    <col min="12819" max="12819" width="4" style="305" hidden="1" customWidth="1"/>
    <col min="12820" max="12839" width="2.453125" style="305" hidden="1" customWidth="1"/>
    <col min="12840" max="12840" width="1.453125" style="305" hidden="1" customWidth="1"/>
    <col min="12841" max="13056" width="2.453125" style="305" hidden="1"/>
    <col min="13057" max="13057" width="1.453125" style="305" hidden="1" customWidth="1"/>
    <col min="13058" max="13058" width="0.81640625" style="305" hidden="1" customWidth="1"/>
    <col min="13059" max="13074" width="2.453125" style="305" hidden="1" customWidth="1"/>
    <col min="13075" max="13075" width="4" style="305" hidden="1" customWidth="1"/>
    <col min="13076" max="13095" width="2.453125" style="305" hidden="1" customWidth="1"/>
    <col min="13096" max="13096" width="1.453125" style="305" hidden="1" customWidth="1"/>
    <col min="13097" max="13312" width="2.453125" style="305" hidden="1"/>
    <col min="13313" max="13313" width="1.453125" style="305" hidden="1" customWidth="1"/>
    <col min="13314" max="13314" width="0.81640625" style="305" hidden="1" customWidth="1"/>
    <col min="13315" max="13330" width="2.453125" style="305" hidden="1" customWidth="1"/>
    <col min="13331" max="13331" width="4" style="305" hidden="1" customWidth="1"/>
    <col min="13332" max="13351" width="2.453125" style="305" hidden="1" customWidth="1"/>
    <col min="13352" max="13352" width="1.453125" style="305" hidden="1" customWidth="1"/>
    <col min="13353" max="13568" width="2.453125" style="305" hidden="1"/>
    <col min="13569" max="13569" width="1.453125" style="305" hidden="1" customWidth="1"/>
    <col min="13570" max="13570" width="0.81640625" style="305" hidden="1" customWidth="1"/>
    <col min="13571" max="13586" width="2.453125" style="305" hidden="1" customWidth="1"/>
    <col min="13587" max="13587" width="4" style="305" hidden="1" customWidth="1"/>
    <col min="13588" max="13607" width="2.453125" style="305" hidden="1" customWidth="1"/>
    <col min="13608" max="13608" width="1.453125" style="305" hidden="1" customWidth="1"/>
    <col min="13609" max="13824" width="2.453125" style="305" hidden="1"/>
    <col min="13825" max="13825" width="1.453125" style="305" hidden="1" customWidth="1"/>
    <col min="13826" max="13826" width="0.81640625" style="305" hidden="1" customWidth="1"/>
    <col min="13827" max="13842" width="2.453125" style="305" hidden="1" customWidth="1"/>
    <col min="13843" max="13843" width="4" style="305" hidden="1" customWidth="1"/>
    <col min="13844" max="13863" width="2.453125" style="305" hidden="1" customWidth="1"/>
    <col min="13864" max="13864" width="1.453125" style="305" hidden="1" customWidth="1"/>
    <col min="13865" max="14080" width="2.453125" style="305" hidden="1"/>
    <col min="14081" max="14081" width="1.453125" style="305" hidden="1" customWidth="1"/>
    <col min="14082" max="14082" width="0.81640625" style="305" hidden="1" customWidth="1"/>
    <col min="14083" max="14098" width="2.453125" style="305" hidden="1" customWidth="1"/>
    <col min="14099" max="14099" width="4" style="305" hidden="1" customWidth="1"/>
    <col min="14100" max="14119" width="2.453125" style="305" hidden="1" customWidth="1"/>
    <col min="14120" max="14120" width="1.453125" style="305" hidden="1" customWidth="1"/>
    <col min="14121" max="14336" width="2.453125" style="305" hidden="1"/>
    <col min="14337" max="14337" width="1.453125" style="305" hidden="1" customWidth="1"/>
    <col min="14338" max="14338" width="0.81640625" style="305" hidden="1" customWidth="1"/>
    <col min="14339" max="14354" width="2.453125" style="305" hidden="1" customWidth="1"/>
    <col min="14355" max="14355" width="4" style="305" hidden="1" customWidth="1"/>
    <col min="14356" max="14375" width="2.453125" style="305" hidden="1" customWidth="1"/>
    <col min="14376" max="14376" width="1.453125" style="305" hidden="1" customWidth="1"/>
    <col min="14377" max="14592" width="2.453125" style="305" hidden="1"/>
    <col min="14593" max="14593" width="1.453125" style="305" hidden="1" customWidth="1"/>
    <col min="14594" max="14594" width="0.81640625" style="305" hidden="1" customWidth="1"/>
    <col min="14595" max="14610" width="2.453125" style="305" hidden="1" customWidth="1"/>
    <col min="14611" max="14611" width="4" style="305" hidden="1" customWidth="1"/>
    <col min="14612" max="14631" width="2.453125" style="305" hidden="1" customWidth="1"/>
    <col min="14632" max="14632" width="1.453125" style="305" hidden="1" customWidth="1"/>
    <col min="14633" max="14848" width="2.453125" style="305" hidden="1"/>
    <col min="14849" max="14849" width="1.453125" style="305" hidden="1" customWidth="1"/>
    <col min="14850" max="14850" width="0.81640625" style="305" hidden="1" customWidth="1"/>
    <col min="14851" max="14866" width="2.453125" style="305" hidden="1" customWidth="1"/>
    <col min="14867" max="14867" width="4" style="305" hidden="1" customWidth="1"/>
    <col min="14868" max="14887" width="2.453125" style="305" hidden="1" customWidth="1"/>
    <col min="14888" max="14888" width="1.453125" style="305" hidden="1" customWidth="1"/>
    <col min="14889" max="15104" width="2.453125" style="305" hidden="1"/>
    <col min="15105" max="15105" width="1.453125" style="305" hidden="1" customWidth="1"/>
    <col min="15106" max="15106" width="0.81640625" style="305" hidden="1" customWidth="1"/>
    <col min="15107" max="15122" width="2.453125" style="305" hidden="1" customWidth="1"/>
    <col min="15123" max="15123" width="4" style="305" hidden="1" customWidth="1"/>
    <col min="15124" max="15143" width="2.453125" style="305" hidden="1" customWidth="1"/>
    <col min="15144" max="15144" width="1.453125" style="305" hidden="1" customWidth="1"/>
    <col min="15145" max="15360" width="2.453125" style="305" hidden="1"/>
    <col min="15361" max="15361" width="1.453125" style="305" hidden="1" customWidth="1"/>
    <col min="15362" max="15362" width="0.81640625" style="305" hidden="1" customWidth="1"/>
    <col min="15363" max="15378" width="2.453125" style="305" hidden="1" customWidth="1"/>
    <col min="15379" max="15379" width="4" style="305" hidden="1" customWidth="1"/>
    <col min="15380" max="15399" width="2.453125" style="305" hidden="1" customWidth="1"/>
    <col min="15400" max="15400" width="1.453125" style="305" hidden="1" customWidth="1"/>
    <col min="15401" max="15616" width="2.453125" style="305" hidden="1"/>
    <col min="15617" max="15617" width="1.453125" style="305" hidden="1" customWidth="1"/>
    <col min="15618" max="15618" width="0.81640625" style="305" hidden="1" customWidth="1"/>
    <col min="15619" max="15634" width="2.453125" style="305" hidden="1" customWidth="1"/>
    <col min="15635" max="15635" width="4" style="305" hidden="1" customWidth="1"/>
    <col min="15636" max="15655" width="2.453125" style="305" hidden="1" customWidth="1"/>
    <col min="15656" max="15656" width="1.453125" style="305" hidden="1" customWidth="1"/>
    <col min="15657" max="15872" width="2.453125" style="305" hidden="1"/>
    <col min="15873" max="15873" width="1.453125" style="305" hidden="1" customWidth="1"/>
    <col min="15874" max="15874" width="0.81640625" style="305" hidden="1" customWidth="1"/>
    <col min="15875" max="15890" width="2.453125" style="305" hidden="1" customWidth="1"/>
    <col min="15891" max="15891" width="4" style="305" hidden="1" customWidth="1"/>
    <col min="15892" max="15911" width="2.453125" style="305" hidden="1" customWidth="1"/>
    <col min="15912" max="15912" width="1.453125" style="305" hidden="1" customWidth="1"/>
    <col min="15913" max="16128" width="2.453125" style="305" hidden="1"/>
    <col min="16129" max="16129" width="1.453125" style="305" hidden="1" customWidth="1"/>
    <col min="16130" max="16130" width="0.81640625" style="305" hidden="1" customWidth="1"/>
    <col min="16131" max="16146" width="2.453125" style="305" hidden="1" customWidth="1"/>
    <col min="16147" max="16147" width="4" style="305" hidden="1" customWidth="1"/>
    <col min="16148" max="16167" width="2.453125" style="305" hidden="1" customWidth="1"/>
    <col min="16168" max="16168" width="1.453125" style="305" hidden="1" customWidth="1"/>
    <col min="16169" max="16384" width="2.453125" style="305" hidden="1"/>
  </cols>
  <sheetData>
    <row r="1" spans="1:40" ht="13" customHeight="1">
      <c r="A1" s="2289" t="s">
        <v>2094</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row>
    <row r="2" spans="1:40" ht="13" customHeight="1" thickBo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887</v>
      </c>
      <c r="C5" s="307" t="s">
        <v>270</v>
      </c>
      <c r="F5" s="307"/>
    </row>
    <row r="6" spans="1:40" ht="13" customHeight="1">
      <c r="A6" s="307"/>
      <c r="C6" s="305" t="s">
        <v>2095</v>
      </c>
    </row>
    <row r="7" spans="1:40" ht="13" customHeight="1">
      <c r="B7" s="308"/>
      <c r="C7" s="309"/>
      <c r="D7" s="309"/>
      <c r="E7" s="309"/>
      <c r="F7" s="309"/>
      <c r="G7" s="309"/>
      <c r="H7" s="309"/>
      <c r="I7" s="309"/>
      <c r="J7" s="309"/>
      <c r="K7" s="309"/>
      <c r="L7" s="309"/>
      <c r="M7" s="309"/>
      <c r="N7" s="309"/>
      <c r="O7" s="309"/>
      <c r="P7" s="309"/>
      <c r="Q7" s="309"/>
      <c r="R7" s="309"/>
      <c r="S7" s="309"/>
      <c r="T7" s="2291" t="str">
        <f xml:space="preserve"> IF(T25=100%,'Sources and Basis Breakdown'!G2,'Sources and Basis Breakdown'!F2)</f>
        <v>30% PVC for New Const/
Rehabilitation
DDA/QCT
Building(s)</v>
      </c>
      <c r="U7" s="2291"/>
      <c r="V7" s="2291"/>
      <c r="W7" s="2291"/>
      <c r="X7" s="2291"/>
      <c r="Y7" s="2291" t="str">
        <f>IF(T25=100%,"",'Sources and Basis Breakdown'!G2)</f>
        <v>30% PVC for New Const/
Rehabilitation
NON-DDA/
NON-QCT Building(s)</v>
      </c>
      <c r="Z7" s="2291"/>
      <c r="AA7" s="2291"/>
      <c r="AB7" s="2291"/>
      <c r="AC7" s="2291"/>
      <c r="AD7" s="2291" t="str">
        <f xml:space="preserve"> IF(T25=100%, 'Sources and Basis Breakdown'!J2,'Sources and Basis Breakdown'!I2)</f>
        <v>30% PVC for Acquisition
DDA/QCT Building(s)</v>
      </c>
      <c r="AE7" s="2291"/>
      <c r="AF7" s="2291"/>
      <c r="AG7" s="2291"/>
      <c r="AH7" s="2291"/>
      <c r="AI7" s="2291" t="str">
        <f>IF(T25=100%,"",'Sources and Basis Breakdown'!J2)</f>
        <v>30% PVC for Acquisition
NON-DDA/
NON-QCT Building(s)</v>
      </c>
      <c r="AJ7" s="2291"/>
      <c r="AK7" s="2291"/>
      <c r="AL7" s="2291"/>
      <c r="AM7" s="2291"/>
    </row>
    <row r="8" spans="1:40" ht="13" customHeight="1">
      <c r="B8" s="310"/>
      <c r="T8" s="2291"/>
      <c r="U8" s="2291"/>
      <c r="V8" s="2291"/>
      <c r="W8" s="2291"/>
      <c r="X8" s="2291"/>
      <c r="Y8" s="2291"/>
      <c r="Z8" s="2291"/>
      <c r="AA8" s="2291"/>
      <c r="AB8" s="2291"/>
      <c r="AC8" s="2291"/>
      <c r="AD8" s="2291"/>
      <c r="AE8" s="2291"/>
      <c r="AF8" s="2291"/>
      <c r="AG8" s="2291"/>
      <c r="AH8" s="2291"/>
      <c r="AI8" s="2291"/>
      <c r="AJ8" s="2291"/>
      <c r="AK8" s="2291"/>
      <c r="AL8" s="2291"/>
      <c r="AM8" s="2291"/>
    </row>
    <row r="9" spans="1:40" ht="13" customHeight="1">
      <c r="B9" s="310"/>
      <c r="T9" s="2291"/>
      <c r="U9" s="2291"/>
      <c r="V9" s="2291"/>
      <c r="W9" s="2291"/>
      <c r="X9" s="2291"/>
      <c r="Y9" s="2291"/>
      <c r="Z9" s="2291"/>
      <c r="AA9" s="2291"/>
      <c r="AB9" s="2291"/>
      <c r="AC9" s="2291"/>
      <c r="AD9" s="2291"/>
      <c r="AE9" s="2291"/>
      <c r="AF9" s="2291"/>
      <c r="AG9" s="2291"/>
      <c r="AH9" s="2291"/>
      <c r="AI9" s="2291"/>
      <c r="AJ9" s="2291"/>
      <c r="AK9" s="2291"/>
      <c r="AL9" s="2291"/>
      <c r="AM9" s="2291"/>
    </row>
    <row r="10" spans="1:40" ht="13" customHeight="1">
      <c r="B10" s="311"/>
      <c r="C10" s="312"/>
      <c r="D10" s="312"/>
      <c r="E10" s="312"/>
      <c r="F10" s="312"/>
      <c r="G10" s="312"/>
      <c r="H10" s="312"/>
      <c r="I10" s="312"/>
      <c r="J10" s="312"/>
      <c r="K10" s="312"/>
      <c r="L10" s="312"/>
      <c r="M10" s="312"/>
      <c r="N10" s="312"/>
      <c r="O10" s="312"/>
      <c r="P10" s="312"/>
      <c r="Q10" s="312"/>
      <c r="R10" s="312"/>
      <c r="S10" s="312"/>
      <c r="T10" s="2291"/>
      <c r="U10" s="2291"/>
      <c r="V10" s="2291"/>
      <c r="W10" s="2291"/>
      <c r="X10" s="2291"/>
      <c r="Y10" s="2291"/>
      <c r="Z10" s="2291"/>
      <c r="AA10" s="2291"/>
      <c r="AB10" s="2291"/>
      <c r="AC10" s="2291"/>
      <c r="AD10" s="2291"/>
      <c r="AE10" s="2291"/>
      <c r="AF10" s="2291"/>
      <c r="AG10" s="2291"/>
      <c r="AH10" s="2291"/>
      <c r="AI10" s="2291"/>
      <c r="AJ10" s="2291"/>
      <c r="AK10" s="2291"/>
      <c r="AL10" s="2291"/>
      <c r="AM10" s="2291"/>
    </row>
    <row r="11" spans="1:40" ht="13" customHeight="1">
      <c r="B11" s="2270" t="s">
        <v>1907</v>
      </c>
      <c r="C11" s="2271"/>
      <c r="D11" s="2271"/>
      <c r="E11" s="2271"/>
      <c r="F11" s="2271"/>
      <c r="G11" s="2271"/>
      <c r="H11" s="2271"/>
      <c r="I11" s="2271"/>
      <c r="J11" s="2271"/>
      <c r="K11" s="2271"/>
      <c r="L11" s="2271"/>
      <c r="M11" s="2271"/>
      <c r="N11" s="2271"/>
      <c r="O11" s="2271"/>
      <c r="P11" s="2271"/>
      <c r="Q11" s="2271"/>
      <c r="R11" s="2271"/>
      <c r="S11" s="2272"/>
      <c r="T11" s="2292">
        <f>IF('Sources and Basis Breakdown'!F107=0,'Sources and Basis Breakdown'!E107,'Sources and Basis Breakdown'!F107)</f>
        <v>71877566</v>
      </c>
      <c r="U11" s="2293"/>
      <c r="V11" s="2293"/>
      <c r="W11" s="2293"/>
      <c r="X11" s="2293"/>
      <c r="Y11" s="2292">
        <f>IF(Y7="",0,IF('Sources and Basis Breakdown'!G107+'Sources and Basis Breakdown'!F107='Sources and Basis Breakdown'!E107,'Sources and Basis Breakdown'!G107,0))</f>
        <v>0</v>
      </c>
      <c r="Z11" s="2293"/>
      <c r="AA11" s="2293"/>
      <c r="AB11" s="2293"/>
      <c r="AC11" s="2293"/>
      <c r="AD11" s="2293">
        <f>IF('Sources and Basis Breakdown'!I107=0,'Sources and Basis Breakdown'!H107,'Sources and Basis Breakdown'!I107)</f>
        <v>0</v>
      </c>
      <c r="AE11" s="2293"/>
      <c r="AF11" s="2293"/>
      <c r="AG11" s="2293"/>
      <c r="AH11" s="2293"/>
      <c r="AI11" s="2293">
        <f>IF(Y7="",0,IF('Sources and Basis Breakdown'!I107+'Sources and Basis Breakdown'!J107='Sources and Basis Breakdown'!H107,'Sources and Basis Breakdown'!J107,0))</f>
        <v>0</v>
      </c>
      <c r="AJ11" s="2293"/>
      <c r="AK11" s="2293"/>
      <c r="AL11" s="2293"/>
      <c r="AM11" s="2293"/>
    </row>
    <row r="12" spans="1:40" ht="13" customHeight="1">
      <c r="B12" s="2285" t="s">
        <v>2096</v>
      </c>
      <c r="C12" s="1268"/>
      <c r="D12" s="1268"/>
      <c r="E12" s="1268"/>
      <c r="F12" s="1268"/>
      <c r="G12" s="1268"/>
      <c r="H12" s="1268"/>
      <c r="I12" s="1268"/>
      <c r="J12" s="1268"/>
      <c r="K12" s="1268"/>
      <c r="L12" s="1268"/>
      <c r="M12" s="1268"/>
      <c r="N12" s="1268"/>
      <c r="O12" s="1268"/>
      <c r="P12" s="1268"/>
      <c r="Q12" s="1268"/>
      <c r="R12" s="1268"/>
      <c r="S12" s="2286"/>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3" customHeight="1">
      <c r="B13" s="338"/>
      <c r="C13" s="2287" t="s">
        <v>2097</v>
      </c>
      <c r="D13" s="2287"/>
      <c r="E13" s="2287"/>
      <c r="F13" s="2287"/>
      <c r="G13" s="2287"/>
      <c r="H13" s="2287"/>
      <c r="I13" s="2287"/>
      <c r="J13" s="2287"/>
      <c r="K13" s="2287"/>
      <c r="L13" s="2287"/>
      <c r="M13" s="2287"/>
      <c r="N13" s="2287"/>
      <c r="O13" s="2287"/>
      <c r="P13" s="2287"/>
      <c r="Q13" s="2287"/>
      <c r="R13" s="2287"/>
      <c r="S13" s="2288"/>
      <c r="T13" s="2294"/>
      <c r="U13" s="2295"/>
      <c r="V13" s="2295"/>
      <c r="W13" s="2295"/>
      <c r="X13" s="2295"/>
      <c r="Y13" s="2294"/>
      <c r="Z13" s="2295"/>
      <c r="AA13" s="2295"/>
      <c r="AB13" s="2295"/>
      <c r="AC13" s="2295"/>
      <c r="AD13" s="2295"/>
      <c r="AE13" s="2295"/>
      <c r="AF13" s="2295"/>
      <c r="AG13" s="2295"/>
      <c r="AH13" s="2295"/>
      <c r="AI13" s="2295"/>
      <c r="AJ13" s="2295"/>
      <c r="AK13" s="2295"/>
      <c r="AL13" s="2295"/>
      <c r="AM13" s="2295"/>
    </row>
    <row r="14" spans="1:40" ht="13" customHeight="1">
      <c r="B14" s="338"/>
      <c r="C14" s="2287" t="s">
        <v>2098</v>
      </c>
      <c r="D14" s="2287"/>
      <c r="E14" s="2287"/>
      <c r="F14" s="2287"/>
      <c r="G14" s="2287"/>
      <c r="H14" s="2287"/>
      <c r="I14" s="2287"/>
      <c r="J14" s="2287"/>
      <c r="K14" s="2287"/>
      <c r="L14" s="2287"/>
      <c r="M14" s="2287"/>
      <c r="N14" s="2287"/>
      <c r="O14" s="2287"/>
      <c r="P14" s="2287"/>
      <c r="Q14" s="2287"/>
      <c r="R14" s="2287"/>
      <c r="S14" s="2288"/>
      <c r="T14" s="2261"/>
      <c r="U14" s="2262"/>
      <c r="V14" s="2262"/>
      <c r="W14" s="2262"/>
      <c r="X14" s="2262"/>
      <c r="Y14" s="2261"/>
      <c r="Z14" s="2262"/>
      <c r="AA14" s="2262"/>
      <c r="AB14" s="2262"/>
      <c r="AC14" s="2262"/>
      <c r="AD14" s="2262"/>
      <c r="AE14" s="2262"/>
      <c r="AF14" s="2262"/>
      <c r="AG14" s="2262"/>
      <c r="AH14" s="2262"/>
      <c r="AI14" s="2262"/>
      <c r="AJ14" s="2262"/>
      <c r="AK14" s="2262"/>
      <c r="AL14" s="2262"/>
      <c r="AM14" s="2262"/>
    </row>
    <row r="15" spans="1:40" ht="13" customHeight="1">
      <c r="B15" s="338"/>
      <c r="C15" s="2287" t="s">
        <v>2099</v>
      </c>
      <c r="D15" s="2287"/>
      <c r="E15" s="2287"/>
      <c r="F15" s="2287"/>
      <c r="G15" s="2287"/>
      <c r="H15" s="2287"/>
      <c r="I15" s="2287"/>
      <c r="J15" s="2287"/>
      <c r="K15" s="2287"/>
      <c r="L15" s="2287"/>
      <c r="M15" s="2287"/>
      <c r="N15" s="2287"/>
      <c r="O15" s="2287"/>
      <c r="P15" s="2287"/>
      <c r="Q15" s="2287"/>
      <c r="R15" s="2287"/>
      <c r="S15" s="2288"/>
      <c r="T15" s="2261"/>
      <c r="U15" s="2262"/>
      <c r="V15" s="2262"/>
      <c r="W15" s="2262"/>
      <c r="X15" s="2262"/>
      <c r="Y15" s="2261"/>
      <c r="Z15" s="2262"/>
      <c r="AA15" s="2262"/>
      <c r="AB15" s="2262"/>
      <c r="AC15" s="2262"/>
      <c r="AD15" s="2262"/>
      <c r="AE15" s="2262"/>
      <c r="AF15" s="2262"/>
      <c r="AG15" s="2262"/>
      <c r="AH15" s="2262"/>
      <c r="AI15" s="2262"/>
      <c r="AJ15" s="2262"/>
      <c r="AK15" s="2262"/>
      <c r="AL15" s="2262"/>
      <c r="AM15" s="2262"/>
    </row>
    <row r="16" spans="1:40" ht="13" customHeight="1">
      <c r="B16" s="338"/>
      <c r="C16" s="2287" t="s">
        <v>2100</v>
      </c>
      <c r="D16" s="2287"/>
      <c r="E16" s="2287"/>
      <c r="F16" s="2287"/>
      <c r="G16" s="2287"/>
      <c r="H16" s="2287"/>
      <c r="I16" s="2287"/>
      <c r="J16" s="2287"/>
      <c r="K16" s="2287"/>
      <c r="L16" s="2287"/>
      <c r="M16" s="2287"/>
      <c r="N16" s="2287"/>
      <c r="O16" s="2287"/>
      <c r="P16" s="2287"/>
      <c r="Q16" s="2287"/>
      <c r="R16" s="2287"/>
      <c r="S16" s="2288"/>
      <c r="T16" s="2261"/>
      <c r="U16" s="2262"/>
      <c r="V16" s="2262"/>
      <c r="W16" s="2262"/>
      <c r="X16" s="2262"/>
      <c r="Y16" s="2261"/>
      <c r="Z16" s="2262"/>
      <c r="AA16" s="2262"/>
      <c r="AB16" s="2262"/>
      <c r="AC16" s="2262"/>
      <c r="AD16" s="2262"/>
      <c r="AE16" s="2262"/>
      <c r="AF16" s="2262"/>
      <c r="AG16" s="2262"/>
      <c r="AH16" s="2262"/>
      <c r="AI16" s="2262"/>
      <c r="AJ16" s="2262"/>
      <c r="AK16" s="2262"/>
      <c r="AL16" s="2262"/>
      <c r="AM16" s="2262"/>
    </row>
    <row r="17" spans="1:40" ht="13" customHeight="1">
      <c r="B17" s="338"/>
      <c r="C17" s="2287" t="s">
        <v>2101</v>
      </c>
      <c r="D17" s="2287"/>
      <c r="E17" s="2287"/>
      <c r="F17" s="2287"/>
      <c r="G17" s="2287"/>
      <c r="H17" s="2287"/>
      <c r="I17" s="2287"/>
      <c r="J17" s="2287"/>
      <c r="K17" s="2287"/>
      <c r="L17" s="2287"/>
      <c r="M17" s="2287"/>
      <c r="N17" s="2287"/>
      <c r="O17" s="2287"/>
      <c r="P17" s="2287"/>
      <c r="Q17" s="2287"/>
      <c r="R17" s="2287"/>
      <c r="S17" s="2288"/>
      <c r="T17" s="2261"/>
      <c r="U17" s="2262"/>
      <c r="V17" s="2262"/>
      <c r="W17" s="2262"/>
      <c r="X17" s="2262"/>
      <c r="Y17" s="2261"/>
      <c r="Z17" s="2262"/>
      <c r="AA17" s="2262"/>
      <c r="AB17" s="2262"/>
      <c r="AC17" s="2262"/>
      <c r="AD17" s="2262"/>
      <c r="AE17" s="2262"/>
      <c r="AF17" s="2262"/>
      <c r="AG17" s="2262"/>
      <c r="AH17" s="2262"/>
      <c r="AI17" s="2262"/>
      <c r="AJ17" s="2262"/>
      <c r="AK17" s="2262"/>
      <c r="AL17" s="2262"/>
      <c r="AM17" s="2262"/>
    </row>
    <row r="18" spans="1:40" ht="13" customHeight="1">
      <c r="A18"/>
      <c r="B18" s="1033"/>
      <c r="C18" s="1767" t="s">
        <v>2102</v>
      </c>
      <c r="D18" s="1767"/>
      <c r="E18" s="1767"/>
      <c r="F18" s="1767"/>
      <c r="G18" s="1767"/>
      <c r="H18" s="1767"/>
      <c r="I18" s="1767"/>
      <c r="J18" s="1767"/>
      <c r="K18" s="1767"/>
      <c r="L18" s="1767"/>
      <c r="M18" s="1767"/>
      <c r="N18" s="1767"/>
      <c r="O18" s="1767"/>
      <c r="P18" s="1767"/>
      <c r="Q18" s="1767"/>
      <c r="R18" s="1767"/>
      <c r="S18" s="1768"/>
      <c r="T18" s="2261"/>
      <c r="U18" s="2262"/>
      <c r="V18" s="2262"/>
      <c r="W18" s="2262"/>
      <c r="X18" s="2262"/>
      <c r="Y18" s="2261"/>
      <c r="Z18" s="2262"/>
      <c r="AA18" s="2262"/>
      <c r="AB18" s="2262"/>
      <c r="AC18" s="2262"/>
      <c r="AD18" s="2262"/>
      <c r="AE18" s="2262"/>
      <c r="AF18" s="2262"/>
      <c r="AG18" s="2262"/>
      <c r="AH18" s="2262"/>
      <c r="AI18" s="2262"/>
      <c r="AJ18" s="2262"/>
      <c r="AK18" s="2262"/>
      <c r="AL18" s="2262"/>
      <c r="AM18" s="2262"/>
    </row>
    <row r="19" spans="1:40" ht="13" customHeight="1">
      <c r="B19" s="1033"/>
      <c r="C19" s="1767" t="s">
        <v>2102</v>
      </c>
      <c r="D19" s="1767"/>
      <c r="E19" s="1767"/>
      <c r="F19" s="1767"/>
      <c r="G19" s="1767"/>
      <c r="H19" s="1767"/>
      <c r="I19" s="1767"/>
      <c r="J19" s="1767"/>
      <c r="K19" s="1767"/>
      <c r="L19" s="1767"/>
      <c r="M19" s="1767"/>
      <c r="N19" s="1767"/>
      <c r="O19" s="1767"/>
      <c r="P19" s="1767"/>
      <c r="Q19" s="1767"/>
      <c r="R19" s="1767"/>
      <c r="S19" s="1768"/>
      <c r="T19" s="2261"/>
      <c r="U19" s="2262"/>
      <c r="V19" s="2262"/>
      <c r="W19" s="2262"/>
      <c r="X19" s="2262"/>
      <c r="Y19" s="2261"/>
      <c r="Z19" s="2262"/>
      <c r="AA19" s="2262"/>
      <c r="AB19" s="2262"/>
      <c r="AC19" s="2262"/>
      <c r="AD19" s="2262"/>
      <c r="AE19" s="2262"/>
      <c r="AF19" s="2262"/>
      <c r="AG19" s="2262"/>
      <c r="AH19" s="2262"/>
      <c r="AI19" s="2262"/>
      <c r="AJ19" s="2262"/>
      <c r="AK19" s="2262"/>
      <c r="AL19" s="2262"/>
      <c r="AM19" s="2262"/>
    </row>
    <row r="20" spans="1:40" ht="13" customHeight="1">
      <c r="B20" s="2270" t="s">
        <v>2103</v>
      </c>
      <c r="C20" s="2271"/>
      <c r="D20" s="2271"/>
      <c r="E20" s="2271"/>
      <c r="F20" s="2271"/>
      <c r="G20" s="2271"/>
      <c r="H20" s="2271"/>
      <c r="I20" s="2271"/>
      <c r="J20" s="2271"/>
      <c r="K20" s="2271"/>
      <c r="L20" s="2271"/>
      <c r="M20" s="2271"/>
      <c r="N20" s="2271"/>
      <c r="O20" s="2271"/>
      <c r="P20" s="2271"/>
      <c r="Q20" s="2271"/>
      <c r="R20" s="2271"/>
      <c r="S20" s="2272"/>
      <c r="T20" s="2263">
        <f>SUM(T13:X19)</f>
        <v>0</v>
      </c>
      <c r="U20" s="2264"/>
      <c r="V20" s="2264"/>
      <c r="W20" s="2264"/>
      <c r="X20" s="2264"/>
      <c r="Y20" s="2263">
        <f>SUM(Y13:AC19)</f>
        <v>0</v>
      </c>
      <c r="Z20" s="2264"/>
      <c r="AA20" s="2264"/>
      <c r="AB20" s="2264"/>
      <c r="AC20" s="2264"/>
      <c r="AD20" s="2265">
        <f>SUM(AD13:AH19)</f>
        <v>0</v>
      </c>
      <c r="AE20" s="2266"/>
      <c r="AF20" s="2266"/>
      <c r="AG20" s="2266"/>
      <c r="AH20" s="2263"/>
      <c r="AI20" s="2265">
        <f>SUM(AI13:AM19)</f>
        <v>0</v>
      </c>
      <c r="AJ20" s="2266"/>
      <c r="AK20" s="2266"/>
      <c r="AL20" s="2266"/>
      <c r="AM20" s="2263"/>
    </row>
    <row r="21" spans="1:40" ht="13" customHeight="1">
      <c r="B21" s="2270" t="s">
        <v>2104</v>
      </c>
      <c r="C21" s="2271"/>
      <c r="D21" s="2271"/>
      <c r="E21" s="2271"/>
      <c r="F21" s="2271"/>
      <c r="G21" s="2271"/>
      <c r="H21" s="2271"/>
      <c r="I21" s="2271"/>
      <c r="J21" s="2271"/>
      <c r="K21" s="2271"/>
      <c r="L21" s="2271"/>
      <c r="M21" s="2271"/>
      <c r="N21" s="2271"/>
      <c r="O21" s="2271"/>
      <c r="P21" s="2271"/>
      <c r="Q21" s="2271"/>
      <c r="R21" s="2271"/>
      <c r="S21" s="2272"/>
      <c r="T21" s="2261"/>
      <c r="U21" s="2262"/>
      <c r="V21" s="2262"/>
      <c r="W21" s="2262"/>
      <c r="X21" s="2262"/>
      <c r="Y21" s="2261"/>
      <c r="Z21" s="2262"/>
      <c r="AA21" s="2262"/>
      <c r="AB21" s="2262"/>
      <c r="AC21" s="2262"/>
      <c r="AD21" s="2258"/>
      <c r="AE21" s="2259"/>
      <c r="AF21" s="2259"/>
      <c r="AG21" s="2259"/>
      <c r="AH21" s="2260"/>
      <c r="AI21" s="2258"/>
      <c r="AJ21" s="2259"/>
      <c r="AK21" s="2259"/>
      <c r="AL21" s="2259"/>
      <c r="AM21" s="2260"/>
    </row>
    <row r="22" spans="1:40" ht="13" customHeight="1">
      <c r="B22" s="2270" t="s">
        <v>2105</v>
      </c>
      <c r="C22" s="2271"/>
      <c r="D22" s="2271"/>
      <c r="E22" s="2271"/>
      <c r="F22" s="2271"/>
      <c r="G22" s="2271"/>
      <c r="H22" s="2271"/>
      <c r="I22" s="2271"/>
      <c r="J22" s="2271"/>
      <c r="K22" s="2271"/>
      <c r="L22" s="2271"/>
      <c r="M22" s="2271"/>
      <c r="N22" s="2271"/>
      <c r="O22" s="2271"/>
      <c r="P22" s="2271"/>
      <c r="Q22" s="2271"/>
      <c r="R22" s="2271"/>
      <c r="S22" s="2272"/>
      <c r="T22" s="2296">
        <f>(ABS(T20)+ABS(T21))*-1</f>
        <v>0</v>
      </c>
      <c r="U22" s="2297"/>
      <c r="V22" s="2297"/>
      <c r="W22" s="2297"/>
      <c r="X22" s="2297"/>
      <c r="Y22" s="2296">
        <f>(Y20+Y21)*-1</f>
        <v>0</v>
      </c>
      <c r="Z22" s="2297"/>
      <c r="AA22" s="2297"/>
      <c r="AB22" s="2297"/>
      <c r="AC22" s="2297"/>
      <c r="AD22" s="2298">
        <f>(AD20)*-1</f>
        <v>0</v>
      </c>
      <c r="AE22" s="2299"/>
      <c r="AF22" s="2299"/>
      <c r="AG22" s="2299"/>
      <c r="AH22" s="2296"/>
      <c r="AI22" s="2298">
        <f>(AI20)*-1</f>
        <v>0</v>
      </c>
      <c r="AJ22" s="2299"/>
      <c r="AK22" s="2299"/>
      <c r="AL22" s="2299"/>
      <c r="AM22" s="2296"/>
    </row>
    <row r="23" spans="1:40" ht="13" customHeight="1">
      <c r="B23" s="2270" t="s">
        <v>2106</v>
      </c>
      <c r="C23" s="2271"/>
      <c r="D23" s="2271"/>
      <c r="E23" s="2271"/>
      <c r="F23" s="2271"/>
      <c r="G23" s="2271"/>
      <c r="H23" s="2271"/>
      <c r="I23" s="2271"/>
      <c r="J23" s="2271"/>
      <c r="K23" s="2271"/>
      <c r="L23" s="2271"/>
      <c r="M23" s="2271"/>
      <c r="N23" s="2271"/>
      <c r="O23" s="2271"/>
      <c r="P23" s="2271"/>
      <c r="Q23" s="2271"/>
      <c r="R23" s="2271"/>
      <c r="S23" s="2272"/>
      <c r="T23" s="2263">
        <f>T11+T22</f>
        <v>71877566</v>
      </c>
      <c r="U23" s="2264"/>
      <c r="V23" s="2264"/>
      <c r="W23" s="2264"/>
      <c r="X23" s="2264"/>
      <c r="Y23" s="2263">
        <f>Y11+Y22</f>
        <v>0</v>
      </c>
      <c r="Z23" s="2264"/>
      <c r="AA23" s="2264"/>
      <c r="AB23" s="2264"/>
      <c r="AC23" s="2264"/>
      <c r="AD23" s="2263">
        <f>AD11+AD22</f>
        <v>0</v>
      </c>
      <c r="AE23" s="2264"/>
      <c r="AF23" s="2264"/>
      <c r="AG23" s="2264"/>
      <c r="AH23" s="2264"/>
      <c r="AI23" s="2263">
        <f>AI11+AI22</f>
        <v>0</v>
      </c>
      <c r="AJ23" s="2264"/>
      <c r="AK23" s="2264"/>
      <c r="AL23" s="2264"/>
      <c r="AM23" s="2264"/>
    </row>
    <row r="24" spans="1:40" ht="13" customHeight="1">
      <c r="B24" s="2270" t="s">
        <v>2107</v>
      </c>
      <c r="C24" s="2271"/>
      <c r="D24" s="2271"/>
      <c r="E24" s="2271"/>
      <c r="F24" s="2271"/>
      <c r="G24" s="2271"/>
      <c r="H24" s="2271"/>
      <c r="I24" s="2271"/>
      <c r="J24" s="2271"/>
      <c r="K24" s="2271"/>
      <c r="L24" s="2271"/>
      <c r="M24" s="2271"/>
      <c r="N24" s="2271"/>
      <c r="O24" s="2271"/>
      <c r="P24" s="2271"/>
      <c r="Q24" s="2271"/>
      <c r="R24" s="2271"/>
      <c r="S24" s="2272"/>
      <c r="T24" s="2265">
        <f>Application!AJ1062</f>
        <v>163895046</v>
      </c>
      <c r="U24" s="2266"/>
      <c r="V24" s="2266"/>
      <c r="W24" s="2266"/>
      <c r="X24" s="2266"/>
      <c r="Y24" s="2266"/>
      <c r="Z24" s="2266"/>
      <c r="AA24" s="2266"/>
      <c r="AB24" s="2266"/>
      <c r="AC24" s="2266"/>
      <c r="AD24" s="2266"/>
      <c r="AE24" s="2266"/>
      <c r="AF24" s="2266"/>
      <c r="AG24" s="2266"/>
      <c r="AH24" s="2266"/>
      <c r="AI24" s="2266"/>
      <c r="AJ24" s="2266"/>
      <c r="AK24" s="2266"/>
      <c r="AL24" s="2266"/>
      <c r="AM24" s="2263"/>
    </row>
    <row r="25" spans="1:40" ht="13" customHeight="1">
      <c r="B25" s="2274" t="s">
        <v>2108</v>
      </c>
      <c r="C25" s="2275"/>
      <c r="D25" s="2275"/>
      <c r="E25" s="2275"/>
      <c r="F25" s="2275"/>
      <c r="G25" s="2275"/>
      <c r="H25" s="2275"/>
      <c r="I25" s="2275"/>
      <c r="J25" s="2275"/>
      <c r="K25" s="2275"/>
      <c r="L25" s="2275"/>
      <c r="M25" s="2275"/>
      <c r="N25" s="2275"/>
      <c r="O25" s="2275"/>
      <c r="P25" s="2275"/>
      <c r="Q25" s="2275"/>
      <c r="R25" s="2275"/>
      <c r="S25" s="2276"/>
      <c r="T25" s="2300">
        <f>IF(OR(Application!T196="yes",Application!T195="yes"),1.3,1)</f>
        <v>1.3</v>
      </c>
      <c r="U25" s="2301"/>
      <c r="V25" s="2301"/>
      <c r="W25" s="2301"/>
      <c r="X25" s="2301"/>
      <c r="Y25" s="2300">
        <v>1</v>
      </c>
      <c r="Z25" s="2301"/>
      <c r="AA25" s="2301"/>
      <c r="AB25" s="2301"/>
      <c r="AC25" s="2301"/>
      <c r="AD25" s="2300">
        <v>1</v>
      </c>
      <c r="AE25" s="2301"/>
      <c r="AF25" s="2301"/>
      <c r="AG25" s="2301"/>
      <c r="AH25" s="2302"/>
      <c r="AI25" s="2300">
        <v>1</v>
      </c>
      <c r="AJ25" s="2301"/>
      <c r="AK25" s="2301"/>
      <c r="AL25" s="2301"/>
      <c r="AM25" s="2302"/>
    </row>
    <row r="26" spans="1:40" ht="13" customHeight="1">
      <c r="B26" s="2270" t="s">
        <v>2109</v>
      </c>
      <c r="C26" s="2271"/>
      <c r="D26" s="2271"/>
      <c r="E26" s="2271"/>
      <c r="F26" s="2271"/>
      <c r="G26" s="2271"/>
      <c r="H26" s="2271"/>
      <c r="I26" s="2271"/>
      <c r="J26" s="2271"/>
      <c r="K26" s="2271"/>
      <c r="L26" s="2271"/>
      <c r="M26" s="2271"/>
      <c r="N26" s="2271"/>
      <c r="O26" s="2271"/>
      <c r="P26" s="2271"/>
      <c r="Q26" s="2271"/>
      <c r="R26" s="2271"/>
      <c r="S26" s="2272"/>
      <c r="T26" s="2263">
        <f>T23*T25</f>
        <v>93440835.799999997</v>
      </c>
      <c r="U26" s="2264"/>
      <c r="V26" s="2264"/>
      <c r="W26" s="2264"/>
      <c r="X26" s="2264"/>
      <c r="Y26" s="2263">
        <f>Y23*Y25</f>
        <v>0</v>
      </c>
      <c r="Z26" s="2264"/>
      <c r="AA26" s="2264"/>
      <c r="AB26" s="2264"/>
      <c r="AC26" s="2264"/>
      <c r="AD26" s="2263">
        <f>AD23*AD25</f>
        <v>0</v>
      </c>
      <c r="AE26" s="2264"/>
      <c r="AF26" s="2264"/>
      <c r="AG26" s="2264"/>
      <c r="AH26" s="2264"/>
      <c r="AI26" s="2263">
        <f>AI23*AI25</f>
        <v>0</v>
      </c>
      <c r="AJ26" s="2264"/>
      <c r="AK26" s="2264"/>
      <c r="AL26" s="2264"/>
      <c r="AM26" s="2264"/>
    </row>
    <row r="27" spans="1:40" ht="13" customHeight="1">
      <c r="A27" s="313"/>
      <c r="B27" s="2277" t="s">
        <v>2110</v>
      </c>
      <c r="C27" s="2278"/>
      <c r="D27" s="2278"/>
      <c r="E27" s="2278"/>
      <c r="F27" s="2278"/>
      <c r="G27" s="2278"/>
      <c r="H27" s="2278"/>
      <c r="I27" s="2278"/>
      <c r="J27" s="2278"/>
      <c r="K27" s="2278"/>
      <c r="L27" s="2278"/>
      <c r="M27" s="2278"/>
      <c r="N27" s="2278"/>
      <c r="O27" s="2278"/>
      <c r="P27" s="2278"/>
      <c r="Q27" s="2278"/>
      <c r="R27" s="2278"/>
      <c r="S27" s="2279"/>
      <c r="T27" s="2283">
        <f>Application!$AG$454</f>
        <v>1</v>
      </c>
      <c r="U27" s="2284"/>
      <c r="V27" s="2284"/>
      <c r="W27" s="2284"/>
      <c r="X27" s="2284"/>
      <c r="Y27" s="2283">
        <f>Application!$AG$454</f>
        <v>1</v>
      </c>
      <c r="Z27" s="2284"/>
      <c r="AA27" s="2284"/>
      <c r="AB27" s="2284"/>
      <c r="AC27" s="2284"/>
      <c r="AD27" s="2283">
        <f>Application!$AG$454</f>
        <v>1</v>
      </c>
      <c r="AE27" s="2284"/>
      <c r="AF27" s="2284"/>
      <c r="AG27" s="2284"/>
      <c r="AH27" s="2284"/>
      <c r="AI27" s="2283">
        <f>Application!$AG$454</f>
        <v>1</v>
      </c>
      <c r="AJ27" s="2284"/>
      <c r="AK27" s="2284"/>
      <c r="AL27" s="2284"/>
      <c r="AM27" s="2284"/>
    </row>
    <row r="28" spans="1:40" ht="13" customHeight="1">
      <c r="A28" s="307"/>
      <c r="B28" s="2270" t="s">
        <v>2111</v>
      </c>
      <c r="C28" s="2271"/>
      <c r="D28" s="2271"/>
      <c r="E28" s="2271"/>
      <c r="F28" s="2271"/>
      <c r="G28" s="2271"/>
      <c r="H28" s="2271"/>
      <c r="I28" s="2271"/>
      <c r="J28" s="2271"/>
      <c r="K28" s="2271"/>
      <c r="L28" s="2271"/>
      <c r="M28" s="2271"/>
      <c r="N28" s="2271"/>
      <c r="O28" s="2271"/>
      <c r="P28" s="2271"/>
      <c r="Q28" s="2271"/>
      <c r="R28" s="2271"/>
      <c r="S28" s="2272"/>
      <c r="T28" s="2263">
        <f>IF(ISERROR((T26*T27)),0,(T26*T27))</f>
        <v>93440835.799999997</v>
      </c>
      <c r="U28" s="2264"/>
      <c r="V28" s="2264"/>
      <c r="W28" s="2264"/>
      <c r="X28" s="2264"/>
      <c r="Y28" s="2263">
        <f>IF(ISERROR((Y26*Y27)),0,(Y26*Y27))</f>
        <v>0</v>
      </c>
      <c r="Z28" s="2264"/>
      <c r="AA28" s="2264"/>
      <c r="AB28" s="2264"/>
      <c r="AC28" s="2264"/>
      <c r="AD28" s="2263">
        <f>IF(ISERROR((AD26*AD27)),0,(AD26*AD27))</f>
        <v>0</v>
      </c>
      <c r="AE28" s="2264"/>
      <c r="AF28" s="2264"/>
      <c r="AG28" s="2264"/>
      <c r="AH28" s="2264"/>
      <c r="AI28" s="2263">
        <f>IF(ISERROR((AI26*AI27)),0,(AI26*AI27))</f>
        <v>0</v>
      </c>
      <c r="AJ28" s="2264"/>
      <c r="AK28" s="2264"/>
      <c r="AL28" s="2264"/>
      <c r="AM28" s="2264"/>
    </row>
    <row r="29" spans="1:40" ht="13" customHeight="1">
      <c r="B29" s="2270" t="s">
        <v>2112</v>
      </c>
      <c r="C29" s="2271"/>
      <c r="D29" s="2271"/>
      <c r="E29" s="2271"/>
      <c r="F29" s="2271"/>
      <c r="G29" s="2271"/>
      <c r="H29" s="2271"/>
      <c r="I29" s="2271"/>
      <c r="J29" s="2271"/>
      <c r="K29" s="2271"/>
      <c r="L29" s="2271"/>
      <c r="M29" s="2271"/>
      <c r="N29" s="2271"/>
      <c r="O29" s="2271"/>
      <c r="P29" s="2271"/>
      <c r="Q29" s="2271"/>
      <c r="R29" s="2271"/>
      <c r="S29" s="2272"/>
      <c r="T29" s="2265">
        <f>T28+Y28+AD28+AI28</f>
        <v>93440835.799999997</v>
      </c>
      <c r="U29" s="2266"/>
      <c r="V29" s="2266"/>
      <c r="W29" s="2266"/>
      <c r="X29" s="2266"/>
      <c r="Y29" s="2266"/>
      <c r="Z29" s="2266"/>
      <c r="AA29" s="2266"/>
      <c r="AB29" s="2266"/>
      <c r="AC29" s="2266"/>
      <c r="AD29" s="2266"/>
      <c r="AE29" s="2266"/>
      <c r="AF29" s="2266"/>
      <c r="AG29" s="2266"/>
      <c r="AH29" s="2266"/>
      <c r="AI29" s="2266"/>
      <c r="AJ29" s="2266"/>
      <c r="AK29" s="2266"/>
      <c r="AL29" s="2266"/>
      <c r="AM29" s="2263"/>
    </row>
    <row r="30" spans="1:40" ht="13" customHeight="1">
      <c r="B30" s="2273" t="s">
        <v>2113</v>
      </c>
      <c r="C30" s="2273"/>
      <c r="D30" s="2273"/>
      <c r="E30" s="2273"/>
      <c r="F30" s="2273"/>
      <c r="G30" s="2273"/>
      <c r="H30" s="2273"/>
      <c r="I30" s="2273"/>
      <c r="J30" s="2273"/>
      <c r="K30" s="2273"/>
      <c r="L30" s="2273"/>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row>
    <row r="31" spans="1:40" ht="13" customHeight="1">
      <c r="B31" s="2273" t="s">
        <v>2114</v>
      </c>
      <c r="C31" s="2273"/>
      <c r="D31" s="2273"/>
      <c r="E31" s="2273"/>
      <c r="F31" s="2273"/>
      <c r="G31" s="2273"/>
      <c r="H31" s="2273"/>
      <c r="I31" s="2273"/>
      <c r="J31" s="2273"/>
      <c r="K31" s="2273"/>
      <c r="L31" s="2273"/>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418"/>
    </row>
    <row r="32" spans="1:40" ht="13" customHeight="1">
      <c r="B32" s="337"/>
      <c r="C32" s="411" t="s">
        <v>2115</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3" customHeight="1"/>
    <row r="34" spans="1:76" ht="13" customHeight="1">
      <c r="A34" s="307" t="s">
        <v>928</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1" t="s">
        <v>2116</v>
      </c>
      <c r="Z35" s="2291"/>
      <c r="AA35" s="2291"/>
      <c r="AB35" s="2291"/>
      <c r="AC35" s="2291"/>
      <c r="AD35" s="2311" t="s">
        <v>2117</v>
      </c>
      <c r="AE35" s="2311"/>
      <c r="AF35" s="2311"/>
      <c r="AG35" s="2311"/>
      <c r="AH35" s="2311"/>
    </row>
    <row r="36" spans="1:76" ht="13" customHeight="1">
      <c r="B36" s="310"/>
      <c r="X36" s="315"/>
      <c r="Y36" s="2291"/>
      <c r="Z36" s="2291"/>
      <c r="AA36" s="2291"/>
      <c r="AB36" s="2291"/>
      <c r="AC36" s="2291"/>
      <c r="AD36" s="2311"/>
      <c r="AE36" s="2311"/>
      <c r="AF36" s="2311"/>
      <c r="AG36" s="2311"/>
      <c r="AH36" s="2311"/>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1"/>
      <c r="Z37" s="2291"/>
      <c r="AA37" s="2291"/>
      <c r="AB37" s="2291"/>
      <c r="AC37" s="2291"/>
      <c r="AD37" s="2311"/>
      <c r="AE37" s="2311"/>
      <c r="AF37" s="2311"/>
      <c r="AG37" s="2311"/>
      <c r="AH37" s="2311"/>
    </row>
    <row r="38" spans="1:76" ht="13" customHeight="1">
      <c r="A38" s="307"/>
      <c r="B38" s="2270" t="s">
        <v>2111</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4">
        <f>IF(T24&gt;=(T23+Y23+AD23+AI23),T28+Y28,0)</f>
        <v>93440835.799999997</v>
      </c>
      <c r="Z38" s="2264"/>
      <c r="AA38" s="2264"/>
      <c r="AB38" s="2264"/>
      <c r="AC38" s="2264"/>
      <c r="AD38" s="2264">
        <f>IF(T24&gt;=(T23+Y23+AD23+AI23),AD28+AI28,0)</f>
        <v>0</v>
      </c>
      <c r="AE38" s="2264"/>
      <c r="AF38" s="2264"/>
      <c r="AG38" s="2264"/>
      <c r="AH38" s="2264"/>
    </row>
    <row r="39" spans="1:76" ht="13" customHeight="1">
      <c r="B39" s="2270" t="s">
        <v>2118</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312">
        <v>0.04</v>
      </c>
      <c r="Z39" s="2312"/>
      <c r="AA39" s="2312"/>
      <c r="AB39" s="2312"/>
      <c r="AC39" s="2312"/>
      <c r="AD39" s="2312">
        <v>0.04</v>
      </c>
      <c r="AE39" s="2312"/>
      <c r="AF39" s="2312"/>
      <c r="AG39" s="2312"/>
      <c r="AH39" s="2312"/>
    </row>
    <row r="40" spans="1:76" ht="13" customHeight="1">
      <c r="A40" s="307"/>
      <c r="B40" s="2270" t="s">
        <v>2119</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4">
        <f>ROUND(Y38*Y39,0)</f>
        <v>3737633</v>
      </c>
      <c r="Z40" s="2264"/>
      <c r="AA40" s="2264"/>
      <c r="AB40" s="2264"/>
      <c r="AC40" s="2264"/>
      <c r="AD40" s="2263">
        <f>ROUND(AD38*AD39,0)</f>
        <v>0</v>
      </c>
      <c r="AE40" s="2264"/>
      <c r="AF40" s="2264"/>
      <c r="AG40" s="2264"/>
      <c r="AH40" s="2264"/>
    </row>
    <row r="41" spans="1:76" ht="13" customHeight="1">
      <c r="B41" s="2270" t="s">
        <v>2120</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65">
        <f>Y40+AD40</f>
        <v>3737633</v>
      </c>
      <c r="Z41" s="2266"/>
      <c r="AA41" s="2266"/>
      <c r="AB41" s="2266"/>
      <c r="AC41" s="2266"/>
      <c r="AD41" s="2266"/>
      <c r="AE41" s="2266"/>
      <c r="AF41" s="2266"/>
      <c r="AG41" s="2266"/>
      <c r="AH41" s="2263"/>
    </row>
    <row r="42" spans="1:76" ht="13"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68" t="s">
        <v>2121</v>
      </c>
      <c r="B44" s="2268"/>
      <c r="C44" s="2268"/>
      <c r="D44" s="2268"/>
      <c r="E44" s="2268"/>
      <c r="F44" s="2268"/>
      <c r="G44" s="2268"/>
      <c r="H44" s="2268"/>
      <c r="I44" s="2268"/>
      <c r="J44" s="2268"/>
      <c r="K44" s="2268"/>
      <c r="L44" s="2268"/>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c r="AS44" s="2268"/>
      <c r="AT44" s="2268"/>
      <c r="AU44" s="2268"/>
      <c r="AV44" s="2268"/>
      <c r="AW44" s="2268"/>
      <c r="AX44" s="2268"/>
      <c r="AY44" s="2268"/>
      <c r="AZ44" s="2268"/>
      <c r="BA44" s="2268"/>
      <c r="BB44" s="2268"/>
      <c r="BC44" s="2268"/>
      <c r="BD44" s="2268"/>
      <c r="BE44" s="2268"/>
      <c r="BF44" s="2268"/>
      <c r="BG44" s="2268"/>
      <c r="BH44" s="2268"/>
      <c r="BI44" s="2268"/>
      <c r="BJ44" s="2268"/>
      <c r="BK44" s="2268"/>
      <c r="BL44" s="2268"/>
      <c r="BM44" s="2268"/>
      <c r="BN44" s="2268"/>
      <c r="BO44" s="2268"/>
      <c r="BP44" s="2268"/>
      <c r="BQ44" s="2268"/>
      <c r="BR44" s="2268"/>
      <c r="BS44" s="2268"/>
      <c r="BT44" s="2268"/>
      <c r="BU44" s="2268"/>
      <c r="BV44" s="2268"/>
      <c r="BW44" s="2268"/>
      <c r="BX44" s="2268"/>
    </row>
    <row r="45" spans="1:76" s="136" customFormat="1" ht="13" customHeight="1" thickTop="1"/>
    <row r="46" spans="1:76" ht="13" customHeight="1">
      <c r="A46" s="307" t="s">
        <v>1005</v>
      </c>
      <c r="C46" s="307" t="s">
        <v>282</v>
      </c>
    </row>
    <row r="47" spans="1:76" ht="13" customHeight="1">
      <c r="D47" s="307" t="s">
        <v>683</v>
      </c>
      <c r="AB47" s="2280">
        <f>'Sources and Uses Budget'!B105-MAX(IF('Sources and Uses Budget'!B15="",0,'Sources and Uses Budget'!B15),IF(Application!AG403="",0,Application!AG403))</f>
        <v>78307447</v>
      </c>
      <c r="AC47" s="2281"/>
      <c r="AD47" s="2281"/>
      <c r="AE47" s="2281"/>
      <c r="AF47" s="2282"/>
    </row>
    <row r="48" spans="1:76" ht="13" customHeight="1">
      <c r="D48" s="307" t="s">
        <v>175</v>
      </c>
      <c r="AB48" s="2280">
        <f>Application!AO647-MAX(IF('Sources and Uses Budget'!B15="",0,'Sources and Uses Budget'!B15),IF(Application!AG403="",0,Application!AG403))</f>
        <v>42711918</v>
      </c>
      <c r="AC48" s="2281"/>
      <c r="AD48" s="2281"/>
      <c r="AE48" s="2281"/>
      <c r="AF48" s="2282"/>
    </row>
    <row r="49" spans="1:76" ht="13" customHeight="1">
      <c r="D49" s="307" t="s">
        <v>2122</v>
      </c>
      <c r="AB49" s="2280">
        <f>AB47-AB48</f>
        <v>35595529</v>
      </c>
      <c r="AC49" s="2281"/>
      <c r="AD49" s="2281"/>
      <c r="AE49" s="2281"/>
      <c r="AF49" s="2282"/>
    </row>
    <row r="50" spans="1:76" ht="13" customHeight="1">
      <c r="D50" s="307" t="s">
        <v>2123</v>
      </c>
      <c r="AA50" s="318"/>
      <c r="AB50" s="2307">
        <f>0.8199181</f>
        <v>0.81991809999999998</v>
      </c>
      <c r="AC50" s="2308"/>
      <c r="AD50" s="2308"/>
      <c r="AE50" s="2308"/>
      <c r="AF50" s="2309"/>
    </row>
    <row r="51" spans="1:76" s="320" customFormat="1" ht="13" customHeight="1">
      <c r="A51" s="305"/>
      <c r="B51" s="305"/>
      <c r="C51" s="305"/>
      <c r="D51" s="305"/>
      <c r="E51" s="2310" t="s">
        <v>2124</v>
      </c>
      <c r="F51" s="2310"/>
      <c r="G51" s="2310"/>
      <c r="H51" s="2310"/>
      <c r="I51" s="2310"/>
      <c r="J51" s="2310"/>
      <c r="K51" s="2310"/>
      <c r="L51" s="2310"/>
      <c r="M51" s="2310"/>
      <c r="N51" s="2310"/>
      <c r="O51" s="2310"/>
      <c r="P51" s="2310"/>
      <c r="Q51" s="2310"/>
      <c r="R51" s="2310"/>
      <c r="S51" s="2310"/>
      <c r="T51" s="2310"/>
      <c r="U51" s="2310"/>
      <c r="V51" s="2310"/>
      <c r="W51" s="2310"/>
      <c r="X51" s="2310"/>
      <c r="Y51" s="2310"/>
      <c r="Z51" s="2310"/>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310"/>
      <c r="F52" s="2310"/>
      <c r="G52" s="2310"/>
      <c r="H52" s="2310"/>
      <c r="I52" s="2310"/>
      <c r="J52" s="2310"/>
      <c r="K52" s="2310"/>
      <c r="L52" s="2310"/>
      <c r="M52" s="2310"/>
      <c r="N52" s="2310"/>
      <c r="O52" s="2310"/>
      <c r="P52" s="2310"/>
      <c r="Q52" s="2310"/>
      <c r="R52" s="2310"/>
      <c r="S52" s="2310"/>
      <c r="T52" s="2310"/>
      <c r="U52" s="2310"/>
      <c r="V52" s="2310"/>
      <c r="W52" s="2310"/>
      <c r="X52" s="2310"/>
      <c r="Y52" s="2310"/>
      <c r="Z52" s="2310"/>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2125</v>
      </c>
      <c r="AB54" s="2280">
        <f>ROUND(IF(ISERROR((AB49/AB50)),0,(AB49/AB50)),0)</f>
        <v>43413518</v>
      </c>
      <c r="AC54" s="2281"/>
      <c r="AD54" s="2281"/>
      <c r="AE54" s="2281"/>
      <c r="AF54" s="2282"/>
    </row>
    <row r="55" spans="1:76" ht="13" customHeight="1">
      <c r="D55" s="307" t="s">
        <v>2126</v>
      </c>
      <c r="AB55" s="2280">
        <f>(AB54/10)</f>
        <v>4341351.8</v>
      </c>
      <c r="AC55" s="2281"/>
      <c r="AD55" s="2281"/>
      <c r="AE55" s="2281"/>
      <c r="AF55" s="2282"/>
    </row>
    <row r="56" spans="1:76" ht="13" customHeight="1">
      <c r="D56" s="307" t="s">
        <v>2127</v>
      </c>
      <c r="AB56" s="2280">
        <f>ROUND((IF((Y41&lt;AB55),Y41,AB55)),0)</f>
        <v>3737633</v>
      </c>
      <c r="AC56" s="2281"/>
      <c r="AD56" s="2281"/>
      <c r="AE56" s="2281"/>
      <c r="AF56" s="2282"/>
    </row>
    <row r="57" spans="1:76" ht="13" customHeight="1">
      <c r="D57" s="307" t="s">
        <v>2128</v>
      </c>
      <c r="AB57" s="2280">
        <f>ROUND((10*AB56*AB50),0)</f>
        <v>30645529</v>
      </c>
      <c r="AC57" s="2281"/>
      <c r="AD57" s="2281"/>
      <c r="AE57" s="2281"/>
      <c r="AF57" s="2282"/>
    </row>
    <row r="58" spans="1:76" ht="13" customHeight="1">
      <c r="D58" s="307"/>
      <c r="AB58" s="326"/>
      <c r="AC58" s="326"/>
      <c r="AD58" s="326"/>
      <c r="AE58" s="326"/>
      <c r="AF58" s="326"/>
    </row>
    <row r="59" spans="1:76" ht="13" customHeight="1">
      <c r="D59" s="307" t="s">
        <v>2129</v>
      </c>
      <c r="AB59" s="2303">
        <f>AB49-AB57</f>
        <v>4950000</v>
      </c>
      <c r="AC59" s="2303"/>
      <c r="AD59" s="2303"/>
      <c r="AE59" s="2303"/>
      <c r="AF59" s="2303"/>
    </row>
    <row r="60" spans="1:76" ht="13" customHeight="1">
      <c r="D60" s="307"/>
      <c r="AB60" s="326"/>
      <c r="AC60" s="326"/>
      <c r="AD60" s="326"/>
      <c r="AE60" s="326"/>
      <c r="AF60" s="326"/>
    </row>
    <row r="61" spans="1:76" s="136" customFormat="1" ht="13" customHeight="1" thickBot="1">
      <c r="A61" s="2268" t="str">
        <f>IF(Application!AP205="yes","Farmworker State Credit", "State Credit" )</f>
        <v>State Credit</v>
      </c>
      <c r="B61" s="2268"/>
      <c r="C61" s="2268"/>
      <c r="D61" s="2268"/>
      <c r="E61" s="2268"/>
      <c r="F61" s="2268"/>
      <c r="G61" s="2268"/>
      <c r="H61" s="2268"/>
      <c r="I61" s="2268"/>
      <c r="J61" s="2268"/>
      <c r="K61" s="2268"/>
      <c r="L61" s="2268"/>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c r="AS61" s="2268"/>
      <c r="AT61" s="2268"/>
      <c r="AU61" s="2268"/>
      <c r="AV61" s="2268"/>
      <c r="AW61" s="2268"/>
      <c r="AX61" s="2268"/>
      <c r="AY61" s="2268"/>
      <c r="AZ61" s="2268"/>
      <c r="BA61" s="2268"/>
      <c r="BB61" s="2268"/>
      <c r="BC61" s="2268"/>
      <c r="BD61" s="2268"/>
      <c r="BE61" s="2268"/>
      <c r="BF61" s="2268"/>
      <c r="BG61" s="2268"/>
      <c r="BH61" s="2268"/>
      <c r="BI61" s="2268"/>
      <c r="BJ61" s="2268"/>
      <c r="BK61" s="2268"/>
      <c r="BL61" s="2268"/>
      <c r="BM61" s="2268"/>
      <c r="BN61" s="2268"/>
      <c r="BO61" s="2268"/>
      <c r="BP61" s="2268"/>
      <c r="BQ61" s="2268"/>
      <c r="BR61" s="2268"/>
      <c r="BS61" s="2268"/>
      <c r="BT61" s="2268"/>
      <c r="BU61" s="2268"/>
      <c r="BV61" s="2268"/>
      <c r="BW61" s="2268"/>
      <c r="BX61" s="2268"/>
    </row>
    <row r="62" spans="1:76" s="136" customFormat="1" ht="13" customHeight="1" thickTop="1"/>
    <row r="63" spans="1:76" ht="13" customHeight="1">
      <c r="A63" s="307" t="s">
        <v>1023</v>
      </c>
      <c r="C63" s="137" t="s">
        <v>2130</v>
      </c>
      <c r="Y63" s="2304" t="s">
        <v>2131</v>
      </c>
      <c r="Z63" s="2304"/>
      <c r="AA63" s="2304"/>
      <c r="AB63" s="2304"/>
      <c r="AC63" s="2304"/>
      <c r="AD63" s="2304" t="s">
        <v>2117</v>
      </c>
      <c r="AE63" s="2304"/>
      <c r="AF63" s="2304"/>
      <c r="AG63" s="2304"/>
      <c r="AH63" s="2304"/>
    </row>
    <row r="64" spans="1:76" ht="13" customHeight="1">
      <c r="C64" s="307"/>
      <c r="D64" s="280" t="s">
        <v>2132</v>
      </c>
      <c r="E64" s="323"/>
      <c r="F64" s="323"/>
      <c r="G64" s="323"/>
      <c r="H64" s="323"/>
      <c r="I64" s="323"/>
      <c r="J64" s="323"/>
      <c r="K64" s="323"/>
      <c r="L64" s="323"/>
      <c r="M64" s="323"/>
      <c r="N64" s="323"/>
      <c r="O64" s="323"/>
      <c r="P64" s="323"/>
      <c r="Q64" s="323"/>
      <c r="R64" s="323"/>
      <c r="S64" s="323"/>
      <c r="T64" s="323"/>
      <c r="U64" s="323"/>
      <c r="V64" s="323"/>
      <c r="W64" s="323"/>
      <c r="X64" s="323"/>
      <c r="Y64" s="2265">
        <f>IF(Application!$Z$205="(select)",0,((T23*T27)+Y28))</f>
        <v>71877566</v>
      </c>
      <c r="Z64" s="2305"/>
      <c r="AA64" s="2305"/>
      <c r="AB64" s="2305"/>
      <c r="AC64" s="2306"/>
      <c r="AD64" s="2265">
        <f>IF(AND(OR(Application!D211="At-Risk",Application!D211="At-Risk and Special Needs"),Application!M367="yes"),AD28+AI28,0)</f>
        <v>0</v>
      </c>
      <c r="AE64" s="2305"/>
      <c r="AF64" s="2305"/>
      <c r="AG64" s="2305"/>
      <c r="AH64" s="2306"/>
    </row>
    <row r="65" spans="1:37" ht="13" customHeight="1">
      <c r="C65" s="307"/>
      <c r="E65" s="904" t="s">
        <v>2133</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2134</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3" customHeight="1">
      <c r="C67" s="307"/>
      <c r="D67" s="307" t="s">
        <v>2135</v>
      </c>
      <c r="E67" s="324"/>
      <c r="F67" s="324"/>
      <c r="G67" s="324"/>
      <c r="H67" s="324"/>
      <c r="I67" s="324"/>
      <c r="J67" s="324"/>
      <c r="K67" s="324"/>
      <c r="L67" s="324"/>
      <c r="M67" s="324"/>
      <c r="N67" s="324"/>
      <c r="O67" s="324"/>
      <c r="P67" s="324"/>
      <c r="Q67" s="324"/>
      <c r="R67" s="324"/>
      <c r="S67" s="324"/>
      <c r="T67" s="324"/>
      <c r="U67" s="324"/>
      <c r="V67" s="324"/>
      <c r="W67" s="324"/>
      <c r="X67" s="324"/>
      <c r="Y67" s="2318">
        <f>IF(OR(Application!Z205="State Farmworker Credit",Application!Z205="$500M (Farmworker Housing)"),0.75,IF(Application!Z205="15% set-aside",0.13,IF(Application!Z205="15% set-aside with qualifying low value rehab",0.95,IF(Application!Z205="$500M",0.3,0))))</f>
        <v>0.3</v>
      </c>
      <c r="Z67" s="2318"/>
      <c r="AA67" s="2318"/>
      <c r="AB67" s="2318"/>
      <c r="AC67" s="2318"/>
      <c r="AD67" s="2318">
        <f>IF(Application!Z205="15% set-aside with qualifying low value rehab", 0.95,IF(OR(Application!D211="At-Risk",'Points System'!B26="Yes"),0.13,0))</f>
        <v>0</v>
      </c>
      <c r="AE67" s="2318"/>
      <c r="AF67" s="2318"/>
      <c r="AG67" s="2318"/>
      <c r="AH67" s="2318"/>
    </row>
    <row r="68" spans="1:37" ht="13" customHeight="1">
      <c r="C68" s="307"/>
      <c r="D68" s="137" t="s">
        <v>2136</v>
      </c>
      <c r="Y68" s="2264">
        <f>IF(AND(T25=1.3,OR(Y67=0.13,Y67=0.95),NOT(Application!T212&gt;=50%)),0,ROUND(Y64*Y67,0))</f>
        <v>21563270</v>
      </c>
      <c r="Z68" s="2319"/>
      <c r="AA68" s="2319"/>
      <c r="AB68" s="2319"/>
      <c r="AC68" s="2319"/>
      <c r="AD68" s="2264">
        <f>IF(AND(T25=1.3,AD67&gt;0,NOT(Application!T212&gt;=50%)),0,ROUND(AD64*AD67,0))</f>
        <v>0</v>
      </c>
      <c r="AE68" s="2319"/>
      <c r="AF68" s="2319"/>
      <c r="AG68" s="2319"/>
      <c r="AH68" s="2319"/>
      <c r="AK68" s="1081"/>
    </row>
    <row r="69" spans="1:37" ht="13" customHeight="1">
      <c r="C69" s="307"/>
      <c r="D69" s="137" t="s">
        <v>2137</v>
      </c>
      <c r="Y69" s="2264">
        <f>IF(OR(Application!Z205="State Farmworker Credit",Application!Z205="$500M (Farmworker Housing)"),Y68+AD68,MIN(Y68+AD68,200000*(Application!G761+Application!O785)))</f>
        <v>21563270</v>
      </c>
      <c r="Z69" s="2264"/>
      <c r="AA69" s="2264"/>
      <c r="AB69" s="2264"/>
      <c r="AC69" s="2264"/>
      <c r="AD69" s="2264"/>
      <c r="AE69" s="2264"/>
      <c r="AF69" s="2264"/>
      <c r="AG69" s="2264"/>
      <c r="AH69" s="2264"/>
    </row>
    <row r="70" spans="1:37" ht="13" customHeight="1">
      <c r="C70" s="307"/>
      <c r="E70" s="307"/>
      <c r="AB70" s="325"/>
      <c r="AC70" s="325"/>
      <c r="AD70" s="325"/>
      <c r="AE70" s="325"/>
      <c r="AF70" s="325"/>
    </row>
    <row r="71" spans="1:37" ht="13" customHeight="1">
      <c r="A71" s="307" t="s">
        <v>1035</v>
      </c>
      <c r="C71" s="137" t="s">
        <v>288</v>
      </c>
    </row>
    <row r="72" spans="1:37" ht="13" customHeight="1">
      <c r="A72" s="307"/>
      <c r="C72" s="307"/>
      <c r="D72" s="137" t="s">
        <v>737</v>
      </c>
      <c r="AB72" s="2307">
        <v>0.9</v>
      </c>
      <c r="AC72" s="2308"/>
      <c r="AD72" s="2308"/>
      <c r="AE72" s="2308"/>
      <c r="AF72" s="2309"/>
    </row>
    <row r="73" spans="1:37" ht="13" customHeight="1">
      <c r="A73" s="307"/>
      <c r="C73" s="307"/>
      <c r="D73" s="307"/>
      <c r="E73" s="2320" t="s">
        <v>2138</v>
      </c>
      <c r="F73" s="2320"/>
      <c r="G73" s="2320"/>
      <c r="H73" s="2320"/>
      <c r="I73" s="2320"/>
      <c r="J73" s="2320"/>
      <c r="K73" s="2320"/>
      <c r="L73" s="2320"/>
      <c r="M73" s="2320"/>
      <c r="N73" s="2320"/>
      <c r="O73" s="2320"/>
      <c r="P73" s="2320"/>
      <c r="Q73" s="2320"/>
      <c r="R73" s="2320"/>
      <c r="S73" s="2320"/>
      <c r="T73" s="2320"/>
      <c r="U73" s="2320"/>
      <c r="V73" s="2320"/>
      <c r="W73" s="2320"/>
      <c r="X73" s="2320"/>
      <c r="Y73" s="2320"/>
      <c r="Z73" s="2320"/>
      <c r="AA73" s="2320"/>
      <c r="AB73" s="341"/>
      <c r="AC73" s="341"/>
    </row>
    <row r="74" spans="1:37" ht="13" customHeight="1">
      <c r="A74" s="307"/>
      <c r="C74" s="307"/>
      <c r="D74" s="307"/>
      <c r="E74" s="2320"/>
      <c r="F74" s="2320"/>
      <c r="G74" s="2320"/>
      <c r="H74" s="2320"/>
      <c r="I74" s="2320"/>
      <c r="J74" s="2320"/>
      <c r="K74" s="2320"/>
      <c r="L74" s="2320"/>
      <c r="M74" s="2320"/>
      <c r="N74" s="2320"/>
      <c r="O74" s="2320"/>
      <c r="P74" s="2320"/>
      <c r="Q74" s="2320"/>
      <c r="R74" s="2320"/>
      <c r="S74" s="2320"/>
      <c r="T74" s="2320"/>
      <c r="U74" s="2320"/>
      <c r="V74" s="2320"/>
      <c r="W74" s="2320"/>
      <c r="X74" s="2320"/>
      <c r="Y74" s="2320"/>
      <c r="Z74" s="2320"/>
      <c r="AA74" s="2320"/>
      <c r="AB74" s="341"/>
      <c r="AC74" s="341"/>
    </row>
    <row r="75" spans="1:37" ht="13" customHeight="1">
      <c r="A75" s="307"/>
      <c r="C75" s="307"/>
      <c r="D75" s="307"/>
      <c r="E75" s="2320"/>
      <c r="F75" s="2320"/>
      <c r="G75" s="2320"/>
      <c r="H75" s="2320"/>
      <c r="I75" s="2320"/>
      <c r="J75" s="2320"/>
      <c r="K75" s="2320"/>
      <c r="L75" s="2320"/>
      <c r="M75" s="2320"/>
      <c r="N75" s="2320"/>
      <c r="O75" s="2320"/>
      <c r="P75" s="2320"/>
      <c r="Q75" s="2320"/>
      <c r="R75" s="2320"/>
      <c r="S75" s="2320"/>
      <c r="T75" s="2320"/>
      <c r="U75" s="2320"/>
      <c r="V75" s="2320"/>
      <c r="W75" s="2320"/>
      <c r="X75" s="2320"/>
      <c r="Y75" s="2320"/>
      <c r="Z75" s="2320"/>
      <c r="AA75" s="2320"/>
      <c r="AB75" s="341"/>
      <c r="AC75" s="341"/>
    </row>
    <row r="76" spans="1:37"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3" customHeight="1">
      <c r="C77" s="307"/>
      <c r="D77" s="137" t="s">
        <v>2139</v>
      </c>
      <c r="AB77" s="2313">
        <f>ROUND(IF(ISERROR((AB59/AB72)),0,(AB59/AB72)),0)</f>
        <v>5500000</v>
      </c>
      <c r="AC77" s="2313"/>
      <c r="AD77" s="2313"/>
      <c r="AE77" s="2313"/>
      <c r="AF77" s="2313"/>
    </row>
    <row r="78" spans="1:37" ht="13" customHeight="1">
      <c r="C78" s="307"/>
      <c r="D78" s="137" t="s">
        <v>2140</v>
      </c>
      <c r="AB78" s="2314">
        <f>ROUNDUP(MIN(Y69,AB77),0)</f>
        <v>5500000</v>
      </c>
      <c r="AC78" s="2315"/>
      <c r="AD78" s="2315"/>
      <c r="AE78" s="2315"/>
      <c r="AF78" s="2316"/>
    </row>
    <row r="79" spans="1:37" ht="13" customHeight="1">
      <c r="C79" s="307"/>
      <c r="D79" s="137" t="s">
        <v>2141</v>
      </c>
      <c r="AB79" s="2317">
        <f>AB78*AB72</f>
        <v>4950000</v>
      </c>
      <c r="AC79" s="2317"/>
      <c r="AD79" s="2317"/>
      <c r="AE79" s="2317"/>
      <c r="AF79" s="2317"/>
    </row>
    <row r="80" spans="1:37" ht="13" customHeight="1">
      <c r="C80" s="307"/>
      <c r="D80" s="307"/>
      <c r="AB80" s="328"/>
      <c r="AC80" s="328"/>
      <c r="AD80" s="328"/>
      <c r="AE80" s="328"/>
      <c r="AF80" s="328"/>
    </row>
    <row r="81" spans="1:78" ht="13" customHeight="1">
      <c r="D81" s="307" t="s">
        <v>2129</v>
      </c>
      <c r="AB81" s="2303">
        <f>AB49-(AB57+AB79)</f>
        <v>0</v>
      </c>
      <c r="AC81" s="2303"/>
      <c r="AD81" s="2303"/>
      <c r="AE81" s="2303"/>
      <c r="AF81" s="2303"/>
    </row>
    <row r="82" spans="1:78" ht="13" customHeight="1">
      <c r="F82" s="422"/>
      <c r="J82" s="422" t="str">
        <f>IF(AB81&gt;0,"FUNDING GAP MUST NOT EXCEED ZERO","")</f>
        <v/>
      </c>
    </row>
    <row r="83" spans="1:78" ht="13" customHeight="1">
      <c r="D83" s="423"/>
    </row>
    <row r="84" spans="1:78" ht="13" customHeight="1" thickBot="1">
      <c r="A84" s="2268"/>
      <c r="B84" s="2268"/>
      <c r="C84" s="2268"/>
      <c r="D84" s="2268"/>
      <c r="E84" s="2268"/>
      <c r="F84" s="2268"/>
      <c r="G84" s="2268"/>
      <c r="H84" s="2268"/>
      <c r="I84" s="2268"/>
      <c r="J84" s="2268"/>
      <c r="K84" s="2268"/>
      <c r="L84" s="2268"/>
      <c r="M84" s="2268"/>
      <c r="N84" s="2268"/>
      <c r="O84" s="2268"/>
      <c r="P84" s="2268"/>
      <c r="Q84" s="2268"/>
      <c r="R84" s="2268"/>
      <c r="S84" s="2268"/>
      <c r="T84" s="2268"/>
      <c r="U84" s="2268"/>
      <c r="V84" s="2268"/>
      <c r="W84" s="2268"/>
      <c r="X84" s="2268"/>
      <c r="Y84" s="2268"/>
      <c r="Z84" s="2268"/>
      <c r="AA84" s="2268"/>
      <c r="AB84" s="2268"/>
      <c r="AC84" s="2268"/>
      <c r="AD84" s="2268"/>
      <c r="AE84" s="2268"/>
      <c r="AF84" s="2268"/>
      <c r="AG84" s="2268"/>
      <c r="AH84" s="2268"/>
      <c r="AI84" s="2268"/>
      <c r="AJ84" s="2268"/>
      <c r="AK84" s="2268"/>
      <c r="AL84" s="2268"/>
      <c r="AM84" s="2268"/>
      <c r="AN84" s="2268"/>
      <c r="AO84" s="2268"/>
      <c r="AP84" s="2268"/>
      <c r="AQ84" s="2268"/>
      <c r="AR84" s="2268"/>
      <c r="AS84" s="2268"/>
      <c r="AT84" s="2268"/>
      <c r="AU84" s="2268"/>
      <c r="AV84" s="2268"/>
      <c r="AW84" s="2268"/>
      <c r="AX84" s="2268"/>
      <c r="AY84" s="2268"/>
      <c r="AZ84" s="2268"/>
      <c r="BA84" s="2268"/>
      <c r="BB84" s="2268"/>
      <c r="BC84" s="2268"/>
      <c r="BD84" s="2268"/>
      <c r="BE84" s="2268"/>
      <c r="BF84" s="2268"/>
      <c r="BG84" s="2268"/>
      <c r="BH84" s="2268"/>
      <c r="BI84" s="2268"/>
      <c r="BJ84" s="2268"/>
      <c r="BK84" s="2268"/>
      <c r="BL84" s="2268"/>
      <c r="BM84" s="2268"/>
      <c r="BN84" s="2268"/>
      <c r="BO84" s="2268"/>
      <c r="BP84" s="2268"/>
      <c r="BQ84" s="2268"/>
      <c r="BR84" s="2268"/>
      <c r="BS84" s="2268"/>
      <c r="BT84" s="2268"/>
      <c r="BU84" s="2268"/>
      <c r="BV84" s="2268"/>
      <c r="BW84" s="2268"/>
      <c r="BX84" s="2268"/>
    </row>
    <row r="85" spans="1:78" ht="13" customHeight="1" thickTop="1"/>
    <row r="86" spans="1:78" ht="13" hidden="1" customHeight="1">
      <c r="A86" s="307"/>
      <c r="C86" s="137"/>
    </row>
    <row r="87" spans="1:78" ht="13" hidden="1" customHeight="1">
      <c r="D87" s="137"/>
      <c r="AB87" s="2269"/>
      <c r="AC87" s="2269"/>
      <c r="AD87" s="2269"/>
      <c r="AE87" s="2269"/>
      <c r="AF87" s="2269"/>
    </row>
    <row r="88" spans="1:78" ht="13" hidden="1" customHeight="1" thickBot="1">
      <c r="D88" s="137"/>
      <c r="AB88" s="2267"/>
      <c r="AC88" s="2267"/>
      <c r="AD88" s="2267"/>
      <c r="AE88" s="2267"/>
      <c r="AF88" s="2267"/>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27" zoomScale="90" zoomScaleNormal="90" zoomScaleSheetLayoutView="30" workbookViewId="0">
      <selection activeCell="AF565" sqref="AF565:AJ565"/>
    </sheetView>
  </sheetViews>
  <sheetFormatPr defaultColWidth="0" defaultRowHeight="12.5" zeroHeight="1"/>
  <cols>
    <col min="1" max="3" width="2.453125" style="13" customWidth="1"/>
    <col min="4" max="4" width="3.1796875" style="13" customWidth="1"/>
    <col min="5" max="5" width="3.453125" style="13" customWidth="1"/>
    <col min="6" max="6" width="2.81640625" style="13" customWidth="1"/>
    <col min="7" max="14" width="2.453125" style="13" customWidth="1"/>
    <col min="15" max="15" width="2.81640625" style="13" customWidth="1"/>
    <col min="16" max="16" width="2.453125" style="13" customWidth="1"/>
    <col min="17" max="17" width="3.81640625" style="13" customWidth="1"/>
    <col min="18" max="18" width="4.453125" style="13" customWidth="1"/>
    <col min="19" max="19" width="3.453125" style="13" customWidth="1"/>
    <col min="20" max="32" width="2.453125" style="13" customWidth="1"/>
    <col min="33" max="33" width="3.453125" style="13" customWidth="1"/>
    <col min="34" max="36" width="2.453125" style="13" customWidth="1"/>
    <col min="37" max="37" width="5.453125" style="13" customWidth="1"/>
    <col min="38" max="38" width="2.453125" style="13" customWidth="1"/>
    <col min="39" max="39" width="3.453125" style="13" customWidth="1"/>
    <col min="40" max="40" width="5.453125" style="434" customWidth="1"/>
    <col min="41" max="41" width="5.453125" style="25" hidden="1" customWidth="1"/>
    <col min="42" max="45" width="5.453125" style="13" hidden="1" customWidth="1"/>
    <col min="46" max="46" width="10.81640625" style="13" hidden="1" customWidth="1"/>
    <col min="47" max="48" width="5.453125" style="13" hidden="1" customWidth="1"/>
    <col min="49" max="49" width="8.453125" style="13" hidden="1" customWidth="1"/>
    <col min="50" max="50" width="7.453125" style="13" hidden="1" customWidth="1"/>
    <col min="51" max="55" width="5.453125" style="13" hidden="1" customWidth="1"/>
    <col min="56" max="60" width="5.453125" style="27" hidden="1" customWidth="1"/>
    <col min="61" max="81" width="5.453125" style="13" hidden="1" customWidth="1"/>
    <col min="82" max="16384" width="9.1796875" style="13" hidden="1"/>
  </cols>
  <sheetData>
    <row r="1" spans="1:41" ht="15.75" customHeight="1">
      <c r="A1" s="2552" t="s">
        <v>2142</v>
      </c>
      <c r="B1" s="2552"/>
      <c r="C1" s="2552"/>
      <c r="D1" s="2552"/>
      <c r="E1" s="2552"/>
      <c r="F1" s="2552"/>
      <c r="G1" s="2552"/>
      <c r="H1" s="2552"/>
      <c r="I1" s="2552"/>
      <c r="J1" s="2552"/>
      <c r="K1" s="2552"/>
      <c r="L1" s="2552"/>
      <c r="M1" s="2552"/>
      <c r="N1" s="2552"/>
      <c r="O1" s="2552"/>
      <c r="P1" s="2552"/>
      <c r="Q1" s="2552"/>
      <c r="R1" s="2552"/>
      <c r="S1" s="2552"/>
      <c r="T1" s="2552"/>
      <c r="U1" s="2552"/>
      <c r="V1" s="2552"/>
      <c r="W1" s="2552"/>
      <c r="X1" s="2552"/>
      <c r="Y1" s="2552"/>
      <c r="Z1" s="2552"/>
      <c r="AA1" s="2552"/>
      <c r="AB1" s="2552"/>
      <c r="AC1" s="2552"/>
      <c r="AD1" s="2552"/>
      <c r="AE1" s="2552"/>
      <c r="AF1" s="2552"/>
      <c r="AG1" s="2552"/>
      <c r="AH1" s="2552"/>
      <c r="AI1" s="2552"/>
      <c r="AJ1" s="2552"/>
      <c r="AK1" s="2552"/>
      <c r="AL1" s="2552"/>
      <c r="AM1" s="2552"/>
    </row>
    <row r="2" spans="1:41" s="436" customFormat="1" ht="12.75" customHeight="1" thickBot="1">
      <c r="A2" s="2553"/>
      <c r="B2" s="2553"/>
      <c r="C2" s="2553"/>
      <c r="D2" s="2553"/>
      <c r="E2" s="2553"/>
      <c r="F2" s="2553"/>
      <c r="G2" s="2553"/>
      <c r="H2" s="2553"/>
      <c r="I2" s="2553"/>
      <c r="J2" s="2553"/>
      <c r="K2" s="2553"/>
      <c r="L2" s="2553"/>
      <c r="M2" s="2553"/>
      <c r="N2" s="2553"/>
      <c r="O2" s="2553"/>
      <c r="P2" s="2553"/>
      <c r="Q2" s="2553"/>
      <c r="R2" s="2553"/>
      <c r="S2" s="2553"/>
      <c r="T2" s="2553"/>
      <c r="U2" s="2553"/>
      <c r="V2" s="2553"/>
      <c r="W2" s="2553"/>
      <c r="X2" s="2553"/>
      <c r="Y2" s="2553"/>
      <c r="Z2" s="2553"/>
      <c r="AA2" s="2553"/>
      <c r="AB2" s="2553"/>
      <c r="AC2" s="2553"/>
      <c r="AD2" s="2553"/>
      <c r="AE2" s="2553"/>
      <c r="AF2" s="2553"/>
      <c r="AG2" s="2553"/>
      <c r="AH2" s="2553"/>
      <c r="AI2" s="2553"/>
      <c r="AJ2" s="2553"/>
      <c r="AK2" s="2553"/>
      <c r="AL2" s="2553"/>
      <c r="AM2" s="2553"/>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2143</v>
      </c>
      <c r="B4" s="439" t="s">
        <v>2144</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2145</v>
      </c>
      <c r="B7" s="439" t="s">
        <v>2146</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81" t="s">
        <v>2147</v>
      </c>
      <c r="AF7" s="2381"/>
      <c r="AG7" s="2381"/>
      <c r="AH7" s="2381"/>
      <c r="AI7" s="2381"/>
      <c r="AJ7" s="2381"/>
      <c r="AK7" s="2381"/>
      <c r="AL7" s="440"/>
      <c r="AM7" s="440"/>
      <c r="AN7" s="435"/>
    </row>
    <row r="8" spans="1:41" s="436" customFormat="1" ht="12.75" customHeight="1">
      <c r="A8" s="438"/>
      <c r="B8" s="439" t="s">
        <v>2148</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2149</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23" t="s">
        <v>826</v>
      </c>
      <c r="C12" s="2523"/>
      <c r="D12" s="440"/>
      <c r="E12" s="2384" t="s">
        <v>2150</v>
      </c>
      <c r="F12" s="2385"/>
      <c r="G12" s="2385"/>
      <c r="H12" s="2385"/>
      <c r="I12" s="2385"/>
      <c r="J12" s="2385"/>
      <c r="K12" s="2385"/>
      <c r="L12" s="2385"/>
      <c r="M12" s="2385"/>
      <c r="N12" s="2385"/>
      <c r="O12" s="2385"/>
      <c r="P12" s="2385"/>
      <c r="Q12" s="2385"/>
      <c r="R12" s="2385"/>
      <c r="S12" s="2385"/>
      <c r="T12" s="2385"/>
      <c r="U12" s="2385"/>
      <c r="V12" s="2385"/>
      <c r="W12" s="2385"/>
      <c r="X12" s="2385"/>
      <c r="Y12" s="2385"/>
      <c r="Z12" s="2385"/>
      <c r="AA12" s="2385"/>
      <c r="AB12" s="2385"/>
      <c r="AC12" s="2385"/>
      <c r="AD12" s="2385"/>
      <c r="AE12" s="2385"/>
      <c r="AF12" s="2385"/>
      <c r="AG12" s="2385"/>
      <c r="AH12" s="2385"/>
      <c r="AI12" s="2385"/>
      <c r="AJ12" s="2386"/>
      <c r="AK12" s="440"/>
      <c r="AL12" s="440"/>
      <c r="AM12" s="440"/>
      <c r="AN12" s="435"/>
      <c r="AO12" s="457"/>
    </row>
    <row r="13" spans="1:41" s="436" customFormat="1" ht="12.75" customHeight="1">
      <c r="A13" s="440"/>
      <c r="D13" s="446"/>
      <c r="E13" s="2387"/>
      <c r="F13" s="2388"/>
      <c r="G13" s="2388"/>
      <c r="H13" s="2388"/>
      <c r="I13" s="2388"/>
      <c r="J13" s="2388"/>
      <c r="K13" s="2388"/>
      <c r="L13" s="2388"/>
      <c r="M13" s="2388"/>
      <c r="N13" s="2388"/>
      <c r="O13" s="2388"/>
      <c r="P13" s="2388"/>
      <c r="Q13" s="2388"/>
      <c r="R13" s="2388"/>
      <c r="S13" s="2388"/>
      <c r="T13" s="2388"/>
      <c r="U13" s="2388"/>
      <c r="V13" s="2388"/>
      <c r="W13" s="2388"/>
      <c r="X13" s="2388"/>
      <c r="Y13" s="2388"/>
      <c r="Z13" s="2388"/>
      <c r="AA13" s="2388"/>
      <c r="AB13" s="2388"/>
      <c r="AC13" s="2388"/>
      <c r="AD13" s="2388"/>
      <c r="AE13" s="2388"/>
      <c r="AF13" s="2388"/>
      <c r="AG13" s="2388"/>
      <c r="AH13" s="2388"/>
      <c r="AI13" s="2388"/>
      <c r="AJ13" s="2389"/>
      <c r="AK13" s="440"/>
      <c r="AL13" s="440"/>
      <c r="AM13" s="440"/>
      <c r="AN13" s="435"/>
      <c r="AO13" s="457"/>
    </row>
    <row r="14" spans="1:41" s="436" customFormat="1" ht="12.75" customHeight="1">
      <c r="A14" s="440"/>
      <c r="D14" s="440"/>
      <c r="E14" s="2540"/>
      <c r="F14" s="2541"/>
      <c r="G14" s="2541"/>
      <c r="H14" s="2541"/>
      <c r="I14" s="2541"/>
      <c r="J14" s="2541"/>
      <c r="K14" s="2541"/>
      <c r="L14" s="2541"/>
      <c r="M14" s="2541"/>
      <c r="N14" s="2541"/>
      <c r="O14" s="2541"/>
      <c r="P14" s="2541"/>
      <c r="Q14" s="2541"/>
      <c r="R14" s="2541"/>
      <c r="S14" s="2541"/>
      <c r="T14" s="2541"/>
      <c r="U14" s="2541"/>
      <c r="V14" s="2541"/>
      <c r="W14" s="2541"/>
      <c r="X14" s="2541"/>
      <c r="Y14" s="2541"/>
      <c r="Z14" s="2541"/>
      <c r="AA14" s="2541"/>
      <c r="AB14" s="2541"/>
      <c r="AC14" s="2541"/>
      <c r="AD14" s="2541"/>
      <c r="AE14" s="2541"/>
      <c r="AF14" s="2541"/>
      <c r="AG14" s="2541"/>
      <c r="AH14" s="2541"/>
      <c r="AI14" s="2541"/>
      <c r="AJ14" s="2542"/>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23" t="s">
        <v>826</v>
      </c>
      <c r="C16" s="2523"/>
      <c r="D16" s="440"/>
      <c r="E16" s="2384" t="s">
        <v>2151</v>
      </c>
      <c r="F16" s="2385"/>
      <c r="G16" s="2385"/>
      <c r="H16" s="2385"/>
      <c r="I16" s="2385"/>
      <c r="J16" s="2385"/>
      <c r="K16" s="2385"/>
      <c r="L16" s="2385"/>
      <c r="M16" s="2385"/>
      <c r="N16" s="2385"/>
      <c r="O16" s="2385"/>
      <c r="P16" s="2385"/>
      <c r="Q16" s="2385"/>
      <c r="R16" s="2385"/>
      <c r="S16" s="2385"/>
      <c r="T16" s="2385"/>
      <c r="U16" s="2385"/>
      <c r="V16" s="2385"/>
      <c r="W16" s="2385"/>
      <c r="X16" s="2385"/>
      <c r="Y16" s="2385"/>
      <c r="Z16" s="2385"/>
      <c r="AA16" s="2385"/>
      <c r="AB16" s="2385"/>
      <c r="AC16" s="2385"/>
      <c r="AD16" s="2385"/>
      <c r="AE16" s="2385"/>
      <c r="AF16" s="2385"/>
      <c r="AG16" s="2385"/>
      <c r="AH16" s="2385"/>
      <c r="AI16" s="2385"/>
      <c r="AJ16" s="2386"/>
      <c r="AK16" s="440"/>
      <c r="AL16" s="440"/>
      <c r="AM16" s="440"/>
      <c r="AN16" s="435"/>
    </row>
    <row r="17" spans="1:50" s="436" customFormat="1" ht="12.75" customHeight="1">
      <c r="A17" s="440"/>
      <c r="B17" s="440"/>
      <c r="C17" s="440"/>
      <c r="D17" s="440"/>
      <c r="E17" s="2387"/>
      <c r="F17" s="2388"/>
      <c r="G17" s="2388"/>
      <c r="H17" s="2388"/>
      <c r="I17" s="2388"/>
      <c r="J17" s="2388"/>
      <c r="K17" s="2388"/>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c r="AH17" s="2388"/>
      <c r="AI17" s="2388"/>
      <c r="AJ17" s="2389"/>
      <c r="AK17" s="440"/>
      <c r="AL17" s="440"/>
      <c r="AM17" s="440"/>
      <c r="AN17" s="435"/>
    </row>
    <row r="18" spans="1:50" s="436" customFormat="1" ht="12.75" customHeight="1">
      <c r="A18" s="440"/>
      <c r="B18" s="440"/>
      <c r="C18" s="1024"/>
      <c r="D18" s="440"/>
      <c r="E18" s="2540"/>
      <c r="F18" s="2541"/>
      <c r="G18" s="2541"/>
      <c r="H18" s="2541"/>
      <c r="I18" s="2541"/>
      <c r="J18" s="2541"/>
      <c r="K18" s="2541"/>
      <c r="L18" s="2541"/>
      <c r="M18" s="2541"/>
      <c r="N18" s="2541"/>
      <c r="O18" s="2541"/>
      <c r="P18" s="2541"/>
      <c r="Q18" s="2541"/>
      <c r="R18" s="2541"/>
      <c r="S18" s="2541"/>
      <c r="T18" s="2541"/>
      <c r="U18" s="2541"/>
      <c r="V18" s="2541"/>
      <c r="W18" s="2541"/>
      <c r="X18" s="2541"/>
      <c r="Y18" s="2541"/>
      <c r="Z18" s="2541"/>
      <c r="AA18" s="2541"/>
      <c r="AB18" s="2541"/>
      <c r="AC18" s="2541"/>
      <c r="AD18" s="2541"/>
      <c r="AE18" s="2541"/>
      <c r="AF18" s="2541"/>
      <c r="AG18" s="2541"/>
      <c r="AH18" s="2541"/>
      <c r="AI18" s="2541"/>
      <c r="AJ18" s="2542"/>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23" t="s">
        <v>826</v>
      </c>
      <c r="C20" s="2523"/>
      <c r="D20" s="440"/>
      <c r="E20" s="2384" t="s">
        <v>2152</v>
      </c>
      <c r="F20" s="2385"/>
      <c r="G20" s="2385"/>
      <c r="H20" s="2385"/>
      <c r="I20" s="2385"/>
      <c r="J20" s="2385"/>
      <c r="K20" s="2385"/>
      <c r="L20" s="2385"/>
      <c r="M20" s="2385"/>
      <c r="N20" s="2385"/>
      <c r="O20" s="2385"/>
      <c r="P20" s="2385"/>
      <c r="Q20" s="2385"/>
      <c r="R20" s="2385"/>
      <c r="S20" s="2385"/>
      <c r="T20" s="2385"/>
      <c r="U20" s="2385"/>
      <c r="V20" s="2385"/>
      <c r="W20" s="2385"/>
      <c r="X20" s="2385"/>
      <c r="Y20" s="2385"/>
      <c r="Z20" s="2385"/>
      <c r="AA20" s="2385"/>
      <c r="AB20" s="2385"/>
      <c r="AC20" s="2385"/>
      <c r="AD20" s="2385"/>
      <c r="AE20" s="2385"/>
      <c r="AF20" s="2385"/>
      <c r="AG20" s="2385"/>
      <c r="AH20" s="2385"/>
      <c r="AI20" s="2385"/>
      <c r="AJ20" s="2386"/>
      <c r="AK20" s="440"/>
      <c r="AL20" s="440"/>
      <c r="AM20" s="440"/>
      <c r="AN20" s="435"/>
    </row>
    <row r="21" spans="1:50" s="436" customFormat="1" ht="12.75" customHeight="1">
      <c r="A21" s="440"/>
      <c r="B21" s="446"/>
      <c r="C21" s="446"/>
      <c r="D21" s="446"/>
      <c r="E21" s="2540"/>
      <c r="F21" s="2541"/>
      <c r="G21" s="2541"/>
      <c r="H21" s="2541"/>
      <c r="I21" s="2541"/>
      <c r="J21" s="2541"/>
      <c r="K21" s="2541"/>
      <c r="L21" s="2541"/>
      <c r="M21" s="2541"/>
      <c r="N21" s="2541"/>
      <c r="O21" s="2541"/>
      <c r="P21" s="2541"/>
      <c r="Q21" s="2541"/>
      <c r="R21" s="2541"/>
      <c r="S21" s="2541"/>
      <c r="T21" s="2541"/>
      <c r="U21" s="2541"/>
      <c r="V21" s="2541"/>
      <c r="W21" s="2541"/>
      <c r="X21" s="2541"/>
      <c r="Y21" s="2541"/>
      <c r="Z21" s="2541"/>
      <c r="AA21" s="2541"/>
      <c r="AB21" s="2541"/>
      <c r="AC21" s="2541"/>
      <c r="AD21" s="2541"/>
      <c r="AE21" s="2541"/>
      <c r="AF21" s="2541"/>
      <c r="AG21" s="2541"/>
      <c r="AH21" s="2541"/>
      <c r="AI21" s="2541"/>
      <c r="AJ21" s="2542"/>
      <c r="AK21" s="440"/>
      <c r="AL21" s="440"/>
      <c r="AM21" s="440"/>
      <c r="AN21" s="435"/>
      <c r="AO21" s="436">
        <f>IF(AND(B12="Yes",B16="Yes",B20="Yes"),10,0)</f>
        <v>0</v>
      </c>
      <c r="AP21" s="436" t="s">
        <v>2153</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2154</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2155</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23" t="s">
        <v>826</v>
      </c>
      <c r="C26" s="2523"/>
      <c r="D26" s="446"/>
      <c r="E26" s="447" t="s">
        <v>2156</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54"/>
      <c r="AH26" s="2554"/>
      <c r="AI26" s="2554"/>
      <c r="AJ26" s="2555"/>
      <c r="AK26" s="440"/>
      <c r="AL26" s="440"/>
      <c r="AM26" s="440"/>
      <c r="AN26" s="435"/>
      <c r="AO26" s="436">
        <f>IF($B26="yes",20,0)</f>
        <v>0</v>
      </c>
      <c r="AP26" s="13" t="s">
        <v>2153</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2157</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23" t="s">
        <v>826</v>
      </c>
      <c r="C30" s="2523"/>
      <c r="D30" s="446"/>
      <c r="E30" s="2556" t="s">
        <v>2158</v>
      </c>
      <c r="F30" s="2557"/>
      <c r="G30" s="2557"/>
      <c r="H30" s="2557"/>
      <c r="I30" s="2557"/>
      <c r="J30" s="2557"/>
      <c r="K30" s="2557"/>
      <c r="L30" s="2557"/>
      <c r="M30" s="2557"/>
      <c r="N30" s="2557"/>
      <c r="O30" s="2557"/>
      <c r="P30" s="2557"/>
      <c r="Q30" s="2557"/>
      <c r="R30" s="2557"/>
      <c r="S30" s="2557"/>
      <c r="T30" s="2557"/>
      <c r="U30" s="2557"/>
      <c r="V30" s="2557"/>
      <c r="W30" s="2557"/>
      <c r="X30" s="2557"/>
      <c r="Y30" s="2557"/>
      <c r="Z30" s="2557"/>
      <c r="AA30" s="2557"/>
      <c r="AB30" s="2557"/>
      <c r="AC30" s="2557"/>
      <c r="AD30" s="2557"/>
      <c r="AE30" s="2557"/>
      <c r="AF30" s="2557"/>
      <c r="AG30" s="2557"/>
      <c r="AH30" s="2557"/>
      <c r="AI30" s="2557"/>
      <c r="AJ30" s="2558"/>
      <c r="AK30" s="440"/>
      <c r="AL30" s="440"/>
      <c r="AM30" s="440"/>
      <c r="AN30" s="435"/>
      <c r="AO30" s="449">
        <f>IF($B30="yes",9,0)</f>
        <v>0</v>
      </c>
    </row>
    <row r="31" spans="1:50" s="436" customFormat="1" ht="12.75" customHeight="1">
      <c r="A31" s="440"/>
      <c r="B31" s="440"/>
      <c r="C31" s="440"/>
      <c r="E31" s="2562"/>
      <c r="F31" s="2563"/>
      <c r="G31" s="2563"/>
      <c r="H31" s="2563"/>
      <c r="I31" s="2563"/>
      <c r="J31" s="2563"/>
      <c r="K31" s="2563"/>
      <c r="L31" s="2563"/>
      <c r="M31" s="2563"/>
      <c r="N31" s="2563"/>
      <c r="O31" s="2563"/>
      <c r="P31" s="2563"/>
      <c r="Q31" s="2563"/>
      <c r="R31" s="2563"/>
      <c r="S31" s="2563"/>
      <c r="T31" s="2563"/>
      <c r="U31" s="2563"/>
      <c r="V31" s="2563"/>
      <c r="W31" s="2563"/>
      <c r="X31" s="2563"/>
      <c r="Y31" s="2563"/>
      <c r="Z31" s="2563"/>
      <c r="AA31" s="2563"/>
      <c r="AB31" s="2563"/>
      <c r="AC31" s="2563"/>
      <c r="AD31" s="2563"/>
      <c r="AE31" s="2563"/>
      <c r="AF31" s="2563"/>
      <c r="AG31" s="2563"/>
      <c r="AH31" s="2563"/>
      <c r="AI31" s="2563"/>
      <c r="AJ31" s="2564"/>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23" t="s">
        <v>826</v>
      </c>
      <c r="C33" s="2523"/>
      <c r="D33" s="446"/>
      <c r="E33" s="2556" t="s">
        <v>2159</v>
      </c>
      <c r="F33" s="2557"/>
      <c r="G33" s="2557"/>
      <c r="H33" s="2557"/>
      <c r="I33" s="2557"/>
      <c r="J33" s="2557"/>
      <c r="K33" s="2557"/>
      <c r="L33" s="2557"/>
      <c r="M33" s="2557"/>
      <c r="N33" s="2557"/>
      <c r="O33" s="2557"/>
      <c r="P33" s="2557"/>
      <c r="Q33" s="2557"/>
      <c r="R33" s="2557"/>
      <c r="S33" s="2557"/>
      <c r="T33" s="2557"/>
      <c r="U33" s="2557"/>
      <c r="V33" s="2557"/>
      <c r="W33" s="2557"/>
      <c r="X33" s="2557"/>
      <c r="Y33" s="2557"/>
      <c r="Z33" s="2557"/>
      <c r="AA33" s="2557"/>
      <c r="AB33" s="2557"/>
      <c r="AC33" s="2557"/>
      <c r="AD33" s="2557"/>
      <c r="AE33" s="2557"/>
      <c r="AF33" s="2557"/>
      <c r="AG33" s="2557"/>
      <c r="AH33" s="2557"/>
      <c r="AI33" s="2557"/>
      <c r="AJ33" s="2558"/>
      <c r="AK33" s="440"/>
      <c r="AL33" s="440"/>
      <c r="AM33" s="440"/>
      <c r="AN33" s="435"/>
      <c r="AO33" s="449">
        <f>IF($B39="yes",9,0)</f>
        <v>0</v>
      </c>
    </row>
    <row r="34" spans="1:43" s="436" customFormat="1" ht="12.75" customHeight="1">
      <c r="A34" s="440"/>
      <c r="B34" s="440"/>
      <c r="C34" s="440"/>
      <c r="D34" s="446"/>
      <c r="E34" s="2559"/>
      <c r="F34" s="2560"/>
      <c r="G34" s="2560"/>
      <c r="H34" s="2560"/>
      <c r="I34" s="2560"/>
      <c r="J34" s="2560"/>
      <c r="K34" s="2560"/>
      <c r="L34" s="2560"/>
      <c r="M34" s="2560"/>
      <c r="N34" s="2560"/>
      <c r="O34" s="2560"/>
      <c r="P34" s="2560"/>
      <c r="Q34" s="2560"/>
      <c r="R34" s="2560"/>
      <c r="S34" s="2560"/>
      <c r="T34" s="2560"/>
      <c r="U34" s="2560"/>
      <c r="V34" s="2560"/>
      <c r="W34" s="2560"/>
      <c r="X34" s="2560"/>
      <c r="Y34" s="2560"/>
      <c r="Z34" s="2560"/>
      <c r="AA34" s="2560"/>
      <c r="AB34" s="2560"/>
      <c r="AC34" s="2560"/>
      <c r="AD34" s="2560"/>
      <c r="AE34" s="2560"/>
      <c r="AF34" s="2560"/>
      <c r="AG34" s="2560"/>
      <c r="AH34" s="2560"/>
      <c r="AI34" s="2560"/>
      <c r="AJ34" s="2561"/>
      <c r="AK34" s="440"/>
      <c r="AL34" s="440"/>
      <c r="AM34" s="440"/>
      <c r="AN34" s="435"/>
      <c r="AO34" s="436">
        <f>MAX(AO30,AO31,AO32,AO33)</f>
        <v>0</v>
      </c>
      <c r="AP34" s="436" t="s">
        <v>2153</v>
      </c>
    </row>
    <row r="35" spans="1:43" s="436" customFormat="1" ht="12.75" customHeight="1">
      <c r="A35" s="440"/>
      <c r="B35" s="440"/>
      <c r="C35" s="440"/>
      <c r="E35" s="2562"/>
      <c r="F35" s="2563"/>
      <c r="G35" s="2563"/>
      <c r="H35" s="2563"/>
      <c r="I35" s="2563"/>
      <c r="J35" s="2563"/>
      <c r="K35" s="2563"/>
      <c r="L35" s="2563"/>
      <c r="M35" s="2563"/>
      <c r="N35" s="2563"/>
      <c r="O35" s="2563"/>
      <c r="P35" s="2563"/>
      <c r="Q35" s="2563"/>
      <c r="R35" s="2563"/>
      <c r="S35" s="2563"/>
      <c r="T35" s="2563"/>
      <c r="U35" s="2563"/>
      <c r="V35" s="2563"/>
      <c r="W35" s="2563"/>
      <c r="X35" s="2563"/>
      <c r="Y35" s="2563"/>
      <c r="Z35" s="2563"/>
      <c r="AA35" s="2563"/>
      <c r="AB35" s="2563"/>
      <c r="AC35" s="2563"/>
      <c r="AD35" s="2563"/>
      <c r="AE35" s="2563"/>
      <c r="AF35" s="2563"/>
      <c r="AG35" s="2563"/>
      <c r="AH35" s="2563"/>
      <c r="AI35" s="2563"/>
      <c r="AJ35" s="2564"/>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23" t="s">
        <v>826</v>
      </c>
      <c r="C37" s="2523"/>
      <c r="D37" s="1025"/>
      <c r="E37" s="2549" t="s">
        <v>2160</v>
      </c>
      <c r="F37" s="2550"/>
      <c r="G37" s="2550"/>
      <c r="H37" s="2550"/>
      <c r="I37" s="2550"/>
      <c r="J37" s="2550"/>
      <c r="K37" s="2550"/>
      <c r="L37" s="2550"/>
      <c r="M37" s="2550"/>
      <c r="N37" s="2550"/>
      <c r="O37" s="2550"/>
      <c r="P37" s="2550"/>
      <c r="Q37" s="2550"/>
      <c r="R37" s="2550"/>
      <c r="S37" s="2550"/>
      <c r="T37" s="2550"/>
      <c r="U37" s="2550"/>
      <c r="V37" s="2550"/>
      <c r="W37" s="2550"/>
      <c r="X37" s="2550"/>
      <c r="Y37" s="2550"/>
      <c r="Z37" s="2550"/>
      <c r="AA37" s="2550"/>
      <c r="AB37" s="2550"/>
      <c r="AC37" s="2550"/>
      <c r="AD37" s="2550"/>
      <c r="AE37" s="2550"/>
      <c r="AF37" s="2550"/>
      <c r="AG37" s="2550"/>
      <c r="AH37" s="2550"/>
      <c r="AI37" s="2550"/>
      <c r="AJ37" s="2551"/>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23" t="s">
        <v>826</v>
      </c>
      <c r="C39" s="2523"/>
      <c r="D39" s="1025"/>
      <c r="E39" s="2549" t="s">
        <v>2161</v>
      </c>
      <c r="F39" s="2550"/>
      <c r="G39" s="2550"/>
      <c r="H39" s="2550"/>
      <c r="I39" s="2550"/>
      <c r="J39" s="2550"/>
      <c r="K39" s="2550"/>
      <c r="L39" s="2550"/>
      <c r="M39" s="2550"/>
      <c r="N39" s="2550"/>
      <c r="O39" s="2550"/>
      <c r="P39" s="2550"/>
      <c r="Q39" s="2550"/>
      <c r="R39" s="2550"/>
      <c r="S39" s="2550"/>
      <c r="T39" s="2550"/>
      <c r="U39" s="2550"/>
      <c r="V39" s="2550"/>
      <c r="W39" s="2550"/>
      <c r="X39" s="2550"/>
      <c r="Y39" s="2550"/>
      <c r="Z39" s="2550"/>
      <c r="AA39" s="2550"/>
      <c r="AB39" s="2550"/>
      <c r="AC39" s="2550"/>
      <c r="AD39" s="2550"/>
      <c r="AE39" s="2550"/>
      <c r="AF39" s="2550"/>
      <c r="AG39" s="2550"/>
      <c r="AH39" s="2550"/>
      <c r="AI39" s="2550"/>
      <c r="AJ39" s="2551"/>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2162</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23" t="s">
        <v>826</v>
      </c>
      <c r="C43" s="2523"/>
      <c r="D43" s="446"/>
      <c r="E43" s="2524" t="s">
        <v>2163</v>
      </c>
      <c r="F43" s="2525"/>
      <c r="G43" s="2525"/>
      <c r="H43" s="2525"/>
      <c r="I43" s="2525"/>
      <c r="J43" s="2525"/>
      <c r="K43" s="2525"/>
      <c r="L43" s="2525"/>
      <c r="M43" s="2525"/>
      <c r="N43" s="2525"/>
      <c r="O43" s="2525"/>
      <c r="P43" s="2525"/>
      <c r="Q43" s="2525"/>
      <c r="R43" s="2525"/>
      <c r="S43" s="2525"/>
      <c r="T43" s="2525"/>
      <c r="U43" s="2525"/>
      <c r="V43" s="2525"/>
      <c r="W43" s="2525"/>
      <c r="X43" s="2525"/>
      <c r="Y43" s="2525"/>
      <c r="Z43" s="2525"/>
      <c r="AA43" s="2525"/>
      <c r="AB43" s="2525"/>
      <c r="AC43" s="2525"/>
      <c r="AD43" s="2525"/>
      <c r="AE43" s="2525"/>
      <c r="AF43" s="2525"/>
      <c r="AG43" s="2525"/>
      <c r="AH43" s="2525"/>
      <c r="AI43" s="2525"/>
      <c r="AJ43" s="2526"/>
      <c r="AK43" s="440"/>
      <c r="AL43" s="440"/>
      <c r="AM43" s="440"/>
      <c r="AN43" s="435"/>
      <c r="AO43" s="449">
        <f>IF($B43="yes",8,0)</f>
        <v>0</v>
      </c>
      <c r="AP43" s="13"/>
    </row>
    <row r="44" spans="1:43" s="436" customFormat="1" ht="12.75" customHeight="1">
      <c r="A44" s="440"/>
      <c r="B44" s="440"/>
      <c r="C44" s="440"/>
      <c r="D44" s="450"/>
      <c r="E44" s="2565"/>
      <c r="F44" s="2566"/>
      <c r="G44" s="2566"/>
      <c r="H44" s="2566"/>
      <c r="I44" s="2566"/>
      <c r="J44" s="2566"/>
      <c r="K44" s="2566"/>
      <c r="L44" s="2566"/>
      <c r="M44" s="2566"/>
      <c r="N44" s="2566"/>
      <c r="O44" s="2566"/>
      <c r="P44" s="2566"/>
      <c r="Q44" s="2566"/>
      <c r="R44" s="2566"/>
      <c r="S44" s="2566"/>
      <c r="T44" s="2566"/>
      <c r="U44" s="2566"/>
      <c r="V44" s="2566"/>
      <c r="W44" s="2566"/>
      <c r="X44" s="2566"/>
      <c r="Y44" s="2566"/>
      <c r="Z44" s="2566"/>
      <c r="AA44" s="2566"/>
      <c r="AB44" s="2566"/>
      <c r="AC44" s="2566"/>
      <c r="AD44" s="2566"/>
      <c r="AE44" s="2566"/>
      <c r="AF44" s="2566"/>
      <c r="AG44" s="2566"/>
      <c r="AH44" s="2566"/>
      <c r="AI44" s="2566"/>
      <c r="AJ44" s="2567"/>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23" t="s">
        <v>826</v>
      </c>
      <c r="C46" s="2523"/>
      <c r="D46" s="446"/>
      <c r="E46" s="2556" t="s">
        <v>2164</v>
      </c>
      <c r="F46" s="2557"/>
      <c r="G46" s="2557"/>
      <c r="H46" s="2557"/>
      <c r="I46" s="2557"/>
      <c r="J46" s="2557"/>
      <c r="K46" s="2557"/>
      <c r="L46" s="2557"/>
      <c r="M46" s="2557"/>
      <c r="N46" s="2557"/>
      <c r="O46" s="2557"/>
      <c r="P46" s="2557"/>
      <c r="Q46" s="2557"/>
      <c r="R46" s="2557"/>
      <c r="S46" s="2557"/>
      <c r="T46" s="2557"/>
      <c r="U46" s="2557"/>
      <c r="V46" s="2557"/>
      <c r="W46" s="2557"/>
      <c r="X46" s="2557"/>
      <c r="Y46" s="2557"/>
      <c r="Z46" s="2557"/>
      <c r="AA46" s="2557"/>
      <c r="AB46" s="2557"/>
      <c r="AC46" s="2557"/>
      <c r="AD46" s="2557"/>
      <c r="AE46" s="2557"/>
      <c r="AF46" s="2557"/>
      <c r="AG46" s="2557"/>
      <c r="AH46" s="2557"/>
      <c r="AI46" s="2557"/>
      <c r="AJ46" s="2558"/>
      <c r="AK46" s="440"/>
      <c r="AL46" s="440"/>
      <c r="AM46" s="440"/>
      <c r="AN46" s="435"/>
      <c r="AO46" s="449">
        <f>IF($B52="yes",8,0)</f>
        <v>0</v>
      </c>
    </row>
    <row r="47" spans="1:43" s="436" customFormat="1" ht="12.75" customHeight="1">
      <c r="A47" s="440"/>
      <c r="B47" s="440"/>
      <c r="C47" s="440"/>
      <c r="D47" s="449"/>
      <c r="E47" s="2562"/>
      <c r="F47" s="2563"/>
      <c r="G47" s="2563"/>
      <c r="H47" s="2563"/>
      <c r="I47" s="2563"/>
      <c r="J47" s="2563"/>
      <c r="K47" s="2563"/>
      <c r="L47" s="2563"/>
      <c r="M47" s="2563"/>
      <c r="N47" s="2563"/>
      <c r="O47" s="2563"/>
      <c r="P47" s="2563"/>
      <c r="Q47" s="2563"/>
      <c r="R47" s="2563"/>
      <c r="S47" s="2563"/>
      <c r="T47" s="2563"/>
      <c r="U47" s="2563"/>
      <c r="V47" s="2563"/>
      <c r="W47" s="2563"/>
      <c r="X47" s="2563"/>
      <c r="Y47" s="2563"/>
      <c r="Z47" s="2563"/>
      <c r="AA47" s="2563"/>
      <c r="AB47" s="2563"/>
      <c r="AC47" s="2563"/>
      <c r="AD47" s="2563"/>
      <c r="AE47" s="2563"/>
      <c r="AF47" s="2563"/>
      <c r="AG47" s="2563"/>
      <c r="AH47" s="2563"/>
      <c r="AI47" s="2563"/>
      <c r="AJ47" s="2564"/>
      <c r="AK47" s="440"/>
      <c r="AL47" s="440"/>
      <c r="AM47" s="440"/>
      <c r="AN47" s="435"/>
      <c r="AO47" s="436">
        <f>MAX(AO43,AO44,AO45,AO46)</f>
        <v>0</v>
      </c>
      <c r="AP47" s="436" t="s">
        <v>2153</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23" t="s">
        <v>826</v>
      </c>
      <c r="C49" s="2523"/>
      <c r="D49" s="446"/>
      <c r="E49" s="2384" t="s">
        <v>2165</v>
      </c>
      <c r="F49" s="2385"/>
      <c r="G49" s="2385"/>
      <c r="H49" s="2385"/>
      <c r="I49" s="2385"/>
      <c r="J49" s="2385"/>
      <c r="K49" s="2385"/>
      <c r="L49" s="2385"/>
      <c r="M49" s="2385"/>
      <c r="N49" s="2385"/>
      <c r="O49" s="2385"/>
      <c r="P49" s="2385"/>
      <c r="Q49" s="2385"/>
      <c r="R49" s="2385"/>
      <c r="S49" s="2385"/>
      <c r="T49" s="2385"/>
      <c r="U49" s="2385"/>
      <c r="V49" s="2385"/>
      <c r="W49" s="2385"/>
      <c r="X49" s="2385"/>
      <c r="Y49" s="2385"/>
      <c r="Z49" s="2385"/>
      <c r="AA49" s="2385"/>
      <c r="AB49" s="2385"/>
      <c r="AC49" s="2385"/>
      <c r="AD49" s="2385"/>
      <c r="AE49" s="2385"/>
      <c r="AF49" s="2385"/>
      <c r="AG49" s="2385"/>
      <c r="AH49" s="2385"/>
      <c r="AI49" s="2385"/>
      <c r="AJ49" s="2386"/>
      <c r="AK49" s="440"/>
      <c r="AL49" s="440"/>
      <c r="AM49" s="440"/>
      <c r="AN49" s="435"/>
      <c r="AO49" s="449"/>
    </row>
    <row r="50" spans="1:42" s="436" customFormat="1" ht="12.75" customHeight="1">
      <c r="A50" s="440"/>
      <c r="B50" s="440"/>
      <c r="C50" s="440"/>
      <c r="D50" s="449"/>
      <c r="E50" s="2540"/>
      <c r="F50" s="2541"/>
      <c r="G50" s="2541"/>
      <c r="H50" s="2541"/>
      <c r="I50" s="2541"/>
      <c r="J50" s="2541"/>
      <c r="K50" s="2541"/>
      <c r="L50" s="2541"/>
      <c r="M50" s="2541"/>
      <c r="N50" s="2541"/>
      <c r="O50" s="2541"/>
      <c r="P50" s="2541"/>
      <c r="Q50" s="2541"/>
      <c r="R50" s="2541"/>
      <c r="S50" s="2541"/>
      <c r="T50" s="2541"/>
      <c r="U50" s="2541"/>
      <c r="V50" s="2541"/>
      <c r="W50" s="2541"/>
      <c r="X50" s="2541"/>
      <c r="Y50" s="2541"/>
      <c r="Z50" s="2541"/>
      <c r="AA50" s="2541"/>
      <c r="AB50" s="2541"/>
      <c r="AC50" s="2541"/>
      <c r="AD50" s="2541"/>
      <c r="AE50" s="2541"/>
      <c r="AF50" s="2541"/>
      <c r="AG50" s="2541"/>
      <c r="AH50" s="2541"/>
      <c r="AI50" s="2541"/>
      <c r="AJ50" s="2542"/>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23" t="s">
        <v>826</v>
      </c>
      <c r="C52" s="2523"/>
      <c r="D52" s="446"/>
      <c r="E52" s="2549" t="s">
        <v>2166</v>
      </c>
      <c r="F52" s="2550"/>
      <c r="G52" s="2550"/>
      <c r="H52" s="2550"/>
      <c r="I52" s="2550"/>
      <c r="J52" s="2550"/>
      <c r="K52" s="2550"/>
      <c r="L52" s="2550"/>
      <c r="M52" s="2550"/>
      <c r="N52" s="2550"/>
      <c r="O52" s="2550"/>
      <c r="P52" s="2550"/>
      <c r="Q52" s="2550"/>
      <c r="R52" s="2550"/>
      <c r="S52" s="2550"/>
      <c r="T52" s="2550"/>
      <c r="U52" s="2550"/>
      <c r="V52" s="2550"/>
      <c r="W52" s="2550"/>
      <c r="X52" s="2550"/>
      <c r="Y52" s="2550"/>
      <c r="Z52" s="2550"/>
      <c r="AA52" s="2550"/>
      <c r="AB52" s="2550"/>
      <c r="AC52" s="2550"/>
      <c r="AD52" s="2550"/>
      <c r="AE52" s="2550"/>
      <c r="AF52" s="2550"/>
      <c r="AG52" s="2550"/>
      <c r="AH52" s="2550"/>
      <c r="AI52" s="2550"/>
      <c r="AJ52" s="2551"/>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2167</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23" t="s">
        <v>826</v>
      </c>
      <c r="C56" s="2523"/>
      <c r="D56" s="446"/>
      <c r="E56" s="2384" t="s">
        <v>2168</v>
      </c>
      <c r="F56" s="2385"/>
      <c r="G56" s="2385"/>
      <c r="H56" s="2385"/>
      <c r="I56" s="2385"/>
      <c r="J56" s="2385"/>
      <c r="K56" s="2385"/>
      <c r="L56" s="2385"/>
      <c r="M56" s="2385"/>
      <c r="N56" s="2385"/>
      <c r="O56" s="2385"/>
      <c r="P56" s="2385"/>
      <c r="Q56" s="2385"/>
      <c r="R56" s="2385"/>
      <c r="S56" s="2385"/>
      <c r="T56" s="2385"/>
      <c r="U56" s="2385"/>
      <c r="V56" s="2385"/>
      <c r="W56" s="2385"/>
      <c r="X56" s="2385"/>
      <c r="Y56" s="2385"/>
      <c r="Z56" s="2385"/>
      <c r="AA56" s="2385"/>
      <c r="AB56" s="2385"/>
      <c r="AC56" s="2385"/>
      <c r="AD56" s="2385"/>
      <c r="AE56" s="2385"/>
      <c r="AF56" s="2385"/>
      <c r="AG56" s="2385"/>
      <c r="AH56" s="2385"/>
      <c r="AI56" s="2385"/>
      <c r="AJ56" s="2386"/>
      <c r="AK56" s="440"/>
      <c r="AL56" s="440"/>
      <c r="AM56" s="440"/>
      <c r="AN56" s="435"/>
      <c r="AO56" s="449">
        <f>IF($B59="yes",7,0)</f>
        <v>0</v>
      </c>
    </row>
    <row r="57" spans="1:42" s="436" customFormat="1" ht="12.75" customHeight="1">
      <c r="A57" s="440"/>
      <c r="B57" s="440"/>
      <c r="C57" s="440"/>
      <c r="D57" s="449"/>
      <c r="E57" s="2540"/>
      <c r="F57" s="2541"/>
      <c r="G57" s="2541"/>
      <c r="H57" s="2541"/>
      <c r="I57" s="2541"/>
      <c r="J57" s="2541"/>
      <c r="K57" s="2541"/>
      <c r="L57" s="2541"/>
      <c r="M57" s="2541"/>
      <c r="N57" s="2541"/>
      <c r="O57" s="2541"/>
      <c r="P57" s="2541"/>
      <c r="Q57" s="2541"/>
      <c r="R57" s="2541"/>
      <c r="S57" s="2541"/>
      <c r="T57" s="2541"/>
      <c r="U57" s="2541"/>
      <c r="V57" s="2541"/>
      <c r="W57" s="2541"/>
      <c r="X57" s="2541"/>
      <c r="Y57" s="2541"/>
      <c r="Z57" s="2541"/>
      <c r="AA57" s="2541"/>
      <c r="AB57" s="2541"/>
      <c r="AC57" s="2541"/>
      <c r="AD57" s="2541"/>
      <c r="AE57" s="2541"/>
      <c r="AF57" s="2541"/>
      <c r="AG57" s="2541"/>
      <c r="AH57" s="2541"/>
      <c r="AI57" s="2541"/>
      <c r="AJ57" s="2542"/>
      <c r="AK57" s="440"/>
      <c r="AL57" s="440"/>
      <c r="AM57" s="440"/>
      <c r="AN57" s="435"/>
      <c r="AO57" s="436">
        <f>MAX(AO55:AO56)</f>
        <v>0</v>
      </c>
      <c r="AP57" s="436" t="s">
        <v>2153</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23" t="s">
        <v>826</v>
      </c>
      <c r="C59" s="2523"/>
      <c r="D59" s="446"/>
      <c r="E59" s="2549" t="s">
        <v>2169</v>
      </c>
      <c r="F59" s="2550"/>
      <c r="G59" s="2550"/>
      <c r="H59" s="2550"/>
      <c r="I59" s="2550"/>
      <c r="J59" s="2550"/>
      <c r="K59" s="2550"/>
      <c r="L59" s="2550"/>
      <c r="M59" s="2550"/>
      <c r="N59" s="2550"/>
      <c r="O59" s="2550"/>
      <c r="P59" s="2550"/>
      <c r="Q59" s="2550"/>
      <c r="R59" s="2550"/>
      <c r="S59" s="2550"/>
      <c r="T59" s="2550"/>
      <c r="U59" s="2550"/>
      <c r="V59" s="2550"/>
      <c r="W59" s="2550"/>
      <c r="X59" s="2550"/>
      <c r="Y59" s="2550"/>
      <c r="Z59" s="2550"/>
      <c r="AA59" s="2550"/>
      <c r="AB59" s="2550"/>
      <c r="AC59" s="2550"/>
      <c r="AD59" s="2550"/>
      <c r="AE59" s="2550"/>
      <c r="AF59" s="2550"/>
      <c r="AG59" s="2550"/>
      <c r="AH59" s="2550"/>
      <c r="AI59" s="2550"/>
      <c r="AJ59" s="2551"/>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0</v>
      </c>
      <c r="AP60" s="436" t="s">
        <v>2153</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2170</v>
      </c>
      <c r="AK61" s="2515">
        <f>AO60</f>
        <v>0</v>
      </c>
      <c r="AL61" s="2516"/>
      <c r="AM61" s="2517"/>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2171</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81" t="s">
        <v>2172</v>
      </c>
      <c r="AF64" s="2381"/>
      <c r="AG64" s="2381"/>
      <c r="AH64" s="2381"/>
      <c r="AI64" s="2381"/>
      <c r="AJ64" s="2381"/>
      <c r="AK64" s="2381"/>
      <c r="AL64" s="440"/>
      <c r="AM64" s="440"/>
      <c r="AN64" s="435"/>
    </row>
    <row r="65" spans="1:42" s="436" customFormat="1" ht="12.75" customHeight="1">
      <c r="A65" s="438"/>
      <c r="B65" s="439" t="s">
        <v>2173</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23" t="s">
        <v>826</v>
      </c>
      <c r="C67" s="2523"/>
      <c r="D67" s="446" t="s">
        <v>2174</v>
      </c>
      <c r="E67" s="2524" t="s">
        <v>2175</v>
      </c>
      <c r="F67" s="2525"/>
      <c r="G67" s="2525"/>
      <c r="H67" s="2525"/>
      <c r="I67" s="2525"/>
      <c r="J67" s="2525"/>
      <c r="K67" s="2525"/>
      <c r="L67" s="2525"/>
      <c r="M67" s="2525"/>
      <c r="N67" s="2525"/>
      <c r="O67" s="2525"/>
      <c r="P67" s="2525"/>
      <c r="Q67" s="2525"/>
      <c r="R67" s="2525"/>
      <c r="S67" s="2525"/>
      <c r="T67" s="2525"/>
      <c r="U67" s="2525"/>
      <c r="V67" s="2525"/>
      <c r="W67" s="2525"/>
      <c r="X67" s="2525"/>
      <c r="Y67" s="2525"/>
      <c r="Z67" s="2525"/>
      <c r="AA67" s="2525"/>
      <c r="AB67" s="2525"/>
      <c r="AC67" s="2525"/>
      <c r="AD67" s="2525"/>
      <c r="AE67" s="2525"/>
      <c r="AF67" s="2525"/>
      <c r="AG67" s="2525"/>
      <c r="AH67" s="2525"/>
      <c r="AI67" s="2525"/>
      <c r="AJ67" s="2526"/>
      <c r="AK67" s="443"/>
      <c r="AL67" s="440"/>
      <c r="AM67" s="440"/>
      <c r="AN67" s="435"/>
      <c r="AO67" s="449">
        <f>IF($B67="yes",10,0)</f>
        <v>0</v>
      </c>
    </row>
    <row r="68" spans="1:42" s="436" customFormat="1" ht="12.75" customHeight="1">
      <c r="A68" s="438"/>
      <c r="B68" s="440"/>
      <c r="C68" s="440"/>
      <c r="D68" s="450"/>
      <c r="E68" s="2527"/>
      <c r="F68" s="2528"/>
      <c r="G68" s="2528"/>
      <c r="H68" s="2528"/>
      <c r="I68" s="2528"/>
      <c r="J68" s="2528"/>
      <c r="K68" s="2528"/>
      <c r="L68" s="2528"/>
      <c r="M68" s="2528"/>
      <c r="N68" s="2528"/>
      <c r="O68" s="2528"/>
      <c r="P68" s="2528"/>
      <c r="Q68" s="2528"/>
      <c r="R68" s="2528"/>
      <c r="S68" s="2528"/>
      <c r="T68" s="2528"/>
      <c r="U68" s="2528"/>
      <c r="V68" s="2528"/>
      <c r="W68" s="2528"/>
      <c r="X68" s="2528"/>
      <c r="Y68" s="2528"/>
      <c r="Z68" s="2528"/>
      <c r="AA68" s="2528"/>
      <c r="AB68" s="2528"/>
      <c r="AC68" s="2528"/>
      <c r="AD68" s="2528"/>
      <c r="AE68" s="2528"/>
      <c r="AF68" s="2528"/>
      <c r="AG68" s="2528"/>
      <c r="AH68" s="2528"/>
      <c r="AI68" s="2528"/>
      <c r="AJ68" s="2529"/>
      <c r="AK68" s="443"/>
      <c r="AL68" s="440"/>
      <c r="AM68" s="440"/>
      <c r="AN68" s="435"/>
      <c r="AO68" s="449">
        <f>IF(AND($B73="yes",OR(E74="Yes",E75="Yes",E76="Yes")),10,0)</f>
        <v>10</v>
      </c>
    </row>
    <row r="69" spans="1:42" s="436" customFormat="1" ht="12.75" customHeight="1">
      <c r="A69" s="438"/>
      <c r="B69" s="440"/>
      <c r="C69" s="440"/>
      <c r="D69" s="450"/>
      <c r="E69" s="2527"/>
      <c r="F69" s="2528"/>
      <c r="G69" s="2528"/>
      <c r="H69" s="2528"/>
      <c r="I69" s="2528"/>
      <c r="J69" s="2528"/>
      <c r="K69" s="2528"/>
      <c r="L69" s="2528"/>
      <c r="M69" s="2528"/>
      <c r="N69" s="2528"/>
      <c r="O69" s="2528"/>
      <c r="P69" s="2528"/>
      <c r="Q69" s="2528"/>
      <c r="R69" s="2528"/>
      <c r="S69" s="2528"/>
      <c r="T69" s="2528"/>
      <c r="U69" s="2528"/>
      <c r="V69" s="2528"/>
      <c r="W69" s="2528"/>
      <c r="X69" s="2528"/>
      <c r="Y69" s="2528"/>
      <c r="Z69" s="2528"/>
      <c r="AA69" s="2528"/>
      <c r="AB69" s="2528"/>
      <c r="AC69" s="2528"/>
      <c r="AD69" s="2528"/>
      <c r="AE69" s="2528"/>
      <c r="AF69" s="2528"/>
      <c r="AG69" s="2528"/>
      <c r="AH69" s="2528"/>
      <c r="AI69" s="2528"/>
      <c r="AJ69" s="2529"/>
      <c r="AK69" s="443"/>
      <c r="AL69" s="440"/>
      <c r="AM69" s="440"/>
      <c r="AN69" s="435"/>
      <c r="AO69" s="449">
        <f>IF($B78="yes",10,0)</f>
        <v>0</v>
      </c>
    </row>
    <row r="70" spans="1:42" s="436" customFormat="1" ht="12.75" customHeight="1">
      <c r="A70" s="438"/>
      <c r="B70" s="440"/>
      <c r="C70" s="440"/>
      <c r="D70" s="450"/>
      <c r="E70" s="2527"/>
      <c r="F70" s="2528"/>
      <c r="G70" s="2528"/>
      <c r="H70" s="2528"/>
      <c r="I70" s="2528"/>
      <c r="J70" s="2528"/>
      <c r="K70" s="2528"/>
      <c r="L70" s="2528"/>
      <c r="M70" s="2528"/>
      <c r="N70" s="2528"/>
      <c r="O70" s="2528"/>
      <c r="P70" s="2528"/>
      <c r="Q70" s="2528"/>
      <c r="R70" s="2528"/>
      <c r="S70" s="2528"/>
      <c r="T70" s="2528"/>
      <c r="U70" s="2528"/>
      <c r="V70" s="2528"/>
      <c r="W70" s="2528"/>
      <c r="X70" s="2528"/>
      <c r="Y70" s="2528"/>
      <c r="Z70" s="2528"/>
      <c r="AA70" s="2528"/>
      <c r="AB70" s="2528"/>
      <c r="AC70" s="2528"/>
      <c r="AD70" s="2528"/>
      <c r="AE70" s="2528"/>
      <c r="AF70" s="2528"/>
      <c r="AG70" s="2528"/>
      <c r="AH70" s="2528"/>
      <c r="AI70" s="2528"/>
      <c r="AJ70" s="2529"/>
      <c r="AK70" s="443"/>
      <c r="AL70" s="440"/>
      <c r="AM70" s="440"/>
      <c r="AN70" s="435"/>
      <c r="AO70" s="449">
        <f>IF($B81="yes",10,0)</f>
        <v>0</v>
      </c>
    </row>
    <row r="71" spans="1:42" s="436" customFormat="1" ht="12.75" customHeight="1">
      <c r="A71" s="438"/>
      <c r="B71" s="440"/>
      <c r="C71" s="440"/>
      <c r="D71" s="450"/>
      <c r="E71" s="2565"/>
      <c r="F71" s="2566"/>
      <c r="G71" s="2566"/>
      <c r="H71" s="2566"/>
      <c r="I71" s="2566"/>
      <c r="J71" s="2566"/>
      <c r="K71" s="2566"/>
      <c r="L71" s="2566"/>
      <c r="M71" s="2566"/>
      <c r="N71" s="2566"/>
      <c r="O71" s="2566"/>
      <c r="P71" s="2566"/>
      <c r="Q71" s="2566"/>
      <c r="R71" s="2566"/>
      <c r="S71" s="2566"/>
      <c r="T71" s="2566"/>
      <c r="U71" s="2566"/>
      <c r="V71" s="2566"/>
      <c r="W71" s="2566"/>
      <c r="X71" s="2566"/>
      <c r="Y71" s="2566"/>
      <c r="Z71" s="2566"/>
      <c r="AA71" s="2566"/>
      <c r="AB71" s="2566"/>
      <c r="AC71" s="2566"/>
      <c r="AD71" s="2566"/>
      <c r="AE71" s="2566"/>
      <c r="AF71" s="2566"/>
      <c r="AG71" s="2566"/>
      <c r="AH71" s="2566"/>
      <c r="AI71" s="2566"/>
      <c r="AJ71" s="2567"/>
      <c r="AK71" s="443"/>
      <c r="AL71" s="440"/>
      <c r="AM71" s="440"/>
      <c r="AN71" s="435"/>
      <c r="AO71" s="436">
        <f>IF(SUM(AO67:AO70)&gt;10,10,(SUM(AO67:AO70)))</f>
        <v>10</v>
      </c>
      <c r="AP71" s="472" t="s">
        <v>2176</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23" t="s">
        <v>862</v>
      </c>
      <c r="C73" s="2523"/>
      <c r="D73" s="446" t="s">
        <v>2177</v>
      </c>
      <c r="E73" s="861" t="s">
        <v>2178</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71" t="s">
        <v>862</v>
      </c>
      <c r="F74" s="2523"/>
      <c r="G74" s="473"/>
      <c r="H74" s="456" t="s">
        <v>2179</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69" t="s">
        <v>826</v>
      </c>
      <c r="F75" s="2570"/>
      <c r="G75" s="473"/>
      <c r="H75" s="456" t="s">
        <v>2180</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69" t="s">
        <v>826</v>
      </c>
      <c r="F76" s="2570"/>
      <c r="G76" s="798"/>
      <c r="H76" s="1088" t="s">
        <v>2181</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23" t="s">
        <v>826</v>
      </c>
      <c r="C78" s="2523"/>
      <c r="D78" s="446" t="s">
        <v>2182</v>
      </c>
      <c r="E78" s="2384" t="s">
        <v>2183</v>
      </c>
      <c r="F78" s="2385"/>
      <c r="G78" s="2385"/>
      <c r="H78" s="2385"/>
      <c r="I78" s="2385"/>
      <c r="J78" s="2385"/>
      <c r="K78" s="2385"/>
      <c r="L78" s="2385"/>
      <c r="M78" s="2385"/>
      <c r="N78" s="2385"/>
      <c r="O78" s="2385"/>
      <c r="P78" s="2385"/>
      <c r="Q78" s="2385"/>
      <c r="R78" s="2385"/>
      <c r="S78" s="2385"/>
      <c r="T78" s="2385"/>
      <c r="U78" s="2385"/>
      <c r="V78" s="2385"/>
      <c r="W78" s="2385"/>
      <c r="X78" s="2385"/>
      <c r="Y78" s="2385"/>
      <c r="Z78" s="2385"/>
      <c r="AA78" s="2385"/>
      <c r="AB78" s="2385"/>
      <c r="AC78" s="2385"/>
      <c r="AD78" s="2385"/>
      <c r="AE78" s="2385"/>
      <c r="AF78" s="2385"/>
      <c r="AG78" s="2385"/>
      <c r="AH78" s="2385"/>
      <c r="AI78" s="2385"/>
      <c r="AJ78" s="2386"/>
      <c r="AK78" s="443"/>
      <c r="AL78" s="440"/>
      <c r="AM78" s="440"/>
      <c r="AN78" s="435"/>
    </row>
    <row r="79" spans="1:42" s="436" customFormat="1" ht="12.75" customHeight="1">
      <c r="A79" s="438"/>
      <c r="B79" s="440"/>
      <c r="C79" s="440"/>
      <c r="E79" s="2540"/>
      <c r="F79" s="2541"/>
      <c r="G79" s="2541"/>
      <c r="H79" s="2541"/>
      <c r="I79" s="2541"/>
      <c r="J79" s="2541"/>
      <c r="K79" s="2541"/>
      <c r="L79" s="2541"/>
      <c r="M79" s="2541"/>
      <c r="N79" s="2541"/>
      <c r="O79" s="2541"/>
      <c r="P79" s="2541"/>
      <c r="Q79" s="2541"/>
      <c r="R79" s="2541"/>
      <c r="S79" s="2541"/>
      <c r="T79" s="2541"/>
      <c r="U79" s="2541"/>
      <c r="V79" s="2541"/>
      <c r="W79" s="2541"/>
      <c r="X79" s="2541"/>
      <c r="Y79" s="2541"/>
      <c r="Z79" s="2541"/>
      <c r="AA79" s="2541"/>
      <c r="AB79" s="2541"/>
      <c r="AC79" s="2541"/>
      <c r="AD79" s="2541"/>
      <c r="AE79" s="2541"/>
      <c r="AF79" s="2541"/>
      <c r="AG79" s="2541"/>
      <c r="AH79" s="2541"/>
      <c r="AI79" s="2541"/>
      <c r="AJ79" s="2542"/>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23" t="s">
        <v>826</v>
      </c>
      <c r="C81" s="2523"/>
      <c r="D81" s="446" t="s">
        <v>2184</v>
      </c>
      <c r="E81" s="2549" t="s">
        <v>2185</v>
      </c>
      <c r="F81" s="2550"/>
      <c r="G81" s="2550"/>
      <c r="H81" s="2550"/>
      <c r="I81" s="2550"/>
      <c r="J81" s="2550"/>
      <c r="K81" s="2550"/>
      <c r="L81" s="2550"/>
      <c r="M81" s="2550"/>
      <c r="N81" s="2550"/>
      <c r="O81" s="2550"/>
      <c r="P81" s="2550"/>
      <c r="Q81" s="2550"/>
      <c r="R81" s="2550"/>
      <c r="S81" s="2550"/>
      <c r="T81" s="2550"/>
      <c r="U81" s="2550"/>
      <c r="V81" s="2550"/>
      <c r="W81" s="2550"/>
      <c r="X81" s="2550"/>
      <c r="Y81" s="2550"/>
      <c r="Z81" s="2550"/>
      <c r="AA81" s="2550"/>
      <c r="AB81" s="2550"/>
      <c r="AC81" s="2550"/>
      <c r="AD81" s="2550"/>
      <c r="AE81" s="2550"/>
      <c r="AF81" s="2550"/>
      <c r="AG81" s="2550"/>
      <c r="AH81" s="2550"/>
      <c r="AI81" s="2550"/>
      <c r="AJ81" s="2551"/>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2186</v>
      </c>
      <c r="AK83" s="2515">
        <f>IF(AK61&gt;0,0,AO71)</f>
        <v>10</v>
      </c>
      <c r="AL83" s="2516"/>
      <c r="AM83" s="2517"/>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2187</v>
      </c>
      <c r="B86" s="439" t="s">
        <v>2188</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81" t="s">
        <v>2147</v>
      </c>
      <c r="AF86" s="2381"/>
      <c r="AG86" s="2381"/>
      <c r="AH86" s="2381"/>
      <c r="AI86" s="2381"/>
      <c r="AJ86" s="2381"/>
      <c r="AK86" s="2381"/>
      <c r="AL86" s="440"/>
      <c r="AM86" s="440"/>
      <c r="AN86" s="435"/>
    </row>
    <row r="87" spans="1:43" s="436" customFormat="1" ht="12.75" customHeight="1">
      <c r="A87" s="438"/>
      <c r="B87" s="439" t="s">
        <v>2189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23" t="s">
        <v>826</v>
      </c>
      <c r="C89" s="2523"/>
      <c r="D89" s="446" t="s">
        <v>2174</v>
      </c>
      <c r="E89" s="2524" t="s">
        <v>2190</v>
      </c>
      <c r="F89" s="2525"/>
      <c r="G89" s="2525"/>
      <c r="H89" s="2525"/>
      <c r="I89" s="2525"/>
      <c r="J89" s="2525"/>
      <c r="K89" s="2525"/>
      <c r="L89" s="2525"/>
      <c r="M89" s="2525"/>
      <c r="N89" s="2525"/>
      <c r="O89" s="2525"/>
      <c r="P89" s="2525"/>
      <c r="Q89" s="2525"/>
      <c r="R89" s="2525"/>
      <c r="S89" s="2525"/>
      <c r="T89" s="2525"/>
      <c r="U89" s="2525"/>
      <c r="V89" s="2525"/>
      <c r="W89" s="2525"/>
      <c r="X89" s="2525"/>
      <c r="Y89" s="2525"/>
      <c r="Z89" s="2525"/>
      <c r="AA89" s="2525"/>
      <c r="AB89" s="2525"/>
      <c r="AC89" s="2525"/>
      <c r="AD89" s="2525"/>
      <c r="AE89" s="2525"/>
      <c r="AF89" s="2525"/>
      <c r="AG89" s="2525"/>
      <c r="AH89" s="2525"/>
      <c r="AI89" s="2525"/>
      <c r="AJ89" s="2526"/>
      <c r="AK89" s="443"/>
      <c r="AL89" s="440"/>
      <c r="AM89" s="440"/>
      <c r="AN89" s="435"/>
    </row>
    <row r="90" spans="1:43" s="436" customFormat="1" ht="12.75" customHeight="1">
      <c r="A90" s="438"/>
      <c r="B90" s="439"/>
      <c r="C90" s="439"/>
      <c r="D90" s="439"/>
      <c r="E90" s="2527"/>
      <c r="F90" s="2528"/>
      <c r="G90" s="2528"/>
      <c r="H90" s="2528"/>
      <c r="I90" s="2528"/>
      <c r="J90" s="2528"/>
      <c r="K90" s="2528"/>
      <c r="L90" s="2528"/>
      <c r="M90" s="2528"/>
      <c r="N90" s="2528"/>
      <c r="O90" s="2528"/>
      <c r="P90" s="2528"/>
      <c r="Q90" s="2528"/>
      <c r="R90" s="2528"/>
      <c r="S90" s="2528"/>
      <c r="T90" s="2528"/>
      <c r="U90" s="2528"/>
      <c r="V90" s="2528"/>
      <c r="W90" s="2528"/>
      <c r="X90" s="2528"/>
      <c r="Y90" s="2528"/>
      <c r="Z90" s="2528"/>
      <c r="AA90" s="2528"/>
      <c r="AB90" s="2528"/>
      <c r="AC90" s="2528"/>
      <c r="AD90" s="2528"/>
      <c r="AE90" s="2528"/>
      <c r="AF90" s="2528"/>
      <c r="AG90" s="2528"/>
      <c r="AH90" s="2528"/>
      <c r="AI90" s="2528"/>
      <c r="AJ90" s="2529"/>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36">
        <f>Application!AC761</f>
        <v>0.57589285714285721</v>
      </c>
      <c r="F92" s="2537"/>
      <c r="G92" s="2537"/>
      <c r="H92" s="2537"/>
      <c r="I92" s="475"/>
      <c r="J92" s="478" t="s">
        <v>2191</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68">
        <f>0.6-ROUNDUP(E92,2)</f>
        <v>2.0000000000000018E-2</v>
      </c>
      <c r="F93" s="2355"/>
      <c r="G93" s="2355"/>
      <c r="H93" s="2355"/>
      <c r="I93" s="475"/>
      <c r="J93" s="478" t="s">
        <v>2192</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47">
        <f>IF(E93*200&gt;20,20,E93*200)</f>
        <v>4.0000000000000036</v>
      </c>
      <c r="F94" s="2548"/>
      <c r="G94" s="2548"/>
      <c r="H94" s="2548"/>
      <c r="I94" s="475"/>
      <c r="J94" s="478" t="s">
        <v>2193</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2153</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23" t="s">
        <v>862</v>
      </c>
      <c r="C97" s="2523"/>
      <c r="D97" s="446" t="s">
        <v>2177</v>
      </c>
      <c r="E97" s="2524" t="s">
        <v>2194</v>
      </c>
      <c r="F97" s="2525"/>
      <c r="G97" s="2525"/>
      <c r="H97" s="2525"/>
      <c r="I97" s="2525"/>
      <c r="J97" s="2525"/>
      <c r="K97" s="2525"/>
      <c r="L97" s="2525"/>
      <c r="M97" s="2525"/>
      <c r="N97" s="2525"/>
      <c r="O97" s="2525"/>
      <c r="P97" s="2525"/>
      <c r="Q97" s="2525"/>
      <c r="R97" s="2525"/>
      <c r="S97" s="2525"/>
      <c r="T97" s="2525"/>
      <c r="U97" s="2525"/>
      <c r="V97" s="2525"/>
      <c r="W97" s="2525"/>
      <c r="X97" s="2525"/>
      <c r="Y97" s="2525"/>
      <c r="Z97" s="2525"/>
      <c r="AA97" s="2525"/>
      <c r="AB97" s="2525"/>
      <c r="AC97" s="2525"/>
      <c r="AD97" s="2525"/>
      <c r="AE97" s="2525"/>
      <c r="AF97" s="2525"/>
      <c r="AG97" s="2525"/>
      <c r="AH97" s="2525"/>
      <c r="AI97" s="2525"/>
      <c r="AJ97" s="2526"/>
      <c r="AK97" s="443"/>
      <c r="AL97" s="440"/>
      <c r="AM97" s="440"/>
      <c r="AN97" s="435"/>
    </row>
    <row r="98" spans="1:47" s="436" customFormat="1" ht="12.75" customHeight="1">
      <c r="A98" s="438"/>
      <c r="B98" s="439"/>
      <c r="C98" s="439"/>
      <c r="D98" s="439"/>
      <c r="E98" s="2527"/>
      <c r="F98" s="2528"/>
      <c r="G98" s="2528"/>
      <c r="H98" s="2528"/>
      <c r="I98" s="2528"/>
      <c r="J98" s="2528"/>
      <c r="K98" s="2528"/>
      <c r="L98" s="2528"/>
      <c r="M98" s="2528"/>
      <c r="N98" s="2528"/>
      <c r="O98" s="2528"/>
      <c r="P98" s="2528"/>
      <c r="Q98" s="2528"/>
      <c r="R98" s="2528"/>
      <c r="S98" s="2528"/>
      <c r="T98" s="2528"/>
      <c r="U98" s="2528"/>
      <c r="V98" s="2528"/>
      <c r="W98" s="2528"/>
      <c r="X98" s="2528"/>
      <c r="Y98" s="2528"/>
      <c r="Z98" s="2528"/>
      <c r="AA98" s="2528"/>
      <c r="AB98" s="2528"/>
      <c r="AC98" s="2528"/>
      <c r="AD98" s="2528"/>
      <c r="AE98" s="2528"/>
      <c r="AF98" s="2528"/>
      <c r="AG98" s="2528"/>
      <c r="AH98" s="2528"/>
      <c r="AI98" s="2528"/>
      <c r="AJ98" s="2529"/>
      <c r="AK98" s="443"/>
      <c r="AL98" s="440"/>
      <c r="AM98" s="440"/>
      <c r="AN98" s="435"/>
    </row>
    <row r="99" spans="1:47" s="436" customFormat="1" ht="12.75" customHeight="1">
      <c r="A99" s="438"/>
      <c r="B99" s="439"/>
      <c r="C99" s="439"/>
      <c r="D99" s="439"/>
      <c r="E99" s="2527"/>
      <c r="F99" s="2528"/>
      <c r="G99" s="2528"/>
      <c r="H99" s="2528"/>
      <c r="I99" s="2528"/>
      <c r="J99" s="2528"/>
      <c r="K99" s="2528"/>
      <c r="L99" s="2528"/>
      <c r="M99" s="2528"/>
      <c r="N99" s="2528"/>
      <c r="O99" s="2528"/>
      <c r="P99" s="2528"/>
      <c r="Q99" s="2528"/>
      <c r="R99" s="2528"/>
      <c r="S99" s="2528"/>
      <c r="T99" s="2528"/>
      <c r="U99" s="2528"/>
      <c r="V99" s="2528"/>
      <c r="W99" s="2528"/>
      <c r="X99" s="2528"/>
      <c r="Y99" s="2528"/>
      <c r="Z99" s="2528"/>
      <c r="AA99" s="2528"/>
      <c r="AB99" s="2528"/>
      <c r="AC99" s="2528"/>
      <c r="AD99" s="2528"/>
      <c r="AE99" s="2528"/>
      <c r="AF99" s="2528"/>
      <c r="AG99" s="2528"/>
      <c r="AH99" s="2528"/>
      <c r="AI99" s="2528"/>
      <c r="AJ99" s="2529"/>
      <c r="AK99" s="443"/>
      <c r="AL99" s="440"/>
      <c r="AM99" s="440"/>
      <c r="AN99" s="435"/>
    </row>
    <row r="100" spans="1:47" s="436" customFormat="1" ht="12.75" customHeight="1">
      <c r="A100" s="438"/>
      <c r="B100" s="439"/>
      <c r="C100" s="439"/>
      <c r="D100" s="439"/>
      <c r="E100" s="2527"/>
      <c r="F100" s="2528"/>
      <c r="G100" s="2528"/>
      <c r="H100" s="2528"/>
      <c r="I100" s="2528"/>
      <c r="J100" s="2528"/>
      <c r="K100" s="2528"/>
      <c r="L100" s="2528"/>
      <c r="M100" s="2528"/>
      <c r="N100" s="2528"/>
      <c r="O100" s="2528"/>
      <c r="P100" s="2528"/>
      <c r="Q100" s="2528"/>
      <c r="R100" s="2528"/>
      <c r="S100" s="2528"/>
      <c r="T100" s="2528"/>
      <c r="U100" s="2528"/>
      <c r="V100" s="2528"/>
      <c r="W100" s="2528"/>
      <c r="X100" s="2528"/>
      <c r="Y100" s="2528"/>
      <c r="Z100" s="2528"/>
      <c r="AA100" s="2528"/>
      <c r="AB100" s="2528"/>
      <c r="AC100" s="2528"/>
      <c r="AD100" s="2528"/>
      <c r="AE100" s="2528"/>
      <c r="AF100" s="2528"/>
      <c r="AG100" s="2528"/>
      <c r="AH100" s="2528"/>
      <c r="AI100" s="2528"/>
      <c r="AJ100" s="2529"/>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36">
        <f>Application!AC761</f>
        <v>0.57589285714285721</v>
      </c>
      <c r="F102" s="2537"/>
      <c r="G102" s="2537"/>
      <c r="H102" s="2537"/>
      <c r="I102" s="475"/>
      <c r="J102" s="478" t="s">
        <v>2191</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36">
        <f ca="1">SUMIF(Application!AC726:AG760,0.2,Application!G726:J760)/Application!G761+SUMIF(Application!AC726:AG760,0.25,Application!G726:J760)/Application!G761+SUMIF(Application!AC726:AG760,0.3,Application!G726:J760)/Application!G761</f>
        <v>0.11607142857142858</v>
      </c>
      <c r="F103" s="2537"/>
      <c r="G103" s="2537"/>
      <c r="H103" s="2537"/>
      <c r="I103" s="475"/>
      <c r="J103" s="478" t="s">
        <v>2195</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36">
        <f ca="1">SUMIF(Application!AC726:AG760,0.35,Application!G726:J760)/Application!G761+SUMIF(Application!AC726:AG760,0.4,Application!G726:J760)/Application!G761+SUMIF(Application!AC726:AG760,0.45,Application!G726:J760)/Application!G761+SUMIF(Application!AC726:AG760,0.5,Application!G726:J760)/Application!G761</f>
        <v>0.11607142857142858</v>
      </c>
      <c r="F104" s="2537"/>
      <c r="G104" s="2537"/>
      <c r="H104" s="2537"/>
      <c r="I104" s="475"/>
      <c r="J104" s="478" t="s">
        <v>2196</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34">
        <f ca="1">IF(AND(E102&lt;=0.6,OR(AND(E103&gt;=0.1,E104&gt;=0.1),AND(E103&gt;0.1,(E103+E104)&gt;=0.2))),20,0)</f>
        <v>20</v>
      </c>
      <c r="F105" s="2535"/>
      <c r="G105" s="2535"/>
      <c r="H105" s="2535"/>
      <c r="I105" s="451"/>
      <c r="J105" s="485" t="s">
        <v>2193</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2153</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2197</v>
      </c>
      <c r="AK108" s="2515">
        <f ca="1">MAX(AP94,AP105)</f>
        <v>20</v>
      </c>
      <c r="AL108" s="2516"/>
      <c r="AM108" s="2517"/>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2198</v>
      </c>
      <c r="B111" s="439" t="s">
        <v>2199</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81" t="s">
        <v>2172</v>
      </c>
      <c r="AF111" s="2381"/>
      <c r="AG111" s="2381"/>
      <c r="AH111" s="2381"/>
      <c r="AI111" s="2381"/>
      <c r="AJ111" s="2381"/>
      <c r="AK111" s="2381"/>
      <c r="AL111" s="440"/>
      <c r="AM111" s="440"/>
      <c r="AN111" s="435"/>
      <c r="AO111" s="436" t="str">
        <f>Application!B726</f>
        <v>1 Bedroom</v>
      </c>
      <c r="AQ111" s="436">
        <f>Application!O726</f>
        <v>2456</v>
      </c>
    </row>
    <row r="112" spans="1:47" s="436" customFormat="1" ht="12.75" customHeight="1">
      <c r="A112" s="440"/>
      <c r="B112" s="439" t="s">
        <v>2189</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2198</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1822</v>
      </c>
    </row>
    <row r="114" spans="1:52" s="436" customFormat="1" ht="12.75" customHeight="1">
      <c r="A114" s="440"/>
      <c r="B114" s="2523" t="s">
        <v>862</v>
      </c>
      <c r="C114" s="2523"/>
      <c r="D114" s="446" t="s">
        <v>2174</v>
      </c>
      <c r="E114" s="2524" t="s">
        <v>2200</v>
      </c>
      <c r="F114" s="2525"/>
      <c r="G114" s="2525"/>
      <c r="H114" s="2525"/>
      <c r="I114" s="2525"/>
      <c r="J114" s="2525"/>
      <c r="K114" s="2525"/>
      <c r="L114" s="2525"/>
      <c r="M114" s="2525"/>
      <c r="N114" s="2525"/>
      <c r="O114" s="2525"/>
      <c r="P114" s="2525"/>
      <c r="Q114" s="2525"/>
      <c r="R114" s="2525"/>
      <c r="S114" s="2525"/>
      <c r="T114" s="2525"/>
      <c r="U114" s="2525"/>
      <c r="V114" s="2525"/>
      <c r="W114" s="2525"/>
      <c r="X114" s="2525"/>
      <c r="Y114" s="2525"/>
      <c r="Z114" s="2525"/>
      <c r="AA114" s="2525"/>
      <c r="AB114" s="2525"/>
      <c r="AC114" s="2525"/>
      <c r="AD114" s="2525"/>
      <c r="AE114" s="2525"/>
      <c r="AF114" s="2525"/>
      <c r="AG114" s="2525"/>
      <c r="AH114" s="2525"/>
      <c r="AI114" s="2525"/>
      <c r="AJ114" s="2526"/>
      <c r="AK114" s="440"/>
      <c r="AL114" s="440"/>
      <c r="AM114" s="440"/>
      <c r="AN114" s="435"/>
      <c r="AO114" s="436" t="str">
        <f>Application!B729</f>
        <v>1 Bedroom</v>
      </c>
      <c r="AQ114" s="436">
        <f>Application!O729</f>
        <v>1068</v>
      </c>
      <c r="AU114" s="436" t="s">
        <v>2201</v>
      </c>
      <c r="AV114" s="493" t="s">
        <v>1697</v>
      </c>
      <c r="AW114" s="436" t="s">
        <v>2202</v>
      </c>
    </row>
    <row r="115" spans="1:52" s="436" customFormat="1" ht="12.75" customHeight="1">
      <c r="A115" s="440"/>
      <c r="B115" s="439"/>
      <c r="C115" s="439"/>
      <c r="D115" s="439"/>
      <c r="E115" s="2527"/>
      <c r="F115" s="2528"/>
      <c r="G115" s="2528"/>
      <c r="H115" s="2528"/>
      <c r="I115" s="2528"/>
      <c r="J115" s="2528"/>
      <c r="K115" s="2528"/>
      <c r="L115" s="2528"/>
      <c r="M115" s="2528"/>
      <c r="N115" s="2528"/>
      <c r="O115" s="2528"/>
      <c r="P115" s="2528"/>
      <c r="Q115" s="2528"/>
      <c r="R115" s="2528"/>
      <c r="S115" s="2528"/>
      <c r="T115" s="2528"/>
      <c r="U115" s="2528"/>
      <c r="V115" s="2528"/>
      <c r="W115" s="2528"/>
      <c r="X115" s="2528"/>
      <c r="Y115" s="2528"/>
      <c r="Z115" s="2528"/>
      <c r="AA115" s="2528"/>
      <c r="AB115" s="2528"/>
      <c r="AC115" s="2528"/>
      <c r="AD115" s="2528"/>
      <c r="AE115" s="2528"/>
      <c r="AF115" s="2528"/>
      <c r="AG115" s="2528"/>
      <c r="AH115" s="2528"/>
      <c r="AI115" s="2528"/>
      <c r="AJ115" s="2529"/>
      <c r="AK115" s="440"/>
      <c r="AL115" s="440"/>
      <c r="AM115" s="440"/>
      <c r="AN115" s="435"/>
      <c r="AO115" s="436" t="str">
        <f>Application!B730</f>
        <v>2 Bedrooms</v>
      </c>
      <c r="AQ115" s="436">
        <f>Application!O730</f>
        <v>2671</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527"/>
      <c r="F116" s="2528"/>
      <c r="G116" s="2528"/>
      <c r="H116" s="2528"/>
      <c r="I116" s="2528"/>
      <c r="J116" s="2528"/>
      <c r="K116" s="2528"/>
      <c r="L116" s="2528"/>
      <c r="M116" s="2528"/>
      <c r="N116" s="2528"/>
      <c r="O116" s="2528"/>
      <c r="P116" s="2528"/>
      <c r="Q116" s="2528"/>
      <c r="R116" s="2528"/>
      <c r="S116" s="2528"/>
      <c r="T116" s="2528"/>
      <c r="U116" s="2528"/>
      <c r="V116" s="2528"/>
      <c r="W116" s="2528"/>
      <c r="X116" s="2528"/>
      <c r="Y116" s="2528"/>
      <c r="Z116" s="2528"/>
      <c r="AA116" s="2528"/>
      <c r="AB116" s="2528"/>
      <c r="AC116" s="2528"/>
      <c r="AD116" s="2528"/>
      <c r="AE116" s="2528"/>
      <c r="AF116" s="2528"/>
      <c r="AG116" s="2528"/>
      <c r="AH116" s="2528"/>
      <c r="AI116" s="2528"/>
      <c r="AJ116" s="2529"/>
      <c r="AK116" s="440"/>
      <c r="AL116" s="440"/>
      <c r="AM116" s="440"/>
      <c r="AN116" s="435"/>
      <c r="AO116" s="436" t="str">
        <f>Application!B731</f>
        <v>2 Bedrooms</v>
      </c>
      <c r="AQ116" s="436">
        <f>Application!O731</f>
        <v>2629</v>
      </c>
      <c r="AU116" s="752" t="str">
        <f>J123</f>
        <v>1-bedroom</v>
      </c>
      <c r="AV116" s="436">
        <f t="array" ref="AV116">SUM(IF(Application!B726:F760="1 Bedroom",Application!G726:J760))</f>
        <v>15</v>
      </c>
      <c r="AW116" s="900">
        <f>AV116/AV121</f>
        <v>0.13392857142857142</v>
      </c>
    </row>
    <row r="117" spans="1:52" s="436" customFormat="1" ht="12.75" customHeight="1">
      <c r="A117" s="440"/>
      <c r="B117" s="439"/>
      <c r="C117" s="439"/>
      <c r="D117" s="439"/>
      <c r="E117" s="2527"/>
      <c r="F117" s="2528"/>
      <c r="G117" s="2528"/>
      <c r="H117" s="2528"/>
      <c r="I117" s="2528"/>
      <c r="J117" s="2528"/>
      <c r="K117" s="2528"/>
      <c r="L117" s="2528"/>
      <c r="M117" s="2528"/>
      <c r="N117" s="2528"/>
      <c r="O117" s="2528"/>
      <c r="P117" s="2528"/>
      <c r="Q117" s="2528"/>
      <c r="R117" s="2528"/>
      <c r="S117" s="2528"/>
      <c r="T117" s="2528"/>
      <c r="U117" s="2528"/>
      <c r="V117" s="2528"/>
      <c r="W117" s="2528"/>
      <c r="X117" s="2528"/>
      <c r="Y117" s="2528"/>
      <c r="Z117" s="2528"/>
      <c r="AA117" s="2528"/>
      <c r="AB117" s="2528"/>
      <c r="AC117" s="2528"/>
      <c r="AD117" s="2528"/>
      <c r="AE117" s="2528"/>
      <c r="AF117" s="2528"/>
      <c r="AG117" s="2528"/>
      <c r="AH117" s="2528"/>
      <c r="AI117" s="2528"/>
      <c r="AJ117" s="2529"/>
      <c r="AK117" s="440"/>
      <c r="AL117" s="440"/>
      <c r="AM117" s="440"/>
      <c r="AN117" s="435"/>
      <c r="AO117" s="436" t="str">
        <f>Application!B732</f>
        <v>2 Bedrooms</v>
      </c>
      <c r="AQ117" s="436">
        <f>Application!O732</f>
        <v>2177</v>
      </c>
      <c r="AU117" s="752" t="str">
        <f>O123</f>
        <v>2-bedroom</v>
      </c>
      <c r="AV117" s="436">
        <f t="array" ref="AV117">SUM(IF(Application!B726:F760="2 Bedrooms",Application!G726:J760))</f>
        <v>44</v>
      </c>
      <c r="AW117" s="900">
        <f>AV117/AV121</f>
        <v>0.39285714285714285</v>
      </c>
    </row>
    <row r="118" spans="1:52" s="436" customFormat="1" ht="12.75" customHeight="1">
      <c r="A118" s="440"/>
      <c r="B118" s="439"/>
      <c r="C118" s="439"/>
      <c r="D118" s="439"/>
      <c r="E118" s="2527"/>
      <c r="F118" s="2528"/>
      <c r="G118" s="2528"/>
      <c r="H118" s="2528"/>
      <c r="I118" s="2528"/>
      <c r="J118" s="2528"/>
      <c r="K118" s="2528"/>
      <c r="L118" s="2528"/>
      <c r="M118" s="2528"/>
      <c r="N118" s="2528"/>
      <c r="O118" s="2528"/>
      <c r="P118" s="2528"/>
      <c r="Q118" s="2528"/>
      <c r="R118" s="2528"/>
      <c r="S118" s="2528"/>
      <c r="T118" s="2528"/>
      <c r="U118" s="2528"/>
      <c r="V118" s="2528"/>
      <c r="W118" s="2528"/>
      <c r="X118" s="2528"/>
      <c r="Y118" s="2528"/>
      <c r="Z118" s="2528"/>
      <c r="AA118" s="2528"/>
      <c r="AB118" s="2528"/>
      <c r="AC118" s="2528"/>
      <c r="AD118" s="2528"/>
      <c r="AE118" s="2528"/>
      <c r="AF118" s="2528"/>
      <c r="AG118" s="2528"/>
      <c r="AH118" s="2528"/>
      <c r="AI118" s="2528"/>
      <c r="AJ118" s="2529"/>
      <c r="AK118" s="440"/>
      <c r="AL118" s="440"/>
      <c r="AM118" s="440"/>
      <c r="AN118" s="435"/>
      <c r="AO118" s="436" t="str">
        <f>Application!B733</f>
        <v>2 Bedrooms</v>
      </c>
      <c r="AQ118" s="436">
        <f>Application!O733</f>
        <v>1272</v>
      </c>
      <c r="AU118" s="752" t="str">
        <f>T123</f>
        <v>3-bedroom</v>
      </c>
      <c r="AV118" s="436">
        <f t="array" ref="AV118">SUM(IF(Application!B726:F760="3 Bedrooms",Application!G726:J760))</f>
        <v>53</v>
      </c>
      <c r="AW118" s="900">
        <f>AV118/AV121</f>
        <v>0.4732142857142857</v>
      </c>
    </row>
    <row r="119" spans="1:52" s="436" customFormat="1" ht="12.75" customHeight="1">
      <c r="A119" s="440"/>
      <c r="B119" s="439"/>
      <c r="C119" s="439"/>
      <c r="D119" s="439"/>
      <c r="E119" s="2527"/>
      <c r="F119" s="2528"/>
      <c r="G119" s="2528"/>
      <c r="H119" s="2528"/>
      <c r="I119" s="2528"/>
      <c r="J119" s="2528"/>
      <c r="K119" s="2528"/>
      <c r="L119" s="2528"/>
      <c r="M119" s="2528"/>
      <c r="N119" s="2528"/>
      <c r="O119" s="2528"/>
      <c r="P119" s="2528"/>
      <c r="Q119" s="2528"/>
      <c r="R119" s="2528"/>
      <c r="S119" s="2528"/>
      <c r="T119" s="2528"/>
      <c r="U119" s="2528"/>
      <c r="V119" s="2528"/>
      <c r="W119" s="2528"/>
      <c r="X119" s="2528"/>
      <c r="Y119" s="2528"/>
      <c r="Z119" s="2528"/>
      <c r="AA119" s="2528"/>
      <c r="AB119" s="2528"/>
      <c r="AC119" s="2528"/>
      <c r="AD119" s="2528"/>
      <c r="AE119" s="2528"/>
      <c r="AF119" s="2528"/>
      <c r="AG119" s="2528"/>
      <c r="AH119" s="2528"/>
      <c r="AI119" s="2528"/>
      <c r="AJ119" s="2529"/>
      <c r="AK119" s="440"/>
      <c r="AL119" s="440"/>
      <c r="AM119" s="440"/>
      <c r="AN119" s="435"/>
      <c r="AO119" s="436" t="str">
        <f>Application!B734</f>
        <v>3 Bedrooms</v>
      </c>
      <c r="AQ119" s="436">
        <f>Application!O734</f>
        <v>3159</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27"/>
      <c r="F120" s="2528"/>
      <c r="G120" s="2528"/>
      <c r="H120" s="2528"/>
      <c r="I120" s="2528"/>
      <c r="J120" s="2528"/>
      <c r="K120" s="2528"/>
      <c r="L120" s="2528"/>
      <c r="M120" s="2528"/>
      <c r="N120" s="2528"/>
      <c r="O120" s="2528"/>
      <c r="P120" s="2528"/>
      <c r="Q120" s="2528"/>
      <c r="R120" s="2528"/>
      <c r="S120" s="2528"/>
      <c r="T120" s="2528"/>
      <c r="U120" s="2528"/>
      <c r="V120" s="2528"/>
      <c r="W120" s="2528"/>
      <c r="X120" s="2528"/>
      <c r="Y120" s="2528"/>
      <c r="Z120" s="2528"/>
      <c r="AA120" s="2528"/>
      <c r="AB120" s="2528"/>
      <c r="AC120" s="2528"/>
      <c r="AD120" s="2528"/>
      <c r="AE120" s="2528"/>
      <c r="AF120" s="2528"/>
      <c r="AG120" s="2528"/>
      <c r="AH120" s="2528"/>
      <c r="AI120" s="2528"/>
      <c r="AJ120" s="2529"/>
      <c r="AK120" s="440"/>
      <c r="AL120" s="440"/>
      <c r="AM120" s="440"/>
      <c r="AN120" s="435"/>
      <c r="AO120" s="436" t="str">
        <f>Application!B735</f>
        <v>3 Bedrooms</v>
      </c>
      <c r="AQ120" s="436">
        <f>Application!O735</f>
        <v>3026</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27"/>
      <c r="F121" s="2528"/>
      <c r="G121" s="2528"/>
      <c r="H121" s="2528"/>
      <c r="I121" s="2528"/>
      <c r="J121" s="2528"/>
      <c r="K121" s="2528"/>
      <c r="L121" s="2528"/>
      <c r="M121" s="2528"/>
      <c r="N121" s="2528"/>
      <c r="O121" s="2528"/>
      <c r="P121" s="2528"/>
      <c r="Q121" s="2528"/>
      <c r="R121" s="2528"/>
      <c r="S121" s="2528"/>
      <c r="T121" s="2528"/>
      <c r="U121" s="2528"/>
      <c r="V121" s="2528"/>
      <c r="W121" s="2528"/>
      <c r="X121" s="2528"/>
      <c r="Y121" s="2528"/>
      <c r="Z121" s="2528"/>
      <c r="AA121" s="2528"/>
      <c r="AB121" s="2528"/>
      <c r="AC121" s="2528"/>
      <c r="AD121" s="2528"/>
      <c r="AE121" s="2528"/>
      <c r="AF121" s="2528"/>
      <c r="AG121" s="2528"/>
      <c r="AH121" s="2528"/>
      <c r="AI121" s="2528"/>
      <c r="AJ121" s="2529"/>
      <c r="AK121" s="440"/>
      <c r="AL121" s="440"/>
      <c r="AM121" s="440"/>
      <c r="AN121" s="435"/>
      <c r="AO121" s="436" t="str">
        <f>Application!B736</f>
        <v>3 Bedrooms</v>
      </c>
      <c r="AQ121" s="436">
        <f>Application!O736</f>
        <v>2504</v>
      </c>
      <c r="AV121" s="436">
        <f>SUM(AV115:AV120)</f>
        <v>112</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t="str">
        <f>Application!B737</f>
        <v>3 Bedrooms</v>
      </c>
      <c r="AQ122" s="436">
        <f>Application!O737</f>
        <v>1459</v>
      </c>
    </row>
    <row r="123" spans="1:52" s="436" customFormat="1" ht="12.75" customHeight="1">
      <c r="A123" s="440"/>
      <c r="B123" s="439"/>
      <c r="C123" s="440"/>
      <c r="D123" s="440"/>
      <c r="E123" s="2536" t="s">
        <v>2203</v>
      </c>
      <c r="F123" s="2537"/>
      <c r="G123" s="2537"/>
      <c r="H123" s="2537"/>
      <c r="I123" s="475"/>
      <c r="J123" s="2537" t="s">
        <v>2204</v>
      </c>
      <c r="K123" s="2537"/>
      <c r="L123" s="2537"/>
      <c r="M123" s="2537"/>
      <c r="N123" s="475"/>
      <c r="O123" s="2537" t="s">
        <v>2205</v>
      </c>
      <c r="P123" s="2537"/>
      <c r="Q123" s="2537"/>
      <c r="R123" s="2537"/>
      <c r="S123" s="475"/>
      <c r="T123" s="2537" t="s">
        <v>2206</v>
      </c>
      <c r="U123" s="2537"/>
      <c r="V123" s="2537"/>
      <c r="W123" s="2537"/>
      <c r="X123" s="475"/>
      <c r="Y123" s="2537" t="s">
        <v>2207</v>
      </c>
      <c r="Z123" s="2537"/>
      <c r="AA123" s="2537"/>
      <c r="AB123" s="2537"/>
      <c r="AC123" s="475"/>
      <c r="AD123" s="2537" t="s">
        <v>2208</v>
      </c>
      <c r="AE123" s="2537"/>
      <c r="AF123" s="2537"/>
      <c r="AG123" s="2537"/>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2209</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38"/>
      <c r="F126" s="2539"/>
      <c r="G126" s="2539"/>
      <c r="H126" s="2539"/>
      <c r="I126" s="759"/>
      <c r="J126" s="2539">
        <v>2730</v>
      </c>
      <c r="K126" s="2539"/>
      <c r="L126" s="2539"/>
      <c r="M126" s="2539"/>
      <c r="N126" s="759"/>
      <c r="O126" s="2539">
        <v>3168</v>
      </c>
      <c r="P126" s="2539"/>
      <c r="Q126" s="2539"/>
      <c r="R126" s="2539"/>
      <c r="S126" s="759"/>
      <c r="T126" s="2539">
        <v>3723</v>
      </c>
      <c r="U126" s="2539"/>
      <c r="V126" s="2539"/>
      <c r="W126" s="2539"/>
      <c r="X126" s="759"/>
      <c r="Y126" s="2539"/>
      <c r="Z126" s="2539"/>
      <c r="AA126" s="2539"/>
      <c r="AB126" s="2539"/>
      <c r="AC126" s="759"/>
      <c r="AD126" s="2539"/>
      <c r="AE126" s="2539"/>
      <c r="AF126" s="2539"/>
      <c r="AG126" s="2539"/>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2210</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72">
        <f>Application!DX678</f>
        <v>0</v>
      </c>
      <c r="F129" s="2546"/>
      <c r="G129" s="2546"/>
      <c r="H129" s="2546"/>
      <c r="I129" s="759"/>
      <c r="J129" s="2546">
        <f>Application!EC678</f>
        <v>1982.8000000000002</v>
      </c>
      <c r="K129" s="2546"/>
      <c r="L129" s="2546"/>
      <c r="M129" s="2546"/>
      <c r="N129" s="759"/>
      <c r="O129" s="2546">
        <f>Application!EH678</f>
        <v>2474.090909090909</v>
      </c>
      <c r="P129" s="2546"/>
      <c r="Q129" s="2546"/>
      <c r="R129" s="2546"/>
      <c r="S129" s="763"/>
      <c r="T129" s="2546">
        <f>Application!EM678</f>
        <v>2814.6037735849054</v>
      </c>
      <c r="U129" s="2546"/>
      <c r="V129" s="2546"/>
      <c r="W129" s="2546"/>
      <c r="X129" s="763"/>
      <c r="Y129" s="2546">
        <f>Application!ER678</f>
        <v>0</v>
      </c>
      <c r="Z129" s="2546"/>
      <c r="AA129" s="2546"/>
      <c r="AB129" s="2546"/>
      <c r="AC129" s="763"/>
      <c r="AD129" s="2546">
        <f>Application!EW678</f>
        <v>0</v>
      </c>
      <c r="AE129" s="2546"/>
      <c r="AF129" s="2546"/>
      <c r="AG129" s="2546"/>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2211</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54" t="e">
        <f>(E126-E129)/E126</f>
        <v>#DIV/0!</v>
      </c>
      <c r="F132" s="2355"/>
      <c r="G132" s="2355"/>
      <c r="H132" s="2356"/>
      <c r="I132" s="475"/>
      <c r="J132" s="2354">
        <f>(J126-J129)/J126</f>
        <v>0.27369963369963363</v>
      </c>
      <c r="K132" s="2355"/>
      <c r="L132" s="2355"/>
      <c r="M132" s="2356"/>
      <c r="N132" s="475"/>
      <c r="O132" s="2354">
        <f>(O126-O129)/O126</f>
        <v>0.21903696051423327</v>
      </c>
      <c r="P132" s="2355"/>
      <c r="Q132" s="2355"/>
      <c r="R132" s="2356"/>
      <c r="S132" s="475"/>
      <c r="T132" s="2354">
        <f>(T126-T129)/T126</f>
        <v>0.24399576320577346</v>
      </c>
      <c r="U132" s="2355"/>
      <c r="V132" s="2355"/>
      <c r="W132" s="2356"/>
      <c r="X132" s="475"/>
      <c r="Y132" s="2354" t="e">
        <f>(Y126-Y129)/Y126</f>
        <v>#DIV/0!</v>
      </c>
      <c r="Z132" s="2355"/>
      <c r="AA132" s="2355"/>
      <c r="AB132" s="2356"/>
      <c r="AC132" s="475"/>
      <c r="AD132" s="2354" t="e">
        <f>(AD126-AD129)/AD126</f>
        <v>#DIV/0!</v>
      </c>
      <c r="AE132" s="2355"/>
      <c r="AF132" s="2355"/>
      <c r="AG132" s="2356"/>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2212</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43" t="e">
        <f>IF(((E132-0.1)*AW115)&gt;0,((E132-0.1)*AW115),0)</f>
        <v>#DIV/0!</v>
      </c>
      <c r="F135" s="2544"/>
      <c r="G135" s="2544"/>
      <c r="H135" s="2545"/>
      <c r="I135" s="475"/>
      <c r="J135" s="2543">
        <f>IF(((J132-0.1)*AW116)&gt;0,((J132-0.1)*AW116),0)</f>
        <v>2.3263343799058072E-2</v>
      </c>
      <c r="K135" s="2544"/>
      <c r="L135" s="2544"/>
      <c r="M135" s="2545"/>
      <c r="N135" s="475"/>
      <c r="O135" s="2543">
        <f>IF(((O132-0.1)*AW117)&gt;0,((O132-0.1)*AW117),0)</f>
        <v>4.676452020202021E-2</v>
      </c>
      <c r="P135" s="2544"/>
      <c r="Q135" s="2544"/>
      <c r="R135" s="2545"/>
      <c r="S135" s="475"/>
      <c r="T135" s="2543">
        <f>IF(((T132-0.1)*AW118)&gt;0,((T132-0.1)*AW118),0)</f>
        <v>6.8140852231303506E-2</v>
      </c>
      <c r="U135" s="2544"/>
      <c r="V135" s="2544"/>
      <c r="W135" s="2545"/>
      <c r="X135" s="475"/>
      <c r="Y135" s="2543" t="e">
        <f>IF(((Y132-0.1)*AW119)&gt;0,((Y132-0.1)*AW119),0)</f>
        <v>#DIV/0!</v>
      </c>
      <c r="Z135" s="2544"/>
      <c r="AA135" s="2544"/>
      <c r="AB135" s="2545"/>
      <c r="AC135" s="475"/>
      <c r="AD135" s="2543" t="e">
        <f>IF(((AD132-0.1)*AW120)&gt;0,((AD132-0.1)*AW120),0)</f>
        <v>#DIV/0!</v>
      </c>
      <c r="AE135" s="2544"/>
      <c r="AF135" s="2544"/>
      <c r="AG135" s="2545"/>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54">
        <f>ROUNDDOWN(SUMIF(E135:AG135,"&gt;0"),2)</f>
        <v>0.13</v>
      </c>
      <c r="F137" s="2355"/>
      <c r="G137" s="2355"/>
      <c r="H137" s="2356"/>
      <c r="I137" s="475"/>
      <c r="J137" s="478" t="s">
        <v>2213</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15">
        <f>IF((E137*100)&gt;10,10,E137*100)</f>
        <v>10</v>
      </c>
      <c r="F138" s="2516"/>
      <c r="G138" s="2516"/>
      <c r="H138" s="2517"/>
      <c r="I138" s="475"/>
      <c r="J138" s="478" t="s">
        <v>2193</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2214</v>
      </c>
      <c r="AK142" s="2515">
        <f>E138</f>
        <v>10</v>
      </c>
      <c r="AL142" s="2516"/>
      <c r="AM142" s="2517"/>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2215</v>
      </c>
      <c r="AE145" s="2381" t="s">
        <v>2172</v>
      </c>
      <c r="AF145" s="2381"/>
      <c r="AG145" s="2381"/>
      <c r="AH145" s="2381"/>
      <c r="AI145" s="2381"/>
      <c r="AJ145" s="2381"/>
      <c r="AK145" s="2381"/>
      <c r="AL145" s="489"/>
      <c r="AN145" s="490"/>
      <c r="AO145" s="436"/>
    </row>
    <row r="146" spans="1:42" s="439" customFormat="1" ht="13" customHeight="1">
      <c r="A146" s="438"/>
      <c r="AE146" s="489"/>
      <c r="AF146" s="489"/>
      <c r="AG146" s="489"/>
      <c r="AH146" s="489"/>
      <c r="AI146" s="489"/>
      <c r="AJ146" s="489"/>
      <c r="AK146" s="489"/>
      <c r="AL146" s="489"/>
      <c r="AN146" s="490"/>
    </row>
    <row r="147" spans="1:42" s="436" customFormat="1" ht="12.75" customHeight="1">
      <c r="A147" s="438"/>
      <c r="B147" s="438" t="s">
        <v>2216</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22" t="s">
        <v>2217</v>
      </c>
      <c r="AG147" s="2322"/>
      <c r="AH147" s="2322"/>
      <c r="AI147" s="2322"/>
      <c r="AJ147" s="2322"/>
      <c r="AK147" s="2322"/>
      <c r="AL147" s="2322"/>
      <c r="AM147" s="439"/>
      <c r="AN147" s="435"/>
    </row>
    <row r="148" spans="1:42" s="436" customFormat="1" ht="12.75" customHeight="1">
      <c r="A148" s="438"/>
      <c r="B148" s="438" t="s">
        <v>1101</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19" t="s">
        <v>1102</v>
      </c>
      <c r="C149" s="2519"/>
      <c r="D149" s="2519"/>
      <c r="E149" s="2519"/>
      <c r="F149" s="2519"/>
      <c r="G149" s="2519"/>
      <c r="H149" s="2519"/>
      <c r="I149" s="2519"/>
      <c r="J149" s="2519"/>
      <c r="K149" s="2519"/>
      <c r="L149" s="2519"/>
      <c r="M149" s="2519"/>
      <c r="N149" s="2519"/>
      <c r="O149" s="2519"/>
      <c r="P149" s="2519"/>
      <c r="Q149" s="2519"/>
      <c r="R149" s="2519"/>
      <c r="S149" s="2519"/>
      <c r="T149" s="2519"/>
      <c r="U149" s="2519"/>
      <c r="V149" s="2519"/>
      <c r="W149" s="2519"/>
      <c r="X149" s="2519"/>
      <c r="Y149" s="2519"/>
      <c r="Z149" s="2519"/>
      <c r="AA149" s="2519"/>
      <c r="AB149" s="2519"/>
      <c r="AC149" s="2519"/>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2218</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2219</v>
      </c>
      <c r="AP151" s="390">
        <v>5</v>
      </c>
    </row>
    <row r="152" spans="1:42" s="436" customFormat="1" ht="12.75" customHeight="1">
      <c r="A152" s="438"/>
      <c r="B152" s="2520" t="s">
        <v>2220</v>
      </c>
      <c r="C152" s="2520"/>
      <c r="D152" s="2520"/>
      <c r="E152" s="2520"/>
      <c r="F152" s="2520"/>
      <c r="G152" s="2520"/>
      <c r="H152" s="2520"/>
      <c r="I152" s="2520"/>
      <c r="J152" s="2520"/>
      <c r="K152" s="2520"/>
      <c r="L152" s="2520"/>
      <c r="M152" s="2520"/>
      <c r="N152" s="2520"/>
      <c r="O152" s="2520"/>
      <c r="P152" s="2520"/>
      <c r="Q152" s="2520"/>
      <c r="R152" s="2520"/>
      <c r="S152" s="2520"/>
      <c r="T152" s="2520"/>
      <c r="U152" s="2520"/>
      <c r="V152" s="2520"/>
      <c r="W152" s="2520"/>
      <c r="X152" s="2520"/>
      <c r="Y152" s="2520"/>
      <c r="Z152" s="2520"/>
      <c r="AA152" s="2520"/>
      <c r="AB152" s="2520"/>
      <c r="AC152" s="2520"/>
      <c r="AD152" s="2520"/>
      <c r="AE152" s="2520"/>
      <c r="AF152" s="2520"/>
      <c r="AG152" s="2520"/>
      <c r="AH152" s="2520"/>
      <c r="AI152" s="2520"/>
      <c r="AM152" s="439"/>
      <c r="AN152" s="435"/>
      <c r="AO152" s="377" t="s">
        <v>2220</v>
      </c>
      <c r="AP152" s="390">
        <v>7</v>
      </c>
    </row>
    <row r="153" spans="1:42" s="436" customFormat="1" ht="13"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2221</v>
      </c>
      <c r="AP153" s="390">
        <v>7</v>
      </c>
    </row>
    <row r="154" spans="1:42" s="436" customFormat="1" ht="12.75" customHeight="1">
      <c r="A154" s="438"/>
      <c r="B154" s="439" t="s">
        <v>2222</v>
      </c>
      <c r="AB154" s="2329" t="s">
        <v>826</v>
      </c>
      <c r="AC154" s="2329"/>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2223</v>
      </c>
      <c r="AP155" s="390"/>
    </row>
    <row r="156" spans="1:42" s="436" customFormat="1" ht="12.75" customHeight="1">
      <c r="A156" s="438"/>
      <c r="B156" s="438" t="s">
        <v>2224</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2225</v>
      </c>
      <c r="AP156" s="390">
        <v>5</v>
      </c>
    </row>
    <row r="157" spans="1:42" s="436" customFormat="1" ht="12.75" customHeight="1">
      <c r="A157" s="438"/>
      <c r="B157" s="2520" t="s">
        <v>2223</v>
      </c>
      <c r="C157" s="2520"/>
      <c r="D157" s="2520"/>
      <c r="E157" s="2520"/>
      <c r="F157" s="2520"/>
      <c r="G157" s="2520"/>
      <c r="H157" s="2520"/>
      <c r="I157" s="2520"/>
      <c r="J157" s="2520"/>
      <c r="K157" s="2520"/>
      <c r="L157" s="2520"/>
      <c r="M157" s="2520"/>
      <c r="N157" s="2520"/>
      <c r="O157" s="2520"/>
      <c r="P157" s="2520"/>
      <c r="Q157" s="2520"/>
      <c r="R157" s="2520"/>
      <c r="S157" s="2520"/>
      <c r="T157" s="2520"/>
      <c r="U157" s="2520"/>
      <c r="V157" s="2520"/>
      <c r="W157" s="2520"/>
      <c r="X157" s="2520"/>
      <c r="Y157" s="2520"/>
      <c r="Z157" s="2520"/>
      <c r="AA157" s="2520"/>
      <c r="AB157" s="2520"/>
      <c r="AC157" s="2520"/>
      <c r="AD157" s="2520"/>
      <c r="AE157" s="2520"/>
      <c r="AF157" s="2520"/>
      <c r="AG157" s="2520"/>
      <c r="AH157" s="2520"/>
      <c r="AI157" s="2520"/>
      <c r="AJ157" s="2520"/>
      <c r="AN157" s="435"/>
      <c r="AO157" s="377" t="s">
        <v>2226</v>
      </c>
      <c r="AP157" s="390">
        <v>7</v>
      </c>
    </row>
    <row r="158" spans="1:42" s="436" customFormat="1" ht="12.75" customHeight="1">
      <c r="B158" s="439" t="s">
        <v>2227</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26" t="s">
        <v>2228</v>
      </c>
      <c r="C160" s="2326"/>
      <c r="D160" s="2326"/>
      <c r="E160" s="2326"/>
      <c r="F160" s="2326"/>
      <c r="G160" s="2326"/>
      <c r="H160" s="2326"/>
      <c r="I160" s="2326"/>
      <c r="J160" s="2326"/>
      <c r="K160" s="2326"/>
      <c r="L160" s="2326"/>
      <c r="M160" s="2326"/>
      <c r="N160" s="2326"/>
      <c r="O160" s="2326"/>
      <c r="P160" s="2326"/>
      <c r="Q160" s="2326"/>
      <c r="R160" s="2326"/>
      <c r="S160" s="2326"/>
      <c r="T160" s="2326"/>
      <c r="U160" s="2326"/>
      <c r="V160" s="2326"/>
      <c r="W160" s="2326"/>
      <c r="X160" s="2326"/>
      <c r="Y160" s="2326"/>
      <c r="Z160" s="2326"/>
      <c r="AA160" s="2326"/>
      <c r="AB160" s="2326"/>
      <c r="AC160" s="2326"/>
      <c r="AD160" s="2326"/>
      <c r="AE160" s="2326"/>
      <c r="AF160" s="2326"/>
      <c r="AG160" s="2326"/>
      <c r="AH160" s="2326"/>
      <c r="AI160" s="2326"/>
      <c r="AJ160" s="2326"/>
      <c r="AK160" s="1062"/>
      <c r="AM160" s="439"/>
      <c r="AN160" s="435"/>
      <c r="AO160" s="377"/>
      <c r="AP160" s="390"/>
    </row>
    <row r="161" spans="1:42" s="436" customFormat="1" ht="12.75" customHeight="1">
      <c r="B161" s="2326"/>
      <c r="C161" s="2326"/>
      <c r="D161" s="2326"/>
      <c r="E161" s="2326"/>
      <c r="F161" s="2326"/>
      <c r="G161" s="2326"/>
      <c r="H161" s="2326"/>
      <c r="I161" s="2326"/>
      <c r="J161" s="2326"/>
      <c r="K161" s="2326"/>
      <c r="L161" s="2326"/>
      <c r="M161" s="2326"/>
      <c r="N161" s="2326"/>
      <c r="O161" s="2326"/>
      <c r="P161" s="2326"/>
      <c r="Q161" s="2326"/>
      <c r="R161" s="2326"/>
      <c r="S161" s="2326"/>
      <c r="T161" s="2326"/>
      <c r="U161" s="2326"/>
      <c r="V161" s="2326"/>
      <c r="W161" s="2326"/>
      <c r="X161" s="2326"/>
      <c r="Y161" s="2326"/>
      <c r="Z161" s="2326"/>
      <c r="AA161" s="2326"/>
      <c r="AB161" s="2326"/>
      <c r="AC161" s="2326"/>
      <c r="AD161" s="2326"/>
      <c r="AE161" s="2326"/>
      <c r="AF161" s="2326"/>
      <c r="AG161" s="2326"/>
      <c r="AH161" s="2326"/>
      <c r="AI161" s="2326"/>
      <c r="AJ161" s="2326"/>
      <c r="AK161" s="1062"/>
      <c r="AM161" s="439"/>
      <c r="AN161" s="435"/>
      <c r="AO161" s="377"/>
      <c r="AP161" s="390"/>
    </row>
    <row r="162" spans="1:42" s="436" customFormat="1" ht="12.75" customHeight="1">
      <c r="C162" s="2327" t="s">
        <v>2229</v>
      </c>
      <c r="D162" s="2327"/>
      <c r="E162" s="2327"/>
      <c r="F162" s="2327"/>
      <c r="G162" s="2327"/>
      <c r="H162" s="2327"/>
      <c r="I162" s="2327"/>
      <c r="J162" s="2327"/>
      <c r="K162" s="2327"/>
      <c r="L162" s="2327"/>
      <c r="M162" s="2327"/>
      <c r="N162" s="2327"/>
      <c r="O162" s="2327"/>
      <c r="P162" s="2327"/>
      <c r="Q162" s="2327"/>
      <c r="R162" s="2327"/>
      <c r="S162" s="2327"/>
      <c r="T162" s="2327"/>
      <c r="U162" s="2327"/>
      <c r="V162" s="2327"/>
      <c r="W162" s="2327"/>
      <c r="X162" s="2327"/>
      <c r="Y162" s="2327"/>
      <c r="Z162" s="2327"/>
      <c r="AA162" s="2327"/>
      <c r="AB162" s="2327"/>
      <c r="AC162" s="2327"/>
      <c r="AD162" s="2327"/>
      <c r="AE162" s="2327"/>
      <c r="AF162" s="2327"/>
      <c r="AG162" s="2327"/>
      <c r="AH162" s="2327"/>
      <c r="AI162" s="2327"/>
      <c r="AJ162" s="2327"/>
      <c r="AK162" s="1062"/>
      <c r="AM162" s="439"/>
      <c r="AN162" s="435"/>
      <c r="AO162" s="377"/>
      <c r="AP162" s="390"/>
    </row>
    <row r="163" spans="1:42" s="436" customFormat="1" ht="12.75" customHeight="1">
      <c r="B163" s="1062"/>
      <c r="C163" s="2328" t="s">
        <v>2230</v>
      </c>
      <c r="D163" s="2328"/>
      <c r="E163" s="2328"/>
      <c r="F163" s="2328"/>
      <c r="G163" s="2328"/>
      <c r="H163" s="2328"/>
      <c r="I163" s="2328"/>
      <c r="J163" s="2328"/>
      <c r="K163" s="2328"/>
      <c r="L163" s="2328"/>
      <c r="M163" s="2328"/>
      <c r="N163" s="2328"/>
      <c r="O163" s="2328"/>
      <c r="P163" s="2328"/>
      <c r="Q163" s="2328"/>
      <c r="R163" s="2328"/>
      <c r="S163" s="2328"/>
      <c r="T163" s="2328"/>
      <c r="U163" s="2328"/>
      <c r="V163" s="2328"/>
      <c r="W163" s="2328"/>
      <c r="X163" s="2328"/>
      <c r="Y163" s="2328"/>
      <c r="Z163" s="2328"/>
      <c r="AA163" s="1052"/>
      <c r="AB163" s="1052"/>
      <c r="AC163" s="1052"/>
      <c r="AD163" s="1052"/>
      <c r="AE163" s="1052"/>
      <c r="AF163" s="1052"/>
      <c r="AG163" s="1052"/>
      <c r="AH163" s="1052"/>
      <c r="AJ163" s="2329" t="s">
        <v>826</v>
      </c>
      <c r="AK163" s="2329"/>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2231</v>
      </c>
      <c r="AJ165" s="2421">
        <f>IF($AB$154="N/A",VLOOKUP($B$152,$AO$150:$AP$153,2,FALSE),VLOOKUP($B$157,$AO$155:$AP$157,2,FALSE))</f>
        <v>7</v>
      </c>
      <c r="AK165" s="2421"/>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2232</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22" t="s">
        <v>2233</v>
      </c>
      <c r="AG167" s="2322"/>
      <c r="AH167" s="2322"/>
      <c r="AI167" s="2322"/>
      <c r="AJ167" s="2322"/>
      <c r="AK167" s="2322"/>
      <c r="AL167" s="2322"/>
      <c r="AM167" s="501"/>
      <c r="AN167" s="496"/>
    </row>
    <row r="168" spans="1:42" s="449" customFormat="1" ht="12.75" customHeight="1">
      <c r="A168" s="436"/>
      <c r="B168" s="439" t="s">
        <v>2234</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20" t="s">
        <v>2235</v>
      </c>
      <c r="D169" s="2520"/>
      <c r="E169" s="2520"/>
      <c r="F169" s="2520"/>
      <c r="G169" s="2520"/>
      <c r="H169" s="2520"/>
      <c r="I169" s="2520"/>
      <c r="J169" s="2520"/>
      <c r="K169" s="2520"/>
      <c r="L169" s="2520"/>
      <c r="M169" s="2520"/>
      <c r="N169" s="2520"/>
      <c r="O169" s="2520"/>
      <c r="P169" s="2520"/>
      <c r="Q169" s="2520"/>
      <c r="R169" s="2520"/>
      <c r="S169" s="2520"/>
      <c r="T169" s="2520"/>
      <c r="U169" s="2520"/>
      <c r="V169" s="2520"/>
      <c r="W169" s="2520"/>
      <c r="X169" s="2520"/>
      <c r="Y169" s="2520"/>
      <c r="Z169" s="2520"/>
      <c r="AA169" s="2520"/>
      <c r="AB169" s="2520"/>
      <c r="AC169" s="2520"/>
      <c r="AD169" s="2520"/>
      <c r="AE169" s="2520"/>
      <c r="AF169" s="2520"/>
      <c r="AG169" s="2520"/>
      <c r="AH169" s="2520"/>
      <c r="AI169" s="2520"/>
      <c r="AJ169" s="436"/>
      <c r="AK169" s="436"/>
      <c r="AL169" s="436"/>
      <c r="AM169" s="501"/>
      <c r="AN169" s="495"/>
      <c r="AO169" s="377" t="s">
        <v>348</v>
      </c>
      <c r="AP169" s="377"/>
    </row>
    <row r="170" spans="1:42" s="449" customFormat="1" ht="13"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2236</v>
      </c>
      <c r="AP170" s="497">
        <v>2</v>
      </c>
    </row>
    <row r="171" spans="1:42" s="449" customFormat="1" ht="12.75" customHeight="1">
      <c r="A171" s="436"/>
      <c r="B171" s="436"/>
      <c r="C171" s="439" t="s">
        <v>2237</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29" t="s">
        <v>826</v>
      </c>
      <c r="AG171" s="2329"/>
      <c r="AH171" s="436"/>
      <c r="AI171" s="436"/>
      <c r="AJ171" s="436"/>
      <c r="AK171" s="436"/>
      <c r="AL171" s="436"/>
      <c r="AM171" s="501"/>
      <c r="AN171" s="495"/>
      <c r="AO171" s="377" t="s">
        <v>2235</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2238</v>
      </c>
      <c r="AP172" s="497">
        <v>3</v>
      </c>
    </row>
    <row r="173" spans="1:42" s="449" customFormat="1" ht="12.75" customHeight="1">
      <c r="A173" s="436"/>
      <c r="B173" s="436"/>
      <c r="C173" s="2520" t="s">
        <v>2223</v>
      </c>
      <c r="D173" s="2520"/>
      <c r="E173" s="2520"/>
      <c r="F173" s="2520"/>
      <c r="G173" s="2520"/>
      <c r="H173" s="2520"/>
      <c r="I173" s="2520"/>
      <c r="J173" s="2520"/>
      <c r="K173" s="2520"/>
      <c r="L173" s="2520"/>
      <c r="M173" s="2520"/>
      <c r="N173" s="2520"/>
      <c r="O173" s="2520"/>
      <c r="P173" s="2520"/>
      <c r="Q173" s="2520"/>
      <c r="R173" s="2520"/>
      <c r="S173" s="2520"/>
      <c r="T173" s="2520"/>
      <c r="U173" s="2520"/>
      <c r="V173" s="2520"/>
      <c r="W173" s="2520"/>
      <c r="X173" s="2520"/>
      <c r="Y173" s="2520"/>
      <c r="Z173" s="2520"/>
      <c r="AA173" s="2520"/>
      <c r="AB173" s="2520"/>
      <c r="AC173" s="2520"/>
      <c r="AD173" s="2520"/>
      <c r="AE173" s="436"/>
      <c r="AF173" s="436"/>
      <c r="AG173" s="436"/>
      <c r="AH173" s="436"/>
      <c r="AI173" s="436"/>
      <c r="AJ173" s="436"/>
      <c r="AK173" s="436"/>
      <c r="AL173" s="436"/>
      <c r="AM173" s="501"/>
      <c r="AN173" s="495"/>
      <c r="AO173" s="500"/>
      <c r="AP173" s="497"/>
    </row>
    <row r="174" spans="1:42" s="449" customFormat="1" ht="12.75" customHeight="1">
      <c r="A174" s="436"/>
      <c r="B174" s="436"/>
      <c r="C174" s="439" t="s">
        <v>2227</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2239</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2223</v>
      </c>
      <c r="AP176" s="377"/>
    </row>
    <row r="177" spans="1:73" s="449" customFormat="1" ht="12.75" customHeight="1">
      <c r="A177" s="436"/>
      <c r="B177" s="436"/>
      <c r="C177" s="2521" t="str">
        <f>Application!AA344</f>
        <v>Buckingham Property Management</v>
      </c>
      <c r="D177" s="2521"/>
      <c r="E177" s="2521"/>
      <c r="F177" s="2521"/>
      <c r="G177" s="2521"/>
      <c r="H177" s="2521"/>
      <c r="I177" s="2521"/>
      <c r="J177" s="2521"/>
      <c r="K177" s="2521"/>
      <c r="L177" s="2521"/>
      <c r="M177" s="2521"/>
      <c r="N177" s="2521"/>
      <c r="O177" s="2521"/>
      <c r="P177" s="2521"/>
      <c r="Q177" s="2521"/>
      <c r="R177" s="2521"/>
      <c r="S177" s="2521"/>
      <c r="T177" s="2521"/>
      <c r="U177" s="2521"/>
      <c r="V177" s="2521"/>
      <c r="W177" s="2521"/>
      <c r="X177" s="2521"/>
      <c r="Y177" s="2521"/>
      <c r="Z177" s="2521"/>
      <c r="AA177" s="2521"/>
      <c r="AB177" s="2521"/>
      <c r="AC177" s="2521"/>
      <c r="AD177" s="2521"/>
      <c r="AE177" s="436"/>
      <c r="AF177" s="436"/>
      <c r="AG177" s="436"/>
      <c r="AH177" s="436"/>
      <c r="AI177" s="436"/>
      <c r="AJ177" s="436"/>
      <c r="AK177" s="436"/>
      <c r="AL177" s="436"/>
      <c r="AM177" s="501"/>
      <c r="AN177" s="495"/>
      <c r="AO177" s="377" t="s">
        <v>2240</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2241</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2242</v>
      </c>
      <c r="AJ179" s="2420">
        <f>IF($AF$171="N/A",VLOOKUP($C$169,$AO$169:$AP$172,2,FALSE),VLOOKUP($C$173,$AO$176:$AP$178,2,FALSE))</f>
        <v>3</v>
      </c>
      <c r="AK179" s="2420"/>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2243</v>
      </c>
      <c r="AK182" s="2515">
        <f>$AJ$165+$AJ$179</f>
        <v>10</v>
      </c>
      <c r="AL182" s="2516"/>
      <c r="AM182" s="2517"/>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2244</v>
      </c>
      <c r="AQ184" s="510">
        <v>0</v>
      </c>
    </row>
    <row r="185" spans="1:73" s="449" customFormat="1" ht="12.75" customHeight="1">
      <c r="A185" s="438" t="s">
        <v>2245</v>
      </c>
      <c r="B185" s="438" t="s">
        <v>2246</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81" t="s">
        <v>2172</v>
      </c>
      <c r="AF185" s="2381"/>
      <c r="AG185" s="2381"/>
      <c r="AH185" s="2381"/>
      <c r="AI185" s="2381"/>
      <c r="AJ185" s="2381"/>
      <c r="AK185" s="2381"/>
      <c r="AL185" s="489"/>
      <c r="AN185" s="495"/>
      <c r="AP185" s="449" t="s">
        <v>954</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2247</v>
      </c>
      <c r="AQ186" s="449">
        <v>10</v>
      </c>
    </row>
    <row r="187" spans="1:73" s="449" customFormat="1" ht="12.75" customHeight="1">
      <c r="A187" s="436"/>
      <c r="B187" s="2518" t="s">
        <v>954</v>
      </c>
      <c r="C187" s="2518"/>
      <c r="D187" s="2518"/>
      <c r="E187" s="2518"/>
      <c r="F187" s="2518"/>
      <c r="G187" s="2518"/>
      <c r="H187" s="2518"/>
      <c r="I187" s="2518"/>
      <c r="J187" s="2518"/>
      <c r="K187" s="2518"/>
      <c r="L187" s="2518"/>
      <c r="M187" s="2518"/>
      <c r="N187" s="2518"/>
      <c r="O187" s="2518"/>
      <c r="P187" s="2518"/>
      <c r="Q187" s="2518"/>
      <c r="R187" s="2518"/>
      <c r="S187" s="2518"/>
      <c r="T187" s="2518"/>
      <c r="U187" s="2518"/>
      <c r="V187" s="2518"/>
      <c r="W187" s="2518"/>
      <c r="X187" s="2518"/>
      <c r="Y187" s="2518"/>
      <c r="Z187" s="2518"/>
      <c r="AA187" s="2518"/>
      <c r="AB187" s="2518"/>
      <c r="AC187" s="2518"/>
      <c r="AD187" s="436"/>
      <c r="AE187" s="436"/>
      <c r="AF187" s="2322" t="s">
        <v>2248</v>
      </c>
      <c r="AG187" s="2322"/>
      <c r="AH187" s="2322"/>
      <c r="AI187" s="2322"/>
      <c r="AJ187" s="2322"/>
      <c r="AK187" s="2322"/>
      <c r="AL187" s="2322"/>
      <c r="AN187" s="495"/>
      <c r="AP187" s="449" t="s">
        <v>962</v>
      </c>
      <c r="AQ187" s="449">
        <v>10</v>
      </c>
    </row>
    <row r="188" spans="1:73" s="449" customFormat="1" ht="12.75" customHeight="1">
      <c r="A188" s="436"/>
      <c r="B188" s="2328" t="s">
        <v>2249</v>
      </c>
      <c r="C188" s="2328"/>
      <c r="D188" s="2328"/>
      <c r="E188" s="2328"/>
      <c r="F188" s="2328"/>
      <c r="G188" s="2328"/>
      <c r="H188" s="2328"/>
      <c r="I188" s="2328"/>
      <c r="J188" s="2328"/>
      <c r="K188" s="2328"/>
      <c r="L188" s="2328"/>
      <c r="M188" s="2328"/>
      <c r="N188" s="2328"/>
      <c r="O188" s="2328"/>
      <c r="P188" s="2328"/>
      <c r="Q188" s="2328"/>
      <c r="R188" s="2328"/>
      <c r="S188" s="2328"/>
      <c r="T188" s="2519" t="s">
        <v>826</v>
      </c>
      <c r="U188" s="2519"/>
      <c r="V188" s="2519"/>
      <c r="W188" s="2519"/>
      <c r="X188" s="2519"/>
      <c r="Y188" s="2519"/>
      <c r="Z188" s="2519"/>
      <c r="AA188" s="2519"/>
      <c r="AB188" s="2519"/>
      <c r="AC188" s="2519"/>
      <c r="AD188" s="436"/>
      <c r="AE188" s="436"/>
      <c r="AF188" s="436"/>
      <c r="AG188" s="436"/>
      <c r="AH188" s="436"/>
      <c r="AI188" s="436"/>
      <c r="AJ188" s="443"/>
      <c r="AK188" s="493"/>
      <c r="AL188" s="493"/>
      <c r="AM188" s="493"/>
      <c r="AN188" s="495"/>
      <c r="AP188" s="449" t="s">
        <v>963</v>
      </c>
      <c r="AQ188" s="449">
        <v>10</v>
      </c>
      <c r="AS188" s="449" t="s">
        <v>826</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2250</v>
      </c>
      <c r="AQ189" s="449">
        <v>10</v>
      </c>
      <c r="AS189" s="449" t="s">
        <v>2251</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2252</v>
      </c>
      <c r="AK190" s="2324">
        <f>IF(AK83&gt;0,VLOOKUP($B$187,AP184:AQ190,2,FALSE),0)</f>
        <v>10</v>
      </c>
      <c r="AL190" s="2370"/>
      <c r="AM190" s="2325"/>
      <c r="AN190" s="435"/>
      <c r="AP190" s="449" t="s">
        <v>2253</v>
      </c>
      <c r="AQ190" s="449">
        <v>10</v>
      </c>
      <c r="AS190" s="449" t="s">
        <v>2254</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t="13" hidden="1">
      <c r="A193" s="438" t="s">
        <v>2255</v>
      </c>
      <c r="B193" s="438" t="s">
        <v>2256</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81" t="s">
        <v>2257</v>
      </c>
      <c r="AF193" s="2381"/>
      <c r="AG193" s="2381"/>
      <c r="AH193" s="2381"/>
      <c r="AI193" s="2381"/>
      <c r="AJ193" s="2381"/>
      <c r="AK193" s="2381"/>
    </row>
    <row r="194" spans="1:37" ht="13"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t="13" hidden="1">
      <c r="A195" s="438"/>
      <c r="B195" s="740" t="s">
        <v>2258</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2259</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89"/>
      <c r="C198" s="2489"/>
      <c r="D198" s="2489"/>
      <c r="E198" s="2489"/>
      <c r="F198" s="2489"/>
      <c r="G198" s="2489"/>
      <c r="H198" s="2489"/>
      <c r="I198" s="2489"/>
      <c r="J198" s="2489"/>
      <c r="K198" s="2489"/>
      <c r="L198" s="2489"/>
      <c r="M198" s="2489"/>
      <c r="N198" s="2489"/>
      <c r="O198" s="2489"/>
      <c r="P198" s="2489"/>
      <c r="Q198" s="2489"/>
      <c r="R198" s="2489"/>
      <c r="S198" s="2489"/>
      <c r="T198" s="2489"/>
      <c r="U198" s="2489"/>
      <c r="V198" s="2489"/>
      <c r="W198" s="2489"/>
      <c r="X198" s="2489"/>
      <c r="Y198" s="2489"/>
      <c r="Z198" s="2489"/>
      <c r="AA198" s="2489"/>
      <c r="AB198" s="2489"/>
      <c r="AC198" s="742"/>
      <c r="AD198" s="2505"/>
      <c r="AE198" s="2505"/>
      <c r="AF198" s="2505"/>
      <c r="AG198" s="2505"/>
      <c r="AH198" s="2505"/>
      <c r="AI198" s="2505"/>
      <c r="AJ198" s="2505"/>
      <c r="AK198" s="508"/>
    </row>
    <row r="199" spans="1:37" hidden="1">
      <c r="A199" s="503"/>
      <c r="B199" s="2489"/>
      <c r="C199" s="2489"/>
      <c r="D199" s="2489"/>
      <c r="E199" s="2489"/>
      <c r="F199" s="2489"/>
      <c r="G199" s="2489"/>
      <c r="H199" s="2489"/>
      <c r="I199" s="2489"/>
      <c r="J199" s="2489"/>
      <c r="K199" s="2489"/>
      <c r="L199" s="2489"/>
      <c r="M199" s="2489"/>
      <c r="N199" s="2489"/>
      <c r="O199" s="2489"/>
      <c r="P199" s="2489"/>
      <c r="Q199" s="2489"/>
      <c r="R199" s="2489"/>
      <c r="S199" s="2489"/>
      <c r="T199" s="2489"/>
      <c r="U199" s="2489"/>
      <c r="V199" s="2489"/>
      <c r="W199" s="2489"/>
      <c r="X199" s="2489"/>
      <c r="Y199" s="2489"/>
      <c r="Z199" s="2489"/>
      <c r="AA199" s="2489"/>
      <c r="AB199" s="2489"/>
      <c r="AC199" s="742"/>
      <c r="AD199" s="2505"/>
      <c r="AE199" s="2505"/>
      <c r="AF199" s="2505"/>
      <c r="AG199" s="2505"/>
      <c r="AH199" s="2505"/>
      <c r="AI199" s="2505"/>
      <c r="AJ199" s="2505"/>
      <c r="AK199" s="508"/>
    </row>
    <row r="200" spans="1:37" hidden="1">
      <c r="A200" s="503"/>
      <c r="B200" s="2489"/>
      <c r="C200" s="2489"/>
      <c r="D200" s="2489"/>
      <c r="E200" s="2489"/>
      <c r="F200" s="2489"/>
      <c r="G200" s="2489"/>
      <c r="H200" s="2489"/>
      <c r="I200" s="2489"/>
      <c r="J200" s="2489"/>
      <c r="K200" s="2489"/>
      <c r="L200" s="2489"/>
      <c r="M200" s="2489"/>
      <c r="N200" s="2489"/>
      <c r="O200" s="2489"/>
      <c r="P200" s="2489"/>
      <c r="Q200" s="2489"/>
      <c r="R200" s="2489"/>
      <c r="S200" s="2489"/>
      <c r="T200" s="2489"/>
      <c r="U200" s="2489"/>
      <c r="V200" s="2489"/>
      <c r="W200" s="2489"/>
      <c r="X200" s="2489"/>
      <c r="Y200" s="2489"/>
      <c r="Z200" s="2489"/>
      <c r="AA200" s="2489"/>
      <c r="AB200" s="2489"/>
      <c r="AC200" s="742"/>
      <c r="AD200" s="2505"/>
      <c r="AE200" s="2505"/>
      <c r="AF200" s="2505"/>
      <c r="AG200" s="2505"/>
      <c r="AH200" s="2505"/>
      <c r="AI200" s="2505"/>
      <c r="AJ200" s="2505"/>
      <c r="AK200" s="508"/>
    </row>
    <row r="201" spans="1:37" hidden="1">
      <c r="A201" s="503"/>
      <c r="B201" s="2489"/>
      <c r="C201" s="2489"/>
      <c r="D201" s="2489"/>
      <c r="E201" s="2489"/>
      <c r="F201" s="2489"/>
      <c r="G201" s="2489"/>
      <c r="H201" s="2489"/>
      <c r="I201" s="2489"/>
      <c r="J201" s="2489"/>
      <c r="K201" s="2489"/>
      <c r="L201" s="2489"/>
      <c r="M201" s="2489"/>
      <c r="N201" s="2489"/>
      <c r="O201" s="2489"/>
      <c r="P201" s="2489"/>
      <c r="Q201" s="2489"/>
      <c r="R201" s="2489"/>
      <c r="S201" s="2489"/>
      <c r="T201" s="2489"/>
      <c r="U201" s="2489"/>
      <c r="V201" s="2489"/>
      <c r="W201" s="2489"/>
      <c r="X201" s="2489"/>
      <c r="Y201" s="2489"/>
      <c r="Z201" s="2489"/>
      <c r="AA201" s="2489"/>
      <c r="AB201" s="2489"/>
      <c r="AC201" s="742"/>
      <c r="AD201" s="2505"/>
      <c r="AE201" s="2505"/>
      <c r="AF201" s="2505"/>
      <c r="AG201" s="2505"/>
      <c r="AH201" s="2505"/>
      <c r="AI201" s="2505"/>
      <c r="AJ201" s="2505"/>
      <c r="AK201" s="508"/>
    </row>
    <row r="202" spans="1:37" hidden="1">
      <c r="A202" s="503"/>
      <c r="B202" s="2489"/>
      <c r="C202" s="2489"/>
      <c r="D202" s="2489"/>
      <c r="E202" s="2489"/>
      <c r="F202" s="2489"/>
      <c r="G202" s="2489"/>
      <c r="H202" s="2489"/>
      <c r="I202" s="2489"/>
      <c r="J202" s="2489"/>
      <c r="K202" s="2489"/>
      <c r="L202" s="2489"/>
      <c r="M202" s="2489"/>
      <c r="N202" s="2489"/>
      <c r="O202" s="2489"/>
      <c r="P202" s="2489"/>
      <c r="Q202" s="2489"/>
      <c r="R202" s="2489"/>
      <c r="S202" s="2489"/>
      <c r="T202" s="2489"/>
      <c r="U202" s="2489"/>
      <c r="V202" s="2489"/>
      <c r="W202" s="2489"/>
      <c r="X202" s="2489"/>
      <c r="Y202" s="2489"/>
      <c r="Z202" s="2489"/>
      <c r="AA202" s="2489"/>
      <c r="AB202" s="2489"/>
      <c r="AC202" s="742"/>
      <c r="AD202" s="2505"/>
      <c r="AE202" s="2505"/>
      <c r="AF202" s="2505"/>
      <c r="AG202" s="2505"/>
      <c r="AH202" s="2505"/>
      <c r="AI202" s="2505"/>
      <c r="AJ202" s="2505"/>
      <c r="AK202" s="508"/>
    </row>
    <row r="203" spans="1:37" hidden="1">
      <c r="A203" s="503"/>
      <c r="B203" s="2489"/>
      <c r="C203" s="2489"/>
      <c r="D203" s="2489"/>
      <c r="E203" s="2489"/>
      <c r="F203" s="2489"/>
      <c r="G203" s="2489"/>
      <c r="H203" s="2489"/>
      <c r="I203" s="2489"/>
      <c r="J203" s="2489"/>
      <c r="K203" s="2489"/>
      <c r="L203" s="2489"/>
      <c r="M203" s="2489"/>
      <c r="N203" s="2489"/>
      <c r="O203" s="2489"/>
      <c r="P203" s="2489"/>
      <c r="Q203" s="2489"/>
      <c r="R203" s="2489"/>
      <c r="S203" s="2489"/>
      <c r="T203" s="2489"/>
      <c r="U203" s="2489"/>
      <c r="V203" s="2489"/>
      <c r="W203" s="2489"/>
      <c r="X203" s="2489"/>
      <c r="Y203" s="2489"/>
      <c r="Z203" s="2489"/>
      <c r="AA203" s="2489"/>
      <c r="AB203" s="2489"/>
      <c r="AC203" s="742"/>
      <c r="AD203" s="2505"/>
      <c r="AE203" s="2505"/>
      <c r="AF203" s="2505"/>
      <c r="AG203" s="2505"/>
      <c r="AH203" s="2505"/>
      <c r="AI203" s="2505"/>
      <c r="AJ203" s="2505"/>
      <c r="AK203" s="508"/>
    </row>
    <row r="204" spans="1:37" hidden="1">
      <c r="A204" s="503"/>
      <c r="B204" s="2489"/>
      <c r="C204" s="2489"/>
      <c r="D204" s="2489"/>
      <c r="E204" s="2489"/>
      <c r="F204" s="2489"/>
      <c r="G204" s="2489"/>
      <c r="H204" s="2489"/>
      <c r="I204" s="2489"/>
      <c r="J204" s="2489"/>
      <c r="K204" s="2489"/>
      <c r="L204" s="2489"/>
      <c r="M204" s="2489"/>
      <c r="N204" s="2489"/>
      <c r="O204" s="2489"/>
      <c r="P204" s="2489"/>
      <c r="Q204" s="2489"/>
      <c r="R204" s="2489"/>
      <c r="S204" s="2489"/>
      <c r="T204" s="2489"/>
      <c r="U204" s="2489"/>
      <c r="V204" s="2489"/>
      <c r="W204" s="2489"/>
      <c r="X204" s="2489"/>
      <c r="Y204" s="2489"/>
      <c r="Z204" s="2489"/>
      <c r="AA204" s="2489"/>
      <c r="AB204" s="2489"/>
      <c r="AC204" s="742"/>
      <c r="AD204" s="2505"/>
      <c r="AE204" s="2505"/>
      <c r="AF204" s="2505"/>
      <c r="AG204" s="2505"/>
      <c r="AH204" s="2505"/>
      <c r="AI204" s="2505"/>
      <c r="AJ204" s="2505"/>
      <c r="AK204" s="508"/>
    </row>
    <row r="205" spans="1:37" hidden="1">
      <c r="A205" s="503"/>
      <c r="B205" s="2489"/>
      <c r="C205" s="2489"/>
      <c r="D205" s="2489"/>
      <c r="E205" s="2489"/>
      <c r="F205" s="2489"/>
      <c r="G205" s="2489"/>
      <c r="H205" s="2489"/>
      <c r="I205" s="2489"/>
      <c r="J205" s="2489"/>
      <c r="K205" s="2489"/>
      <c r="L205" s="2489"/>
      <c r="M205" s="2489"/>
      <c r="N205" s="2489"/>
      <c r="O205" s="2489"/>
      <c r="P205" s="2489"/>
      <c r="Q205" s="2489"/>
      <c r="R205" s="2489"/>
      <c r="S205" s="2489"/>
      <c r="T205" s="2489"/>
      <c r="U205" s="2489"/>
      <c r="V205" s="2489"/>
      <c r="W205" s="2489"/>
      <c r="X205" s="2489"/>
      <c r="Y205" s="2489"/>
      <c r="Z205" s="2489"/>
      <c r="AA205" s="2489"/>
      <c r="AB205" s="2489"/>
      <c r="AC205" s="742"/>
      <c r="AD205" s="2505"/>
      <c r="AE205" s="2505"/>
      <c r="AF205" s="2505"/>
      <c r="AG205" s="2505"/>
      <c r="AH205" s="2505"/>
      <c r="AI205" s="2505"/>
      <c r="AJ205" s="2505"/>
      <c r="AK205" s="508"/>
    </row>
    <row r="206" spans="1:37" hidden="1">
      <c r="A206" s="503"/>
      <c r="B206" s="2489"/>
      <c r="C206" s="2489"/>
      <c r="D206" s="2489"/>
      <c r="E206" s="2489"/>
      <c r="F206" s="2489"/>
      <c r="G206" s="2489"/>
      <c r="H206" s="2489"/>
      <c r="I206" s="2489"/>
      <c r="J206" s="2489"/>
      <c r="K206" s="2489"/>
      <c r="L206" s="2489"/>
      <c r="M206" s="2489"/>
      <c r="N206" s="2489"/>
      <c r="O206" s="2489"/>
      <c r="P206" s="2489"/>
      <c r="Q206" s="2489"/>
      <c r="R206" s="2489"/>
      <c r="S206" s="2489"/>
      <c r="T206" s="2489"/>
      <c r="U206" s="2489"/>
      <c r="V206" s="2489"/>
      <c r="W206" s="2489"/>
      <c r="X206" s="2489"/>
      <c r="Y206" s="2489"/>
      <c r="Z206" s="2489"/>
      <c r="AA206" s="2489"/>
      <c r="AB206" s="2489"/>
      <c r="AC206" s="742"/>
      <c r="AD206" s="2505"/>
      <c r="AE206" s="2505"/>
      <c r="AF206" s="2505"/>
      <c r="AG206" s="2505"/>
      <c r="AH206" s="2505"/>
      <c r="AI206" s="2505"/>
      <c r="AJ206" s="2505"/>
      <c r="AK206" s="508"/>
    </row>
    <row r="207" spans="1:37" hidden="1">
      <c r="A207" s="503"/>
      <c r="B207" s="2489"/>
      <c r="C207" s="2489"/>
      <c r="D207" s="2489"/>
      <c r="E207" s="2489"/>
      <c r="F207" s="2489"/>
      <c r="G207" s="2489"/>
      <c r="H207" s="2489"/>
      <c r="I207" s="2489"/>
      <c r="J207" s="2489"/>
      <c r="K207" s="2489"/>
      <c r="L207" s="2489"/>
      <c r="M207" s="2489"/>
      <c r="N207" s="2489"/>
      <c r="O207" s="2489"/>
      <c r="P207" s="2489"/>
      <c r="Q207" s="2489"/>
      <c r="R207" s="2489"/>
      <c r="S207" s="2489"/>
      <c r="T207" s="2489"/>
      <c r="U207" s="2489"/>
      <c r="V207" s="2489"/>
      <c r="W207" s="2489"/>
      <c r="X207" s="2489"/>
      <c r="Y207" s="2489"/>
      <c r="Z207" s="2489"/>
      <c r="AA207" s="2489"/>
      <c r="AB207" s="2489"/>
      <c r="AC207" s="742"/>
      <c r="AD207" s="2505"/>
      <c r="AE207" s="2505"/>
      <c r="AF207" s="2505"/>
      <c r="AG207" s="2505"/>
      <c r="AH207" s="2505"/>
      <c r="AI207" s="2505"/>
      <c r="AJ207" s="2505"/>
      <c r="AK207" s="508"/>
    </row>
    <row r="208" spans="1:37" hidden="1">
      <c r="A208" s="503"/>
      <c r="B208" s="2498" t="s">
        <v>2260</v>
      </c>
      <c r="C208" s="2498"/>
      <c r="D208" s="2498"/>
      <c r="E208" s="2498"/>
      <c r="F208" s="2498"/>
      <c r="G208" s="2498"/>
      <c r="H208" s="2498"/>
      <c r="I208" s="2498"/>
      <c r="J208" s="2498"/>
      <c r="K208" s="2498"/>
      <c r="L208" s="2498"/>
      <c r="M208" s="2498"/>
      <c r="N208" s="2498"/>
      <c r="O208" s="2498"/>
      <c r="P208" s="2498"/>
      <c r="Q208" s="2498"/>
      <c r="R208" s="2498"/>
      <c r="S208" s="2498"/>
      <c r="T208" s="2498"/>
      <c r="U208" s="2498"/>
      <c r="V208" s="2498"/>
      <c r="W208" s="2498"/>
      <c r="X208" s="2498"/>
      <c r="Y208" s="2498"/>
      <c r="Z208" s="2498"/>
      <c r="AA208" s="2498"/>
      <c r="AB208" s="2498"/>
      <c r="AC208" s="436"/>
      <c r="AD208" s="2503">
        <f>AB259</f>
        <v>0</v>
      </c>
      <c r="AE208" s="2503"/>
      <c r="AF208" s="2503"/>
      <c r="AG208" s="2503"/>
      <c r="AH208" s="2503"/>
      <c r="AI208" s="2503"/>
      <c r="AJ208" s="2503"/>
      <c r="AK208" s="508"/>
    </row>
    <row r="209" spans="1:37" hidden="1">
      <c r="A209" s="503"/>
      <c r="B209" s="2344" t="s">
        <v>2261</v>
      </c>
      <c r="C209" s="2344"/>
      <c r="D209" s="2344"/>
      <c r="E209" s="2344"/>
      <c r="F209" s="2344"/>
      <c r="G209" s="2344"/>
      <c r="H209" s="2344"/>
      <c r="I209" s="2344"/>
      <c r="J209" s="2344"/>
      <c r="K209" s="2344"/>
      <c r="L209" s="2344"/>
      <c r="M209" s="2344"/>
      <c r="N209" s="2344"/>
      <c r="O209" s="2344"/>
      <c r="P209" s="2344"/>
      <c r="Q209" s="2344"/>
      <c r="R209" s="2344"/>
      <c r="S209" s="2344"/>
      <c r="T209" s="2344"/>
      <c r="U209" s="2344"/>
      <c r="V209" s="2344"/>
      <c r="W209" s="2344"/>
      <c r="X209" s="2344"/>
      <c r="Y209" s="2344"/>
      <c r="Z209" s="2344"/>
      <c r="AA209" s="2344"/>
      <c r="AB209" s="2344"/>
      <c r="AC209" s="742"/>
      <c r="AD209" s="2504">
        <f>'Sources and Uses Budget'!B15</f>
        <v>0</v>
      </c>
      <c r="AE209" s="2504"/>
      <c r="AF209" s="2504"/>
      <c r="AG209" s="2504"/>
      <c r="AH209" s="2504"/>
      <c r="AI209" s="2504"/>
      <c r="AJ209" s="2504"/>
      <c r="AK209" s="508"/>
    </row>
    <row r="210" spans="1:37" ht="13"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1503</v>
      </c>
      <c r="AC210" s="436"/>
      <c r="AD210" s="2509">
        <f>SUM(AD198:AJ208)-AD209</f>
        <v>0</v>
      </c>
      <c r="AE210" s="2509"/>
      <c r="AF210" s="2509"/>
      <c r="AG210" s="2509"/>
      <c r="AH210" s="2509"/>
      <c r="AI210" s="2509"/>
      <c r="AJ210" s="2509"/>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t="13" hidden="1">
      <c r="A212" s="503"/>
      <c r="B212" s="399" t="s">
        <v>2262</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2263</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2264</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2265</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2266</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2267</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2268</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t="13" hidden="1">
      <c r="A219" s="750"/>
      <c r="B219" s="781" t="s">
        <v>2269</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32" t="s">
        <v>2270</v>
      </c>
      <c r="J221" s="2532"/>
      <c r="K221" s="2532"/>
      <c r="L221" s="436"/>
      <c r="M221" s="436"/>
      <c r="N221" s="436"/>
      <c r="O221" s="436"/>
      <c r="P221" s="436"/>
      <c r="Q221" s="436"/>
      <c r="R221" s="436"/>
      <c r="S221" s="436"/>
      <c r="T221" s="2358" t="s">
        <v>2271</v>
      </c>
      <c r="U221" s="2358"/>
      <c r="V221" s="2358"/>
      <c r="W221" s="2358"/>
      <c r="X221" s="2358"/>
      <c r="Y221" s="2358"/>
      <c r="Z221" s="745"/>
      <c r="AA221" s="390"/>
      <c r="AB221" s="2522" t="s">
        <v>2272</v>
      </c>
      <c r="AC221" s="2522"/>
      <c r="AD221" s="2522"/>
      <c r="AE221" s="2522"/>
      <c r="AF221" s="2522"/>
      <c r="AG221" s="2522"/>
      <c r="AH221" s="723"/>
      <c r="AI221" s="723"/>
      <c r="AJ221" s="723"/>
      <c r="AK221" s="508"/>
    </row>
    <row r="222" spans="1:37" hidden="1">
      <c r="A222" s="503"/>
      <c r="B222" s="2530" t="s">
        <v>2273</v>
      </c>
      <c r="C222" s="2530"/>
      <c r="D222" s="2530"/>
      <c r="E222" s="2530"/>
      <c r="F222" s="2530"/>
      <c r="G222" s="2530"/>
      <c r="I222" s="2531" t="s">
        <v>2274</v>
      </c>
      <c r="J222" s="2531"/>
      <c r="K222" s="2531"/>
      <c r="L222" s="897"/>
      <c r="N222" s="2345" t="s">
        <v>2275</v>
      </c>
      <c r="O222" s="2345"/>
      <c r="P222" s="2345"/>
      <c r="Q222" s="2345"/>
      <c r="R222" s="2345"/>
      <c r="T222" s="2345" t="s">
        <v>2276</v>
      </c>
      <c r="U222" s="2345"/>
      <c r="V222" s="2345"/>
      <c r="W222" s="2345"/>
      <c r="X222" s="2345"/>
      <c r="Y222" s="2345"/>
      <c r="Z222" s="746"/>
      <c r="AA222" s="390"/>
      <c r="AB222" s="2401" t="s">
        <v>2277</v>
      </c>
      <c r="AC222" s="2401"/>
      <c r="AD222" s="2401"/>
      <c r="AE222" s="2401"/>
      <c r="AF222" s="2401"/>
      <c r="AG222" s="2401"/>
      <c r="AH222" s="723"/>
      <c r="AI222" s="723"/>
      <c r="AJ222" s="723"/>
      <c r="AK222" s="508"/>
    </row>
    <row r="223" spans="1:37" hidden="1">
      <c r="A223" s="503"/>
      <c r="B223" s="2402" t="s">
        <v>1043</v>
      </c>
      <c r="C223" s="2402"/>
      <c r="D223" s="2402"/>
      <c r="E223" s="2402"/>
      <c r="F223" s="2402"/>
      <c r="G223" s="2402"/>
      <c r="H223" s="748"/>
      <c r="I223" s="2361"/>
      <c r="J223" s="2361"/>
      <c r="K223" s="2361"/>
      <c r="L223" s="897"/>
      <c r="N223" s="2359"/>
      <c r="O223" s="2359"/>
      <c r="P223" s="2359"/>
      <c r="Q223" s="2359"/>
      <c r="R223" s="2359"/>
      <c r="T223" s="2341"/>
      <c r="U223" s="2341"/>
      <c r="V223" s="2341"/>
      <c r="W223" s="2341"/>
      <c r="X223" s="2341"/>
      <c r="Y223" s="2341"/>
      <c r="Z223" s="747"/>
      <c r="AA223" s="747"/>
      <c r="AB223" s="2339">
        <f t="shared" ref="AB223:AB232" si="0">MAX(($T223-$N223)*$I223*12,0)</f>
        <v>0</v>
      </c>
      <c r="AC223" s="2339"/>
      <c r="AD223" s="2339"/>
      <c r="AE223" s="2339"/>
      <c r="AF223" s="2339"/>
      <c r="AG223" s="2339"/>
      <c r="AH223" s="723"/>
      <c r="AI223" s="723"/>
      <c r="AJ223" s="723"/>
      <c r="AK223" s="508"/>
    </row>
    <row r="224" spans="1:37" hidden="1">
      <c r="A224" s="503"/>
      <c r="B224" s="2402" t="s">
        <v>1043</v>
      </c>
      <c r="C224" s="2402"/>
      <c r="D224" s="2402"/>
      <c r="E224" s="2402"/>
      <c r="F224" s="2402"/>
      <c r="G224" s="2402"/>
      <c r="I224" s="2361"/>
      <c r="J224" s="2361"/>
      <c r="K224" s="2361"/>
      <c r="L224" s="897"/>
      <c r="N224" s="2359"/>
      <c r="O224" s="2359"/>
      <c r="P224" s="2359"/>
      <c r="Q224" s="2359"/>
      <c r="R224" s="2359"/>
      <c r="T224" s="2341"/>
      <c r="U224" s="2341"/>
      <c r="V224" s="2341"/>
      <c r="W224" s="2341"/>
      <c r="X224" s="2341"/>
      <c r="Y224" s="2341"/>
      <c r="Z224" s="747"/>
      <c r="AA224" s="747"/>
      <c r="AB224" s="2339">
        <f t="shared" si="0"/>
        <v>0</v>
      </c>
      <c r="AC224" s="2339"/>
      <c r="AD224" s="2339"/>
      <c r="AE224" s="2339"/>
      <c r="AF224" s="2339"/>
      <c r="AG224" s="2339"/>
      <c r="AH224" s="723"/>
      <c r="AI224" s="723"/>
      <c r="AJ224" s="723"/>
      <c r="AK224" s="508"/>
    </row>
    <row r="225" spans="1:37" hidden="1">
      <c r="A225" s="503"/>
      <c r="B225" s="2402" t="s">
        <v>1043</v>
      </c>
      <c r="C225" s="2402"/>
      <c r="D225" s="2402"/>
      <c r="E225" s="2402"/>
      <c r="F225" s="2402"/>
      <c r="G225" s="2402"/>
      <c r="I225" s="2361"/>
      <c r="J225" s="2361"/>
      <c r="K225" s="2361"/>
      <c r="L225" s="897"/>
      <c r="N225" s="2359"/>
      <c r="O225" s="2359"/>
      <c r="P225" s="2359"/>
      <c r="Q225" s="2359"/>
      <c r="R225" s="2359"/>
      <c r="T225" s="2341"/>
      <c r="U225" s="2341"/>
      <c r="V225" s="2341"/>
      <c r="W225" s="2341"/>
      <c r="X225" s="2341"/>
      <c r="Y225" s="2341"/>
      <c r="Z225" s="747"/>
      <c r="AA225" s="747"/>
      <c r="AB225" s="2339">
        <f t="shared" si="0"/>
        <v>0</v>
      </c>
      <c r="AC225" s="2339"/>
      <c r="AD225" s="2339"/>
      <c r="AE225" s="2339"/>
      <c r="AF225" s="2339"/>
      <c r="AG225" s="2339"/>
      <c r="AH225" s="723"/>
      <c r="AI225" s="723"/>
      <c r="AJ225" s="723"/>
      <c r="AK225" s="508"/>
    </row>
    <row r="226" spans="1:37" hidden="1">
      <c r="A226" s="503"/>
      <c r="B226" s="2402" t="s">
        <v>1043</v>
      </c>
      <c r="C226" s="2402"/>
      <c r="D226" s="2402"/>
      <c r="E226" s="2402"/>
      <c r="F226" s="2402"/>
      <c r="G226" s="2402"/>
      <c r="I226" s="2361"/>
      <c r="J226" s="2361"/>
      <c r="K226" s="2361"/>
      <c r="L226" s="897"/>
      <c r="N226" s="2359"/>
      <c r="O226" s="2359"/>
      <c r="P226" s="2359"/>
      <c r="Q226" s="2359"/>
      <c r="R226" s="2359"/>
      <c r="T226" s="2341"/>
      <c r="U226" s="2341"/>
      <c r="V226" s="2341"/>
      <c r="W226" s="2341"/>
      <c r="X226" s="2341"/>
      <c r="Y226" s="2341"/>
      <c r="Z226" s="747"/>
      <c r="AA226" s="747"/>
      <c r="AB226" s="2339">
        <f t="shared" si="0"/>
        <v>0</v>
      </c>
      <c r="AC226" s="2339"/>
      <c r="AD226" s="2339"/>
      <c r="AE226" s="2339"/>
      <c r="AF226" s="2339"/>
      <c r="AG226" s="2339"/>
      <c r="AH226" s="723"/>
      <c r="AI226" s="723"/>
      <c r="AJ226" s="723"/>
      <c r="AK226" s="508"/>
    </row>
    <row r="227" spans="1:37" hidden="1">
      <c r="A227" s="503"/>
      <c r="B227" s="2402" t="s">
        <v>1043</v>
      </c>
      <c r="C227" s="2402"/>
      <c r="D227" s="2402"/>
      <c r="E227" s="2402"/>
      <c r="F227" s="2402"/>
      <c r="G227" s="2402"/>
      <c r="I227" s="2361"/>
      <c r="J227" s="2361"/>
      <c r="K227" s="2361"/>
      <c r="L227" s="902"/>
      <c r="N227" s="2359"/>
      <c r="O227" s="2359"/>
      <c r="P227" s="2359"/>
      <c r="Q227" s="2359"/>
      <c r="R227" s="2359"/>
      <c r="T227" s="2341"/>
      <c r="U227" s="2341"/>
      <c r="V227" s="2341"/>
      <c r="W227" s="2341"/>
      <c r="X227" s="2341"/>
      <c r="Y227" s="2341"/>
      <c r="Z227" s="747"/>
      <c r="AA227" s="747"/>
      <c r="AB227" s="2339">
        <f t="shared" si="0"/>
        <v>0</v>
      </c>
      <c r="AC227" s="2339"/>
      <c r="AD227" s="2339"/>
      <c r="AE227" s="2339"/>
      <c r="AF227" s="2339"/>
      <c r="AG227" s="2339"/>
      <c r="AH227" s="723"/>
      <c r="AI227" s="723"/>
      <c r="AJ227" s="723"/>
      <c r="AK227" s="508"/>
    </row>
    <row r="228" spans="1:37" hidden="1">
      <c r="A228" s="503"/>
      <c r="B228" s="2402" t="s">
        <v>1043</v>
      </c>
      <c r="C228" s="2402"/>
      <c r="D228" s="2402"/>
      <c r="E228" s="2402"/>
      <c r="F228" s="2402"/>
      <c r="G228" s="2402"/>
      <c r="I228" s="2361"/>
      <c r="J228" s="2361"/>
      <c r="K228" s="2361"/>
      <c r="L228" s="902"/>
      <c r="N228" s="2359"/>
      <c r="O228" s="2359"/>
      <c r="P228" s="2359"/>
      <c r="Q228" s="2359"/>
      <c r="R228" s="2359"/>
      <c r="T228" s="2341"/>
      <c r="U228" s="2341"/>
      <c r="V228" s="2341"/>
      <c r="W228" s="2341"/>
      <c r="X228" s="2341"/>
      <c r="Y228" s="2341"/>
      <c r="Z228" s="747"/>
      <c r="AA228" s="747"/>
      <c r="AB228" s="2339">
        <f t="shared" si="0"/>
        <v>0</v>
      </c>
      <c r="AC228" s="2339"/>
      <c r="AD228" s="2339"/>
      <c r="AE228" s="2339"/>
      <c r="AF228" s="2339"/>
      <c r="AG228" s="2339"/>
      <c r="AH228" s="723"/>
      <c r="AI228" s="723"/>
      <c r="AJ228" s="723"/>
      <c r="AK228" s="508"/>
    </row>
    <row r="229" spans="1:37" hidden="1">
      <c r="A229" s="503"/>
      <c r="B229" s="2402" t="s">
        <v>1043</v>
      </c>
      <c r="C229" s="2402"/>
      <c r="D229" s="2402"/>
      <c r="E229" s="2402"/>
      <c r="F229" s="2402"/>
      <c r="G229" s="2402"/>
      <c r="I229" s="2361"/>
      <c r="J229" s="2361"/>
      <c r="K229" s="2361"/>
      <c r="L229" s="902"/>
      <c r="N229" s="2359"/>
      <c r="O229" s="2359"/>
      <c r="P229" s="2359"/>
      <c r="Q229" s="2359"/>
      <c r="R229" s="2359"/>
      <c r="T229" s="2341"/>
      <c r="U229" s="2341"/>
      <c r="V229" s="2341"/>
      <c r="W229" s="2341"/>
      <c r="X229" s="2341"/>
      <c r="Y229" s="2341"/>
      <c r="Z229" s="747"/>
      <c r="AA229" s="747"/>
      <c r="AB229" s="2339">
        <f t="shared" si="0"/>
        <v>0</v>
      </c>
      <c r="AC229" s="2339"/>
      <c r="AD229" s="2339"/>
      <c r="AE229" s="2339"/>
      <c r="AF229" s="2339"/>
      <c r="AG229" s="2339"/>
      <c r="AH229" s="723"/>
      <c r="AI229" s="723"/>
      <c r="AJ229" s="723"/>
      <c r="AK229" s="508"/>
    </row>
    <row r="230" spans="1:37" hidden="1">
      <c r="A230" s="503"/>
      <c r="B230" s="2402" t="s">
        <v>1043</v>
      </c>
      <c r="C230" s="2402"/>
      <c r="D230" s="2402"/>
      <c r="E230" s="2402"/>
      <c r="F230" s="2402"/>
      <c r="G230" s="2402"/>
      <c r="I230" s="2361"/>
      <c r="J230" s="2361"/>
      <c r="K230" s="2361"/>
      <c r="L230" s="902"/>
      <c r="N230" s="2359"/>
      <c r="O230" s="2359"/>
      <c r="P230" s="2359"/>
      <c r="Q230" s="2359"/>
      <c r="R230" s="2359"/>
      <c r="T230" s="2341"/>
      <c r="U230" s="2341"/>
      <c r="V230" s="2341"/>
      <c r="W230" s="2341"/>
      <c r="X230" s="2341"/>
      <c r="Y230" s="2341"/>
      <c r="Z230" s="747"/>
      <c r="AA230" s="747"/>
      <c r="AB230" s="2339">
        <f t="shared" si="0"/>
        <v>0</v>
      </c>
      <c r="AC230" s="2339"/>
      <c r="AD230" s="2339"/>
      <c r="AE230" s="2339"/>
      <c r="AF230" s="2339"/>
      <c r="AG230" s="2339"/>
      <c r="AH230" s="723"/>
      <c r="AI230" s="723"/>
      <c r="AJ230" s="723"/>
      <c r="AK230" s="508"/>
    </row>
    <row r="231" spans="1:37" hidden="1">
      <c r="A231" s="503"/>
      <c r="B231" s="2402" t="s">
        <v>1043</v>
      </c>
      <c r="C231" s="2402"/>
      <c r="D231" s="2402"/>
      <c r="E231" s="2402"/>
      <c r="F231" s="2402"/>
      <c r="G231" s="2402"/>
      <c r="I231" s="2361"/>
      <c r="J231" s="2361"/>
      <c r="K231" s="2361"/>
      <c r="L231" s="902"/>
      <c r="N231" s="2359"/>
      <c r="O231" s="2359"/>
      <c r="P231" s="2359"/>
      <c r="Q231" s="2359"/>
      <c r="R231" s="2359"/>
      <c r="T231" s="2341"/>
      <c r="U231" s="2341"/>
      <c r="V231" s="2341"/>
      <c r="W231" s="2341"/>
      <c r="X231" s="2341"/>
      <c r="Y231" s="2341"/>
      <c r="Z231" s="747"/>
      <c r="AA231" s="747"/>
      <c r="AB231" s="2339">
        <f t="shared" si="0"/>
        <v>0</v>
      </c>
      <c r="AC231" s="2339"/>
      <c r="AD231" s="2339"/>
      <c r="AE231" s="2339"/>
      <c r="AF231" s="2339"/>
      <c r="AG231" s="2339"/>
      <c r="AH231" s="723"/>
      <c r="AI231" s="723"/>
      <c r="AJ231" s="723"/>
      <c r="AK231" s="508"/>
    </row>
    <row r="232" spans="1:37" hidden="1">
      <c r="A232" s="503"/>
      <c r="B232" s="2402" t="s">
        <v>1043</v>
      </c>
      <c r="C232" s="2402"/>
      <c r="D232" s="2402"/>
      <c r="E232" s="2402"/>
      <c r="F232" s="2402"/>
      <c r="G232" s="2402"/>
      <c r="I232" s="2533"/>
      <c r="J232" s="2533"/>
      <c r="K232" s="2533"/>
      <c r="L232" s="902"/>
      <c r="N232" s="2359"/>
      <c r="O232" s="2359"/>
      <c r="P232" s="2359"/>
      <c r="Q232" s="2359"/>
      <c r="R232" s="2359"/>
      <c r="T232" s="2341"/>
      <c r="U232" s="2341"/>
      <c r="V232" s="2341"/>
      <c r="W232" s="2341"/>
      <c r="X232" s="2341"/>
      <c r="Y232" s="2341"/>
      <c r="Z232" s="747"/>
      <c r="AA232" s="747"/>
      <c r="AB232" s="2340">
        <f t="shared" si="0"/>
        <v>0</v>
      </c>
      <c r="AC232" s="2340"/>
      <c r="AD232" s="2340"/>
      <c r="AE232" s="2340"/>
      <c r="AF232" s="2340"/>
      <c r="AG232" s="2340"/>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2278</v>
      </c>
      <c r="AA233" s="749"/>
      <c r="AB233" s="2339">
        <f>SUM(AB223:AB232)</f>
        <v>0</v>
      </c>
      <c r="AC233" s="2339"/>
      <c r="AD233" s="2339"/>
      <c r="AE233" s="2339"/>
      <c r="AF233" s="2339"/>
      <c r="AG233" s="2339"/>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t="13" hidden="1">
      <c r="A235" s="1019" t="s">
        <v>2279</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2280</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2281</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2282</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74"/>
      <c r="AC239" s="2374"/>
      <c r="AD239" s="2374"/>
      <c r="AE239" s="2374"/>
      <c r="AF239" s="2374"/>
      <c r="AG239" s="2374"/>
      <c r="AH239" s="508"/>
      <c r="AI239" s="508"/>
      <c r="AJ239" s="508"/>
      <c r="AK239" s="508"/>
    </row>
    <row r="240" spans="1:37" ht="13" hidden="1">
      <c r="A240" s="503"/>
      <c r="B240" s="733" t="s">
        <v>2283</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2284</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2285</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74"/>
      <c r="AC242" s="2374"/>
      <c r="AD242" s="2374"/>
      <c r="AE242" s="2374"/>
      <c r="AF242" s="2374"/>
      <c r="AG242" s="2374"/>
      <c r="AH242" s="508"/>
      <c r="AI242" s="508"/>
      <c r="AJ242" s="508"/>
      <c r="AK242" s="508"/>
    </row>
    <row r="243" spans="1:37" hidden="1">
      <c r="A243" s="503"/>
      <c r="B243" s="734" t="s">
        <v>2286</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57"/>
      <c r="AC243" s="2357"/>
      <c r="AD243" s="2357"/>
      <c r="AE243" s="2357"/>
      <c r="AF243" s="2357"/>
      <c r="AG243" s="2357"/>
      <c r="AH243" s="508"/>
      <c r="AI243" s="508"/>
      <c r="AJ243" s="508"/>
      <c r="AK243" s="508"/>
    </row>
    <row r="244" spans="1:37" hidden="1">
      <c r="A244" s="503"/>
      <c r="B244" s="734" t="s">
        <v>2287</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42">
        <f>IFERROR(AB242/AB243,0)</f>
        <v>0</v>
      </c>
      <c r="AC244" s="2342"/>
      <c r="AD244" s="2342"/>
      <c r="AE244" s="2342"/>
      <c r="AF244" s="2342"/>
      <c r="AG244" s="2342"/>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2288</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40">
        <f>MAX(AB239,AB244)</f>
        <v>0</v>
      </c>
      <c r="AC246" s="2340"/>
      <c r="AD246" s="2340"/>
      <c r="AE246" s="2340"/>
      <c r="AF246" s="2340"/>
      <c r="AG246" s="2340"/>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2289</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39">
        <f>AB233+AB246</f>
        <v>0</v>
      </c>
      <c r="AC249" s="2339"/>
      <c r="AD249" s="2339"/>
      <c r="AE249" s="2339"/>
      <c r="AF249" s="2339"/>
      <c r="AG249" s="2339"/>
      <c r="AH249" s="508"/>
      <c r="AI249" s="508"/>
      <c r="AJ249" s="508"/>
      <c r="AK249" s="508"/>
    </row>
    <row r="250" spans="1:37" hidden="1">
      <c r="A250" s="503"/>
      <c r="B250" s="377" t="s">
        <v>2290</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13">
        <v>0.05</v>
      </c>
      <c r="AC250" s="2513"/>
      <c r="AD250" s="2513"/>
      <c r="AE250" s="2513"/>
      <c r="AF250" s="2513"/>
      <c r="AG250" s="2513"/>
      <c r="AH250" s="508"/>
      <c r="AI250" s="508"/>
      <c r="AJ250" s="508"/>
      <c r="AK250" s="508"/>
    </row>
    <row r="251" spans="1:37" hidden="1">
      <c r="A251" s="503"/>
      <c r="B251" s="377" t="s">
        <v>2291</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14">
        <f>AB249-(AB249*AB250)</f>
        <v>0</v>
      </c>
      <c r="AC251" s="2514"/>
      <c r="AD251" s="2514"/>
      <c r="AE251" s="2514"/>
      <c r="AF251" s="2514"/>
      <c r="AG251" s="2514"/>
      <c r="AH251" s="508"/>
      <c r="AI251" s="508"/>
      <c r="AJ251" s="508"/>
      <c r="AK251" s="508"/>
    </row>
    <row r="252" spans="1:37" hidden="1">
      <c r="A252" s="503"/>
      <c r="B252" s="377" t="s">
        <v>2292</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2293</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39">
        <f>AB251/AB257</f>
        <v>0</v>
      </c>
      <c r="AC253" s="2339"/>
      <c r="AD253" s="2339"/>
      <c r="AE253" s="2339"/>
      <c r="AF253" s="2339"/>
      <c r="AG253" s="2339"/>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2294</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22">
        <v>15</v>
      </c>
      <c r="AC255" s="2522"/>
      <c r="AD255" s="2522"/>
      <c r="AE255" s="2522"/>
      <c r="AF255" s="2522"/>
      <c r="AG255" s="2522"/>
      <c r="AH255" s="508"/>
      <c r="AI255" s="508"/>
      <c r="AJ255" s="508"/>
      <c r="AK255" s="508"/>
    </row>
    <row r="256" spans="1:37" hidden="1">
      <c r="A256" s="503"/>
      <c r="B256" s="377" t="s">
        <v>2295</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90">
        <v>0.04</v>
      </c>
      <c r="AC256" s="2490"/>
      <c r="AD256" s="2490"/>
      <c r="AE256" s="2490"/>
      <c r="AF256" s="2490"/>
      <c r="AG256" s="2490"/>
      <c r="AH256" s="508"/>
      <c r="AI256" s="508"/>
      <c r="AJ256" s="508"/>
      <c r="AK256" s="508"/>
    </row>
    <row r="257" spans="1:39" hidden="1">
      <c r="A257" s="503"/>
      <c r="B257" s="377" t="s">
        <v>2296</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99">
        <v>1.1499999999999999</v>
      </c>
      <c r="AC257" s="2499"/>
      <c r="AD257" s="2499"/>
      <c r="AE257" s="2499"/>
      <c r="AF257" s="2499"/>
      <c r="AG257" s="2499"/>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t="13" hidden="1">
      <c r="A259" s="503"/>
      <c r="B259" s="740" t="s">
        <v>2297</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06">
        <f>PV(AB256/12,AB255*12,-AB253/12, ,0)</f>
        <v>0</v>
      </c>
      <c r="AC259" s="2507"/>
      <c r="AD259" s="2507"/>
      <c r="AE259" s="2507"/>
      <c r="AF259" s="2507"/>
      <c r="AG259" s="2508"/>
      <c r="AH259" s="508"/>
      <c r="AI259" s="508"/>
      <c r="AJ259" s="508"/>
      <c r="AK259" s="508"/>
    </row>
    <row r="260" spans="1:39" ht="13"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t="13"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t="13" hidden="1">
      <c r="A262" s="503"/>
      <c r="B262" s="743" t="s">
        <v>2298</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2299</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2300</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2301</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10">
        <f>IFERROR(('Sources and Uses Budget'!D105/'Sources and Uses Budget'!B105),0)</f>
        <v>0</v>
      </c>
      <c r="AC265" s="2511"/>
      <c r="AD265" s="2511"/>
      <c r="AE265" s="2511"/>
      <c r="AF265" s="2511"/>
      <c r="AG265" s="2512"/>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t="13" hidden="1">
      <c r="A267" s="520"/>
      <c r="B267" s="349" t="s">
        <v>2302</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67">
        <f>AD210*(1-AB265)</f>
        <v>0</v>
      </c>
      <c r="AH267" s="2367"/>
      <c r="AI267" s="2367"/>
      <c r="AJ267" s="2367"/>
      <c r="AK267" s="2367"/>
    </row>
    <row r="268" spans="1:39" hidden="1">
      <c r="A268" s="520"/>
      <c r="B268" s="523" t="s">
        <v>2303</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67">
        <f>'Sources and Uses Budget'!C105</f>
        <v>78307447</v>
      </c>
      <c r="AH268" s="2367"/>
      <c r="AI268" s="2367"/>
      <c r="AJ268" s="2367"/>
      <c r="AK268" s="2367"/>
    </row>
    <row r="269" spans="1:39" hidden="1">
      <c r="A269" s="520"/>
      <c r="B269" s="522" t="s">
        <v>1657</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502">
        <f>ROUNDDOWN(IF(AND(C305="Yes",AK83=10),((AG267*2)/AG268),AG267/AG268),2)</f>
        <v>0</v>
      </c>
      <c r="AH269" s="2502"/>
      <c r="AI269" s="2502"/>
      <c r="AJ269" s="2502"/>
      <c r="AK269" s="2502"/>
    </row>
    <row r="270" spans="1:39" ht="13" hidden="1">
      <c r="A270" s="520"/>
      <c r="B270" s="867" t="s">
        <v>2304</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t="13"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2305</v>
      </c>
      <c r="AK272" s="2492">
        <f>IFERROR(IF(AG269=0,0,IF((AG269*100)&gt;8,8,(AG269*100))),0)</f>
        <v>0</v>
      </c>
      <c r="AL272" s="2492"/>
      <c r="AM272" s="2493"/>
    </row>
    <row r="273" spans="1:52" ht="13"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ht="13">
      <c r="A275" s="133" t="s">
        <v>2255</v>
      </c>
      <c r="B275" s="438" t="s">
        <v>2306</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2172</v>
      </c>
      <c r="AI275" s="449"/>
      <c r="AJ275" s="449"/>
      <c r="AK275" s="449"/>
      <c r="AL275" s="449"/>
      <c r="AM275" s="449"/>
      <c r="AO275" s="449"/>
    </row>
    <row r="276" spans="1:52" ht="13">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2307</v>
      </c>
      <c r="AI277" s="450"/>
      <c r="AJ277" s="449"/>
      <c r="AK277" s="449"/>
      <c r="AL277" s="449"/>
      <c r="AM277" s="449"/>
      <c r="AO277" s="449"/>
    </row>
    <row r="278" spans="1:52" ht="14.25" customHeight="1">
      <c r="AI278" s="450"/>
      <c r="AJ278" s="449"/>
      <c r="AK278" s="449"/>
      <c r="AL278" s="449"/>
      <c r="AM278" s="449"/>
      <c r="AO278" s="449"/>
    </row>
    <row r="279" spans="1:52" ht="13.75" customHeight="1">
      <c r="A279" s="449"/>
      <c r="B279" s="494"/>
      <c r="C279" s="2343" t="s">
        <v>862</v>
      </c>
      <c r="D279" s="2343"/>
      <c r="E279" s="446"/>
      <c r="F279" s="2330" t="s">
        <v>2308</v>
      </c>
      <c r="G279" s="2331"/>
      <c r="H279" s="2331"/>
      <c r="I279" s="2331"/>
      <c r="J279" s="2331"/>
      <c r="K279" s="2331"/>
      <c r="L279" s="2331"/>
      <c r="M279" s="2331"/>
      <c r="N279" s="2331"/>
      <c r="O279" s="2331"/>
      <c r="P279" s="2331"/>
      <c r="Q279" s="2331"/>
      <c r="R279" s="2331"/>
      <c r="S279" s="2331"/>
      <c r="T279" s="2331"/>
      <c r="U279" s="2331"/>
      <c r="V279" s="2331"/>
      <c r="W279" s="2331"/>
      <c r="X279" s="2331"/>
      <c r="Y279" s="2331"/>
      <c r="Z279" s="2331"/>
      <c r="AA279" s="2331"/>
      <c r="AB279" s="2331"/>
      <c r="AC279" s="2331"/>
      <c r="AD279" s="2332"/>
      <c r="AE279" s="449"/>
      <c r="AF279" s="533"/>
      <c r="AG279" s="2500" t="s">
        <v>2248</v>
      </c>
      <c r="AH279" s="2500"/>
      <c r="AI279" s="2500"/>
      <c r="AJ279" s="2500"/>
      <c r="AK279" s="449"/>
      <c r="AL279" s="449"/>
      <c r="AM279" s="449"/>
      <c r="AO279" s="449"/>
    </row>
    <row r="280" spans="1:52" ht="13.75" customHeight="1">
      <c r="A280" s="449"/>
      <c r="B280" s="494"/>
      <c r="C280" s="534"/>
      <c r="D280" s="449"/>
      <c r="E280" s="446"/>
      <c r="F280" s="2333"/>
      <c r="G280" s="2334"/>
      <c r="H280" s="2334"/>
      <c r="I280" s="2334"/>
      <c r="J280" s="2334"/>
      <c r="K280" s="2334"/>
      <c r="L280" s="2334"/>
      <c r="M280" s="2334"/>
      <c r="N280" s="2334"/>
      <c r="O280" s="2334"/>
      <c r="P280" s="2334"/>
      <c r="Q280" s="2334"/>
      <c r="R280" s="2334"/>
      <c r="S280" s="2334"/>
      <c r="T280" s="2334"/>
      <c r="U280" s="2334"/>
      <c r="V280" s="2334"/>
      <c r="W280" s="2334"/>
      <c r="X280" s="2334"/>
      <c r="Y280" s="2334"/>
      <c r="Z280" s="2334"/>
      <c r="AA280" s="2334"/>
      <c r="AB280" s="2334"/>
      <c r="AC280" s="2334"/>
      <c r="AD280" s="2335"/>
      <c r="AE280" s="449"/>
      <c r="AF280" s="533"/>
      <c r="AG280" s="533"/>
      <c r="AH280" s="533"/>
      <c r="AI280" s="533"/>
      <c r="AJ280" s="449"/>
      <c r="AK280" s="449"/>
      <c r="AL280" s="449"/>
      <c r="AM280" s="449"/>
      <c r="AO280" s="449"/>
    </row>
    <row r="281" spans="1:52" ht="13.75" customHeight="1">
      <c r="A281" s="449"/>
      <c r="B281" s="494"/>
      <c r="C281" s="534"/>
      <c r="D281" s="449"/>
      <c r="E281" s="446"/>
      <c r="F281" s="2333"/>
      <c r="G281" s="2334"/>
      <c r="H281" s="2334"/>
      <c r="I281" s="2334"/>
      <c r="J281" s="2334"/>
      <c r="K281" s="2334"/>
      <c r="L281" s="2334"/>
      <c r="M281" s="2334"/>
      <c r="N281" s="2334"/>
      <c r="O281" s="2334"/>
      <c r="P281" s="2334"/>
      <c r="Q281" s="2334"/>
      <c r="R281" s="2334"/>
      <c r="S281" s="2334"/>
      <c r="T281" s="2334"/>
      <c r="U281" s="2334"/>
      <c r="V281" s="2334"/>
      <c r="W281" s="2334"/>
      <c r="X281" s="2334"/>
      <c r="Y281" s="2334"/>
      <c r="Z281" s="2334"/>
      <c r="AA281" s="2334"/>
      <c r="AB281" s="2334"/>
      <c r="AC281" s="2334"/>
      <c r="AD281" s="2335"/>
      <c r="AE281" s="449"/>
      <c r="AF281" s="533"/>
      <c r="AG281" s="533"/>
      <c r="AH281" s="533"/>
      <c r="AI281" s="533"/>
      <c r="AJ281" s="449"/>
      <c r="AK281" s="449"/>
      <c r="AL281" s="449"/>
      <c r="AM281" s="449"/>
      <c r="AO281" s="449"/>
    </row>
    <row r="282" spans="1:52" ht="13.75" customHeight="1">
      <c r="A282" s="449"/>
      <c r="B282" s="494"/>
      <c r="C282" s="534"/>
      <c r="D282" s="449"/>
      <c r="E282" s="446"/>
      <c r="F282" s="2333"/>
      <c r="G282" s="2334"/>
      <c r="H282" s="2334"/>
      <c r="I282" s="2334"/>
      <c r="J282" s="2334"/>
      <c r="K282" s="2334"/>
      <c r="L282" s="2334"/>
      <c r="M282" s="2334"/>
      <c r="N282" s="2334"/>
      <c r="O282" s="2334"/>
      <c r="P282" s="2334"/>
      <c r="Q282" s="2334"/>
      <c r="R282" s="2334"/>
      <c r="S282" s="2334"/>
      <c r="T282" s="2334"/>
      <c r="U282" s="2334"/>
      <c r="V282" s="2334"/>
      <c r="W282" s="2334"/>
      <c r="X282" s="2334"/>
      <c r="Y282" s="2334"/>
      <c r="Z282" s="2334"/>
      <c r="AA282" s="2334"/>
      <c r="AB282" s="2334"/>
      <c r="AC282" s="2334"/>
      <c r="AD282" s="2335"/>
      <c r="AE282" s="449"/>
      <c r="AF282" s="533"/>
      <c r="AG282" s="533"/>
      <c r="AH282" s="533"/>
      <c r="AI282" s="533"/>
      <c r="AJ282" s="449"/>
      <c r="AK282" s="449"/>
      <c r="AL282" s="449"/>
      <c r="AM282" s="449"/>
      <c r="AO282" s="449"/>
    </row>
    <row r="283" spans="1:52" ht="13.75" customHeight="1">
      <c r="A283" s="449"/>
      <c r="B283" s="494"/>
      <c r="C283" s="534"/>
      <c r="D283" s="449"/>
      <c r="E283" s="446"/>
      <c r="F283" s="2333"/>
      <c r="G283" s="2334"/>
      <c r="H283" s="2334"/>
      <c r="I283" s="2334"/>
      <c r="J283" s="2334"/>
      <c r="K283" s="2334"/>
      <c r="L283" s="2334"/>
      <c r="M283" s="2334"/>
      <c r="N283" s="2334"/>
      <c r="O283" s="2334"/>
      <c r="P283" s="2334"/>
      <c r="Q283" s="2334"/>
      <c r="R283" s="2334"/>
      <c r="S283" s="2334"/>
      <c r="T283" s="2334"/>
      <c r="U283" s="2334"/>
      <c r="V283" s="2334"/>
      <c r="W283" s="2334"/>
      <c r="X283" s="2334"/>
      <c r="Y283" s="2334"/>
      <c r="Z283" s="2334"/>
      <c r="AA283" s="2334"/>
      <c r="AB283" s="2334"/>
      <c r="AC283" s="2334"/>
      <c r="AD283" s="2335"/>
      <c r="AE283" s="449"/>
      <c r="AF283" s="533"/>
      <c r="AG283" s="533"/>
      <c r="AH283" s="533"/>
      <c r="AI283" s="533"/>
      <c r="AJ283" s="449"/>
      <c r="AK283" s="449"/>
      <c r="AL283" s="449"/>
      <c r="AM283" s="449"/>
      <c r="AO283" s="449"/>
    </row>
    <row r="284" spans="1:52">
      <c r="A284" s="449"/>
      <c r="B284" s="494"/>
      <c r="C284" s="534"/>
      <c r="D284" s="449"/>
      <c r="E284" s="446"/>
      <c r="F284" s="2333"/>
      <c r="G284" s="2334"/>
      <c r="H284" s="2334"/>
      <c r="I284" s="2334"/>
      <c r="J284" s="2334"/>
      <c r="K284" s="2334"/>
      <c r="L284" s="2334"/>
      <c r="M284" s="2334"/>
      <c r="N284" s="2334"/>
      <c r="O284" s="2334"/>
      <c r="P284" s="2334"/>
      <c r="Q284" s="2334"/>
      <c r="R284" s="2334"/>
      <c r="S284" s="2334"/>
      <c r="T284" s="2334"/>
      <c r="U284" s="2334"/>
      <c r="V284" s="2334"/>
      <c r="W284" s="2334"/>
      <c r="X284" s="2334"/>
      <c r="Y284" s="2334"/>
      <c r="Z284" s="2334"/>
      <c r="AA284" s="2334"/>
      <c r="AB284" s="2334"/>
      <c r="AC284" s="2334"/>
      <c r="AD284" s="2335"/>
      <c r="AE284" s="449"/>
      <c r="AF284" s="533"/>
      <c r="AG284" s="533"/>
      <c r="AH284" s="533"/>
      <c r="AI284" s="533"/>
      <c r="AJ284" s="449"/>
      <c r="AK284" s="449"/>
      <c r="AL284" s="449"/>
      <c r="AM284" s="449"/>
      <c r="AO284" s="449"/>
      <c r="AP284" s="535"/>
    </row>
    <row r="285" spans="1:52">
      <c r="A285" s="449"/>
      <c r="B285" s="494"/>
      <c r="C285" s="534"/>
      <c r="D285" s="449"/>
      <c r="E285" s="446"/>
      <c r="F285" s="2333"/>
      <c r="G285" s="2334"/>
      <c r="H285" s="2334"/>
      <c r="I285" s="2334"/>
      <c r="J285" s="2334"/>
      <c r="K285" s="2334"/>
      <c r="L285" s="2334"/>
      <c r="M285" s="2334"/>
      <c r="N285" s="2334"/>
      <c r="O285" s="2334"/>
      <c r="P285" s="2334"/>
      <c r="Q285" s="2334"/>
      <c r="R285" s="2334"/>
      <c r="S285" s="2334"/>
      <c r="T285" s="2334"/>
      <c r="U285" s="2334"/>
      <c r="V285" s="2334"/>
      <c r="W285" s="2334"/>
      <c r="X285" s="2334"/>
      <c r="Y285" s="2334"/>
      <c r="Z285" s="2334"/>
      <c r="AA285" s="2334"/>
      <c r="AB285" s="2334"/>
      <c r="AC285" s="2334"/>
      <c r="AD285" s="2335"/>
      <c r="AE285" s="449"/>
      <c r="AF285" s="533"/>
      <c r="AG285" s="533"/>
      <c r="AH285" s="533"/>
      <c r="AI285" s="533"/>
      <c r="AJ285" s="449"/>
      <c r="AK285" s="449"/>
      <c r="AL285" s="449"/>
      <c r="AM285" s="449"/>
      <c r="AO285" s="449"/>
      <c r="AP285" s="535"/>
    </row>
    <row r="286" spans="1:52" ht="13.75" customHeight="1">
      <c r="A286" s="449"/>
      <c r="B286" s="494"/>
      <c r="C286" s="2501"/>
      <c r="D286" s="2501"/>
      <c r="E286" s="446"/>
      <c r="F286" s="2336"/>
      <c r="G286" s="2337"/>
      <c r="H286" s="2337"/>
      <c r="I286" s="2337"/>
      <c r="J286" s="2337"/>
      <c r="K286" s="2337"/>
      <c r="L286" s="2337"/>
      <c r="M286" s="2337"/>
      <c r="N286" s="2337"/>
      <c r="O286" s="2337"/>
      <c r="P286" s="2337"/>
      <c r="Q286" s="2337"/>
      <c r="R286" s="2337"/>
      <c r="S286" s="2337"/>
      <c r="T286" s="2337"/>
      <c r="U286" s="2337"/>
      <c r="V286" s="2337"/>
      <c r="W286" s="2337"/>
      <c r="X286" s="2337"/>
      <c r="Y286" s="2337"/>
      <c r="Z286" s="2337"/>
      <c r="AA286" s="2337"/>
      <c r="AB286" s="2337"/>
      <c r="AC286" s="2337"/>
      <c r="AD286" s="2338"/>
      <c r="AE286" s="449"/>
      <c r="AF286" s="533"/>
      <c r="AG286" s="2500"/>
      <c r="AH286" s="2500"/>
      <c r="AI286" s="2500"/>
      <c r="AJ286" s="2500"/>
      <c r="AK286" s="449"/>
      <c r="AL286" s="449"/>
      <c r="AM286" s="449"/>
    </row>
    <row r="287" spans="1:52" ht="13.75"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72" t="s">
        <v>2309</v>
      </c>
      <c r="C289" s="2372"/>
      <c r="D289" s="2372"/>
      <c r="E289" s="2372"/>
      <c r="F289" s="2372"/>
      <c r="G289" s="2372"/>
      <c r="H289" s="2372"/>
      <c r="I289" s="2372"/>
      <c r="J289" s="2372"/>
      <c r="K289" s="2372"/>
      <c r="L289" s="2372"/>
      <c r="M289" s="2372"/>
      <c r="N289" s="2372"/>
      <c r="O289" s="2372"/>
      <c r="P289" s="2372"/>
      <c r="Q289" s="2372"/>
      <c r="R289" s="2372"/>
      <c r="S289" s="2372"/>
      <c r="T289" s="2372"/>
      <c r="U289" s="2372"/>
      <c r="V289" s="2372"/>
      <c r="W289" s="2372"/>
      <c r="X289" s="2372"/>
      <c r="Y289" s="2372"/>
      <c r="Z289" s="2372"/>
      <c r="AA289" s="2372"/>
      <c r="AB289" s="2372"/>
      <c r="AC289" s="2372"/>
      <c r="AD289" s="2372"/>
      <c r="AE289" s="2372"/>
      <c r="AF289" s="2372"/>
      <c r="AG289" s="2372"/>
      <c r="AH289" s="2372"/>
      <c r="AI289" s="2372"/>
      <c r="AJ289" s="2372"/>
      <c r="AK289" s="2372"/>
      <c r="AL289" s="2372"/>
      <c r="AM289" s="449"/>
      <c r="AN289" s="58"/>
    </row>
    <row r="290" spans="1:49">
      <c r="A290" s="449"/>
      <c r="B290" s="2372"/>
      <c r="C290" s="2372"/>
      <c r="D290" s="2372"/>
      <c r="E290" s="2372"/>
      <c r="F290" s="2372"/>
      <c r="G290" s="2372"/>
      <c r="H290" s="2372"/>
      <c r="I290" s="2372"/>
      <c r="J290" s="2372"/>
      <c r="K290" s="2372"/>
      <c r="L290" s="2372"/>
      <c r="M290" s="2372"/>
      <c r="N290" s="2372"/>
      <c r="O290" s="2372"/>
      <c r="P290" s="2372"/>
      <c r="Q290" s="2372"/>
      <c r="R290" s="2372"/>
      <c r="S290" s="2372"/>
      <c r="T290" s="2372"/>
      <c r="U290" s="2372"/>
      <c r="V290" s="2372"/>
      <c r="W290" s="2372"/>
      <c r="X290" s="2372"/>
      <c r="Y290" s="2372"/>
      <c r="Z290" s="2372"/>
      <c r="AA290" s="2372"/>
      <c r="AB290" s="2372"/>
      <c r="AC290" s="2372"/>
      <c r="AD290" s="2372"/>
      <c r="AE290" s="2372"/>
      <c r="AF290" s="2372"/>
      <c r="AG290" s="2372"/>
      <c r="AH290" s="2372"/>
      <c r="AI290" s="2372"/>
      <c r="AJ290" s="2372"/>
      <c r="AK290" s="2372"/>
      <c r="AL290" s="2372"/>
      <c r="AM290" s="449"/>
      <c r="AN290" s="58"/>
    </row>
    <row r="291" spans="1:49">
      <c r="A291" s="449"/>
      <c r="B291" s="2372"/>
      <c r="C291" s="2372"/>
      <c r="D291" s="2372"/>
      <c r="E291" s="2372"/>
      <c r="F291" s="2372"/>
      <c r="G291" s="2372"/>
      <c r="H291" s="2372"/>
      <c r="I291" s="2372"/>
      <c r="J291" s="2372"/>
      <c r="K291" s="2372"/>
      <c r="L291" s="2372"/>
      <c r="M291" s="2372"/>
      <c r="N291" s="2372"/>
      <c r="O291" s="2372"/>
      <c r="P291" s="2372"/>
      <c r="Q291" s="2372"/>
      <c r="R291" s="2372"/>
      <c r="S291" s="2372"/>
      <c r="T291" s="2372"/>
      <c r="U291" s="2372"/>
      <c r="V291" s="2372"/>
      <c r="W291" s="2372"/>
      <c r="X291" s="2372"/>
      <c r="Y291" s="2372"/>
      <c r="Z291" s="2372"/>
      <c r="AA291" s="2372"/>
      <c r="AB291" s="2372"/>
      <c r="AC291" s="2372"/>
      <c r="AD291" s="2372"/>
      <c r="AE291" s="2372"/>
      <c r="AF291" s="2372"/>
      <c r="AG291" s="2372"/>
      <c r="AH291" s="2372"/>
      <c r="AI291" s="2372"/>
      <c r="AJ291" s="2372"/>
      <c r="AK291" s="2372"/>
      <c r="AL291" s="2372"/>
      <c r="AM291" s="449"/>
      <c r="AN291" s="58"/>
    </row>
    <row r="292" spans="1:49">
      <c r="A292" s="449"/>
      <c r="B292" s="2372"/>
      <c r="C292" s="2372"/>
      <c r="D292" s="2372"/>
      <c r="E292" s="2372"/>
      <c r="F292" s="2372"/>
      <c r="G292" s="2372"/>
      <c r="H292" s="2372"/>
      <c r="I292" s="2372"/>
      <c r="J292" s="2372"/>
      <c r="K292" s="2372"/>
      <c r="L292" s="2372"/>
      <c r="M292" s="2372"/>
      <c r="N292" s="2372"/>
      <c r="O292" s="2372"/>
      <c r="P292" s="2372"/>
      <c r="Q292" s="2372"/>
      <c r="R292" s="2372"/>
      <c r="S292" s="2372"/>
      <c r="T292" s="2372"/>
      <c r="U292" s="2372"/>
      <c r="V292" s="2372"/>
      <c r="W292" s="2372"/>
      <c r="X292" s="2372"/>
      <c r="Y292" s="2372"/>
      <c r="Z292" s="2372"/>
      <c r="AA292" s="2372"/>
      <c r="AB292" s="2372"/>
      <c r="AC292" s="2372"/>
      <c r="AD292" s="2372"/>
      <c r="AE292" s="2372"/>
      <c r="AF292" s="2372"/>
      <c r="AG292" s="2372"/>
      <c r="AH292" s="2372"/>
      <c r="AI292" s="2372"/>
      <c r="AJ292" s="2372"/>
      <c r="AK292" s="2372"/>
      <c r="AL292" s="2372"/>
      <c r="AM292" s="449"/>
      <c r="AN292" s="58"/>
    </row>
    <row r="293" spans="1:49">
      <c r="A293" s="449"/>
      <c r="B293" s="2372"/>
      <c r="C293" s="2372"/>
      <c r="D293" s="2372"/>
      <c r="E293" s="2372"/>
      <c r="F293" s="2372"/>
      <c r="G293" s="2372"/>
      <c r="H293" s="2372"/>
      <c r="I293" s="2372"/>
      <c r="J293" s="2372"/>
      <c r="K293" s="2372"/>
      <c r="L293" s="2372"/>
      <c r="M293" s="2372"/>
      <c r="N293" s="2372"/>
      <c r="O293" s="2372"/>
      <c r="P293" s="2372"/>
      <c r="Q293" s="2372"/>
      <c r="R293" s="2372"/>
      <c r="S293" s="2372"/>
      <c r="T293" s="2372"/>
      <c r="U293" s="2372"/>
      <c r="V293" s="2372"/>
      <c r="W293" s="2372"/>
      <c r="X293" s="2372"/>
      <c r="Y293" s="2372"/>
      <c r="Z293" s="2372"/>
      <c r="AA293" s="2372"/>
      <c r="AB293" s="2372"/>
      <c r="AC293" s="2372"/>
      <c r="AD293" s="2372"/>
      <c r="AE293" s="2372"/>
      <c r="AF293" s="2372"/>
      <c r="AG293" s="2372"/>
      <c r="AH293" s="2372"/>
      <c r="AI293" s="2372"/>
      <c r="AJ293" s="2372"/>
      <c r="AK293" s="2372"/>
      <c r="AL293" s="2372"/>
      <c r="AM293" s="449"/>
      <c r="AN293" s="58"/>
    </row>
    <row r="294" spans="1:49">
      <c r="A294" s="449"/>
      <c r="B294" s="2372"/>
      <c r="C294" s="2372"/>
      <c r="D294" s="2372"/>
      <c r="E294" s="2372"/>
      <c r="F294" s="2372"/>
      <c r="G294" s="2372"/>
      <c r="H294" s="2372"/>
      <c r="I294" s="2372"/>
      <c r="J294" s="2372"/>
      <c r="K294" s="2372"/>
      <c r="L294" s="2372"/>
      <c r="M294" s="2372"/>
      <c r="N294" s="2372"/>
      <c r="O294" s="2372"/>
      <c r="P294" s="2372"/>
      <c r="Q294" s="2372"/>
      <c r="R294" s="2372"/>
      <c r="S294" s="2372"/>
      <c r="T294" s="2372"/>
      <c r="U294" s="2372"/>
      <c r="V294" s="2372"/>
      <c r="W294" s="2372"/>
      <c r="X294" s="2372"/>
      <c r="Y294" s="2372"/>
      <c r="Z294" s="2372"/>
      <c r="AA294" s="2372"/>
      <c r="AB294" s="2372"/>
      <c r="AC294" s="2372"/>
      <c r="AD294" s="2372"/>
      <c r="AE294" s="2372"/>
      <c r="AF294" s="2372"/>
      <c r="AG294" s="2372"/>
      <c r="AH294" s="2372"/>
      <c r="AI294" s="2372"/>
      <c r="AJ294" s="2372"/>
      <c r="AK294" s="2372"/>
      <c r="AL294" s="2372"/>
      <c r="AM294" s="449"/>
      <c r="AN294" s="58"/>
    </row>
    <row r="295" spans="1:49">
      <c r="A295" s="449"/>
      <c r="B295" s="2372"/>
      <c r="C295" s="2372"/>
      <c r="D295" s="2372"/>
      <c r="E295" s="2372"/>
      <c r="F295" s="2372"/>
      <c r="G295" s="2372"/>
      <c r="H295" s="2372"/>
      <c r="I295" s="2372"/>
      <c r="J295" s="2372"/>
      <c r="K295" s="2372"/>
      <c r="L295" s="2372"/>
      <c r="M295" s="2372"/>
      <c r="N295" s="2372"/>
      <c r="O295" s="2372"/>
      <c r="P295" s="2372"/>
      <c r="Q295" s="2372"/>
      <c r="R295" s="2372"/>
      <c r="S295" s="2372"/>
      <c r="T295" s="2372"/>
      <c r="U295" s="2372"/>
      <c r="V295" s="2372"/>
      <c r="W295" s="2372"/>
      <c r="X295" s="2372"/>
      <c r="Y295" s="2372"/>
      <c r="Z295" s="2372"/>
      <c r="AA295" s="2372"/>
      <c r="AB295" s="2372"/>
      <c r="AC295" s="2372"/>
      <c r="AD295" s="2372"/>
      <c r="AE295" s="2372"/>
      <c r="AF295" s="2372"/>
      <c r="AG295" s="2372"/>
      <c r="AH295" s="2372"/>
      <c r="AI295" s="2372"/>
      <c r="AJ295" s="2372"/>
      <c r="AK295" s="2372"/>
      <c r="AL295" s="2372"/>
      <c r="AM295" s="449"/>
      <c r="AN295" s="58"/>
    </row>
    <row r="296" spans="1:49">
      <c r="A296" s="449"/>
      <c r="B296" s="2372"/>
      <c r="C296" s="2372"/>
      <c r="D296" s="2372"/>
      <c r="E296" s="2372"/>
      <c r="F296" s="2372"/>
      <c r="G296" s="2372"/>
      <c r="H296" s="2372"/>
      <c r="I296" s="2372"/>
      <c r="J296" s="2372"/>
      <c r="K296" s="2372"/>
      <c r="L296" s="2372"/>
      <c r="M296" s="2372"/>
      <c r="N296" s="2372"/>
      <c r="O296" s="2372"/>
      <c r="P296" s="2372"/>
      <c r="Q296" s="2372"/>
      <c r="R296" s="2372"/>
      <c r="S296" s="2372"/>
      <c r="T296" s="2372"/>
      <c r="U296" s="2372"/>
      <c r="V296" s="2372"/>
      <c r="W296" s="2372"/>
      <c r="X296" s="2372"/>
      <c r="Y296" s="2372"/>
      <c r="Z296" s="2372"/>
      <c r="AA296" s="2372"/>
      <c r="AB296" s="2372"/>
      <c r="AC296" s="2372"/>
      <c r="AD296" s="2372"/>
      <c r="AE296" s="2372"/>
      <c r="AF296" s="2372"/>
      <c r="AG296" s="2372"/>
      <c r="AH296" s="2372"/>
      <c r="AI296" s="2372"/>
      <c r="AJ296" s="2372"/>
      <c r="AK296" s="2372"/>
      <c r="AL296" s="2372"/>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ht="13">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2310</v>
      </c>
      <c r="AK298" s="2492">
        <f>IF($C$279="yes",10,0)</f>
        <v>10</v>
      </c>
      <c r="AL298" s="2492"/>
      <c r="AM298" s="2493"/>
      <c r="AN298" s="58"/>
    </row>
    <row r="299" spans="1:49" ht="13" thickBot="1"/>
    <row r="300" spans="1:49" ht="13"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ht="13">
      <c r="A301" s="438" t="s">
        <v>2311</v>
      </c>
      <c r="B301" s="438" t="s">
        <v>2312</v>
      </c>
      <c r="AH301" s="489" t="s">
        <v>2172</v>
      </c>
    </row>
    <row r="302" spans="1:49" ht="15" customHeight="1">
      <c r="B302" s="439"/>
    </row>
    <row r="303" spans="1:49" ht="15" customHeight="1">
      <c r="B303" s="439" t="s">
        <v>2173</v>
      </c>
    </row>
    <row r="304" spans="1:49" ht="13">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96" t="s">
        <v>2313</v>
      </c>
      <c r="B305" s="1596"/>
      <c r="C305" s="2329" t="s">
        <v>826</v>
      </c>
      <c r="D305" s="2343"/>
      <c r="E305" s="446"/>
      <c r="F305" s="2494" t="s">
        <v>2314</v>
      </c>
      <c r="G305" s="2495"/>
      <c r="H305" s="2495"/>
      <c r="I305" s="2495"/>
      <c r="J305" s="2495"/>
      <c r="K305" s="2495"/>
      <c r="L305" s="2495"/>
      <c r="M305" s="2495"/>
      <c r="N305" s="2495"/>
      <c r="O305" s="2495"/>
      <c r="P305" s="2495"/>
      <c r="Q305" s="2495"/>
      <c r="R305" s="2495"/>
      <c r="S305" s="2495"/>
      <c r="T305" s="2495"/>
      <c r="U305" s="2495"/>
      <c r="V305" s="2495"/>
      <c r="W305" s="2495"/>
      <c r="X305" s="2495"/>
      <c r="Y305" s="2495"/>
      <c r="Z305" s="2495"/>
      <c r="AA305" s="2495"/>
      <c r="AB305" s="2495"/>
      <c r="AC305" s="2495"/>
      <c r="AD305" s="2496"/>
      <c r="AE305" s="540"/>
      <c r="AF305" s="449"/>
      <c r="AG305" s="2497" t="s">
        <v>2315</v>
      </c>
      <c r="AH305" s="2497"/>
      <c r="AI305" s="2497"/>
      <c r="AJ305" s="2497"/>
      <c r="AK305" s="2497"/>
      <c r="AL305" s="449"/>
      <c r="AM305" s="449"/>
      <c r="AN305" s="58"/>
      <c r="AO305" s="13"/>
      <c r="AP305" s="25"/>
      <c r="AS305" s="468"/>
      <c r="AT305" s="468"/>
      <c r="AU305" s="468"/>
      <c r="AV305" s="27"/>
      <c r="AW305" s="27"/>
    </row>
    <row r="306" spans="1:49" ht="13">
      <c r="A306" s="538"/>
      <c r="B306" s="494"/>
      <c r="F306" s="2363"/>
      <c r="G306" s="2321"/>
      <c r="H306" s="2321"/>
      <c r="I306" s="2321"/>
      <c r="J306" s="2321"/>
      <c r="K306" s="2321"/>
      <c r="L306" s="2321"/>
      <c r="M306" s="2321"/>
      <c r="N306" s="2321"/>
      <c r="O306" s="2321"/>
      <c r="P306" s="2321"/>
      <c r="Q306" s="2321"/>
      <c r="R306" s="2321"/>
      <c r="S306" s="2321"/>
      <c r="T306" s="2321"/>
      <c r="U306" s="2321"/>
      <c r="V306" s="2321"/>
      <c r="W306" s="2321"/>
      <c r="X306" s="2321"/>
      <c r="Y306" s="2321"/>
      <c r="Z306" s="2321"/>
      <c r="AA306" s="2321"/>
      <c r="AB306" s="2321"/>
      <c r="AC306" s="2321"/>
      <c r="AD306" s="2364"/>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63"/>
      <c r="G307" s="2321"/>
      <c r="H307" s="2321"/>
      <c r="I307" s="2321"/>
      <c r="J307" s="2321"/>
      <c r="K307" s="2321"/>
      <c r="L307" s="2321"/>
      <c r="M307" s="2321"/>
      <c r="N307" s="2321"/>
      <c r="O307" s="2321"/>
      <c r="P307" s="2321"/>
      <c r="Q307" s="2321"/>
      <c r="R307" s="2321"/>
      <c r="S307" s="2321"/>
      <c r="T307" s="2321"/>
      <c r="U307" s="2321"/>
      <c r="V307" s="2321"/>
      <c r="W307" s="2321"/>
      <c r="X307" s="2321"/>
      <c r="Y307" s="2321"/>
      <c r="Z307" s="2321"/>
      <c r="AA307" s="2321"/>
      <c r="AB307" s="2321"/>
      <c r="AC307" s="2321"/>
      <c r="AD307" s="2364"/>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63" t="s">
        <v>2316</v>
      </c>
      <c r="G308" s="2321"/>
      <c r="H308" s="2321"/>
      <c r="I308" s="2321"/>
      <c r="J308" s="2321"/>
      <c r="K308" s="2321"/>
      <c r="L308" s="2321"/>
      <c r="M308" s="2321"/>
      <c r="N308" s="2321"/>
      <c r="O308" s="2321"/>
      <c r="P308" s="2321"/>
      <c r="Q308" s="2321"/>
      <c r="R308" s="2321"/>
      <c r="S308" s="2321"/>
      <c r="T308" s="2321"/>
      <c r="U308" s="2321"/>
      <c r="V308" s="2321"/>
      <c r="W308" s="2321"/>
      <c r="X308" s="2321"/>
      <c r="Y308" s="2321"/>
      <c r="Z308" s="2321"/>
      <c r="AA308" s="2321"/>
      <c r="AB308" s="2321"/>
      <c r="AC308" s="2321"/>
      <c r="AD308" s="2364"/>
      <c r="AE308" s="540"/>
      <c r="AF308" s="450"/>
      <c r="AH308" s="450"/>
      <c r="AI308" s="450"/>
      <c r="AJ308" s="449"/>
      <c r="AK308" s="449"/>
      <c r="AL308" s="449"/>
      <c r="AM308" s="449"/>
      <c r="AN308" s="58"/>
      <c r="AO308" s="13"/>
      <c r="AP308" s="509">
        <f>MAX(AP306,AP307)</f>
        <v>9</v>
      </c>
      <c r="AQ308" s="472" t="s">
        <v>2176</v>
      </c>
      <c r="AS308" s="468"/>
      <c r="AT308" s="468"/>
      <c r="AU308" s="468"/>
      <c r="AV308" s="27"/>
      <c r="AW308" s="27"/>
    </row>
    <row r="309" spans="1:49" ht="13">
      <c r="A309" s="538"/>
      <c r="B309" s="494"/>
      <c r="F309" s="2363"/>
      <c r="G309" s="2321"/>
      <c r="H309" s="2321"/>
      <c r="I309" s="2321"/>
      <c r="J309" s="2321"/>
      <c r="K309" s="2321"/>
      <c r="L309" s="2321"/>
      <c r="M309" s="2321"/>
      <c r="N309" s="2321"/>
      <c r="O309" s="2321"/>
      <c r="P309" s="2321"/>
      <c r="Q309" s="2321"/>
      <c r="R309" s="2321"/>
      <c r="S309" s="2321"/>
      <c r="T309" s="2321"/>
      <c r="U309" s="2321"/>
      <c r="V309" s="2321"/>
      <c r="W309" s="2321"/>
      <c r="X309" s="2321"/>
      <c r="Y309" s="2321"/>
      <c r="Z309" s="2321"/>
      <c r="AA309" s="2321"/>
      <c r="AB309" s="2321"/>
      <c r="AC309" s="2321"/>
      <c r="AD309" s="2364"/>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63" t="s">
        <v>2317</v>
      </c>
      <c r="G310" s="2321"/>
      <c r="H310" s="2321"/>
      <c r="I310" s="2321"/>
      <c r="J310" s="2321"/>
      <c r="K310" s="2321"/>
      <c r="L310" s="2321"/>
      <c r="M310" s="2321"/>
      <c r="N310" s="2321"/>
      <c r="O310" s="2321"/>
      <c r="P310" s="2321"/>
      <c r="Q310" s="2321"/>
      <c r="R310" s="2321"/>
      <c r="S310" s="2321"/>
      <c r="T310" s="2321"/>
      <c r="U310" s="2321"/>
      <c r="V310" s="2321"/>
      <c r="W310" s="2321"/>
      <c r="X310" s="2321"/>
      <c r="Y310" s="2321"/>
      <c r="Z310" s="2321"/>
      <c r="AA310" s="2321"/>
      <c r="AB310" s="2321"/>
      <c r="AC310" s="2321"/>
      <c r="AD310" s="2364"/>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63"/>
      <c r="G311" s="2321"/>
      <c r="H311" s="2321"/>
      <c r="I311" s="2321"/>
      <c r="J311" s="2321"/>
      <c r="K311" s="2321"/>
      <c r="L311" s="2321"/>
      <c r="M311" s="2321"/>
      <c r="N311" s="2321"/>
      <c r="O311" s="2321"/>
      <c r="P311" s="2321"/>
      <c r="Q311" s="2321"/>
      <c r="R311" s="2321"/>
      <c r="S311" s="2321"/>
      <c r="T311" s="2321"/>
      <c r="U311" s="2321"/>
      <c r="V311" s="2321"/>
      <c r="W311" s="2321"/>
      <c r="X311" s="2321"/>
      <c r="Y311" s="2321"/>
      <c r="Z311" s="2321"/>
      <c r="AA311" s="2321"/>
      <c r="AB311" s="2321"/>
      <c r="AC311" s="2321"/>
      <c r="AD311" s="2364"/>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63" t="s">
        <v>2318</v>
      </c>
      <c r="G312" s="2321"/>
      <c r="H312" s="2321"/>
      <c r="I312" s="2321"/>
      <c r="J312" s="2321"/>
      <c r="K312" s="2321"/>
      <c r="L312" s="2321"/>
      <c r="M312" s="2321"/>
      <c r="N312" s="2321"/>
      <c r="O312" s="2321"/>
      <c r="P312" s="2321"/>
      <c r="Q312" s="2321"/>
      <c r="R312" s="2321"/>
      <c r="S312" s="2321"/>
      <c r="T312" s="2321"/>
      <c r="U312" s="2321"/>
      <c r="V312" s="2321"/>
      <c r="W312" s="2321"/>
      <c r="X312" s="2321"/>
      <c r="Y312" s="2321"/>
      <c r="Z312" s="2321"/>
      <c r="AA312" s="2321"/>
      <c r="AB312" s="2321"/>
      <c r="AC312" s="2321"/>
      <c r="AD312" s="2364"/>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5"/>
      <c r="G313" s="2366"/>
      <c r="H313" s="2366"/>
      <c r="I313" s="2366"/>
      <c r="J313" s="2366"/>
      <c r="K313" s="2366"/>
      <c r="L313" s="2366"/>
      <c r="M313" s="2366"/>
      <c r="N313" s="2366"/>
      <c r="O313" s="2366"/>
      <c r="P313" s="2366"/>
      <c r="Q313" s="2366"/>
      <c r="R313" s="2366"/>
      <c r="S313" s="2366"/>
      <c r="T313" s="2366"/>
      <c r="U313" s="2366"/>
      <c r="V313" s="2366"/>
      <c r="W313" s="2366"/>
      <c r="X313" s="2366"/>
      <c r="Y313" s="2366"/>
      <c r="Z313" s="2366"/>
      <c r="AA313" s="2366"/>
      <c r="AB313" s="2366"/>
      <c r="AC313" s="2366"/>
      <c r="AD313" s="2491"/>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96" t="s">
        <v>2319</v>
      </c>
      <c r="B315" s="1596"/>
      <c r="C315" s="2343" t="s">
        <v>862</v>
      </c>
      <c r="D315" s="2343"/>
      <c r="E315" s="446"/>
      <c r="F315" s="861" t="s">
        <v>2320</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2321</v>
      </c>
      <c r="AH315" s="450"/>
      <c r="AI315" s="450"/>
      <c r="AJ315" s="449"/>
      <c r="AK315" s="449"/>
      <c r="AL315" s="449"/>
      <c r="AM315" s="449"/>
      <c r="AN315" s="543"/>
      <c r="AO315" s="13"/>
    </row>
    <row r="316" spans="1:49">
      <c r="A316" s="449"/>
      <c r="B316" s="450"/>
      <c r="C316" s="449"/>
      <c r="D316" s="450"/>
      <c r="E316" s="449"/>
      <c r="F316" s="2363" t="s">
        <v>2322</v>
      </c>
      <c r="G316" s="2321"/>
      <c r="H316" s="2321"/>
      <c r="I316" s="2321"/>
      <c r="J316" s="2321"/>
      <c r="K316" s="2321"/>
      <c r="L316" s="2321"/>
      <c r="M316" s="2321"/>
      <c r="N316" s="2321"/>
      <c r="O316" s="2321"/>
      <c r="P316" s="2321"/>
      <c r="Q316" s="2321"/>
      <c r="R316" s="2321"/>
      <c r="S316" s="2321"/>
      <c r="T316" s="2321"/>
      <c r="U316" s="2321"/>
      <c r="V316" s="2321"/>
      <c r="W316" s="2321"/>
      <c r="X316" s="2321"/>
      <c r="Y316" s="2321"/>
      <c r="Z316" s="2321"/>
      <c r="AA316" s="2321"/>
      <c r="AB316" s="2321"/>
      <c r="AC316" s="2321"/>
      <c r="AD316" s="2364"/>
      <c r="AE316" s="450"/>
      <c r="AF316" s="450"/>
      <c r="AG316" s="450"/>
      <c r="AH316" s="450"/>
      <c r="AI316" s="450"/>
      <c r="AJ316" s="449"/>
      <c r="AK316" s="449"/>
      <c r="AL316" s="449"/>
      <c r="AM316" s="449"/>
      <c r="AR316" s="544"/>
    </row>
    <row r="317" spans="1:49" ht="15" customHeight="1">
      <c r="A317" s="449"/>
      <c r="B317" s="450"/>
      <c r="C317" s="449"/>
      <c r="D317" s="450"/>
      <c r="E317" s="449"/>
      <c r="F317" s="2363"/>
      <c r="G317" s="2321"/>
      <c r="H317" s="2321"/>
      <c r="I317" s="2321"/>
      <c r="J317" s="2321"/>
      <c r="K317" s="2321"/>
      <c r="L317" s="2321"/>
      <c r="M317" s="2321"/>
      <c r="N317" s="2321"/>
      <c r="O317" s="2321"/>
      <c r="P317" s="2321"/>
      <c r="Q317" s="2321"/>
      <c r="R317" s="2321"/>
      <c r="S317" s="2321"/>
      <c r="T317" s="2321"/>
      <c r="U317" s="2321"/>
      <c r="V317" s="2321"/>
      <c r="W317" s="2321"/>
      <c r="X317" s="2321"/>
      <c r="Y317" s="2321"/>
      <c r="Z317" s="2321"/>
      <c r="AA317" s="2321"/>
      <c r="AB317" s="2321"/>
      <c r="AC317" s="2321"/>
      <c r="AD317" s="2364"/>
      <c r="AE317" s="450"/>
      <c r="AF317" s="450"/>
      <c r="AG317" s="450"/>
      <c r="AH317" s="450"/>
      <c r="AI317" s="450"/>
      <c r="AJ317" s="449"/>
      <c r="AK317" s="449"/>
      <c r="AL317" s="449"/>
      <c r="AM317" s="449"/>
      <c r="AR317" s="544"/>
    </row>
    <row r="318" spans="1:49">
      <c r="A318" s="449"/>
      <c r="B318" s="450"/>
      <c r="C318" s="449"/>
      <c r="D318" s="450"/>
      <c r="E318" s="449"/>
      <c r="F318" s="2363"/>
      <c r="G318" s="2321"/>
      <c r="H318" s="2321"/>
      <c r="I318" s="2321"/>
      <c r="J318" s="2321"/>
      <c r="K318" s="2321"/>
      <c r="L318" s="2321"/>
      <c r="M318" s="2321"/>
      <c r="N318" s="2321"/>
      <c r="O318" s="2321"/>
      <c r="P318" s="2321"/>
      <c r="Q318" s="2321"/>
      <c r="R318" s="2321"/>
      <c r="S318" s="2321"/>
      <c r="T318" s="2321"/>
      <c r="U318" s="2321"/>
      <c r="V318" s="2321"/>
      <c r="W318" s="2321"/>
      <c r="X318" s="2321"/>
      <c r="Y318" s="2321"/>
      <c r="Z318" s="2321"/>
      <c r="AA318" s="2321"/>
      <c r="AB318" s="2321"/>
      <c r="AC318" s="2321"/>
      <c r="AD318" s="2364"/>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5"/>
      <c r="G319" s="2366"/>
      <c r="H319" s="2366"/>
      <c r="I319" s="2366"/>
      <c r="J319" s="2366"/>
      <c r="K319" s="2366"/>
      <c r="L319" s="2366"/>
      <c r="M319" s="2366"/>
      <c r="N319" s="2366"/>
      <c r="O319" s="2366"/>
      <c r="P319" s="2366"/>
      <c r="Q319" s="2366"/>
      <c r="R319" s="2366"/>
      <c r="S319" s="2366"/>
      <c r="T319" s="2366"/>
      <c r="U319" s="2366"/>
      <c r="V319" s="2366"/>
      <c r="W319" s="2366"/>
      <c r="X319" s="2366"/>
      <c r="Y319" s="2366"/>
      <c r="Z319" s="2366"/>
      <c r="AA319" s="2366"/>
      <c r="AB319" s="2366"/>
      <c r="AC319" s="2366"/>
      <c r="AD319" s="2491"/>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t="13" hidden="1">
      <c r="A323" s="1596" t="s">
        <v>2323</v>
      </c>
      <c r="B323" s="1596"/>
      <c r="C323" s="2343" t="s">
        <v>826</v>
      </c>
      <c r="D323" s="2343"/>
      <c r="E323" s="446"/>
      <c r="F323" s="542" t="s">
        <v>2324</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2321</v>
      </c>
      <c r="AH323" s="450"/>
      <c r="AI323" s="450"/>
      <c r="AJ323" s="449"/>
      <c r="AK323" s="449"/>
      <c r="AL323" s="449"/>
      <c r="AM323" s="449"/>
      <c r="AN323" s="58"/>
      <c r="AO323" s="13"/>
    </row>
    <row r="324" spans="1:44" ht="13" hidden="1">
      <c r="A324" s="65"/>
      <c r="B324" s="65"/>
      <c r="C324" s="626"/>
      <c r="D324" s="626"/>
      <c r="E324" s="446"/>
      <c r="F324" s="2363" t="s">
        <v>2325</v>
      </c>
      <c r="G324" s="2321"/>
      <c r="H324" s="2321"/>
      <c r="I324" s="2321"/>
      <c r="J324" s="2321"/>
      <c r="K324" s="2321"/>
      <c r="L324" s="2321"/>
      <c r="M324" s="2321"/>
      <c r="N324" s="2321"/>
      <c r="O324" s="2321"/>
      <c r="P324" s="2321"/>
      <c r="Q324" s="2321"/>
      <c r="R324" s="2321"/>
      <c r="S324" s="2321"/>
      <c r="T324" s="2321"/>
      <c r="U324" s="2321"/>
      <c r="V324" s="2321"/>
      <c r="W324" s="2321"/>
      <c r="X324" s="2321"/>
      <c r="Y324" s="2321"/>
      <c r="Z324" s="2321"/>
      <c r="AA324" s="2321"/>
      <c r="AB324" s="2321"/>
      <c r="AC324" s="2321"/>
      <c r="AD324" s="2364"/>
      <c r="AE324" s="450"/>
      <c r="AF324" s="450"/>
      <c r="AG324" s="439"/>
      <c r="AH324" s="450"/>
      <c r="AI324" s="450"/>
      <c r="AJ324" s="449"/>
      <c r="AK324" s="449"/>
      <c r="AL324" s="449"/>
      <c r="AM324" s="449"/>
      <c r="AN324" s="58"/>
      <c r="AO324" s="13"/>
      <c r="AP324" s="455" t="s">
        <v>1043</v>
      </c>
    </row>
    <row r="325" spans="1:44" hidden="1">
      <c r="F325" s="2363"/>
      <c r="G325" s="2321"/>
      <c r="H325" s="2321"/>
      <c r="I325" s="2321"/>
      <c r="J325" s="2321"/>
      <c r="K325" s="2321"/>
      <c r="L325" s="2321"/>
      <c r="M325" s="2321"/>
      <c r="N325" s="2321"/>
      <c r="O325" s="2321"/>
      <c r="P325" s="2321"/>
      <c r="Q325" s="2321"/>
      <c r="R325" s="2321"/>
      <c r="S325" s="2321"/>
      <c r="T325" s="2321"/>
      <c r="U325" s="2321"/>
      <c r="V325" s="2321"/>
      <c r="W325" s="2321"/>
      <c r="X325" s="2321"/>
      <c r="Y325" s="2321"/>
      <c r="Z325" s="2321"/>
      <c r="AA325" s="2321"/>
      <c r="AB325" s="2321"/>
      <c r="AC325" s="2321"/>
      <c r="AD325" s="2364"/>
      <c r="AE325" s="450"/>
      <c r="AF325" s="450"/>
      <c r="AH325" s="450"/>
      <c r="AI325" s="450"/>
      <c r="AJ325" s="449"/>
      <c r="AK325" s="449"/>
      <c r="AL325" s="449"/>
      <c r="AM325" s="449"/>
      <c r="AN325" s="58"/>
      <c r="AO325" s="13"/>
      <c r="AP325" s="455" t="s">
        <v>2326</v>
      </c>
    </row>
    <row r="326" spans="1:44" ht="13" hidden="1">
      <c r="A326" s="449"/>
      <c r="B326" s="450"/>
      <c r="C326" s="626"/>
      <c r="D326" s="626"/>
      <c r="E326" s="446"/>
      <c r="F326" s="548" t="s">
        <v>2327</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2328</v>
      </c>
    </row>
    <row r="327" spans="1:44" ht="13"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2329</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71" t="s">
        <v>1043</v>
      </c>
      <c r="G329" s="2472"/>
      <c r="H329" s="2472"/>
      <c r="I329" s="2472"/>
      <c r="J329" s="2472"/>
      <c r="K329" s="2472"/>
      <c r="L329" s="2472"/>
      <c r="M329" s="2472"/>
      <c r="N329" s="2472"/>
      <c r="O329" s="2472"/>
      <c r="P329" s="2472"/>
      <c r="Q329" s="2472"/>
      <c r="R329" s="2472"/>
      <c r="S329" s="2472"/>
      <c r="T329" s="2472"/>
      <c r="U329" s="2472"/>
      <c r="V329" s="2472"/>
      <c r="W329" s="2472"/>
      <c r="X329" s="2472"/>
      <c r="Y329" s="2472"/>
      <c r="Z329" s="2472"/>
      <c r="AA329" s="2472"/>
      <c r="AB329" s="2472"/>
      <c r="AC329" s="2472"/>
      <c r="AD329" s="2473"/>
      <c r="AE329" s="540"/>
      <c r="AF329" s="540"/>
      <c r="AG329" s="540"/>
      <c r="AH329" s="540"/>
      <c r="AI329" s="540"/>
      <c r="AJ329" s="540"/>
      <c r="AK329" s="540"/>
      <c r="AL329" s="449"/>
      <c r="AM329" s="449"/>
      <c r="AN329" s="58"/>
      <c r="AO329" s="13"/>
      <c r="AP329" s="25"/>
    </row>
    <row r="330" spans="1:44" ht="13" hidden="1">
      <c r="A330" s="449"/>
      <c r="B330" s="450"/>
      <c r="C330" s="626"/>
      <c r="D330" s="626"/>
      <c r="E330" s="446"/>
      <c r="F330" s="2471"/>
      <c r="G330" s="2472"/>
      <c r="H330" s="2472"/>
      <c r="I330" s="2472"/>
      <c r="J330" s="2472"/>
      <c r="K330" s="2472"/>
      <c r="L330" s="2472"/>
      <c r="M330" s="2472"/>
      <c r="N330" s="2472"/>
      <c r="O330" s="2472"/>
      <c r="P330" s="2472"/>
      <c r="Q330" s="2472"/>
      <c r="R330" s="2472"/>
      <c r="S330" s="2472"/>
      <c r="T330" s="2472"/>
      <c r="U330" s="2472"/>
      <c r="V330" s="2472"/>
      <c r="W330" s="2472"/>
      <c r="X330" s="2472"/>
      <c r="Y330" s="2472"/>
      <c r="Z330" s="2472"/>
      <c r="AA330" s="2472"/>
      <c r="AB330" s="2472"/>
      <c r="AC330" s="2472"/>
      <c r="AD330" s="2473"/>
      <c r="AE330" s="450"/>
      <c r="AF330" s="450"/>
      <c r="AG330" s="439"/>
      <c r="AH330" s="450"/>
      <c r="AI330" s="450"/>
      <c r="AJ330" s="449"/>
      <c r="AK330" s="449"/>
      <c r="AL330" s="449"/>
      <c r="AM330" s="449"/>
      <c r="AN330" s="58"/>
      <c r="AO330" s="13"/>
      <c r="AP330" s="25"/>
    </row>
    <row r="331" spans="1:44" ht="13" hidden="1">
      <c r="A331" s="449"/>
      <c r="B331" s="450"/>
      <c r="C331" s="626"/>
      <c r="D331" s="626"/>
      <c r="E331" s="446"/>
      <c r="F331" s="2471"/>
      <c r="G331" s="2472"/>
      <c r="H331" s="2472"/>
      <c r="I331" s="2472"/>
      <c r="J331" s="2472"/>
      <c r="K331" s="2472"/>
      <c r="L331" s="2472"/>
      <c r="M331" s="2472"/>
      <c r="N331" s="2472"/>
      <c r="O331" s="2472"/>
      <c r="P331" s="2472"/>
      <c r="Q331" s="2472"/>
      <c r="R331" s="2472"/>
      <c r="S331" s="2472"/>
      <c r="T331" s="2472"/>
      <c r="U331" s="2472"/>
      <c r="V331" s="2472"/>
      <c r="W331" s="2472"/>
      <c r="X331" s="2472"/>
      <c r="Y331" s="2472"/>
      <c r="Z331" s="2472"/>
      <c r="AA331" s="2472"/>
      <c r="AB331" s="2472"/>
      <c r="AC331" s="2472"/>
      <c r="AD331" s="2473"/>
      <c r="AE331" s="450"/>
      <c r="AF331" s="450"/>
      <c r="AG331" s="439"/>
      <c r="AH331" s="450"/>
      <c r="AI331" s="450"/>
      <c r="AJ331" s="449"/>
      <c r="AK331" s="449"/>
      <c r="AL331" s="449"/>
      <c r="AM331" s="449"/>
      <c r="AN331" s="58"/>
      <c r="AO331" s="13"/>
      <c r="AP331" s="25"/>
    </row>
    <row r="332" spans="1:44" ht="13" hidden="1">
      <c r="A332" s="449"/>
      <c r="B332" s="450"/>
      <c r="C332" s="626"/>
      <c r="D332" s="626"/>
      <c r="E332" s="446"/>
      <c r="F332" s="2471"/>
      <c r="G332" s="2472"/>
      <c r="H332" s="2472"/>
      <c r="I332" s="2472"/>
      <c r="J332" s="2472"/>
      <c r="K332" s="2472"/>
      <c r="L332" s="2472"/>
      <c r="M332" s="2472"/>
      <c r="N332" s="2472"/>
      <c r="O332" s="2472"/>
      <c r="P332" s="2472"/>
      <c r="Q332" s="2472"/>
      <c r="R332" s="2472"/>
      <c r="S332" s="2472"/>
      <c r="T332" s="2472"/>
      <c r="U332" s="2472"/>
      <c r="V332" s="2472"/>
      <c r="W332" s="2472"/>
      <c r="X332" s="2472"/>
      <c r="Y332" s="2472"/>
      <c r="Z332" s="2472"/>
      <c r="AA332" s="2472"/>
      <c r="AB332" s="2472"/>
      <c r="AC332" s="2472"/>
      <c r="AD332" s="2473"/>
      <c r="AE332" s="450"/>
      <c r="AF332" s="450"/>
      <c r="AG332" s="439"/>
      <c r="AH332" s="450"/>
      <c r="AI332" s="450"/>
      <c r="AJ332" s="449"/>
      <c r="AK332" s="449"/>
      <c r="AL332" s="449"/>
      <c r="AM332" s="449"/>
      <c r="AN332" s="58"/>
      <c r="AO332" s="13"/>
      <c r="AP332" s="25"/>
    </row>
    <row r="333" spans="1:44" ht="13" hidden="1">
      <c r="A333" s="449"/>
      <c r="B333" s="450"/>
      <c r="C333" s="626"/>
      <c r="D333" s="626"/>
      <c r="E333" s="446"/>
      <c r="F333" s="2474"/>
      <c r="G333" s="2475"/>
      <c r="H333" s="2475"/>
      <c r="I333" s="2475"/>
      <c r="J333" s="2475"/>
      <c r="K333" s="2475"/>
      <c r="L333" s="2475"/>
      <c r="M333" s="2475"/>
      <c r="N333" s="2475"/>
      <c r="O333" s="2475"/>
      <c r="P333" s="2475"/>
      <c r="Q333" s="2475"/>
      <c r="R333" s="2475"/>
      <c r="S333" s="2475"/>
      <c r="T333" s="2475"/>
      <c r="U333" s="2475"/>
      <c r="V333" s="2475"/>
      <c r="W333" s="2475"/>
      <c r="X333" s="2475"/>
      <c r="Y333" s="2475"/>
      <c r="Z333" s="2475"/>
      <c r="AA333" s="2475"/>
      <c r="AB333" s="2475"/>
      <c r="AC333" s="2475"/>
      <c r="AD333" s="2476"/>
      <c r="AE333" s="450"/>
      <c r="AF333" s="450"/>
      <c r="AG333" s="439"/>
      <c r="AH333" s="450"/>
      <c r="AI333" s="450"/>
      <c r="AJ333" s="449"/>
      <c r="AK333" s="449"/>
      <c r="AL333" s="449"/>
      <c r="AM333" s="449"/>
      <c r="AN333" s="58"/>
      <c r="AO333" s="13"/>
      <c r="AP333" s="25"/>
    </row>
    <row r="334" spans="1:44" ht="13"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t="13" hidden="1">
      <c r="A335" s="449"/>
      <c r="B335" s="450"/>
      <c r="C335" s="626"/>
      <c r="D335" s="626"/>
      <c r="E335" s="446"/>
      <c r="F335" s="550" t="s">
        <v>2330</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t="13"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1043</v>
      </c>
    </row>
    <row r="337" spans="1:42" ht="12.75" hidden="1" customHeight="1">
      <c r="A337" s="449"/>
      <c r="B337" s="450"/>
      <c r="C337" s="626"/>
      <c r="D337" s="626"/>
      <c r="E337" s="446"/>
      <c r="F337" s="552"/>
      <c r="G337" s="473" t="s">
        <v>22</v>
      </c>
      <c r="H337" s="473"/>
      <c r="I337" s="2477" t="s">
        <v>1043</v>
      </c>
      <c r="J337" s="2477"/>
      <c r="K337" s="2477"/>
      <c r="L337" s="2477"/>
      <c r="M337" s="2477"/>
      <c r="N337" s="2477"/>
      <c r="O337" s="2477"/>
      <c r="P337" s="2477"/>
      <c r="Q337" s="2477"/>
      <c r="R337" s="2477"/>
      <c r="S337" s="2477"/>
      <c r="T337" s="2477"/>
      <c r="U337" s="2477"/>
      <c r="V337" s="2477"/>
      <c r="W337" s="2477"/>
      <c r="X337" s="2477"/>
      <c r="Y337" s="2477"/>
      <c r="Z337" s="2477"/>
      <c r="AA337" s="2477"/>
      <c r="AB337" s="2477"/>
      <c r="AC337" s="2477"/>
      <c r="AD337" s="2478"/>
      <c r="AE337" s="450"/>
      <c r="AF337" s="450"/>
      <c r="AG337" s="439"/>
      <c r="AH337" s="450"/>
      <c r="AI337" s="450"/>
      <c r="AJ337" s="449"/>
      <c r="AK337" s="449"/>
      <c r="AL337" s="449"/>
      <c r="AM337" s="449"/>
      <c r="AN337" s="58"/>
      <c r="AO337" s="13"/>
      <c r="AP337" s="455" t="s">
        <v>2331</v>
      </c>
    </row>
    <row r="338" spans="1:42" ht="13" hidden="1">
      <c r="A338" s="449"/>
      <c r="B338" s="450"/>
      <c r="C338" s="626"/>
      <c r="D338" s="626"/>
      <c r="E338" s="446"/>
      <c r="F338" s="552"/>
      <c r="G338" s="473"/>
      <c r="H338" s="473"/>
      <c r="I338" s="2477"/>
      <c r="J338" s="2477"/>
      <c r="K338" s="2477"/>
      <c r="L338" s="2477"/>
      <c r="M338" s="2477"/>
      <c r="N338" s="2477"/>
      <c r="O338" s="2477"/>
      <c r="P338" s="2477"/>
      <c r="Q338" s="2477"/>
      <c r="R338" s="2477"/>
      <c r="S338" s="2477"/>
      <c r="T338" s="2477"/>
      <c r="U338" s="2477"/>
      <c r="V338" s="2477"/>
      <c r="W338" s="2477"/>
      <c r="X338" s="2477"/>
      <c r="Y338" s="2477"/>
      <c r="Z338" s="2477"/>
      <c r="AA338" s="2477"/>
      <c r="AB338" s="2477"/>
      <c r="AC338" s="2477"/>
      <c r="AD338" s="2478"/>
      <c r="AE338" s="450"/>
      <c r="AF338" s="450"/>
      <c r="AG338" s="439"/>
      <c r="AH338" s="450"/>
      <c r="AI338" s="450"/>
      <c r="AJ338" s="449"/>
      <c r="AK338" s="449"/>
      <c r="AL338" s="449"/>
      <c r="AM338" s="449"/>
      <c r="AN338" s="58"/>
      <c r="AO338" s="13"/>
      <c r="AP338" s="455" t="s">
        <v>2332</v>
      </c>
    </row>
    <row r="339" spans="1:42" ht="13" hidden="1">
      <c r="A339" s="449"/>
      <c r="B339" s="450"/>
      <c r="C339" s="547"/>
      <c r="D339" s="547"/>
      <c r="E339" s="446"/>
      <c r="F339" s="552"/>
      <c r="G339" s="473"/>
      <c r="H339" s="473"/>
      <c r="I339" s="2477"/>
      <c r="J339" s="2477"/>
      <c r="K339" s="2477"/>
      <c r="L339" s="2477"/>
      <c r="M339" s="2477"/>
      <c r="N339" s="2477"/>
      <c r="O339" s="2477"/>
      <c r="P339" s="2477"/>
      <c r="Q339" s="2477"/>
      <c r="R339" s="2477"/>
      <c r="S339" s="2477"/>
      <c r="T339" s="2477"/>
      <c r="U339" s="2477"/>
      <c r="V339" s="2477"/>
      <c r="W339" s="2477"/>
      <c r="X339" s="2477"/>
      <c r="Y339" s="2477"/>
      <c r="Z339" s="2477"/>
      <c r="AA339" s="2477"/>
      <c r="AB339" s="2477"/>
      <c r="AC339" s="2477"/>
      <c r="AD339" s="2478"/>
      <c r="AE339" s="450"/>
      <c r="AF339" s="450"/>
      <c r="AG339" s="439"/>
      <c r="AH339" s="450"/>
      <c r="AI339" s="450"/>
      <c r="AJ339" s="449"/>
      <c r="AK339" s="449"/>
      <c r="AL339" s="449"/>
      <c r="AM339" s="449"/>
      <c r="AN339" s="58"/>
      <c r="AO339" s="13"/>
      <c r="AP339" s="455" t="s">
        <v>2333</v>
      </c>
    </row>
    <row r="340" spans="1:42" ht="13" hidden="1">
      <c r="A340" s="449"/>
      <c r="B340" s="450"/>
      <c r="C340" s="547"/>
      <c r="D340" s="547"/>
      <c r="E340" s="446"/>
      <c r="F340" s="550"/>
      <c r="G340" s="450"/>
      <c r="H340" s="450"/>
      <c r="I340" s="2479"/>
      <c r="J340" s="2479"/>
      <c r="K340" s="2479"/>
      <c r="L340" s="2479"/>
      <c r="M340" s="2479"/>
      <c r="N340" s="2479"/>
      <c r="O340" s="2479"/>
      <c r="P340" s="2479"/>
      <c r="Q340" s="2479"/>
      <c r="R340" s="2479"/>
      <c r="S340" s="2479"/>
      <c r="T340" s="2479"/>
      <c r="U340" s="2479"/>
      <c r="V340" s="2479"/>
      <c r="W340" s="2479"/>
      <c r="X340" s="2479"/>
      <c r="Y340" s="2479"/>
      <c r="Z340" s="2479"/>
      <c r="AA340" s="2479"/>
      <c r="AB340" s="2479"/>
      <c r="AC340" s="2479"/>
      <c r="AD340" s="2480"/>
      <c r="AE340" s="450"/>
      <c r="AF340" s="450"/>
      <c r="AG340" s="439"/>
      <c r="AH340" s="450"/>
      <c r="AI340" s="450"/>
      <c r="AJ340" s="449"/>
      <c r="AK340" s="449"/>
      <c r="AL340" s="449"/>
      <c r="AM340" s="449"/>
      <c r="AN340" s="58"/>
      <c r="AO340" s="13"/>
      <c r="AP340" s="455" t="s">
        <v>2334</v>
      </c>
    </row>
    <row r="341" spans="1:42" ht="13"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t="13" hidden="1">
      <c r="A342" s="449"/>
      <c r="B342" s="450"/>
      <c r="C342" s="547"/>
      <c r="D342" s="547"/>
      <c r="E342" s="446"/>
      <c r="F342" s="550"/>
      <c r="G342" s="450" t="s">
        <v>27</v>
      </c>
      <c r="H342" s="450"/>
      <c r="I342" s="2477" t="s">
        <v>1043</v>
      </c>
      <c r="J342" s="2477"/>
      <c r="K342" s="2477"/>
      <c r="L342" s="2477"/>
      <c r="M342" s="2477"/>
      <c r="N342" s="2477"/>
      <c r="O342" s="2477"/>
      <c r="P342" s="2477"/>
      <c r="Q342" s="2477"/>
      <c r="R342" s="2477"/>
      <c r="S342" s="2477"/>
      <c r="T342" s="2477"/>
      <c r="U342" s="2477"/>
      <c r="V342" s="2477"/>
      <c r="W342" s="2477"/>
      <c r="X342" s="2477"/>
      <c r="Y342" s="2477"/>
      <c r="Z342" s="2477"/>
      <c r="AA342" s="2477"/>
      <c r="AB342" s="2477"/>
      <c r="AC342" s="2477"/>
      <c r="AD342" s="2478"/>
      <c r="AE342" s="450"/>
      <c r="AF342" s="450"/>
      <c r="AG342" s="439"/>
      <c r="AH342" s="450"/>
      <c r="AI342" s="450"/>
      <c r="AJ342" s="449"/>
      <c r="AK342" s="449"/>
      <c r="AL342" s="449"/>
      <c r="AM342" s="449"/>
      <c r="AN342" s="58"/>
      <c r="AO342" s="13"/>
    </row>
    <row r="343" spans="1:42" ht="13" hidden="1">
      <c r="A343" s="449"/>
      <c r="B343" s="450"/>
      <c r="C343" s="547"/>
      <c r="D343" s="547"/>
      <c r="E343" s="446"/>
      <c r="F343" s="550"/>
      <c r="G343" s="450"/>
      <c r="H343" s="450"/>
      <c r="I343" s="2477"/>
      <c r="J343" s="2477"/>
      <c r="K343" s="2477"/>
      <c r="L343" s="2477"/>
      <c r="M343" s="2477"/>
      <c r="N343" s="2477"/>
      <c r="O343" s="2477"/>
      <c r="P343" s="2477"/>
      <c r="Q343" s="2477"/>
      <c r="R343" s="2477"/>
      <c r="S343" s="2477"/>
      <c r="T343" s="2477"/>
      <c r="U343" s="2477"/>
      <c r="V343" s="2477"/>
      <c r="W343" s="2477"/>
      <c r="X343" s="2477"/>
      <c r="Y343" s="2477"/>
      <c r="Z343" s="2477"/>
      <c r="AA343" s="2477"/>
      <c r="AB343" s="2477"/>
      <c r="AC343" s="2477"/>
      <c r="AD343" s="2478"/>
      <c r="AE343" s="450"/>
      <c r="AF343" s="450"/>
      <c r="AG343" s="439"/>
      <c r="AH343" s="450"/>
      <c r="AI343" s="450"/>
      <c r="AJ343" s="449"/>
      <c r="AK343" s="449"/>
      <c r="AL343" s="449"/>
      <c r="AM343" s="449"/>
      <c r="AN343" s="58"/>
      <c r="AO343" s="13"/>
      <c r="AP343" s="455" t="s">
        <v>1043</v>
      </c>
    </row>
    <row r="344" spans="1:42" ht="13" hidden="1">
      <c r="A344" s="449"/>
      <c r="B344" s="450"/>
      <c r="C344" s="547"/>
      <c r="D344" s="547"/>
      <c r="E344" s="446"/>
      <c r="F344" s="553"/>
      <c r="G344" s="554"/>
      <c r="H344" s="554"/>
      <c r="I344" s="2479"/>
      <c r="J344" s="2479"/>
      <c r="K344" s="2479"/>
      <c r="L344" s="2479"/>
      <c r="M344" s="2479"/>
      <c r="N344" s="2479"/>
      <c r="O344" s="2479"/>
      <c r="P344" s="2479"/>
      <c r="Q344" s="2479"/>
      <c r="R344" s="2479"/>
      <c r="S344" s="2479"/>
      <c r="T344" s="2479"/>
      <c r="U344" s="2479"/>
      <c r="V344" s="2479"/>
      <c r="W344" s="2479"/>
      <c r="X344" s="2479"/>
      <c r="Y344" s="2479"/>
      <c r="Z344" s="2479"/>
      <c r="AA344" s="2479"/>
      <c r="AB344" s="2479"/>
      <c r="AC344" s="2479"/>
      <c r="AD344" s="2480"/>
      <c r="AE344" s="450"/>
      <c r="AF344" s="450"/>
      <c r="AG344" s="439"/>
      <c r="AH344" s="450"/>
      <c r="AI344" s="450"/>
      <c r="AJ344" s="449"/>
      <c r="AK344" s="449"/>
      <c r="AL344" s="449"/>
      <c r="AM344" s="449"/>
      <c r="AN344" s="58"/>
      <c r="AO344" s="13"/>
      <c r="AP344" s="455" t="s">
        <v>2335</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2336</v>
      </c>
    </row>
    <row r="346" spans="1:42" ht="12.75" hidden="1" customHeight="1">
      <c r="A346" s="1596" t="s">
        <v>2337</v>
      </c>
      <c r="B346" s="1596"/>
      <c r="C346" s="2343" t="s">
        <v>826</v>
      </c>
      <c r="D346" s="2343"/>
      <c r="E346" s="446"/>
      <c r="F346" s="2384" t="s">
        <v>2338</v>
      </c>
      <c r="G346" s="2385"/>
      <c r="H346" s="2385"/>
      <c r="I346" s="2385"/>
      <c r="J346" s="2385"/>
      <c r="K346" s="2385"/>
      <c r="L346" s="2385"/>
      <c r="M346" s="2385"/>
      <c r="N346" s="2385"/>
      <c r="O346" s="2385"/>
      <c r="P346" s="2385"/>
      <c r="Q346" s="2385"/>
      <c r="R346" s="2385"/>
      <c r="S346" s="2385"/>
      <c r="T346" s="2385"/>
      <c r="U346" s="2385"/>
      <c r="V346" s="2385"/>
      <c r="W346" s="2385"/>
      <c r="X346" s="2385"/>
      <c r="Y346" s="2385"/>
      <c r="Z346" s="2385"/>
      <c r="AA346" s="2385"/>
      <c r="AB346" s="2385"/>
      <c r="AC346" s="2385"/>
      <c r="AD346" s="2386"/>
      <c r="AE346" s="450"/>
      <c r="AF346" s="450"/>
      <c r="AG346" s="439" t="s">
        <v>2321</v>
      </c>
      <c r="AH346" s="450"/>
      <c r="AI346" s="450"/>
      <c r="AJ346" s="449"/>
      <c r="AK346" s="449"/>
      <c r="AL346" s="449"/>
      <c r="AM346" s="449"/>
      <c r="AN346" s="58"/>
      <c r="AO346" s="13"/>
    </row>
    <row r="347" spans="1:42" ht="15" hidden="1" customHeight="1">
      <c r="A347" s="449"/>
      <c r="B347" s="450"/>
      <c r="C347" s="450"/>
      <c r="D347" s="450"/>
      <c r="E347" s="450"/>
      <c r="F347" s="2387"/>
      <c r="G347" s="2388"/>
      <c r="H347" s="2388"/>
      <c r="I347" s="2388"/>
      <c r="J347" s="2388"/>
      <c r="K347" s="2388"/>
      <c r="L347" s="2388"/>
      <c r="M347" s="2388"/>
      <c r="N347" s="2388"/>
      <c r="O347" s="2388"/>
      <c r="P347" s="2388"/>
      <c r="Q347" s="2388"/>
      <c r="R347" s="2388"/>
      <c r="S347" s="2388"/>
      <c r="T347" s="2388"/>
      <c r="U347" s="2388"/>
      <c r="V347" s="2388"/>
      <c r="W347" s="2388"/>
      <c r="X347" s="2388"/>
      <c r="Y347" s="2388"/>
      <c r="Z347" s="2388"/>
      <c r="AA347" s="2388"/>
      <c r="AB347" s="2388"/>
      <c r="AC347" s="2388"/>
      <c r="AD347" s="2389"/>
      <c r="AE347" s="450"/>
      <c r="AF347" s="450"/>
      <c r="AG347" s="450"/>
      <c r="AH347" s="450"/>
      <c r="AI347" s="450"/>
      <c r="AJ347" s="449"/>
      <c r="AK347" s="449"/>
      <c r="AL347" s="449"/>
      <c r="AM347" s="449"/>
      <c r="AN347" s="58"/>
      <c r="AO347" s="13"/>
    </row>
    <row r="348" spans="1:42" ht="15" hidden="1" customHeight="1">
      <c r="A348" s="449"/>
      <c r="B348" s="450"/>
      <c r="C348" s="450"/>
      <c r="D348" s="450"/>
      <c r="E348" s="450"/>
      <c r="F348" s="2387"/>
      <c r="G348" s="2388"/>
      <c r="H348" s="2388"/>
      <c r="I348" s="2388"/>
      <c r="J348" s="2388"/>
      <c r="K348" s="2388"/>
      <c r="L348" s="2388"/>
      <c r="M348" s="2388"/>
      <c r="N348" s="2388"/>
      <c r="O348" s="2388"/>
      <c r="P348" s="2388"/>
      <c r="Q348" s="2388"/>
      <c r="R348" s="2388"/>
      <c r="S348" s="2388"/>
      <c r="T348" s="2388"/>
      <c r="U348" s="2388"/>
      <c r="V348" s="2388"/>
      <c r="W348" s="2388"/>
      <c r="X348" s="2388"/>
      <c r="Y348" s="2388"/>
      <c r="Z348" s="2388"/>
      <c r="AA348" s="2388"/>
      <c r="AB348" s="2388"/>
      <c r="AC348" s="2388"/>
      <c r="AD348" s="2389"/>
      <c r="AE348" s="450"/>
      <c r="AF348" s="450"/>
      <c r="AG348" s="450"/>
      <c r="AH348" s="450"/>
      <c r="AI348" s="450"/>
      <c r="AJ348" s="449"/>
      <c r="AK348" s="449"/>
      <c r="AL348" s="449"/>
      <c r="AM348" s="555"/>
      <c r="AN348" s="13"/>
      <c r="AO348" s="13"/>
    </row>
    <row r="349" spans="1:42" hidden="1">
      <c r="A349" s="449"/>
      <c r="B349" s="450"/>
      <c r="C349" s="449"/>
      <c r="D349" s="450"/>
      <c r="E349" s="449"/>
      <c r="F349" s="556" t="s">
        <v>2339</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ht="13">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2340</v>
      </c>
      <c r="AK351" s="2324">
        <f>IF(NOT(OR(Application!M364="Yes",Application!M365="Yes")),0,AP308)</f>
        <v>9</v>
      </c>
      <c r="AL351" s="2370"/>
      <c r="AM351" s="2325"/>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2341</v>
      </c>
      <c r="B354" s="439" t="s">
        <v>2342</v>
      </c>
      <c r="C354" s="436"/>
      <c r="AC354" s="439"/>
      <c r="AE354" s="2381" t="s">
        <v>2172</v>
      </c>
      <c r="AF354" s="2381"/>
      <c r="AG354" s="2381"/>
      <c r="AH354" s="2381"/>
      <c r="AI354" s="2381"/>
      <c r="AJ354" s="2381"/>
      <c r="AK354" s="2381"/>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92" t="s">
        <v>2343</v>
      </c>
      <c r="D356" s="2392"/>
      <c r="E356" s="2392"/>
      <c r="F356" s="2392"/>
      <c r="G356" s="2392"/>
      <c r="H356" s="2392"/>
      <c r="I356" s="2392"/>
      <c r="J356" s="2392"/>
      <c r="K356" s="2392"/>
      <c r="L356" s="2392"/>
      <c r="M356" s="2392"/>
      <c r="N356" s="2392"/>
      <c r="O356" s="2392"/>
      <c r="P356" s="2392"/>
      <c r="Q356" s="2392"/>
      <c r="R356" s="2392"/>
      <c r="S356" s="2392"/>
      <c r="T356" s="2392"/>
      <c r="U356" s="2392"/>
      <c r="V356" s="2392"/>
      <c r="W356" s="2392"/>
      <c r="X356" s="2392"/>
      <c r="Y356" s="2392"/>
      <c r="Z356" s="2392"/>
      <c r="AA356" s="2392"/>
      <c r="AB356" s="2392"/>
      <c r="AC356" s="2392"/>
      <c r="AD356" s="2392"/>
      <c r="AE356" s="2392"/>
      <c r="AF356" s="2392"/>
      <c r="AG356" s="2392"/>
      <c r="AH356" s="2392"/>
      <c r="AI356" s="2392"/>
      <c r="AJ356" s="2392"/>
      <c r="AK356" s="501"/>
      <c r="AL356" s="501"/>
      <c r="AM356" s="501"/>
      <c r="AN356" s="495"/>
    </row>
    <row r="357" spans="1:44" s="449" customFormat="1" ht="12.75" customHeight="1">
      <c r="A357" s="501"/>
      <c r="B357" s="509"/>
      <c r="C357" s="2392"/>
      <c r="D357" s="2392"/>
      <c r="E357" s="2392"/>
      <c r="F357" s="2392"/>
      <c r="G357" s="2392"/>
      <c r="H357" s="2392"/>
      <c r="I357" s="2392"/>
      <c r="J357" s="2392"/>
      <c r="K357" s="2392"/>
      <c r="L357" s="2392"/>
      <c r="M357" s="2392"/>
      <c r="N357" s="2392"/>
      <c r="O357" s="2392"/>
      <c r="P357" s="2392"/>
      <c r="Q357" s="2392"/>
      <c r="R357" s="2392"/>
      <c r="S357" s="2392"/>
      <c r="T357" s="2392"/>
      <c r="U357" s="2392"/>
      <c r="V357" s="2392"/>
      <c r="W357" s="2392"/>
      <c r="X357" s="2392"/>
      <c r="Y357" s="2392"/>
      <c r="Z357" s="2392"/>
      <c r="AA357" s="2392"/>
      <c r="AB357" s="2392"/>
      <c r="AC357" s="2392"/>
      <c r="AD357" s="2392"/>
      <c r="AE357" s="2392"/>
      <c r="AF357" s="2392"/>
      <c r="AG357" s="2392"/>
      <c r="AH357" s="2392"/>
      <c r="AI357" s="2392"/>
      <c r="AJ357" s="2392"/>
      <c r="AK357" s="501"/>
      <c r="AL357" s="501"/>
      <c r="AM357" s="501"/>
      <c r="AN357" s="495"/>
    </row>
    <row r="358" spans="1:44" s="449" customFormat="1" ht="12.75" customHeight="1">
      <c r="A358" s="501"/>
      <c r="B358" s="509"/>
      <c r="C358" s="2392"/>
      <c r="D358" s="2392"/>
      <c r="E358" s="2392"/>
      <c r="F358" s="2392"/>
      <c r="G358" s="2392"/>
      <c r="H358" s="2392"/>
      <c r="I358" s="2392"/>
      <c r="J358" s="2392"/>
      <c r="K358" s="2392"/>
      <c r="L358" s="2392"/>
      <c r="M358" s="2392"/>
      <c r="N358" s="2392"/>
      <c r="O358" s="2392"/>
      <c r="P358" s="2392"/>
      <c r="Q358" s="2392"/>
      <c r="R358" s="2392"/>
      <c r="S358" s="2392"/>
      <c r="T358" s="2392"/>
      <c r="U358" s="2392"/>
      <c r="V358" s="2392"/>
      <c r="W358" s="2392"/>
      <c r="X358" s="2392"/>
      <c r="Y358" s="2392"/>
      <c r="Z358" s="2392"/>
      <c r="AA358" s="2392"/>
      <c r="AB358" s="2392"/>
      <c r="AC358" s="2392"/>
      <c r="AD358" s="2392"/>
      <c r="AE358" s="2392"/>
      <c r="AF358" s="2392"/>
      <c r="AG358" s="2392"/>
      <c r="AH358" s="2392"/>
      <c r="AI358" s="2392"/>
      <c r="AJ358" s="2392"/>
      <c r="AK358" s="501"/>
      <c r="AL358" s="501"/>
      <c r="AM358" s="501"/>
      <c r="AN358" s="495"/>
      <c r="AQ358" s="468"/>
    </row>
    <row r="359" spans="1:44" s="449" customFormat="1" ht="12.75" customHeight="1">
      <c r="A359" s="501"/>
      <c r="B359" s="509"/>
      <c r="C359" s="2392"/>
      <c r="D359" s="2392"/>
      <c r="E359" s="2392"/>
      <c r="F359" s="2392"/>
      <c r="G359" s="2392"/>
      <c r="H359" s="2392"/>
      <c r="I359" s="2392"/>
      <c r="J359" s="2392"/>
      <c r="K359" s="2392"/>
      <c r="L359" s="2392"/>
      <c r="M359" s="2392"/>
      <c r="N359" s="2392"/>
      <c r="O359" s="2392"/>
      <c r="P359" s="2392"/>
      <c r="Q359" s="2392"/>
      <c r="R359" s="2392"/>
      <c r="S359" s="2392"/>
      <c r="T359" s="2392"/>
      <c r="U359" s="2392"/>
      <c r="V359" s="2392"/>
      <c r="W359" s="2392"/>
      <c r="X359" s="2392"/>
      <c r="Y359" s="2392"/>
      <c r="Z359" s="2392"/>
      <c r="AA359" s="2392"/>
      <c r="AB359" s="2392"/>
      <c r="AC359" s="2392"/>
      <c r="AD359" s="2392"/>
      <c r="AE359" s="2392"/>
      <c r="AF359" s="2392"/>
      <c r="AG359" s="2392"/>
      <c r="AH359" s="2392"/>
      <c r="AI359" s="2392"/>
      <c r="AJ359" s="2392"/>
      <c r="AK359" s="501"/>
      <c r="AL359" s="501"/>
      <c r="AM359" s="501"/>
      <c r="AN359" s="495"/>
      <c r="AQ359" s="468"/>
    </row>
    <row r="360" spans="1:44" s="449" customFormat="1" ht="12.75" customHeight="1">
      <c r="A360" s="501"/>
      <c r="B360" s="509"/>
      <c r="C360" s="2392"/>
      <c r="D360" s="2392"/>
      <c r="E360" s="2392"/>
      <c r="F360" s="2392"/>
      <c r="G360" s="2392"/>
      <c r="H360" s="2392"/>
      <c r="I360" s="2392"/>
      <c r="J360" s="2392"/>
      <c r="K360" s="2392"/>
      <c r="L360" s="2392"/>
      <c r="M360" s="2392"/>
      <c r="N360" s="2392"/>
      <c r="O360" s="2392"/>
      <c r="P360" s="2392"/>
      <c r="Q360" s="2392"/>
      <c r="R360" s="2392"/>
      <c r="S360" s="2392"/>
      <c r="T360" s="2392"/>
      <c r="U360" s="2392"/>
      <c r="V360" s="2392"/>
      <c r="W360" s="2392"/>
      <c r="X360" s="2392"/>
      <c r="Y360" s="2392"/>
      <c r="Z360" s="2392"/>
      <c r="AA360" s="2392"/>
      <c r="AB360" s="2392"/>
      <c r="AC360" s="2392"/>
      <c r="AD360" s="2392"/>
      <c r="AE360" s="2392"/>
      <c r="AF360" s="2392"/>
      <c r="AG360" s="2392"/>
      <c r="AH360" s="2392"/>
      <c r="AI360" s="2392"/>
      <c r="AJ360" s="2392"/>
      <c r="AK360" s="501"/>
      <c r="AL360" s="501"/>
      <c r="AM360" s="501"/>
      <c r="AN360" s="495"/>
      <c r="AQ360" s="468"/>
      <c r="AR360" s="468"/>
    </row>
    <row r="361" spans="1:44" s="449" customFormat="1" ht="45.75" customHeight="1">
      <c r="A361" s="501"/>
      <c r="B361" s="509"/>
      <c r="C361" s="2392" t="s">
        <v>2344</v>
      </c>
      <c r="D361" s="2392"/>
      <c r="E361" s="2392"/>
      <c r="F361" s="2392"/>
      <c r="G361" s="2392"/>
      <c r="H361" s="2392"/>
      <c r="I361" s="2392"/>
      <c r="J361" s="2392"/>
      <c r="K361" s="2392"/>
      <c r="L361" s="2392"/>
      <c r="M361" s="2392"/>
      <c r="N361" s="2392"/>
      <c r="O361" s="2392"/>
      <c r="P361" s="2392"/>
      <c r="Q361" s="2392"/>
      <c r="R361" s="2392"/>
      <c r="S361" s="2392"/>
      <c r="T361" s="2392"/>
      <c r="U361" s="2392"/>
      <c r="V361" s="2392"/>
      <c r="W361" s="2392"/>
      <c r="X361" s="2392"/>
      <c r="Y361" s="2392"/>
      <c r="Z361" s="2392"/>
      <c r="AA361" s="2392"/>
      <c r="AB361" s="2392"/>
      <c r="AC361" s="2392"/>
      <c r="AD361" s="2392"/>
      <c r="AE361" s="2392"/>
      <c r="AF361" s="2392"/>
      <c r="AG361" s="2392"/>
      <c r="AH361" s="2392"/>
      <c r="AI361" s="2392"/>
      <c r="AJ361" s="2392"/>
      <c r="AK361" s="501"/>
      <c r="AL361" s="501"/>
      <c r="AM361" s="501"/>
      <c r="AN361" s="495"/>
      <c r="AQ361" s="468"/>
      <c r="AR361" s="468"/>
    </row>
    <row r="362" spans="1:44" s="449" customFormat="1" ht="12.75"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92" t="s">
        <v>2345</v>
      </c>
      <c r="D363" s="2392"/>
      <c r="E363" s="2392"/>
      <c r="F363" s="2392"/>
      <c r="G363" s="2392"/>
      <c r="H363" s="2392"/>
      <c r="I363" s="2392"/>
      <c r="J363" s="2392"/>
      <c r="K363" s="2392"/>
      <c r="L363" s="2392"/>
      <c r="M363" s="2392"/>
      <c r="N363" s="2392"/>
      <c r="O363" s="2392"/>
      <c r="P363" s="2392"/>
      <c r="Q363" s="2392"/>
      <c r="R363" s="2392"/>
      <c r="S363" s="2392"/>
      <c r="T363" s="2392"/>
      <c r="U363" s="2392"/>
      <c r="V363" s="2392"/>
      <c r="W363" s="2392"/>
      <c r="X363" s="2392"/>
      <c r="Y363" s="2392"/>
      <c r="Z363" s="2392"/>
      <c r="AA363" s="2392"/>
      <c r="AB363" s="2392"/>
      <c r="AC363" s="2392"/>
      <c r="AD363" s="2392"/>
      <c r="AE363" s="2392"/>
      <c r="AF363" s="2392"/>
      <c r="AG363" s="2392"/>
      <c r="AH363" s="2392"/>
      <c r="AI363" s="2392"/>
      <c r="AJ363" s="2392"/>
      <c r="AK363" s="501"/>
      <c r="AL363" s="501"/>
      <c r="AM363" s="501"/>
      <c r="AN363" s="495"/>
      <c r="AQ363" s="468"/>
      <c r="AR363" s="468"/>
    </row>
    <row r="364" spans="1:44" s="449" customFormat="1" ht="30" customHeight="1">
      <c r="A364" s="501"/>
      <c r="B364" s="509"/>
      <c r="C364" s="2392"/>
      <c r="D364" s="2392"/>
      <c r="E364" s="2392"/>
      <c r="F364" s="2392"/>
      <c r="G364" s="2392"/>
      <c r="H364" s="2392"/>
      <c r="I364" s="2392"/>
      <c r="J364" s="2392"/>
      <c r="K364" s="2392"/>
      <c r="L364" s="2392"/>
      <c r="M364" s="2392"/>
      <c r="N364" s="2392"/>
      <c r="O364" s="2392"/>
      <c r="P364" s="2392"/>
      <c r="Q364" s="2392"/>
      <c r="R364" s="2392"/>
      <c r="S364" s="2392"/>
      <c r="T364" s="2392"/>
      <c r="U364" s="2392"/>
      <c r="V364" s="2392"/>
      <c r="W364" s="2392"/>
      <c r="X364" s="2392"/>
      <c r="Y364" s="2392"/>
      <c r="Z364" s="2392"/>
      <c r="AA364" s="2392"/>
      <c r="AB364" s="2392"/>
      <c r="AC364" s="2392"/>
      <c r="AD364" s="2392"/>
      <c r="AE364" s="2392"/>
      <c r="AF364" s="2392"/>
      <c r="AG364" s="2392"/>
      <c r="AH364" s="2392"/>
      <c r="AI364" s="2392"/>
      <c r="AJ364" s="2392"/>
      <c r="AK364" s="501"/>
      <c r="AL364" s="501"/>
      <c r="AM364" s="501"/>
      <c r="AN364" s="495"/>
      <c r="AR364" s="468"/>
    </row>
    <row r="365" spans="1:44" s="449" customFormat="1" ht="12.75" customHeight="1">
      <c r="A365" s="501"/>
      <c r="B365" s="509"/>
      <c r="C365" s="2392"/>
      <c r="D365" s="2392"/>
      <c r="E365" s="2392"/>
      <c r="F365" s="2392"/>
      <c r="G365" s="2392"/>
      <c r="H365" s="2392"/>
      <c r="I365" s="2392"/>
      <c r="J365" s="2392"/>
      <c r="K365" s="2392"/>
      <c r="L365" s="2392"/>
      <c r="M365" s="2392"/>
      <c r="N365" s="2392"/>
      <c r="O365" s="2392"/>
      <c r="P365" s="2392"/>
      <c r="Q365" s="2392"/>
      <c r="R365" s="2392"/>
      <c r="S365" s="2392"/>
      <c r="T365" s="2392"/>
      <c r="U365" s="2392"/>
      <c r="V365" s="2392"/>
      <c r="W365" s="2392"/>
      <c r="X365" s="2392"/>
      <c r="Y365" s="2392"/>
      <c r="Z365" s="2392"/>
      <c r="AA365" s="2392"/>
      <c r="AB365" s="2392"/>
      <c r="AC365" s="2392"/>
      <c r="AD365" s="2392"/>
      <c r="AE365" s="2392"/>
      <c r="AF365" s="2392"/>
      <c r="AG365" s="2392"/>
      <c r="AH365" s="2392"/>
      <c r="AI365" s="2392"/>
      <c r="AJ365" s="2392"/>
      <c r="AK365" s="501"/>
      <c r="AL365" s="501"/>
      <c r="AM365" s="501"/>
      <c r="AN365" s="495"/>
      <c r="AR365" s="468"/>
    </row>
    <row r="366" spans="1:44" s="449" customFormat="1" ht="12.75" customHeight="1">
      <c r="A366" s="501"/>
      <c r="B366" s="509"/>
      <c r="C366" s="2392" t="s">
        <v>2346</v>
      </c>
      <c r="D366" s="2392"/>
      <c r="E366" s="2392"/>
      <c r="F366" s="2392"/>
      <c r="G366" s="2392"/>
      <c r="H366" s="2392"/>
      <c r="I366" s="2392"/>
      <c r="J366" s="2392"/>
      <c r="K366" s="2392"/>
      <c r="L366" s="2392"/>
      <c r="M366" s="2392"/>
      <c r="N366" s="2392"/>
      <c r="O366" s="2392"/>
      <c r="P366" s="2392"/>
      <c r="Q366" s="2392"/>
      <c r="R366" s="2392"/>
      <c r="S366" s="2392"/>
      <c r="T366" s="2392"/>
      <c r="U366" s="2392"/>
      <c r="V366" s="2392"/>
      <c r="W366" s="2392"/>
      <c r="X366" s="2392"/>
      <c r="Y366" s="2392"/>
      <c r="Z366" s="2392"/>
      <c r="AA366" s="2392"/>
      <c r="AB366" s="2392"/>
      <c r="AC366" s="2392"/>
      <c r="AD366" s="2392"/>
      <c r="AE366" s="2392"/>
      <c r="AF366" s="2392"/>
      <c r="AG366" s="2392"/>
      <c r="AH366" s="2392"/>
      <c r="AI366" s="2392"/>
      <c r="AJ366" s="2392"/>
      <c r="AK366" s="501"/>
      <c r="AL366" s="501"/>
      <c r="AM366" s="501"/>
      <c r="AN366" s="495"/>
      <c r="AQ366" s="468"/>
      <c r="AR366" s="468"/>
    </row>
    <row r="367" spans="1:44" s="449" customFormat="1" ht="12.75" customHeight="1">
      <c r="A367" s="501"/>
      <c r="B367" s="509"/>
      <c r="C367" s="2392"/>
      <c r="D367" s="2392"/>
      <c r="E367" s="2392"/>
      <c r="F367" s="2392"/>
      <c r="G367" s="2392"/>
      <c r="H367" s="2392"/>
      <c r="I367" s="2392"/>
      <c r="J367" s="2392"/>
      <c r="K367" s="2392"/>
      <c r="L367" s="2392"/>
      <c r="M367" s="2392"/>
      <c r="N367" s="2392"/>
      <c r="O367" s="2392"/>
      <c r="P367" s="2392"/>
      <c r="Q367" s="2392"/>
      <c r="R367" s="2392"/>
      <c r="S367" s="2392"/>
      <c r="T367" s="2392"/>
      <c r="U367" s="2392"/>
      <c r="V367" s="2392"/>
      <c r="W367" s="2392"/>
      <c r="X367" s="2392"/>
      <c r="Y367" s="2392"/>
      <c r="Z367" s="2392"/>
      <c r="AA367" s="2392"/>
      <c r="AB367" s="2392"/>
      <c r="AC367" s="2392"/>
      <c r="AD367" s="2392"/>
      <c r="AE367" s="2392"/>
      <c r="AF367" s="2392"/>
      <c r="AG367" s="2392"/>
      <c r="AH367" s="2392"/>
      <c r="AI367" s="2392"/>
      <c r="AJ367" s="2392"/>
      <c r="AK367" s="501"/>
      <c r="AL367" s="501"/>
      <c r="AM367" s="501"/>
      <c r="AN367" s="495"/>
      <c r="AQ367" s="468"/>
      <c r="AR367" s="468"/>
    </row>
    <row r="368" spans="1:44" s="449" customFormat="1" ht="13.5" customHeight="1">
      <c r="A368" s="501"/>
      <c r="B368" s="509"/>
      <c r="C368" s="2392"/>
      <c r="D368" s="2392"/>
      <c r="E368" s="2392"/>
      <c r="F368" s="2392"/>
      <c r="G368" s="2392"/>
      <c r="H368" s="2392"/>
      <c r="I368" s="2392"/>
      <c r="J368" s="2392"/>
      <c r="K368" s="2392"/>
      <c r="L368" s="2392"/>
      <c r="M368" s="2392"/>
      <c r="N368" s="2392"/>
      <c r="O368" s="2392"/>
      <c r="P368" s="2392"/>
      <c r="Q368" s="2392"/>
      <c r="R368" s="2392"/>
      <c r="S368" s="2392"/>
      <c r="T368" s="2392"/>
      <c r="U368" s="2392"/>
      <c r="V368" s="2392"/>
      <c r="W368" s="2392"/>
      <c r="X368" s="2392"/>
      <c r="Y368" s="2392"/>
      <c r="Z368" s="2392"/>
      <c r="AA368" s="2392"/>
      <c r="AB368" s="2392"/>
      <c r="AC368" s="2392"/>
      <c r="AD368" s="2392"/>
      <c r="AE368" s="2392"/>
      <c r="AF368" s="2392"/>
      <c r="AG368" s="2392"/>
      <c r="AH368" s="2392"/>
      <c r="AI368" s="2392"/>
      <c r="AJ368" s="2392"/>
      <c r="AK368" s="501"/>
      <c r="AL368" s="501"/>
      <c r="AM368" s="501"/>
      <c r="AN368" s="495"/>
      <c r="AQ368" s="468"/>
      <c r="AR368" s="468"/>
    </row>
    <row r="369" spans="1:46" s="449" customFormat="1" ht="12.75" customHeight="1">
      <c r="A369" s="501"/>
      <c r="B369" s="509"/>
      <c r="C369" s="2392"/>
      <c r="D369" s="2392"/>
      <c r="E369" s="2392"/>
      <c r="F369" s="2392"/>
      <c r="G369" s="2392"/>
      <c r="H369" s="2392"/>
      <c r="I369" s="2392"/>
      <c r="J369" s="2392"/>
      <c r="K369" s="2392"/>
      <c r="L369" s="2392"/>
      <c r="M369" s="2392"/>
      <c r="N369" s="2392"/>
      <c r="O369" s="2392"/>
      <c r="P369" s="2392"/>
      <c r="Q369" s="2392"/>
      <c r="R369" s="2392"/>
      <c r="S369" s="2392"/>
      <c r="T369" s="2392"/>
      <c r="U369" s="2392"/>
      <c r="V369" s="2392"/>
      <c r="W369" s="2392"/>
      <c r="X369" s="2392"/>
      <c r="Y369" s="2392"/>
      <c r="Z369" s="2392"/>
      <c r="AA369" s="2392"/>
      <c r="AB369" s="2392"/>
      <c r="AC369" s="2392"/>
      <c r="AD369" s="2392"/>
      <c r="AE369" s="2392"/>
      <c r="AF369" s="2392"/>
      <c r="AG369" s="2392"/>
      <c r="AH369" s="2392"/>
      <c r="AI369" s="2392"/>
      <c r="AJ369" s="2392"/>
      <c r="AK369" s="501"/>
      <c r="AL369" s="501"/>
      <c r="AM369" s="501"/>
      <c r="AN369" s="495"/>
      <c r="AO369" s="590"/>
      <c r="AP369" s="590"/>
      <c r="AQ369" s="468"/>
    </row>
    <row r="370" spans="1:46" s="449" customFormat="1" ht="12" customHeight="1">
      <c r="A370" s="501"/>
      <c r="B370" s="509"/>
      <c r="C370" s="2392"/>
      <c r="D370" s="2392"/>
      <c r="E370" s="2392"/>
      <c r="F370" s="2392"/>
      <c r="G370" s="2392"/>
      <c r="H370" s="2392"/>
      <c r="I370" s="2392"/>
      <c r="J370" s="2392"/>
      <c r="K370" s="2392"/>
      <c r="L370" s="2392"/>
      <c r="M370" s="2392"/>
      <c r="N370" s="2392"/>
      <c r="O370" s="2392"/>
      <c r="P370" s="2392"/>
      <c r="Q370" s="2392"/>
      <c r="R370" s="2392"/>
      <c r="S370" s="2392"/>
      <c r="T370" s="2392"/>
      <c r="U370" s="2392"/>
      <c r="V370" s="2392"/>
      <c r="W370" s="2392"/>
      <c r="X370" s="2392"/>
      <c r="Y370" s="2392"/>
      <c r="Z370" s="2392"/>
      <c r="AA370" s="2392"/>
      <c r="AB370" s="2392"/>
      <c r="AC370" s="2392"/>
      <c r="AD370" s="2392"/>
      <c r="AE370" s="2392"/>
      <c r="AF370" s="2392"/>
      <c r="AG370" s="2392"/>
      <c r="AH370" s="2392"/>
      <c r="AI370" s="2392"/>
      <c r="AJ370" s="2392"/>
      <c r="AK370" s="501"/>
      <c r="AL370" s="501"/>
      <c r="AM370" s="501"/>
      <c r="AN370" s="495"/>
      <c r="AO370" s="591" t="s">
        <v>18</v>
      </c>
      <c r="AP370" s="592">
        <f>IF(C394="Yes",5,0)</f>
        <v>0</v>
      </c>
      <c r="AS370" s="439" t="s">
        <v>2347</v>
      </c>
    </row>
    <row r="371" spans="1:46" s="449" customFormat="1" ht="12.75" customHeight="1">
      <c r="A371" s="501"/>
      <c r="B371" s="509"/>
      <c r="C371" s="2392"/>
      <c r="D371" s="2392"/>
      <c r="E371" s="2392"/>
      <c r="F371" s="2392"/>
      <c r="G371" s="2392"/>
      <c r="H371" s="2392"/>
      <c r="I371" s="2392"/>
      <c r="J371" s="2392"/>
      <c r="K371" s="2392"/>
      <c r="L371" s="2392"/>
      <c r="M371" s="2392"/>
      <c r="N371" s="2392"/>
      <c r="O371" s="2392"/>
      <c r="P371" s="2392"/>
      <c r="Q371" s="2392"/>
      <c r="R371" s="2392"/>
      <c r="S371" s="2392"/>
      <c r="T371" s="2392"/>
      <c r="U371" s="2392"/>
      <c r="V371" s="2392"/>
      <c r="W371" s="2392"/>
      <c r="X371" s="2392"/>
      <c r="Y371" s="2392"/>
      <c r="Z371" s="2392"/>
      <c r="AA371" s="2392"/>
      <c r="AB371" s="2392"/>
      <c r="AC371" s="2392"/>
      <c r="AD371" s="2392"/>
      <c r="AE371" s="2392"/>
      <c r="AF371" s="2392"/>
      <c r="AG371" s="2392"/>
      <c r="AH371" s="2392"/>
      <c r="AI371" s="2392"/>
      <c r="AJ371" s="2392"/>
      <c r="AK371" s="501"/>
      <c r="AL371" s="501"/>
      <c r="AM371" s="501"/>
      <c r="AN371" s="495"/>
      <c r="AO371" s="591" t="s">
        <v>31</v>
      </c>
      <c r="AP371" s="592">
        <f>IF(C402="Yes",5,0)</f>
        <v>0</v>
      </c>
      <c r="AS371" s="2460">
        <f>IF(Application!D211="Non-Targeted",(SUM(AQ379+AQ388)),AS375)</f>
        <v>10</v>
      </c>
      <c r="AT371" s="2460"/>
    </row>
    <row r="372" spans="1:46" s="449" customFormat="1" ht="12.75" customHeight="1">
      <c r="A372" s="501"/>
      <c r="B372" s="509"/>
      <c r="C372" s="2392"/>
      <c r="D372" s="2392"/>
      <c r="E372" s="2392"/>
      <c r="F372" s="2392"/>
      <c r="G372" s="2392"/>
      <c r="H372" s="2392"/>
      <c r="I372" s="2392"/>
      <c r="J372" s="2392"/>
      <c r="K372" s="2392"/>
      <c r="L372" s="2392"/>
      <c r="M372" s="2392"/>
      <c r="N372" s="2392"/>
      <c r="O372" s="2392"/>
      <c r="P372" s="2392"/>
      <c r="Q372" s="2392"/>
      <c r="R372" s="2392"/>
      <c r="S372" s="2392"/>
      <c r="T372" s="2392"/>
      <c r="U372" s="2392"/>
      <c r="V372" s="2392"/>
      <c r="W372" s="2392"/>
      <c r="X372" s="2392"/>
      <c r="Y372" s="2392"/>
      <c r="Z372" s="2392"/>
      <c r="AA372" s="2392"/>
      <c r="AB372" s="2392"/>
      <c r="AC372" s="2392"/>
      <c r="AD372" s="2392"/>
      <c r="AE372" s="2392"/>
      <c r="AF372" s="2392"/>
      <c r="AG372" s="2392"/>
      <c r="AH372" s="2392"/>
      <c r="AI372" s="2392"/>
      <c r="AJ372" s="2392"/>
      <c r="AK372" s="501"/>
      <c r="AL372" s="501"/>
      <c r="AM372" s="501"/>
      <c r="AN372" s="495"/>
      <c r="AO372" s="591" t="s">
        <v>39</v>
      </c>
      <c r="AP372" s="592">
        <f>IF(C410="Yes",7,0)</f>
        <v>7</v>
      </c>
      <c r="AS372" s="439" t="s">
        <v>2348</v>
      </c>
    </row>
    <row r="373" spans="1:46" s="449" customFormat="1" ht="12.75" customHeight="1">
      <c r="B373" s="509"/>
      <c r="C373" s="2392"/>
      <c r="D373" s="2392"/>
      <c r="E373" s="2392"/>
      <c r="F373" s="2392"/>
      <c r="G373" s="2392"/>
      <c r="H373" s="2392"/>
      <c r="I373" s="2392"/>
      <c r="J373" s="2392"/>
      <c r="K373" s="2392"/>
      <c r="L373" s="2392"/>
      <c r="M373" s="2392"/>
      <c r="N373" s="2392"/>
      <c r="O373" s="2392"/>
      <c r="P373" s="2392"/>
      <c r="Q373" s="2392"/>
      <c r="R373" s="2392"/>
      <c r="S373" s="2392"/>
      <c r="T373" s="2392"/>
      <c r="U373" s="2392"/>
      <c r="V373" s="2392"/>
      <c r="W373" s="2392"/>
      <c r="X373" s="2392"/>
      <c r="Y373" s="2392"/>
      <c r="Z373" s="2392"/>
      <c r="AA373" s="2392"/>
      <c r="AB373" s="2392"/>
      <c r="AC373" s="2392"/>
      <c r="AD373" s="2392"/>
      <c r="AE373" s="2392"/>
      <c r="AF373" s="2392"/>
      <c r="AG373" s="2392"/>
      <c r="AH373" s="2392"/>
      <c r="AI373" s="2392"/>
      <c r="AJ373" s="2392"/>
      <c r="AK373" s="501"/>
      <c r="AL373" s="501"/>
      <c r="AM373" s="501"/>
      <c r="AN373" s="495"/>
      <c r="AO373" s="495"/>
      <c r="AP373" s="592">
        <f>IF(C412="Yes",5,0)</f>
        <v>0</v>
      </c>
      <c r="AS373" s="2460">
        <f>IF(AND(AQ379&gt;0,AQ388&gt;0),(AQ379+AQ388)/2,0)</f>
        <v>0</v>
      </c>
      <c r="AT373" s="2460"/>
    </row>
    <row r="374" spans="1:46" s="449" customFormat="1" ht="12.75" customHeight="1">
      <c r="A374" s="501"/>
      <c r="B374" s="509"/>
      <c r="C374" s="2392"/>
      <c r="D374" s="2392"/>
      <c r="E374" s="2392"/>
      <c r="F374" s="2392"/>
      <c r="G374" s="2392"/>
      <c r="H374" s="2392"/>
      <c r="I374" s="2392"/>
      <c r="J374" s="2392"/>
      <c r="K374" s="2392"/>
      <c r="L374" s="2392"/>
      <c r="M374" s="2392"/>
      <c r="N374" s="2392"/>
      <c r="O374" s="2392"/>
      <c r="P374" s="2392"/>
      <c r="Q374" s="2392"/>
      <c r="R374" s="2392"/>
      <c r="S374" s="2392"/>
      <c r="T374" s="2392"/>
      <c r="U374" s="2392"/>
      <c r="V374" s="2392"/>
      <c r="W374" s="2392"/>
      <c r="X374" s="2392"/>
      <c r="Y374" s="2392"/>
      <c r="Z374" s="2392"/>
      <c r="AA374" s="2392"/>
      <c r="AB374" s="2392"/>
      <c r="AC374" s="2392"/>
      <c r="AD374" s="2392"/>
      <c r="AE374" s="2392"/>
      <c r="AF374" s="2392"/>
      <c r="AG374" s="2392"/>
      <c r="AH374" s="2392"/>
      <c r="AI374" s="2392"/>
      <c r="AJ374" s="2392"/>
      <c r="AK374" s="501"/>
      <c r="AL374" s="501"/>
      <c r="AM374" s="501"/>
      <c r="AN374" s="495"/>
      <c r="AO374" s="591" t="s">
        <v>82</v>
      </c>
      <c r="AP374" s="592">
        <f>IF(C420="Yes",5,0)</f>
        <v>0</v>
      </c>
      <c r="AS374" s="439" t="s">
        <v>2349</v>
      </c>
    </row>
    <row r="375" spans="1:46" s="449" customFormat="1" ht="12.75" customHeight="1">
      <c r="A375" s="501"/>
      <c r="B375" s="509"/>
      <c r="C375" s="2461" t="s">
        <v>2350</v>
      </c>
      <c r="D375" s="2461"/>
      <c r="E375" s="2461"/>
      <c r="F375" s="2461"/>
      <c r="G375" s="2461"/>
      <c r="H375" s="2461"/>
      <c r="I375" s="2461"/>
      <c r="J375" s="2461"/>
      <c r="K375" s="2461"/>
      <c r="L375" s="2461"/>
      <c r="M375" s="2461"/>
      <c r="N375" s="2461"/>
      <c r="O375" s="2461"/>
      <c r="P375" s="2461"/>
      <c r="Q375" s="2461"/>
      <c r="R375" s="2461"/>
      <c r="S375" s="2461"/>
      <c r="T375" s="2461"/>
      <c r="U375" s="2461"/>
      <c r="V375" s="2461"/>
      <c r="W375" s="2461"/>
      <c r="X375" s="2461"/>
      <c r="Y375" s="2461"/>
      <c r="Z375" s="2461"/>
      <c r="AA375" s="2461"/>
      <c r="AB375" s="2461"/>
      <c r="AC375" s="2461"/>
      <c r="AD375" s="2461"/>
      <c r="AE375" s="2461"/>
      <c r="AF375" s="2461"/>
      <c r="AG375" s="2461"/>
      <c r="AH375" s="2461"/>
      <c r="AI375" s="2461"/>
      <c r="AJ375" s="2461"/>
      <c r="AK375" s="501"/>
      <c r="AL375" s="501"/>
      <c r="AM375" s="501"/>
      <c r="AN375" s="495"/>
      <c r="AO375" s="495"/>
      <c r="AP375" s="592">
        <f>IF(C422="Yes",3,0)</f>
        <v>3</v>
      </c>
      <c r="AS375" s="2460">
        <f>IF(AQ379=0,AQ388,AQ379)</f>
        <v>10</v>
      </c>
      <c r="AT375" s="2460"/>
    </row>
    <row r="376" spans="1:46" s="449" customFormat="1" ht="12.75" customHeight="1">
      <c r="A376" s="501"/>
      <c r="B376" s="509"/>
      <c r="C376" s="2461"/>
      <c r="D376" s="2461"/>
      <c r="E376" s="2461"/>
      <c r="F376" s="2461"/>
      <c r="G376" s="2461"/>
      <c r="H376" s="2461"/>
      <c r="I376" s="2461"/>
      <c r="J376" s="2461"/>
      <c r="K376" s="2461"/>
      <c r="L376" s="2461"/>
      <c r="M376" s="2461"/>
      <c r="N376" s="2461"/>
      <c r="O376" s="2461"/>
      <c r="P376" s="2461"/>
      <c r="Q376" s="2461"/>
      <c r="R376" s="2461"/>
      <c r="S376" s="2461"/>
      <c r="T376" s="2461"/>
      <c r="U376" s="2461"/>
      <c r="V376" s="2461"/>
      <c r="W376" s="2461"/>
      <c r="X376" s="2461"/>
      <c r="Y376" s="2461"/>
      <c r="Z376" s="2461"/>
      <c r="AA376" s="2461"/>
      <c r="AB376" s="2461"/>
      <c r="AC376" s="2461"/>
      <c r="AD376" s="2461"/>
      <c r="AE376" s="2461"/>
      <c r="AF376" s="2461"/>
      <c r="AG376" s="2461"/>
      <c r="AH376" s="2461"/>
      <c r="AI376" s="2461"/>
      <c r="AJ376" s="2461"/>
      <c r="AK376" s="501"/>
      <c r="AL376" s="501"/>
      <c r="AM376" s="501"/>
      <c r="AN376" s="495"/>
      <c r="AO376" s="591" t="s">
        <v>86</v>
      </c>
      <c r="AP376" s="592">
        <f>IF(C425="Yes",5,0)</f>
        <v>0</v>
      </c>
    </row>
    <row r="377" spans="1:46" s="449" customFormat="1" ht="12.75" customHeight="1">
      <c r="A377" s="501"/>
      <c r="B377" s="509"/>
      <c r="C377" s="2461"/>
      <c r="D377" s="2461"/>
      <c r="E377" s="2461"/>
      <c r="F377" s="2461"/>
      <c r="G377" s="2461"/>
      <c r="H377" s="2461"/>
      <c r="I377" s="2461"/>
      <c r="J377" s="2461"/>
      <c r="K377" s="2461"/>
      <c r="L377" s="2461"/>
      <c r="M377" s="2461"/>
      <c r="N377" s="2461"/>
      <c r="O377" s="2461"/>
      <c r="P377" s="2461"/>
      <c r="Q377" s="2461"/>
      <c r="R377" s="2461"/>
      <c r="S377" s="2461"/>
      <c r="T377" s="2461"/>
      <c r="U377" s="2461"/>
      <c r="V377" s="2461"/>
      <c r="W377" s="2461"/>
      <c r="X377" s="2461"/>
      <c r="Y377" s="2461"/>
      <c r="Z377" s="2461"/>
      <c r="AA377" s="2461"/>
      <c r="AB377" s="2461"/>
      <c r="AC377" s="2461"/>
      <c r="AD377" s="2461"/>
      <c r="AE377" s="2461"/>
      <c r="AF377" s="2461"/>
      <c r="AG377" s="2461"/>
      <c r="AH377" s="2461"/>
      <c r="AI377" s="2461"/>
      <c r="AJ377" s="2461"/>
      <c r="AK377" s="501"/>
      <c r="AL377" s="501"/>
      <c r="AM377" s="501"/>
      <c r="AN377" s="495"/>
      <c r="AO377" s="591" t="s">
        <v>1431</v>
      </c>
      <c r="AP377" s="592">
        <f>IF(C434="Yes",5,0)</f>
        <v>0</v>
      </c>
    </row>
    <row r="378" spans="1:46" s="449" customFormat="1" ht="12" customHeight="1">
      <c r="A378" s="501"/>
      <c r="B378" s="509"/>
      <c r="C378" s="2461"/>
      <c r="D378" s="2461"/>
      <c r="E378" s="2461"/>
      <c r="F378" s="2461"/>
      <c r="G378" s="2461"/>
      <c r="H378" s="2461"/>
      <c r="I378" s="2461"/>
      <c r="J378" s="2461"/>
      <c r="K378" s="2461"/>
      <c r="L378" s="2461"/>
      <c r="M378" s="2461"/>
      <c r="N378" s="2461"/>
      <c r="O378" s="2461"/>
      <c r="P378" s="2461"/>
      <c r="Q378" s="2461"/>
      <c r="R378" s="2461"/>
      <c r="S378" s="2461"/>
      <c r="T378" s="2461"/>
      <c r="U378" s="2461"/>
      <c r="V378" s="2461"/>
      <c r="W378" s="2461"/>
      <c r="X378" s="2461"/>
      <c r="Y378" s="2461"/>
      <c r="Z378" s="2461"/>
      <c r="AA378" s="2461"/>
      <c r="AB378" s="2461"/>
      <c r="AC378" s="2461"/>
      <c r="AD378" s="2461"/>
      <c r="AE378" s="2461"/>
      <c r="AF378" s="2461"/>
      <c r="AG378" s="2461"/>
      <c r="AH378" s="2461"/>
      <c r="AI378" s="2461"/>
      <c r="AJ378" s="2461"/>
      <c r="AK378" s="501"/>
      <c r="AL378" s="501"/>
      <c r="AM378" s="501"/>
      <c r="AN378" s="495"/>
      <c r="AO378" s="593"/>
      <c r="AP378" s="594">
        <f>IF(C436="Yes",3,0)</f>
        <v>0</v>
      </c>
    </row>
    <row r="379" spans="1:46" s="449" customFormat="1" ht="12.75" customHeight="1">
      <c r="A379" s="501"/>
      <c r="B379" s="509"/>
      <c r="C379" s="2461"/>
      <c r="D379" s="2461"/>
      <c r="E379" s="2461"/>
      <c r="F379" s="2461"/>
      <c r="G379" s="2461"/>
      <c r="H379" s="2461"/>
      <c r="I379" s="2461"/>
      <c r="J379" s="2461"/>
      <c r="K379" s="2461"/>
      <c r="L379" s="2461"/>
      <c r="M379" s="2461"/>
      <c r="N379" s="2461"/>
      <c r="O379" s="2461"/>
      <c r="P379" s="2461"/>
      <c r="Q379" s="2461"/>
      <c r="R379" s="2461"/>
      <c r="S379" s="2461"/>
      <c r="T379" s="2461"/>
      <c r="U379" s="2461"/>
      <c r="V379" s="2461"/>
      <c r="W379" s="2461"/>
      <c r="X379" s="2461"/>
      <c r="Y379" s="2461"/>
      <c r="Z379" s="2461"/>
      <c r="AA379" s="2461"/>
      <c r="AB379" s="2461"/>
      <c r="AC379" s="2461"/>
      <c r="AD379" s="2461"/>
      <c r="AE379" s="2461"/>
      <c r="AF379" s="2461"/>
      <c r="AG379" s="2461"/>
      <c r="AH379" s="2461"/>
      <c r="AI379" s="2461"/>
      <c r="AJ379" s="2461"/>
      <c r="AK379" s="501"/>
      <c r="AL379" s="501"/>
      <c r="AM379" s="501"/>
      <c r="AN379" s="495"/>
      <c r="AO379" s="595" t="s">
        <v>2351</v>
      </c>
      <c r="AP379" s="596">
        <f>SUM(AP370:AP378)</f>
        <v>10</v>
      </c>
      <c r="AQ379" s="2395">
        <f>IF(AP379&gt;0,AP379,0)</f>
        <v>10</v>
      </c>
      <c r="AR379" s="2395"/>
    </row>
    <row r="380" spans="1:46" s="449" customFormat="1" ht="12.75" customHeight="1">
      <c r="A380" s="501"/>
      <c r="B380" s="509"/>
      <c r="C380" s="2461"/>
      <c r="D380" s="2461"/>
      <c r="E380" s="2461"/>
      <c r="F380" s="2461"/>
      <c r="G380" s="2461"/>
      <c r="H380" s="2461"/>
      <c r="I380" s="2461"/>
      <c r="J380" s="2461"/>
      <c r="K380" s="2461"/>
      <c r="L380" s="2461"/>
      <c r="M380" s="2461"/>
      <c r="N380" s="2461"/>
      <c r="O380" s="2461"/>
      <c r="P380" s="2461"/>
      <c r="Q380" s="2461"/>
      <c r="R380" s="2461"/>
      <c r="S380" s="2461"/>
      <c r="T380" s="2461"/>
      <c r="U380" s="2461"/>
      <c r="V380" s="2461"/>
      <c r="W380" s="2461"/>
      <c r="X380" s="2461"/>
      <c r="Y380" s="2461"/>
      <c r="Z380" s="2461"/>
      <c r="AA380" s="2461"/>
      <c r="AB380" s="2461"/>
      <c r="AC380" s="2461"/>
      <c r="AD380" s="2461"/>
      <c r="AE380" s="2461"/>
      <c r="AF380" s="2461"/>
      <c r="AG380" s="2461"/>
      <c r="AH380" s="2461"/>
      <c r="AI380" s="2461"/>
      <c r="AJ380" s="2461"/>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1432</v>
      </c>
      <c r="AP381" s="592">
        <f>IF(C443="Yes",5,0)</f>
        <v>0</v>
      </c>
    </row>
    <row r="382" spans="1:46" s="449" customFormat="1" ht="12.75" customHeight="1">
      <c r="A382" s="501"/>
      <c r="B382" s="509"/>
      <c r="C382" s="2392" t="s">
        <v>2352</v>
      </c>
      <c r="D382" s="2392"/>
      <c r="E382" s="2392"/>
      <c r="F382" s="2392"/>
      <c r="G382" s="2392"/>
      <c r="H382" s="2392"/>
      <c r="I382" s="2392"/>
      <c r="J382" s="2392"/>
      <c r="K382" s="2392"/>
      <c r="L382" s="2392"/>
      <c r="M382" s="2392"/>
      <c r="N382" s="2392"/>
      <c r="O382" s="2392"/>
      <c r="P382" s="2392"/>
      <c r="Q382" s="2392"/>
      <c r="R382" s="2392"/>
      <c r="S382" s="2392"/>
      <c r="T382" s="2392"/>
      <c r="U382" s="2392"/>
      <c r="V382" s="2392"/>
      <c r="W382" s="2392"/>
      <c r="X382" s="2392"/>
      <c r="Y382" s="2392"/>
      <c r="Z382" s="2392"/>
      <c r="AA382" s="2392"/>
      <c r="AB382" s="2392"/>
      <c r="AC382" s="2392"/>
      <c r="AD382" s="2392"/>
      <c r="AE382" s="2392"/>
      <c r="AF382" s="2392"/>
      <c r="AG382" s="2392"/>
      <c r="AH382" s="2392"/>
      <c r="AI382" s="2392"/>
      <c r="AJ382" s="2392"/>
      <c r="AK382" s="501"/>
      <c r="AL382" s="501"/>
      <c r="AM382" s="501"/>
      <c r="AN382" s="495"/>
      <c r="AO382" s="591" t="s">
        <v>1433</v>
      </c>
      <c r="AP382" s="592">
        <f>IF(C455="Yes",5,0)</f>
        <v>0</v>
      </c>
    </row>
    <row r="383" spans="1:46" s="449" customFormat="1" ht="12.75" customHeight="1">
      <c r="A383" s="501"/>
      <c r="B383" s="509"/>
      <c r="C383" s="2392"/>
      <c r="D383" s="2392"/>
      <c r="E383" s="2392"/>
      <c r="F383" s="2392"/>
      <c r="G383" s="2392"/>
      <c r="H383" s="2392"/>
      <c r="I383" s="2392"/>
      <c r="J383" s="2392"/>
      <c r="K383" s="2392"/>
      <c r="L383" s="2392"/>
      <c r="M383" s="2392"/>
      <c r="N383" s="2392"/>
      <c r="O383" s="2392"/>
      <c r="P383" s="2392"/>
      <c r="Q383" s="2392"/>
      <c r="R383" s="2392"/>
      <c r="S383" s="2392"/>
      <c r="T383" s="2392"/>
      <c r="U383" s="2392"/>
      <c r="V383" s="2392"/>
      <c r="W383" s="2392"/>
      <c r="X383" s="2392"/>
      <c r="Y383" s="2392"/>
      <c r="Z383" s="2392"/>
      <c r="AA383" s="2392"/>
      <c r="AB383" s="2392"/>
      <c r="AC383" s="2392"/>
      <c r="AD383" s="2392"/>
      <c r="AE383" s="2392"/>
      <c r="AF383" s="2392"/>
      <c r="AG383" s="2392"/>
      <c r="AH383" s="2392"/>
      <c r="AI383" s="2392"/>
      <c r="AJ383" s="2392"/>
      <c r="AK383" s="501"/>
      <c r="AL383" s="501"/>
      <c r="AM383" s="501"/>
      <c r="AN383" s="495"/>
      <c r="AO383" s="591" t="s">
        <v>1434</v>
      </c>
      <c r="AP383" s="592">
        <f>IF(C462="Yes",5,0)</f>
        <v>0</v>
      </c>
    </row>
    <row r="384" spans="1:46" s="449" customFormat="1" ht="68.25" customHeight="1">
      <c r="A384" s="501"/>
      <c r="B384" s="509"/>
      <c r="C384" s="2392"/>
      <c r="D384" s="2392"/>
      <c r="E384" s="2392"/>
      <c r="F384" s="2392"/>
      <c r="G384" s="2392"/>
      <c r="H384" s="2392"/>
      <c r="I384" s="2392"/>
      <c r="J384" s="2392"/>
      <c r="K384" s="2392"/>
      <c r="L384" s="2392"/>
      <c r="M384" s="2392"/>
      <c r="N384" s="2392"/>
      <c r="O384" s="2392"/>
      <c r="P384" s="2392"/>
      <c r="Q384" s="2392"/>
      <c r="R384" s="2392"/>
      <c r="S384" s="2392"/>
      <c r="T384" s="2392"/>
      <c r="U384" s="2392"/>
      <c r="V384" s="2392"/>
      <c r="W384" s="2392"/>
      <c r="X384" s="2392"/>
      <c r="Y384" s="2392"/>
      <c r="Z384" s="2392"/>
      <c r="AA384" s="2392"/>
      <c r="AB384" s="2392"/>
      <c r="AC384" s="2392"/>
      <c r="AD384" s="2392"/>
      <c r="AE384" s="2392"/>
      <c r="AF384" s="2392"/>
      <c r="AG384" s="2392"/>
      <c r="AH384" s="2392"/>
      <c r="AI384" s="2392"/>
      <c r="AJ384" s="2392"/>
      <c r="AK384" s="501"/>
      <c r="AL384" s="501"/>
      <c r="AM384" s="501"/>
      <c r="AN384" s="495"/>
      <c r="AO384" s="591" t="s">
        <v>1435</v>
      </c>
      <c r="AP384" s="597">
        <f>IF(C466="Yes",5,0)</f>
        <v>0</v>
      </c>
    </row>
    <row r="385" spans="1:81" s="449" customFormat="1" ht="12.75" customHeight="1">
      <c r="B385" s="509"/>
      <c r="C385" s="449" t="s">
        <v>2353</v>
      </c>
      <c r="AF385" s="501"/>
      <c r="AG385" s="501"/>
      <c r="AH385" s="501"/>
      <c r="AI385" s="501"/>
      <c r="AJ385" s="501"/>
      <c r="AK385" s="501"/>
      <c r="AL385" s="501"/>
      <c r="AM385" s="501"/>
      <c r="AN385" s="495"/>
      <c r="AO385" s="591" t="s">
        <v>1436</v>
      </c>
      <c r="AP385" s="592">
        <f>IF(C470="Yes",5,0)</f>
        <v>0</v>
      </c>
    </row>
    <row r="386" spans="1:81" s="449" customFormat="1" ht="12.75" customHeight="1">
      <c r="A386" s="501"/>
      <c r="B386" s="509"/>
      <c r="C386" s="598" t="s">
        <v>2354</v>
      </c>
      <c r="D386" s="599"/>
      <c r="E386" s="599"/>
      <c r="F386" s="599"/>
      <c r="G386" s="599"/>
      <c r="H386" s="599"/>
      <c r="I386" s="599"/>
      <c r="J386" s="599"/>
      <c r="K386" s="599"/>
      <c r="L386" s="599"/>
      <c r="M386" s="563"/>
      <c r="N386" s="563"/>
      <c r="O386" s="600"/>
      <c r="P386" s="599"/>
      <c r="Q386" s="599"/>
      <c r="R386" s="563"/>
      <c r="S386" s="563"/>
      <c r="T386" s="599"/>
      <c r="U386" s="2393">
        <f>Application!DU810-U387</f>
        <v>262</v>
      </c>
      <c r="V386" s="2393"/>
      <c r="W386" s="2393"/>
      <c r="X386" s="599"/>
      <c r="Y386" s="599"/>
      <c r="Z386" s="599"/>
      <c r="AA386" s="601"/>
      <c r="AB386" s="602"/>
      <c r="AC386" s="602"/>
      <c r="AD386" s="602"/>
      <c r="AE386" s="501"/>
      <c r="AF386" s="501"/>
      <c r="AG386" s="501"/>
      <c r="AH386" s="501"/>
      <c r="AI386" s="501"/>
      <c r="AJ386" s="501"/>
      <c r="AK386" s="501"/>
      <c r="AL386" s="501"/>
      <c r="AM386" s="501"/>
      <c r="AN386" s="495"/>
      <c r="AO386" s="591" t="s">
        <v>1437</v>
      </c>
      <c r="AP386" s="592">
        <f>IF(C479="Yes",5,0)</f>
        <v>0</v>
      </c>
    </row>
    <row r="387" spans="1:81" s="449" customFormat="1" ht="12.75" customHeight="1">
      <c r="A387" s="501"/>
      <c r="B387" s="509"/>
      <c r="C387" s="603" t="s">
        <v>2355</v>
      </c>
      <c r="D387" s="590"/>
      <c r="E387" s="590"/>
      <c r="F387" s="590"/>
      <c r="G387" s="590"/>
      <c r="H387" s="590"/>
      <c r="I387" s="590"/>
      <c r="J387" s="590"/>
      <c r="K387" s="590"/>
      <c r="L387" s="590"/>
      <c r="M387" s="590"/>
      <c r="N387" s="590"/>
      <c r="O387" s="590"/>
      <c r="P387" s="590"/>
      <c r="Q387" s="590"/>
      <c r="R387" s="590"/>
      <c r="S387" s="590"/>
      <c r="T387" s="590"/>
      <c r="U387" s="2394">
        <f>IF(Application!D211="SRO",Application!DU763,Application!AG764)</f>
        <v>0</v>
      </c>
      <c r="V387" s="2394"/>
      <c r="W387" s="2394"/>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2351</v>
      </c>
      <c r="AP388" s="607">
        <f>SUM(AP381:AP386)</f>
        <v>0</v>
      </c>
      <c r="AQ388" s="2395">
        <f>IF(AP388&gt;0,AP388,0)</f>
        <v>0</v>
      </c>
      <c r="AR388" s="2395"/>
    </row>
    <row r="389" spans="1:81" s="449" customFormat="1" ht="12.75" customHeight="1">
      <c r="A389" s="501"/>
      <c r="B389" s="13"/>
      <c r="C389" s="608" t="s">
        <v>2356</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2174</v>
      </c>
      <c r="F390" s="2371" t="s">
        <v>2357</v>
      </c>
      <c r="G390" s="2371"/>
      <c r="H390" s="2371"/>
      <c r="I390" s="2371"/>
      <c r="J390" s="2371"/>
      <c r="K390" s="2371"/>
      <c r="L390" s="2371"/>
      <c r="M390" s="2371"/>
      <c r="N390" s="2371"/>
      <c r="O390" s="2371"/>
      <c r="P390" s="2371"/>
      <c r="Q390" s="2371"/>
      <c r="R390" s="2371"/>
      <c r="S390" s="2371"/>
      <c r="T390" s="2371"/>
      <c r="U390" s="2371"/>
      <c r="V390" s="2371"/>
      <c r="W390" s="2371"/>
      <c r="X390" s="2371"/>
      <c r="Y390" s="2371"/>
      <c r="Z390" s="2371"/>
      <c r="AA390" s="2371"/>
      <c r="AB390" s="2371"/>
      <c r="AC390" s="2371"/>
      <c r="AD390" s="2371"/>
      <c r="AE390" s="2371"/>
      <c r="AF390" s="2371"/>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72"/>
      <c r="G391" s="2372"/>
      <c r="H391" s="2372"/>
      <c r="I391" s="2372"/>
      <c r="J391" s="2372"/>
      <c r="K391" s="2372"/>
      <c r="L391" s="2372"/>
      <c r="M391" s="2372"/>
      <c r="N391" s="2372"/>
      <c r="O391" s="2372"/>
      <c r="P391" s="2372"/>
      <c r="Q391" s="2372"/>
      <c r="R391" s="2372"/>
      <c r="S391" s="2372"/>
      <c r="T391" s="2372"/>
      <c r="U391" s="2372"/>
      <c r="V391" s="2372"/>
      <c r="W391" s="2372"/>
      <c r="X391" s="2372"/>
      <c r="Y391" s="2372"/>
      <c r="Z391" s="2372"/>
      <c r="AA391" s="2372"/>
      <c r="AB391" s="2372"/>
      <c r="AC391" s="2372"/>
      <c r="AD391" s="2372"/>
      <c r="AE391" s="2372"/>
      <c r="AF391" s="2372"/>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72"/>
      <c r="G392" s="2372"/>
      <c r="H392" s="2372"/>
      <c r="I392" s="2372"/>
      <c r="J392" s="2372"/>
      <c r="K392" s="2372"/>
      <c r="L392" s="2372"/>
      <c r="M392" s="2372"/>
      <c r="N392" s="2372"/>
      <c r="O392" s="2372"/>
      <c r="P392" s="2372"/>
      <c r="Q392" s="2372"/>
      <c r="R392" s="2372"/>
      <c r="S392" s="2372"/>
      <c r="T392" s="2372"/>
      <c r="U392" s="2372"/>
      <c r="V392" s="2372"/>
      <c r="W392" s="2372"/>
      <c r="X392" s="2372"/>
      <c r="Y392" s="2372"/>
      <c r="Z392" s="2372"/>
      <c r="AA392" s="2372"/>
      <c r="AB392" s="2372"/>
      <c r="AC392" s="2372"/>
      <c r="AD392" s="2372"/>
      <c r="AE392" s="2372"/>
      <c r="AF392" s="2372"/>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72"/>
      <c r="G393" s="2372"/>
      <c r="H393" s="2372"/>
      <c r="I393" s="2372"/>
      <c r="J393" s="2372"/>
      <c r="K393" s="2372"/>
      <c r="L393" s="2372"/>
      <c r="M393" s="2372"/>
      <c r="N393" s="2372"/>
      <c r="O393" s="2372"/>
      <c r="P393" s="2372"/>
      <c r="Q393" s="2372"/>
      <c r="R393" s="2372"/>
      <c r="S393" s="2372"/>
      <c r="T393" s="2372"/>
      <c r="U393" s="2372"/>
      <c r="V393" s="2372"/>
      <c r="W393" s="2372"/>
      <c r="X393" s="2372"/>
      <c r="Y393" s="2372"/>
      <c r="Z393" s="2372"/>
      <c r="AA393" s="2372"/>
      <c r="AB393" s="2372"/>
      <c r="AC393" s="2372"/>
      <c r="AD393" s="2372"/>
      <c r="AE393" s="2372"/>
      <c r="AF393" s="2372"/>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96" t="s">
        <v>826</v>
      </c>
      <c r="D394" s="2343"/>
      <c r="E394" s="615"/>
      <c r="F394" s="617" t="s">
        <v>2358</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97" t="s">
        <v>2359</v>
      </c>
      <c r="AG394" s="2397"/>
      <c r="AH394" s="2397"/>
      <c r="AI394" s="2397"/>
      <c r="AJ394" s="2397"/>
      <c r="AK394" s="2397"/>
      <c r="AL394" s="2398"/>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2177</v>
      </c>
      <c r="F397" s="2371" t="s">
        <v>2360</v>
      </c>
      <c r="G397" s="2371"/>
      <c r="H397" s="2371"/>
      <c r="I397" s="2371"/>
      <c r="J397" s="2371"/>
      <c r="K397" s="2371"/>
      <c r="L397" s="2371"/>
      <c r="M397" s="2371"/>
      <c r="N397" s="2371"/>
      <c r="O397" s="2371"/>
      <c r="P397" s="2371"/>
      <c r="Q397" s="2371"/>
      <c r="R397" s="2371"/>
      <c r="S397" s="2371"/>
      <c r="T397" s="2371"/>
      <c r="U397" s="2371"/>
      <c r="V397" s="2371"/>
      <c r="W397" s="2371"/>
      <c r="X397" s="2371"/>
      <c r="Y397" s="2371"/>
      <c r="Z397" s="2371"/>
      <c r="AA397" s="2371"/>
      <c r="AB397" s="2371"/>
      <c r="AC397" s="2371"/>
      <c r="AD397" s="2371"/>
      <c r="AE397" s="2371"/>
      <c r="AF397" s="2371"/>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72"/>
      <c r="G398" s="2372"/>
      <c r="H398" s="2372"/>
      <c r="I398" s="2372"/>
      <c r="J398" s="2372"/>
      <c r="K398" s="2372"/>
      <c r="L398" s="2372"/>
      <c r="M398" s="2372"/>
      <c r="N398" s="2372"/>
      <c r="O398" s="2372"/>
      <c r="P398" s="2372"/>
      <c r="Q398" s="2372"/>
      <c r="R398" s="2372"/>
      <c r="S398" s="2372"/>
      <c r="T398" s="2372"/>
      <c r="U398" s="2372"/>
      <c r="V398" s="2372"/>
      <c r="W398" s="2372"/>
      <c r="X398" s="2372"/>
      <c r="Y398" s="2372"/>
      <c r="Z398" s="2372"/>
      <c r="AA398" s="2372"/>
      <c r="AB398" s="2372"/>
      <c r="AC398" s="2372"/>
      <c r="AD398" s="2372"/>
      <c r="AE398" s="2372"/>
      <c r="AF398" s="2372"/>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72"/>
      <c r="G399" s="2372"/>
      <c r="H399" s="2372"/>
      <c r="I399" s="2372"/>
      <c r="J399" s="2372"/>
      <c r="K399" s="2372"/>
      <c r="L399" s="2372"/>
      <c r="M399" s="2372"/>
      <c r="N399" s="2372"/>
      <c r="O399" s="2372"/>
      <c r="P399" s="2372"/>
      <c r="Q399" s="2372"/>
      <c r="R399" s="2372"/>
      <c r="S399" s="2372"/>
      <c r="T399" s="2372"/>
      <c r="U399" s="2372"/>
      <c r="V399" s="2372"/>
      <c r="W399" s="2372"/>
      <c r="X399" s="2372"/>
      <c r="Y399" s="2372"/>
      <c r="Z399" s="2372"/>
      <c r="AA399" s="2372"/>
      <c r="AB399" s="2372"/>
      <c r="AC399" s="2372"/>
      <c r="AD399" s="2372"/>
      <c r="AE399" s="2372"/>
      <c r="AF399" s="2372"/>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72"/>
      <c r="G400" s="2372"/>
      <c r="H400" s="2372"/>
      <c r="I400" s="2372"/>
      <c r="J400" s="2372"/>
      <c r="K400" s="2372"/>
      <c r="L400" s="2372"/>
      <c r="M400" s="2372"/>
      <c r="N400" s="2372"/>
      <c r="O400" s="2372"/>
      <c r="P400" s="2372"/>
      <c r="Q400" s="2372"/>
      <c r="R400" s="2372"/>
      <c r="S400" s="2372"/>
      <c r="T400" s="2372"/>
      <c r="U400" s="2372"/>
      <c r="V400" s="2372"/>
      <c r="W400" s="2372"/>
      <c r="X400" s="2372"/>
      <c r="Y400" s="2372"/>
      <c r="Z400" s="2372"/>
      <c r="AA400" s="2372"/>
      <c r="AB400" s="2372"/>
      <c r="AC400" s="2372"/>
      <c r="AD400" s="2372"/>
      <c r="AE400" s="2372"/>
      <c r="AF400" s="2372"/>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72"/>
      <c r="G401" s="2372"/>
      <c r="H401" s="2372"/>
      <c r="I401" s="2372"/>
      <c r="J401" s="2372"/>
      <c r="K401" s="2372"/>
      <c r="L401" s="2372"/>
      <c r="M401" s="2372"/>
      <c r="N401" s="2372"/>
      <c r="O401" s="2372"/>
      <c r="P401" s="2372"/>
      <c r="Q401" s="2372"/>
      <c r="R401" s="2372"/>
      <c r="S401" s="2372"/>
      <c r="T401" s="2372"/>
      <c r="U401" s="2372"/>
      <c r="V401" s="2372"/>
      <c r="W401" s="2372"/>
      <c r="X401" s="2372"/>
      <c r="Y401" s="2372"/>
      <c r="Z401" s="2372"/>
      <c r="AA401" s="2372"/>
      <c r="AB401" s="2372"/>
      <c r="AC401" s="2372"/>
      <c r="AD401" s="2372"/>
      <c r="AE401" s="2372"/>
      <c r="AF401" s="2372"/>
      <c r="AL401" s="628"/>
      <c r="AN401" s="495"/>
      <c r="BS401" s="25"/>
      <c r="BT401" s="25"/>
      <c r="BU401" s="13"/>
      <c r="BV401" s="13"/>
      <c r="BW401" s="13"/>
      <c r="BX401" s="13"/>
      <c r="BY401" s="13"/>
      <c r="BZ401" s="13"/>
      <c r="CA401" s="13"/>
      <c r="CB401" s="13"/>
      <c r="CC401" s="13"/>
    </row>
    <row r="402" spans="1:81" s="449" customFormat="1" ht="12.75" customHeight="1">
      <c r="A402" s="436"/>
      <c r="B402" s="13"/>
      <c r="C402" s="2396" t="s">
        <v>826</v>
      </c>
      <c r="D402" s="2343"/>
      <c r="E402" s="587"/>
      <c r="F402" s="617" t="s">
        <v>2361</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97" t="s">
        <v>2359</v>
      </c>
      <c r="AG402" s="2397"/>
      <c r="AH402" s="2397"/>
      <c r="AI402" s="2397"/>
      <c r="AJ402" s="2397"/>
      <c r="AK402" s="2397"/>
      <c r="AL402" s="2398"/>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2182</v>
      </c>
      <c r="F405" s="2371" t="s">
        <v>2362</v>
      </c>
      <c r="G405" s="2371"/>
      <c r="H405" s="2371"/>
      <c r="I405" s="2371"/>
      <c r="J405" s="2371"/>
      <c r="K405" s="2371"/>
      <c r="L405" s="2371"/>
      <c r="M405" s="2371"/>
      <c r="N405" s="2371"/>
      <c r="O405" s="2371"/>
      <c r="P405" s="2371"/>
      <c r="Q405" s="2371"/>
      <c r="R405" s="2371"/>
      <c r="S405" s="2371"/>
      <c r="T405" s="2371"/>
      <c r="U405" s="2371"/>
      <c r="V405" s="2371"/>
      <c r="W405" s="2371"/>
      <c r="X405" s="2371"/>
      <c r="Y405" s="2371"/>
      <c r="Z405" s="2371"/>
      <c r="AA405" s="2371"/>
      <c r="AB405" s="2371"/>
      <c r="AC405" s="2371"/>
      <c r="AD405" s="2371"/>
      <c r="AE405" s="2371"/>
      <c r="AF405" s="2371"/>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72"/>
      <c r="G406" s="2372"/>
      <c r="H406" s="2372"/>
      <c r="I406" s="2372"/>
      <c r="J406" s="2372"/>
      <c r="K406" s="2372"/>
      <c r="L406" s="2372"/>
      <c r="M406" s="2372"/>
      <c r="N406" s="2372"/>
      <c r="O406" s="2372"/>
      <c r="P406" s="2372"/>
      <c r="Q406" s="2372"/>
      <c r="R406" s="2372"/>
      <c r="S406" s="2372"/>
      <c r="T406" s="2372"/>
      <c r="U406" s="2372"/>
      <c r="V406" s="2372"/>
      <c r="W406" s="2372"/>
      <c r="X406" s="2372"/>
      <c r="Y406" s="2372"/>
      <c r="Z406" s="2372"/>
      <c r="AA406" s="2372"/>
      <c r="AB406" s="2372"/>
      <c r="AC406" s="2372"/>
      <c r="AD406" s="2372"/>
      <c r="AE406" s="2372"/>
      <c r="AF406" s="2372"/>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72"/>
      <c r="G407" s="2372"/>
      <c r="H407" s="2372"/>
      <c r="I407" s="2372"/>
      <c r="J407" s="2372"/>
      <c r="K407" s="2372"/>
      <c r="L407" s="2372"/>
      <c r="M407" s="2372"/>
      <c r="N407" s="2372"/>
      <c r="O407" s="2372"/>
      <c r="P407" s="2372"/>
      <c r="Q407" s="2372"/>
      <c r="R407" s="2372"/>
      <c r="S407" s="2372"/>
      <c r="T407" s="2372"/>
      <c r="U407" s="2372"/>
      <c r="V407" s="2372"/>
      <c r="W407" s="2372"/>
      <c r="X407" s="2372"/>
      <c r="Y407" s="2372"/>
      <c r="Z407" s="2372"/>
      <c r="AA407" s="2372"/>
      <c r="AB407" s="2372"/>
      <c r="AC407" s="2372"/>
      <c r="AD407" s="2372"/>
      <c r="AE407" s="2372"/>
      <c r="AF407" s="2372"/>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72"/>
      <c r="G408" s="2372"/>
      <c r="H408" s="2372"/>
      <c r="I408" s="2372"/>
      <c r="J408" s="2372"/>
      <c r="K408" s="2372"/>
      <c r="L408" s="2372"/>
      <c r="M408" s="2372"/>
      <c r="N408" s="2372"/>
      <c r="O408" s="2372"/>
      <c r="P408" s="2372"/>
      <c r="Q408" s="2372"/>
      <c r="R408" s="2372"/>
      <c r="S408" s="2372"/>
      <c r="T408" s="2372"/>
      <c r="U408" s="2372"/>
      <c r="V408" s="2372"/>
      <c r="W408" s="2372"/>
      <c r="X408" s="2372"/>
      <c r="Y408" s="2372"/>
      <c r="Z408" s="2372"/>
      <c r="AA408" s="2372"/>
      <c r="AB408" s="2372"/>
      <c r="AC408" s="2372"/>
      <c r="AD408" s="2372"/>
      <c r="AE408" s="2372"/>
      <c r="AF408" s="2372"/>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72"/>
      <c r="G409" s="2372"/>
      <c r="H409" s="2372"/>
      <c r="I409" s="2372"/>
      <c r="J409" s="2372"/>
      <c r="K409" s="2372"/>
      <c r="L409" s="2372"/>
      <c r="M409" s="2372"/>
      <c r="N409" s="2372"/>
      <c r="O409" s="2372"/>
      <c r="P409" s="2372"/>
      <c r="Q409" s="2372"/>
      <c r="R409" s="2372"/>
      <c r="S409" s="2372"/>
      <c r="T409" s="2372"/>
      <c r="U409" s="2372"/>
      <c r="V409" s="2372"/>
      <c r="W409" s="2372"/>
      <c r="X409" s="2372"/>
      <c r="Y409" s="2372"/>
      <c r="Z409" s="2372"/>
      <c r="AA409" s="2372"/>
      <c r="AB409" s="2372"/>
      <c r="AC409" s="2372"/>
      <c r="AD409" s="2372"/>
      <c r="AE409" s="2372"/>
      <c r="AF409" s="2372"/>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96" t="s">
        <v>862</v>
      </c>
      <c r="D410" s="2343"/>
      <c r="E410" s="587"/>
      <c r="F410" s="617" t="s">
        <v>2363</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97" t="s">
        <v>2364</v>
      </c>
      <c r="AG410" s="2397"/>
      <c r="AH410" s="2397"/>
      <c r="AI410" s="2397"/>
      <c r="AJ410" s="2397"/>
      <c r="AK410" s="2397"/>
      <c r="AL410" s="2398"/>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96" t="s">
        <v>826</v>
      </c>
      <c r="D412" s="2343"/>
      <c r="E412" s="587"/>
      <c r="F412" s="634" t="s">
        <v>2365</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97" t="s">
        <v>2359</v>
      </c>
      <c r="AG412" s="2397"/>
      <c r="AH412" s="2397"/>
      <c r="AI412" s="2397"/>
      <c r="AJ412" s="2397"/>
      <c r="AK412" s="2397"/>
      <c r="AL412" s="2398"/>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2366</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2184</v>
      </c>
      <c r="F416" s="2371" t="s">
        <v>2367</v>
      </c>
      <c r="G416" s="2371"/>
      <c r="H416" s="2371"/>
      <c r="I416" s="2371"/>
      <c r="J416" s="2371"/>
      <c r="K416" s="2371"/>
      <c r="L416" s="2371"/>
      <c r="M416" s="2371"/>
      <c r="N416" s="2371"/>
      <c r="O416" s="2371"/>
      <c r="P416" s="2371"/>
      <c r="Q416" s="2371"/>
      <c r="R416" s="2371"/>
      <c r="S416" s="2371"/>
      <c r="T416" s="2371"/>
      <c r="U416" s="2371"/>
      <c r="V416" s="2371"/>
      <c r="W416" s="2371"/>
      <c r="X416" s="2371"/>
      <c r="Y416" s="2371"/>
      <c r="Z416" s="2371"/>
      <c r="AA416" s="2371"/>
      <c r="AB416" s="2371"/>
      <c r="AC416" s="2371"/>
      <c r="AD416" s="2371"/>
      <c r="AE416" s="2371"/>
      <c r="AF416" s="2371"/>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72"/>
      <c r="G417" s="2372"/>
      <c r="H417" s="2372"/>
      <c r="I417" s="2372"/>
      <c r="J417" s="2372"/>
      <c r="K417" s="2372"/>
      <c r="L417" s="2372"/>
      <c r="M417" s="2372"/>
      <c r="N417" s="2372"/>
      <c r="O417" s="2372"/>
      <c r="P417" s="2372"/>
      <c r="Q417" s="2372"/>
      <c r="R417" s="2372"/>
      <c r="S417" s="2372"/>
      <c r="T417" s="2372"/>
      <c r="U417" s="2372"/>
      <c r="V417" s="2372"/>
      <c r="W417" s="2372"/>
      <c r="X417" s="2372"/>
      <c r="Y417" s="2372"/>
      <c r="Z417" s="2372"/>
      <c r="AA417" s="2372"/>
      <c r="AB417" s="2372"/>
      <c r="AC417" s="2372"/>
      <c r="AD417" s="2372"/>
      <c r="AE417" s="2372"/>
      <c r="AF417" s="2372"/>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ht="13">
      <c r="A418" s="436"/>
      <c r="C418" s="627"/>
      <c r="E418" s="587"/>
      <c r="F418" s="2372"/>
      <c r="G418" s="2372"/>
      <c r="H418" s="2372"/>
      <c r="I418" s="2372"/>
      <c r="J418" s="2372"/>
      <c r="K418" s="2372"/>
      <c r="L418" s="2372"/>
      <c r="M418" s="2372"/>
      <c r="N418" s="2372"/>
      <c r="O418" s="2372"/>
      <c r="P418" s="2372"/>
      <c r="Q418" s="2372"/>
      <c r="R418" s="2372"/>
      <c r="S418" s="2372"/>
      <c r="T418" s="2372"/>
      <c r="U418" s="2372"/>
      <c r="V418" s="2372"/>
      <c r="W418" s="2372"/>
      <c r="X418" s="2372"/>
      <c r="Y418" s="2372"/>
      <c r="Z418" s="2372"/>
      <c r="AA418" s="2372"/>
      <c r="AB418" s="2372"/>
      <c r="AC418" s="2372"/>
      <c r="AD418" s="2372"/>
      <c r="AE418" s="2372"/>
      <c r="AF418" s="2372"/>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72"/>
      <c r="G419" s="2372"/>
      <c r="H419" s="2372"/>
      <c r="I419" s="2372"/>
      <c r="J419" s="2372"/>
      <c r="K419" s="2372"/>
      <c r="L419" s="2372"/>
      <c r="M419" s="2372"/>
      <c r="N419" s="2372"/>
      <c r="O419" s="2372"/>
      <c r="P419" s="2372"/>
      <c r="Q419" s="2372"/>
      <c r="R419" s="2372"/>
      <c r="S419" s="2372"/>
      <c r="T419" s="2372"/>
      <c r="U419" s="2372"/>
      <c r="V419" s="2372"/>
      <c r="W419" s="2372"/>
      <c r="X419" s="2372"/>
      <c r="Y419" s="2372"/>
      <c r="Z419" s="2372"/>
      <c r="AA419" s="2372"/>
      <c r="AB419" s="2372"/>
      <c r="AC419" s="2372"/>
      <c r="AD419" s="2372"/>
      <c r="AE419" s="2372"/>
      <c r="AF419" s="2372"/>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96" t="s">
        <v>826</v>
      </c>
      <c r="D420" s="2343"/>
      <c r="E420" s="587"/>
      <c r="F420" s="617" t="s">
        <v>2368</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97" t="s">
        <v>2359</v>
      </c>
      <c r="AG420" s="2397"/>
      <c r="AH420" s="2397"/>
      <c r="AI420" s="2397"/>
      <c r="AJ420" s="2397"/>
      <c r="AK420" s="2397"/>
      <c r="AL420" s="2398"/>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96" t="s">
        <v>862</v>
      </c>
      <c r="D422" s="2343"/>
      <c r="E422" s="615"/>
      <c r="F422" s="617" t="s">
        <v>2369</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97" t="s">
        <v>2370</v>
      </c>
      <c r="AG422" s="2397"/>
      <c r="AH422" s="2397"/>
      <c r="AI422" s="2397"/>
      <c r="AJ422" s="2397"/>
      <c r="AK422" s="2397"/>
      <c r="AL422" s="2398"/>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96" t="s">
        <v>826</v>
      </c>
      <c r="D425" s="2343"/>
      <c r="E425" s="611" t="s">
        <v>2371</v>
      </c>
      <c r="F425" s="2371" t="s">
        <v>2372</v>
      </c>
      <c r="G425" s="2371"/>
      <c r="H425" s="2371"/>
      <c r="I425" s="2371"/>
      <c r="J425" s="2371"/>
      <c r="K425" s="2371"/>
      <c r="L425" s="2371"/>
      <c r="M425" s="2371"/>
      <c r="N425" s="2371"/>
      <c r="O425" s="2371"/>
      <c r="P425" s="2371"/>
      <c r="Q425" s="2371"/>
      <c r="R425" s="2371"/>
      <c r="S425" s="2371"/>
      <c r="T425" s="2371"/>
      <c r="U425" s="2371"/>
      <c r="V425" s="2371"/>
      <c r="W425" s="2371"/>
      <c r="X425" s="2371"/>
      <c r="Y425" s="2371"/>
      <c r="Z425" s="2371"/>
      <c r="AA425" s="2371"/>
      <c r="AB425" s="2371"/>
      <c r="AC425" s="2371"/>
      <c r="AD425" s="2371"/>
      <c r="AE425" s="2371"/>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72"/>
      <c r="G426" s="2372"/>
      <c r="H426" s="2372"/>
      <c r="I426" s="2372"/>
      <c r="J426" s="2372"/>
      <c r="K426" s="2372"/>
      <c r="L426" s="2372"/>
      <c r="M426" s="2372"/>
      <c r="N426" s="2372"/>
      <c r="O426" s="2372"/>
      <c r="P426" s="2372"/>
      <c r="Q426" s="2372"/>
      <c r="R426" s="2372"/>
      <c r="S426" s="2372"/>
      <c r="T426" s="2372"/>
      <c r="U426" s="2372"/>
      <c r="V426" s="2372"/>
      <c r="W426" s="2372"/>
      <c r="X426" s="2372"/>
      <c r="Y426" s="2372"/>
      <c r="Z426" s="2372"/>
      <c r="AA426" s="2372"/>
      <c r="AB426" s="2372"/>
      <c r="AC426" s="2372"/>
      <c r="AD426" s="2372"/>
      <c r="AE426" s="2372"/>
      <c r="AF426" s="2322" t="s">
        <v>2359</v>
      </c>
      <c r="AG426" s="2322"/>
      <c r="AH426" s="2322"/>
      <c r="AI426" s="2322"/>
      <c r="AJ426" s="2322"/>
      <c r="AK426" s="2322"/>
      <c r="AL426" s="2403"/>
      <c r="AM426" s="468"/>
      <c r="AN426" s="495"/>
      <c r="BS426" s="468"/>
      <c r="BT426" s="468"/>
      <c r="BY426" s="468"/>
      <c r="BZ426" s="468"/>
      <c r="CA426" s="468"/>
      <c r="CB426" s="468"/>
      <c r="CC426" s="468"/>
    </row>
    <row r="427" spans="1:81" s="449" customFormat="1" ht="12.75" customHeight="1">
      <c r="A427" s="436"/>
      <c r="B427" s="13"/>
      <c r="C427" s="627"/>
      <c r="D427" s="13"/>
      <c r="E427" s="587"/>
      <c r="F427" s="2372"/>
      <c r="G427" s="2372"/>
      <c r="H427" s="2372"/>
      <c r="I427" s="2372"/>
      <c r="J427" s="2372"/>
      <c r="K427" s="2372"/>
      <c r="L427" s="2372"/>
      <c r="M427" s="2372"/>
      <c r="N427" s="2372"/>
      <c r="O427" s="2372"/>
      <c r="P427" s="2372"/>
      <c r="Q427" s="2372"/>
      <c r="R427" s="2372"/>
      <c r="S427" s="2372"/>
      <c r="T427" s="2372"/>
      <c r="U427" s="2372"/>
      <c r="V427" s="2372"/>
      <c r="W427" s="2372"/>
      <c r="X427" s="2372"/>
      <c r="Y427" s="2372"/>
      <c r="Z427" s="2372"/>
      <c r="AA427" s="2372"/>
      <c r="AB427" s="2372"/>
      <c r="AC427" s="2372"/>
      <c r="AD427" s="2372"/>
      <c r="AE427" s="2372"/>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73"/>
      <c r="G428" s="2373"/>
      <c r="H428" s="2373"/>
      <c r="I428" s="2373"/>
      <c r="J428" s="2373"/>
      <c r="K428" s="2373"/>
      <c r="L428" s="2373"/>
      <c r="M428" s="2373"/>
      <c r="N428" s="2373"/>
      <c r="O428" s="2373"/>
      <c r="P428" s="2373"/>
      <c r="Q428" s="2373"/>
      <c r="R428" s="2373"/>
      <c r="S428" s="2373"/>
      <c r="T428" s="2373"/>
      <c r="U428" s="2373"/>
      <c r="V428" s="2373"/>
      <c r="W428" s="2373"/>
      <c r="X428" s="2373"/>
      <c r="Y428" s="2373"/>
      <c r="Z428" s="2373"/>
      <c r="AA428" s="2373"/>
      <c r="AB428" s="2373"/>
      <c r="AC428" s="2373"/>
      <c r="AD428" s="2373"/>
      <c r="AE428" s="2373"/>
      <c r="AF428" s="481"/>
      <c r="AG428" s="633"/>
      <c r="AH428" s="623"/>
      <c r="AI428" s="623"/>
      <c r="AJ428" s="623"/>
      <c r="AK428" s="623"/>
      <c r="AL428" s="638"/>
      <c r="AM428" s="468"/>
      <c r="AN428" s="495"/>
    </row>
    <row r="429" spans="1:81" ht="13">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2373</v>
      </c>
      <c r="F430" s="2371" t="s">
        <v>2374</v>
      </c>
      <c r="G430" s="2371"/>
      <c r="H430" s="2371"/>
      <c r="I430" s="2371"/>
      <c r="J430" s="2371"/>
      <c r="K430" s="2371"/>
      <c r="L430" s="2371"/>
      <c r="M430" s="2371"/>
      <c r="N430" s="2371"/>
      <c r="O430" s="2371"/>
      <c r="P430" s="2371"/>
      <c r="Q430" s="2371"/>
      <c r="R430" s="2371"/>
      <c r="S430" s="2371"/>
      <c r="T430" s="2371"/>
      <c r="U430" s="2371"/>
      <c r="V430" s="2371"/>
      <c r="W430" s="2371"/>
      <c r="X430" s="2371"/>
      <c r="Y430" s="2371"/>
      <c r="Z430" s="2371"/>
      <c r="AA430" s="2371"/>
      <c r="AB430" s="2371"/>
      <c r="AC430" s="2371"/>
      <c r="AD430" s="2371"/>
      <c r="AE430" s="2371"/>
      <c r="AF430" s="643"/>
      <c r="AG430" s="643"/>
      <c r="AH430" s="643"/>
      <c r="AI430" s="643"/>
      <c r="AJ430" s="643"/>
      <c r="AK430" s="643"/>
      <c r="AL430" s="644"/>
      <c r="AM430" s="468"/>
    </row>
    <row r="431" spans="1:81" ht="13">
      <c r="A431" s="436"/>
      <c r="C431" s="627"/>
      <c r="E431" s="587"/>
      <c r="F431" s="2372"/>
      <c r="G431" s="2372"/>
      <c r="H431" s="2372"/>
      <c r="I431" s="2372"/>
      <c r="J431" s="2372"/>
      <c r="K431" s="2372"/>
      <c r="L431" s="2372"/>
      <c r="M431" s="2372"/>
      <c r="N431" s="2372"/>
      <c r="O431" s="2372"/>
      <c r="P431" s="2372"/>
      <c r="Q431" s="2372"/>
      <c r="R431" s="2372"/>
      <c r="S431" s="2372"/>
      <c r="T431" s="2372"/>
      <c r="U431" s="2372"/>
      <c r="V431" s="2372"/>
      <c r="W431" s="2372"/>
      <c r="X431" s="2372"/>
      <c r="Y431" s="2372"/>
      <c r="Z431" s="2372"/>
      <c r="AA431" s="2372"/>
      <c r="AB431" s="2372"/>
      <c r="AC431" s="2372"/>
      <c r="AD431" s="2372"/>
      <c r="AE431" s="2372"/>
      <c r="AF431" s="439"/>
      <c r="AG431" s="436"/>
      <c r="AH431" s="449"/>
      <c r="AI431" s="449"/>
      <c r="AJ431" s="449"/>
      <c r="AK431" s="449"/>
      <c r="AL431" s="628"/>
      <c r="AM431" s="468"/>
    </row>
    <row r="432" spans="1:81" s="449" customFormat="1" ht="12.75" customHeight="1">
      <c r="A432" s="436"/>
      <c r="B432" s="13"/>
      <c r="C432" s="627"/>
      <c r="D432" s="13"/>
      <c r="E432" s="587"/>
      <c r="F432" s="2372"/>
      <c r="G432" s="2372"/>
      <c r="H432" s="2372"/>
      <c r="I432" s="2372"/>
      <c r="J432" s="2372"/>
      <c r="K432" s="2372"/>
      <c r="L432" s="2372"/>
      <c r="M432" s="2372"/>
      <c r="N432" s="2372"/>
      <c r="O432" s="2372"/>
      <c r="P432" s="2372"/>
      <c r="Q432" s="2372"/>
      <c r="R432" s="2372"/>
      <c r="S432" s="2372"/>
      <c r="T432" s="2372"/>
      <c r="U432" s="2372"/>
      <c r="V432" s="2372"/>
      <c r="W432" s="2372"/>
      <c r="X432" s="2372"/>
      <c r="Y432" s="2372"/>
      <c r="Z432" s="2372"/>
      <c r="AA432" s="2372"/>
      <c r="AB432" s="2372"/>
      <c r="AC432" s="2372"/>
      <c r="AD432" s="2372"/>
      <c r="AE432" s="2372"/>
      <c r="AL432" s="628"/>
      <c r="AM432" s="468"/>
      <c r="AN432" s="495"/>
    </row>
    <row r="433" spans="1:60" s="449" customFormat="1" ht="12.75" customHeight="1">
      <c r="A433" s="436"/>
      <c r="B433" s="13"/>
      <c r="C433" s="635"/>
      <c r="F433" s="2372"/>
      <c r="G433" s="2372"/>
      <c r="H433" s="2372"/>
      <c r="I433" s="2372"/>
      <c r="J433" s="2372"/>
      <c r="K433" s="2372"/>
      <c r="L433" s="2372"/>
      <c r="M433" s="2372"/>
      <c r="N433" s="2372"/>
      <c r="O433" s="2372"/>
      <c r="P433" s="2372"/>
      <c r="Q433" s="2372"/>
      <c r="R433" s="2372"/>
      <c r="S433" s="2372"/>
      <c r="T433" s="2372"/>
      <c r="U433" s="2372"/>
      <c r="V433" s="2372"/>
      <c r="W433" s="2372"/>
      <c r="X433" s="2372"/>
      <c r="Y433" s="2372"/>
      <c r="Z433" s="2372"/>
      <c r="AA433" s="2372"/>
      <c r="AB433" s="2372"/>
      <c r="AC433" s="2372"/>
      <c r="AD433" s="2372"/>
      <c r="AE433" s="2372"/>
      <c r="AL433" s="628"/>
      <c r="AM433" s="468"/>
      <c r="AN433" s="495"/>
    </row>
    <row r="434" spans="1:60" s="449" customFormat="1" ht="12.75" customHeight="1">
      <c r="A434" s="436"/>
      <c r="B434" s="13"/>
      <c r="C434" s="2396" t="s">
        <v>826</v>
      </c>
      <c r="D434" s="2343"/>
      <c r="E434" s="587"/>
      <c r="F434" s="617" t="s">
        <v>2375</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22" t="s">
        <v>2359</v>
      </c>
      <c r="AG434" s="2322"/>
      <c r="AH434" s="2322"/>
      <c r="AI434" s="2322"/>
      <c r="AJ434" s="2322"/>
      <c r="AK434" s="2322"/>
      <c r="AL434" s="2403"/>
      <c r="AM434" s="468"/>
      <c r="AN434" s="495"/>
    </row>
    <row r="435" spans="1:60" s="449" customFormat="1" ht="12.75" customHeight="1">
      <c r="A435" s="436"/>
      <c r="B435" s="13"/>
      <c r="C435" s="635"/>
      <c r="AL435" s="628"/>
      <c r="AM435" s="468"/>
      <c r="AN435" s="495"/>
    </row>
    <row r="436" spans="1:60" s="449" customFormat="1" ht="12.75" customHeight="1">
      <c r="A436" s="436"/>
      <c r="B436" s="13"/>
      <c r="C436" s="2396" t="s">
        <v>826</v>
      </c>
      <c r="D436" s="2343"/>
      <c r="E436" s="615"/>
      <c r="F436" s="617" t="s">
        <v>2376</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22" t="s">
        <v>2370</v>
      </c>
      <c r="AG436" s="2322"/>
      <c r="AH436" s="2322"/>
      <c r="AI436" s="2322"/>
      <c r="AJ436" s="2322"/>
      <c r="AK436" s="2322"/>
      <c r="AL436" s="2403"/>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2377</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2378</v>
      </c>
      <c r="F440" s="2371" t="s">
        <v>2379</v>
      </c>
      <c r="G440" s="2371"/>
      <c r="H440" s="2371"/>
      <c r="I440" s="2371"/>
      <c r="J440" s="2371"/>
      <c r="K440" s="2371"/>
      <c r="L440" s="2371"/>
      <c r="M440" s="2371"/>
      <c r="N440" s="2371"/>
      <c r="O440" s="2371"/>
      <c r="P440" s="2371"/>
      <c r="Q440" s="2371"/>
      <c r="R440" s="2371"/>
      <c r="S440" s="2371"/>
      <c r="T440" s="2371"/>
      <c r="U440" s="2371"/>
      <c r="V440" s="2371"/>
      <c r="W440" s="2371"/>
      <c r="X440" s="2371"/>
      <c r="Y440" s="2371"/>
      <c r="Z440" s="2371"/>
      <c r="AA440" s="2371"/>
      <c r="AB440" s="2371"/>
      <c r="AC440" s="2371"/>
      <c r="AD440" s="2371"/>
      <c r="AE440" s="2371"/>
      <c r="AF440" s="610"/>
      <c r="AG440" s="610"/>
      <c r="AH440" s="610"/>
      <c r="AI440" s="610"/>
      <c r="AJ440" s="610"/>
      <c r="AK440" s="610"/>
      <c r="AL440" s="641"/>
      <c r="AM440" s="468"/>
      <c r="AN440" s="495"/>
    </row>
    <row r="441" spans="1:60" s="449" customFormat="1" ht="12.75" customHeight="1">
      <c r="A441" s="436"/>
      <c r="B441" s="13"/>
      <c r="C441" s="627"/>
      <c r="D441" s="13"/>
      <c r="E441" s="587"/>
      <c r="F441" s="2372"/>
      <c r="G441" s="2372"/>
      <c r="H441" s="2372"/>
      <c r="I441" s="2372"/>
      <c r="J441" s="2372"/>
      <c r="K441" s="2372"/>
      <c r="L441" s="2372"/>
      <c r="M441" s="2372"/>
      <c r="N441" s="2372"/>
      <c r="O441" s="2372"/>
      <c r="P441" s="2372"/>
      <c r="Q441" s="2372"/>
      <c r="R441" s="2372"/>
      <c r="S441" s="2372"/>
      <c r="T441" s="2372"/>
      <c r="U441" s="2372"/>
      <c r="V441" s="2372"/>
      <c r="W441" s="2372"/>
      <c r="X441" s="2372"/>
      <c r="Y441" s="2372"/>
      <c r="Z441" s="2372"/>
      <c r="AA441" s="2372"/>
      <c r="AB441" s="2372"/>
      <c r="AC441" s="2372"/>
      <c r="AD441" s="2372"/>
      <c r="AE441" s="2372"/>
      <c r="AF441" s="439"/>
      <c r="AG441" s="436"/>
      <c r="AL441" s="628"/>
      <c r="AM441" s="468"/>
      <c r="AN441" s="495"/>
    </row>
    <row r="442" spans="1:60" s="449" customFormat="1" ht="12.75" customHeight="1">
      <c r="A442" s="436"/>
      <c r="B442" s="13"/>
      <c r="C442" s="627"/>
      <c r="D442" s="13"/>
      <c r="E442" s="587"/>
      <c r="F442" s="2372"/>
      <c r="G442" s="2372"/>
      <c r="H442" s="2372"/>
      <c r="I442" s="2372"/>
      <c r="J442" s="2372"/>
      <c r="K442" s="2372"/>
      <c r="L442" s="2372"/>
      <c r="M442" s="2372"/>
      <c r="N442" s="2372"/>
      <c r="O442" s="2372"/>
      <c r="P442" s="2372"/>
      <c r="Q442" s="2372"/>
      <c r="R442" s="2372"/>
      <c r="S442" s="2372"/>
      <c r="T442" s="2372"/>
      <c r="U442" s="2372"/>
      <c r="V442" s="2372"/>
      <c r="W442" s="2372"/>
      <c r="X442" s="2372"/>
      <c r="Y442" s="2372"/>
      <c r="Z442" s="2372"/>
      <c r="AA442" s="2372"/>
      <c r="AB442" s="2372"/>
      <c r="AC442" s="2372"/>
      <c r="AD442" s="2372"/>
      <c r="AE442" s="2372"/>
      <c r="AL442" s="628"/>
      <c r="AM442" s="468"/>
      <c r="AN442" s="495"/>
    </row>
    <row r="443" spans="1:60" s="449" customFormat="1" ht="12.75" customHeight="1">
      <c r="A443" s="436"/>
      <c r="B443" s="13"/>
      <c r="C443" s="2396" t="s">
        <v>826</v>
      </c>
      <c r="D443" s="2343"/>
      <c r="E443" s="587"/>
      <c r="F443" s="617" t="s">
        <v>2380</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22" t="s">
        <v>2359</v>
      </c>
      <c r="AG443" s="2322"/>
      <c r="AH443" s="2322"/>
      <c r="AI443" s="2322"/>
      <c r="AJ443" s="2322"/>
      <c r="AK443" s="2322"/>
      <c r="AL443" s="2403"/>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5" customHeight="1">
      <c r="A446" s="436"/>
      <c r="C446" s="642"/>
      <c r="D446" s="643"/>
      <c r="E446" s="611" t="s">
        <v>2381</v>
      </c>
      <c r="F446" s="2371" t="s">
        <v>2382</v>
      </c>
      <c r="G446" s="2371"/>
      <c r="H446" s="2371"/>
      <c r="I446" s="2371"/>
      <c r="J446" s="2371"/>
      <c r="K446" s="2371"/>
      <c r="L446" s="2371"/>
      <c r="M446" s="2371"/>
      <c r="N446" s="2371"/>
      <c r="O446" s="2371"/>
      <c r="P446" s="2371"/>
      <c r="Q446" s="2371"/>
      <c r="R446" s="2371"/>
      <c r="S446" s="2371"/>
      <c r="T446" s="2371"/>
      <c r="U446" s="2371"/>
      <c r="V446" s="2371"/>
      <c r="W446" s="2371"/>
      <c r="X446" s="2371"/>
      <c r="Y446" s="2371"/>
      <c r="Z446" s="2371"/>
      <c r="AA446" s="2371"/>
      <c r="AB446" s="2371"/>
      <c r="AC446" s="2371"/>
      <c r="AD446" s="2371"/>
      <c r="AE446" s="2371"/>
      <c r="AF446" s="643"/>
      <c r="AG446" s="643"/>
      <c r="AH446" s="643"/>
      <c r="AI446" s="643"/>
      <c r="AJ446" s="643"/>
      <c r="AK446" s="643"/>
      <c r="AL446" s="644"/>
      <c r="AM446" s="468"/>
      <c r="AO446" s="449"/>
      <c r="AP446" s="449"/>
      <c r="BD446" s="13"/>
      <c r="BE446" s="13"/>
      <c r="BF446" s="13"/>
      <c r="BG446" s="13"/>
      <c r="BH446" s="13"/>
    </row>
    <row r="447" spans="1:60" ht="13">
      <c r="A447" s="436"/>
      <c r="C447" s="627"/>
      <c r="E447" s="587"/>
      <c r="F447" s="2372"/>
      <c r="G447" s="2372"/>
      <c r="H447" s="2372"/>
      <c r="I447" s="2372"/>
      <c r="J447" s="2372"/>
      <c r="K447" s="2372"/>
      <c r="L447" s="2372"/>
      <c r="M447" s="2372"/>
      <c r="N447" s="2372"/>
      <c r="O447" s="2372"/>
      <c r="P447" s="2372"/>
      <c r="Q447" s="2372"/>
      <c r="R447" s="2372"/>
      <c r="S447" s="2372"/>
      <c r="T447" s="2372"/>
      <c r="U447" s="2372"/>
      <c r="V447" s="2372"/>
      <c r="W447" s="2372"/>
      <c r="X447" s="2372"/>
      <c r="Y447" s="2372"/>
      <c r="Z447" s="2372"/>
      <c r="AA447" s="2372"/>
      <c r="AB447" s="2372"/>
      <c r="AC447" s="2372"/>
      <c r="AD447" s="2372"/>
      <c r="AE447" s="2372"/>
      <c r="AF447" s="492"/>
      <c r="AG447" s="492"/>
      <c r="AH447" s="492"/>
      <c r="AI447" s="492"/>
      <c r="AJ447" s="492"/>
      <c r="AK447" s="492"/>
      <c r="AL447" s="646"/>
      <c r="AM447" s="468"/>
      <c r="AO447" s="449"/>
      <c r="AP447" s="449"/>
    </row>
    <row r="448" spans="1:60" s="449" customFormat="1" ht="12.75" customHeight="1">
      <c r="A448" s="436"/>
      <c r="B448" s="13"/>
      <c r="C448" s="627"/>
      <c r="D448" s="13"/>
      <c r="E448" s="587"/>
      <c r="F448" s="2372"/>
      <c r="G448" s="2372"/>
      <c r="H448" s="2372"/>
      <c r="I448" s="2372"/>
      <c r="J448" s="2372"/>
      <c r="K448" s="2372"/>
      <c r="L448" s="2372"/>
      <c r="M448" s="2372"/>
      <c r="N448" s="2372"/>
      <c r="O448" s="2372"/>
      <c r="P448" s="2372"/>
      <c r="Q448" s="2372"/>
      <c r="R448" s="2372"/>
      <c r="S448" s="2372"/>
      <c r="T448" s="2372"/>
      <c r="U448" s="2372"/>
      <c r="V448" s="2372"/>
      <c r="W448" s="2372"/>
      <c r="X448" s="2372"/>
      <c r="Y448" s="2372"/>
      <c r="Z448" s="2372"/>
      <c r="AA448" s="2372"/>
      <c r="AB448" s="2372"/>
      <c r="AC448" s="2372"/>
      <c r="AD448" s="2372"/>
      <c r="AE448" s="2372"/>
      <c r="AF448" s="492"/>
      <c r="AG448" s="492"/>
      <c r="AH448" s="492"/>
      <c r="AI448" s="492"/>
      <c r="AJ448" s="492"/>
      <c r="AK448" s="492"/>
      <c r="AL448" s="646"/>
      <c r="AM448" s="468"/>
      <c r="AN448" s="495"/>
    </row>
    <row r="449" spans="1:42" s="449" customFormat="1" ht="12.75" customHeight="1">
      <c r="A449" s="436"/>
      <c r="B449" s="13"/>
      <c r="C449" s="647"/>
      <c r="D449" s="626"/>
      <c r="E449" s="615"/>
      <c r="F449" s="2372"/>
      <c r="G449" s="2372"/>
      <c r="H449" s="2372"/>
      <c r="I449" s="2372"/>
      <c r="J449" s="2372"/>
      <c r="K449" s="2372"/>
      <c r="L449" s="2372"/>
      <c r="M449" s="2372"/>
      <c r="N449" s="2372"/>
      <c r="O449" s="2372"/>
      <c r="P449" s="2372"/>
      <c r="Q449" s="2372"/>
      <c r="R449" s="2372"/>
      <c r="S449" s="2372"/>
      <c r="T449" s="2372"/>
      <c r="U449" s="2372"/>
      <c r="V449" s="2372"/>
      <c r="W449" s="2372"/>
      <c r="X449" s="2372"/>
      <c r="Y449" s="2372"/>
      <c r="Z449" s="2372"/>
      <c r="AA449" s="2372"/>
      <c r="AB449" s="2372"/>
      <c r="AC449" s="2372"/>
      <c r="AD449" s="2372"/>
      <c r="AE449" s="2372"/>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72"/>
      <c r="G450" s="2372"/>
      <c r="H450" s="2372"/>
      <c r="I450" s="2372"/>
      <c r="J450" s="2372"/>
      <c r="K450" s="2372"/>
      <c r="L450" s="2372"/>
      <c r="M450" s="2372"/>
      <c r="N450" s="2372"/>
      <c r="O450" s="2372"/>
      <c r="P450" s="2372"/>
      <c r="Q450" s="2372"/>
      <c r="R450" s="2372"/>
      <c r="S450" s="2372"/>
      <c r="T450" s="2372"/>
      <c r="U450" s="2372"/>
      <c r="V450" s="2372"/>
      <c r="W450" s="2372"/>
      <c r="X450" s="2372"/>
      <c r="Y450" s="2372"/>
      <c r="Z450" s="2372"/>
      <c r="AA450" s="2372"/>
      <c r="AB450" s="2372"/>
      <c r="AC450" s="2372"/>
      <c r="AD450" s="2372"/>
      <c r="AE450" s="2372"/>
      <c r="AF450" s="492"/>
      <c r="AG450" s="492"/>
      <c r="AH450" s="492"/>
      <c r="AI450" s="492"/>
      <c r="AJ450" s="492"/>
      <c r="AK450" s="492"/>
      <c r="AL450" s="646"/>
      <c r="AM450" s="468"/>
      <c r="AN450" s="495"/>
    </row>
    <row r="451" spans="1:42" s="449" customFormat="1" ht="12.75" customHeight="1">
      <c r="A451" s="436"/>
      <c r="B451" s="13"/>
      <c r="C451" s="647"/>
      <c r="D451" s="626"/>
      <c r="E451" s="615"/>
      <c r="F451" s="2372"/>
      <c r="G451" s="2372"/>
      <c r="H451" s="2372"/>
      <c r="I451" s="2372"/>
      <c r="J451" s="2372"/>
      <c r="K451" s="2372"/>
      <c r="L451" s="2372"/>
      <c r="M451" s="2372"/>
      <c r="N451" s="2372"/>
      <c r="O451" s="2372"/>
      <c r="P451" s="2372"/>
      <c r="Q451" s="2372"/>
      <c r="R451" s="2372"/>
      <c r="S451" s="2372"/>
      <c r="T451" s="2372"/>
      <c r="U451" s="2372"/>
      <c r="V451" s="2372"/>
      <c r="W451" s="2372"/>
      <c r="X451" s="2372"/>
      <c r="Y451" s="2372"/>
      <c r="Z451" s="2372"/>
      <c r="AA451" s="2372"/>
      <c r="AB451" s="2372"/>
      <c r="AC451" s="2372"/>
      <c r="AD451" s="2372"/>
      <c r="AE451" s="2372"/>
      <c r="AF451" s="492"/>
      <c r="AG451" s="492"/>
      <c r="AH451" s="492"/>
      <c r="AI451" s="492"/>
      <c r="AJ451" s="492"/>
      <c r="AK451" s="492"/>
      <c r="AL451" s="646"/>
      <c r="AM451" s="468"/>
      <c r="AN451" s="495"/>
    </row>
    <row r="452" spans="1:42" s="449" customFormat="1" ht="12.75" customHeight="1">
      <c r="A452" s="436"/>
      <c r="B452" s="13"/>
      <c r="C452" s="647"/>
      <c r="D452" s="626"/>
      <c r="E452" s="615"/>
      <c r="F452" s="2372"/>
      <c r="G452" s="2372"/>
      <c r="H452" s="2372"/>
      <c r="I452" s="2372"/>
      <c r="J452" s="2372"/>
      <c r="K452" s="2372"/>
      <c r="L452" s="2372"/>
      <c r="M452" s="2372"/>
      <c r="N452" s="2372"/>
      <c r="O452" s="2372"/>
      <c r="P452" s="2372"/>
      <c r="Q452" s="2372"/>
      <c r="R452" s="2372"/>
      <c r="S452" s="2372"/>
      <c r="T452" s="2372"/>
      <c r="U452" s="2372"/>
      <c r="V452" s="2372"/>
      <c r="W452" s="2372"/>
      <c r="X452" s="2372"/>
      <c r="Y452" s="2372"/>
      <c r="Z452" s="2372"/>
      <c r="AA452" s="2372"/>
      <c r="AB452" s="2372"/>
      <c r="AC452" s="2372"/>
      <c r="AD452" s="2372"/>
      <c r="AE452" s="2372"/>
      <c r="AF452" s="492"/>
      <c r="AG452" s="492"/>
      <c r="AH452" s="492"/>
      <c r="AI452" s="492"/>
      <c r="AJ452" s="492"/>
      <c r="AK452" s="492"/>
      <c r="AL452" s="646"/>
      <c r="AM452" s="468"/>
      <c r="AN452" s="495"/>
    </row>
    <row r="453" spans="1:42" s="449" customFormat="1" ht="12.75" customHeight="1">
      <c r="A453" s="436"/>
      <c r="B453" s="13"/>
      <c r="C453" s="647"/>
      <c r="D453" s="626"/>
      <c r="E453" s="615"/>
      <c r="F453" s="2372"/>
      <c r="G453" s="2372"/>
      <c r="H453" s="2372"/>
      <c r="I453" s="2372"/>
      <c r="J453" s="2372"/>
      <c r="K453" s="2372"/>
      <c r="L453" s="2372"/>
      <c r="M453" s="2372"/>
      <c r="N453" s="2372"/>
      <c r="O453" s="2372"/>
      <c r="P453" s="2372"/>
      <c r="Q453" s="2372"/>
      <c r="R453" s="2372"/>
      <c r="S453" s="2372"/>
      <c r="T453" s="2372"/>
      <c r="U453" s="2372"/>
      <c r="V453" s="2372"/>
      <c r="W453" s="2372"/>
      <c r="X453" s="2372"/>
      <c r="Y453" s="2372"/>
      <c r="Z453" s="2372"/>
      <c r="AA453" s="2372"/>
      <c r="AB453" s="2372"/>
      <c r="AC453" s="2372"/>
      <c r="AD453" s="2372"/>
      <c r="AE453" s="2372"/>
      <c r="AF453" s="492"/>
      <c r="AG453" s="492"/>
      <c r="AH453" s="492"/>
      <c r="AI453" s="492"/>
      <c r="AJ453" s="492"/>
      <c r="AK453" s="492"/>
      <c r="AL453" s="646"/>
      <c r="AM453" s="468"/>
      <c r="AN453" s="495"/>
    </row>
    <row r="454" spans="1:42" s="449" customFormat="1" ht="17.25" customHeight="1">
      <c r="A454" s="436"/>
      <c r="B454" s="13"/>
      <c r="C454" s="647"/>
      <c r="D454" s="626"/>
      <c r="E454" s="615"/>
      <c r="F454" s="2372"/>
      <c r="G454" s="2372"/>
      <c r="H454" s="2372"/>
      <c r="I454" s="2372"/>
      <c r="J454" s="2372"/>
      <c r="K454" s="2372"/>
      <c r="L454" s="2372"/>
      <c r="M454" s="2372"/>
      <c r="N454" s="2372"/>
      <c r="O454" s="2372"/>
      <c r="P454" s="2372"/>
      <c r="Q454" s="2372"/>
      <c r="R454" s="2372"/>
      <c r="S454" s="2372"/>
      <c r="T454" s="2372"/>
      <c r="U454" s="2372"/>
      <c r="V454" s="2372"/>
      <c r="W454" s="2372"/>
      <c r="X454" s="2372"/>
      <c r="Y454" s="2372"/>
      <c r="Z454" s="2372"/>
      <c r="AA454" s="2372"/>
      <c r="AB454" s="2372"/>
      <c r="AC454" s="2372"/>
      <c r="AD454" s="2372"/>
      <c r="AE454" s="2372"/>
      <c r="AL454" s="628"/>
      <c r="AM454" s="468"/>
      <c r="AN454" s="495"/>
    </row>
    <row r="455" spans="1:42" s="449" customFormat="1" ht="12.75" customHeight="1">
      <c r="A455" s="436"/>
      <c r="B455" s="13"/>
      <c r="C455" s="2396" t="s">
        <v>826</v>
      </c>
      <c r="D455" s="2343"/>
      <c r="E455" s="615"/>
      <c r="F455" s="494" t="s">
        <v>2383</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22" t="s">
        <v>2359</v>
      </c>
      <c r="AG455" s="2322"/>
      <c r="AH455" s="2322"/>
      <c r="AI455" s="2322"/>
      <c r="AJ455" s="2322"/>
      <c r="AK455" s="2322"/>
      <c r="AL455" s="2403"/>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2384</v>
      </c>
      <c r="F458" s="2371" t="s">
        <v>2385</v>
      </c>
      <c r="G458" s="2371"/>
      <c r="H458" s="2371"/>
      <c r="I458" s="2371"/>
      <c r="J458" s="2371"/>
      <c r="K458" s="2371"/>
      <c r="L458" s="2371"/>
      <c r="M458" s="2371"/>
      <c r="N458" s="2371"/>
      <c r="O458" s="2371"/>
      <c r="P458" s="2371"/>
      <c r="Q458" s="2371"/>
      <c r="R458" s="2371"/>
      <c r="S458" s="2371"/>
      <c r="T458" s="2371"/>
      <c r="U458" s="2371"/>
      <c r="V458" s="2371"/>
      <c r="W458" s="2371"/>
      <c r="X458" s="2371"/>
      <c r="Y458" s="2371"/>
      <c r="Z458" s="2371"/>
      <c r="AA458" s="2371"/>
      <c r="AB458" s="2371"/>
      <c r="AC458" s="2371"/>
      <c r="AD458" s="2371"/>
      <c r="AE458" s="2371"/>
      <c r="AF458" s="610"/>
      <c r="AG458" s="610"/>
      <c r="AH458" s="610"/>
      <c r="AI458" s="610"/>
      <c r="AJ458" s="610"/>
      <c r="AK458" s="610"/>
      <c r="AL458" s="641"/>
      <c r="AM458" s="468"/>
      <c r="AN458" s="495"/>
    </row>
    <row r="459" spans="1:42" s="449" customFormat="1" ht="12.75" customHeight="1">
      <c r="A459" s="436"/>
      <c r="B459" s="13"/>
      <c r="C459" s="647"/>
      <c r="D459" s="626"/>
      <c r="E459" s="615"/>
      <c r="F459" s="2372"/>
      <c r="G459" s="2372"/>
      <c r="H459" s="2372"/>
      <c r="I459" s="2372"/>
      <c r="J459" s="2372"/>
      <c r="K459" s="2372"/>
      <c r="L459" s="2372"/>
      <c r="M459" s="2372"/>
      <c r="N459" s="2372"/>
      <c r="O459" s="2372"/>
      <c r="P459" s="2372"/>
      <c r="Q459" s="2372"/>
      <c r="R459" s="2372"/>
      <c r="S459" s="2372"/>
      <c r="T459" s="2372"/>
      <c r="U459" s="2372"/>
      <c r="V459" s="2372"/>
      <c r="W459" s="2372"/>
      <c r="X459" s="2372"/>
      <c r="Y459" s="2372"/>
      <c r="Z459" s="2372"/>
      <c r="AA459" s="2372"/>
      <c r="AB459" s="2372"/>
      <c r="AC459" s="2372"/>
      <c r="AD459" s="2372"/>
      <c r="AE459" s="2372"/>
      <c r="AF459" s="489"/>
      <c r="AG459" s="489"/>
      <c r="AH459" s="489"/>
      <c r="AI459" s="489"/>
      <c r="AJ459" s="489"/>
      <c r="AK459" s="489"/>
      <c r="AL459" s="616"/>
      <c r="AM459" s="468"/>
      <c r="AN459" s="495"/>
    </row>
    <row r="460" spans="1:42" s="449" customFormat="1" ht="12.75" customHeight="1">
      <c r="A460" s="436"/>
      <c r="B460" s="13"/>
      <c r="C460" s="647"/>
      <c r="D460" s="626"/>
      <c r="E460" s="615"/>
      <c r="F460" s="2372"/>
      <c r="G460" s="2372"/>
      <c r="H460" s="2372"/>
      <c r="I460" s="2372"/>
      <c r="J460" s="2372"/>
      <c r="K460" s="2372"/>
      <c r="L460" s="2372"/>
      <c r="M460" s="2372"/>
      <c r="N460" s="2372"/>
      <c r="O460" s="2372"/>
      <c r="P460" s="2372"/>
      <c r="Q460" s="2372"/>
      <c r="R460" s="2372"/>
      <c r="S460" s="2372"/>
      <c r="T460" s="2372"/>
      <c r="U460" s="2372"/>
      <c r="V460" s="2372"/>
      <c r="W460" s="2372"/>
      <c r="X460" s="2372"/>
      <c r="Y460" s="2372"/>
      <c r="Z460" s="2372"/>
      <c r="AA460" s="2372"/>
      <c r="AB460" s="2372"/>
      <c r="AC460" s="2372"/>
      <c r="AD460" s="2372"/>
      <c r="AE460" s="2372"/>
      <c r="AF460" s="489"/>
      <c r="AG460" s="489"/>
      <c r="AH460" s="489"/>
      <c r="AI460" s="489"/>
      <c r="AJ460" s="489"/>
      <c r="AK460" s="489"/>
      <c r="AL460" s="616"/>
      <c r="AM460" s="468"/>
      <c r="AN460" s="495"/>
    </row>
    <row r="461" spans="1:42" s="449" customFormat="1" ht="12.75" customHeight="1">
      <c r="A461" s="436"/>
      <c r="B461" s="13"/>
      <c r="C461" s="647"/>
      <c r="D461" s="626"/>
      <c r="E461" s="615"/>
      <c r="F461" s="2372"/>
      <c r="G461" s="2372"/>
      <c r="H461" s="2372"/>
      <c r="I461" s="2372"/>
      <c r="J461" s="2372"/>
      <c r="K461" s="2372"/>
      <c r="L461" s="2372"/>
      <c r="M461" s="2372"/>
      <c r="N461" s="2372"/>
      <c r="O461" s="2372"/>
      <c r="P461" s="2372"/>
      <c r="Q461" s="2372"/>
      <c r="R461" s="2372"/>
      <c r="S461" s="2372"/>
      <c r="T461" s="2372"/>
      <c r="U461" s="2372"/>
      <c r="V461" s="2372"/>
      <c r="W461" s="2372"/>
      <c r="X461" s="2372"/>
      <c r="Y461" s="2372"/>
      <c r="Z461" s="2372"/>
      <c r="AA461" s="2372"/>
      <c r="AB461" s="2372"/>
      <c r="AC461" s="2372"/>
      <c r="AD461" s="2372"/>
      <c r="AE461" s="2372"/>
      <c r="AL461" s="628"/>
      <c r="AM461" s="468"/>
      <c r="AN461" s="495"/>
    </row>
    <row r="462" spans="1:42" s="449" customFormat="1" ht="12.75" customHeight="1">
      <c r="A462" s="436"/>
      <c r="B462" s="13"/>
      <c r="C462" s="2396" t="s">
        <v>826</v>
      </c>
      <c r="D462" s="2343"/>
      <c r="E462" s="615"/>
      <c r="F462" s="617" t="s">
        <v>2386</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22" t="s">
        <v>2359</v>
      </c>
      <c r="AG462" s="2322"/>
      <c r="AH462" s="2322"/>
      <c r="AI462" s="2322"/>
      <c r="AJ462" s="2322"/>
      <c r="AK462" s="2322"/>
      <c r="AL462" s="2403"/>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2366</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81" t="s">
        <v>826</v>
      </c>
      <c r="D466" s="2482"/>
      <c r="E466" s="611" t="s">
        <v>2387</v>
      </c>
      <c r="F466" s="2371" t="s">
        <v>2388</v>
      </c>
      <c r="G466" s="2371"/>
      <c r="H466" s="2371"/>
      <c r="I466" s="2371"/>
      <c r="J466" s="2371"/>
      <c r="K466" s="2371"/>
      <c r="L466" s="2371"/>
      <c r="M466" s="2371"/>
      <c r="N466" s="2371"/>
      <c r="O466" s="2371"/>
      <c r="P466" s="2371"/>
      <c r="Q466" s="2371"/>
      <c r="R466" s="2371"/>
      <c r="S466" s="2371"/>
      <c r="T466" s="2371"/>
      <c r="U466" s="2371"/>
      <c r="V466" s="2371"/>
      <c r="W466" s="2371"/>
      <c r="X466" s="2371"/>
      <c r="Y466" s="2371"/>
      <c r="Z466" s="2371"/>
      <c r="AA466" s="2371"/>
      <c r="AB466" s="2371"/>
      <c r="AC466" s="2371"/>
      <c r="AD466" s="2371"/>
      <c r="AE466" s="2371"/>
      <c r="AF466" s="2399" t="s">
        <v>2359</v>
      </c>
      <c r="AG466" s="2399"/>
      <c r="AH466" s="2399"/>
      <c r="AI466" s="2399"/>
      <c r="AJ466" s="2399"/>
      <c r="AK466" s="2399"/>
      <c r="AL466" s="2400"/>
      <c r="AM466" s="468"/>
      <c r="AN466" s="649"/>
    </row>
    <row r="467" spans="1:40" s="449" customFormat="1" ht="12.75" customHeight="1">
      <c r="A467" s="436"/>
      <c r="B467" s="13"/>
      <c r="C467" s="647"/>
      <c r="D467" s="626"/>
      <c r="E467" s="615"/>
      <c r="F467" s="2372"/>
      <c r="G467" s="2372"/>
      <c r="H467" s="2372"/>
      <c r="I467" s="2372"/>
      <c r="J467" s="2372"/>
      <c r="K467" s="2372"/>
      <c r="L467" s="2372"/>
      <c r="M467" s="2372"/>
      <c r="N467" s="2372"/>
      <c r="O467" s="2372"/>
      <c r="P467" s="2372"/>
      <c r="Q467" s="2372"/>
      <c r="R467" s="2372"/>
      <c r="S467" s="2372"/>
      <c r="T467" s="2372"/>
      <c r="U467" s="2372"/>
      <c r="V467" s="2372"/>
      <c r="W467" s="2372"/>
      <c r="X467" s="2372"/>
      <c r="Y467" s="2372"/>
      <c r="Z467" s="2372"/>
      <c r="AA467" s="2372"/>
      <c r="AB467" s="2372"/>
      <c r="AC467" s="2372"/>
      <c r="AD467" s="2372"/>
      <c r="AE467" s="2372"/>
      <c r="AF467" s="489"/>
      <c r="AG467" s="489"/>
      <c r="AH467" s="489"/>
      <c r="AI467" s="489"/>
      <c r="AJ467" s="489"/>
      <c r="AK467" s="489"/>
      <c r="AL467" s="616"/>
      <c r="AM467" s="468"/>
      <c r="AN467" s="650"/>
    </row>
    <row r="468" spans="1:40" s="449" customFormat="1" ht="18" customHeight="1">
      <c r="A468" s="436"/>
      <c r="B468" s="13"/>
      <c r="C468" s="652"/>
      <c r="D468" s="619"/>
      <c r="E468" s="620"/>
      <c r="F468" s="2373"/>
      <c r="G468" s="2373"/>
      <c r="H468" s="2373"/>
      <c r="I468" s="2373"/>
      <c r="J468" s="2373"/>
      <c r="K468" s="2373"/>
      <c r="L468" s="2373"/>
      <c r="M468" s="2373"/>
      <c r="N468" s="2373"/>
      <c r="O468" s="2373"/>
      <c r="P468" s="2373"/>
      <c r="Q468" s="2373"/>
      <c r="R468" s="2373"/>
      <c r="S468" s="2373"/>
      <c r="T468" s="2373"/>
      <c r="U468" s="2373"/>
      <c r="V468" s="2373"/>
      <c r="W468" s="2373"/>
      <c r="X468" s="2373"/>
      <c r="Y468" s="2373"/>
      <c r="Z468" s="2373"/>
      <c r="AA468" s="2373"/>
      <c r="AB468" s="2373"/>
      <c r="AC468" s="2373"/>
      <c r="AD468" s="2373"/>
      <c r="AE468" s="2373"/>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96" t="s">
        <v>826</v>
      </c>
      <c r="D470" s="2343"/>
      <c r="E470" s="611" t="s">
        <v>2389</v>
      </c>
      <c r="F470" s="2371" t="s">
        <v>2390</v>
      </c>
      <c r="G470" s="2371"/>
      <c r="H470" s="2371"/>
      <c r="I470" s="2371"/>
      <c r="J470" s="2371"/>
      <c r="K470" s="2371"/>
      <c r="L470" s="2371"/>
      <c r="M470" s="2371"/>
      <c r="N470" s="2371"/>
      <c r="O470" s="2371"/>
      <c r="P470" s="2371"/>
      <c r="Q470" s="2371"/>
      <c r="R470" s="2371"/>
      <c r="S470" s="2371"/>
      <c r="T470" s="2371"/>
      <c r="U470" s="2371"/>
      <c r="V470" s="2371"/>
      <c r="W470" s="2371"/>
      <c r="X470" s="2371"/>
      <c r="Y470" s="2371"/>
      <c r="Z470" s="2371"/>
      <c r="AA470" s="2371"/>
      <c r="AB470" s="2371"/>
      <c r="AC470" s="2371"/>
      <c r="AD470" s="2371"/>
      <c r="AE470" s="2371"/>
      <c r="AF470" s="2399" t="s">
        <v>2359</v>
      </c>
      <c r="AG470" s="2399"/>
      <c r="AH470" s="2399"/>
      <c r="AI470" s="2399"/>
      <c r="AJ470" s="2399"/>
      <c r="AK470" s="2399"/>
      <c r="AL470" s="2400"/>
      <c r="AM470" s="468"/>
      <c r="AN470" s="435"/>
    </row>
    <row r="471" spans="1:40" s="449" customFormat="1" ht="12.75" customHeight="1">
      <c r="A471" s="436"/>
      <c r="B471" s="13"/>
      <c r="C471" s="627"/>
      <c r="D471" s="13"/>
      <c r="E471" s="587"/>
      <c r="F471" s="2372"/>
      <c r="G471" s="2372"/>
      <c r="H471" s="2372"/>
      <c r="I471" s="2372"/>
      <c r="J471" s="2372"/>
      <c r="K471" s="2372"/>
      <c r="L471" s="2372"/>
      <c r="M471" s="2372"/>
      <c r="N471" s="2372"/>
      <c r="O471" s="2372"/>
      <c r="P471" s="2372"/>
      <c r="Q471" s="2372"/>
      <c r="R471" s="2372"/>
      <c r="S471" s="2372"/>
      <c r="T471" s="2372"/>
      <c r="U471" s="2372"/>
      <c r="V471" s="2372"/>
      <c r="W471" s="2372"/>
      <c r="X471" s="2372"/>
      <c r="Y471" s="2372"/>
      <c r="Z471" s="2372"/>
      <c r="AA471" s="2372"/>
      <c r="AB471" s="2372"/>
      <c r="AC471" s="2372"/>
      <c r="AD471" s="2372"/>
      <c r="AE471" s="2372"/>
      <c r="AF471" s="439"/>
      <c r="AG471" s="436"/>
      <c r="AL471" s="628"/>
      <c r="AM471" s="468"/>
      <c r="AN471" s="435"/>
    </row>
    <row r="472" spans="1:40" s="449" customFormat="1" ht="12.75" customHeight="1">
      <c r="A472" s="436"/>
      <c r="B472" s="13"/>
      <c r="C472" s="627"/>
      <c r="D472" s="13"/>
      <c r="E472" s="587"/>
      <c r="F472" s="2372"/>
      <c r="G472" s="2372"/>
      <c r="H472" s="2372"/>
      <c r="I472" s="2372"/>
      <c r="J472" s="2372"/>
      <c r="K472" s="2372"/>
      <c r="L472" s="2372"/>
      <c r="M472" s="2372"/>
      <c r="N472" s="2372"/>
      <c r="O472" s="2372"/>
      <c r="P472" s="2372"/>
      <c r="Q472" s="2372"/>
      <c r="R472" s="2372"/>
      <c r="S472" s="2372"/>
      <c r="T472" s="2372"/>
      <c r="U472" s="2372"/>
      <c r="V472" s="2372"/>
      <c r="W472" s="2372"/>
      <c r="X472" s="2372"/>
      <c r="Y472" s="2372"/>
      <c r="Z472" s="2372"/>
      <c r="AA472" s="2372"/>
      <c r="AB472" s="2372"/>
      <c r="AC472" s="2372"/>
      <c r="AD472" s="2372"/>
      <c r="AE472" s="2372"/>
      <c r="AF472" s="439"/>
      <c r="AG472" s="436"/>
      <c r="AL472" s="628"/>
      <c r="AM472" s="468"/>
      <c r="AN472" s="435"/>
    </row>
    <row r="473" spans="1:40" s="449" customFormat="1" ht="12.75" customHeight="1">
      <c r="A473" s="436"/>
      <c r="B473" s="13"/>
      <c r="C473" s="652"/>
      <c r="D473" s="619"/>
      <c r="E473" s="620"/>
      <c r="F473" s="2373"/>
      <c r="G473" s="2373"/>
      <c r="H473" s="2373"/>
      <c r="I473" s="2373"/>
      <c r="J473" s="2373"/>
      <c r="K473" s="2373"/>
      <c r="L473" s="2373"/>
      <c r="M473" s="2373"/>
      <c r="N473" s="2373"/>
      <c r="O473" s="2373"/>
      <c r="P473" s="2373"/>
      <c r="Q473" s="2373"/>
      <c r="R473" s="2373"/>
      <c r="S473" s="2373"/>
      <c r="T473" s="2373"/>
      <c r="U473" s="2373"/>
      <c r="V473" s="2373"/>
      <c r="W473" s="2373"/>
      <c r="X473" s="2373"/>
      <c r="Y473" s="2373"/>
      <c r="Z473" s="2373"/>
      <c r="AA473" s="2373"/>
      <c r="AB473" s="2373"/>
      <c r="AC473" s="2373"/>
      <c r="AD473" s="2373"/>
      <c r="AE473" s="2373"/>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2391</v>
      </c>
      <c r="F475" s="2371" t="s">
        <v>2392</v>
      </c>
      <c r="G475" s="2371"/>
      <c r="H475" s="2371"/>
      <c r="I475" s="2371"/>
      <c r="J475" s="2371"/>
      <c r="K475" s="2371"/>
      <c r="L475" s="2371"/>
      <c r="M475" s="2371"/>
      <c r="N475" s="2371"/>
      <c r="O475" s="2371"/>
      <c r="P475" s="2371"/>
      <c r="Q475" s="2371"/>
      <c r="R475" s="2371"/>
      <c r="S475" s="2371"/>
      <c r="T475" s="2371"/>
      <c r="U475" s="2371"/>
      <c r="V475" s="2371"/>
      <c r="W475" s="2371"/>
      <c r="X475" s="2371"/>
      <c r="Y475" s="2371"/>
      <c r="Z475" s="2371"/>
      <c r="AA475" s="2371"/>
      <c r="AB475" s="2371"/>
      <c r="AC475" s="2371"/>
      <c r="AD475" s="2371"/>
      <c r="AE475" s="2371"/>
      <c r="AF475" s="2371"/>
      <c r="AG475" s="640"/>
      <c r="AH475" s="610"/>
      <c r="AI475" s="610"/>
      <c r="AJ475" s="610"/>
      <c r="AK475" s="610"/>
      <c r="AL475" s="641"/>
      <c r="AM475" s="468"/>
      <c r="AN475" s="495"/>
    </row>
    <row r="476" spans="1:40" s="449" customFormat="1" ht="12.75" customHeight="1">
      <c r="A476" s="436"/>
      <c r="B476" s="13"/>
      <c r="C476" s="627"/>
      <c r="D476" s="13"/>
      <c r="E476" s="587"/>
      <c r="F476" s="2372"/>
      <c r="G476" s="2372"/>
      <c r="H476" s="2372"/>
      <c r="I476" s="2372"/>
      <c r="J476" s="2372"/>
      <c r="K476" s="2372"/>
      <c r="L476" s="2372"/>
      <c r="M476" s="2372"/>
      <c r="N476" s="2372"/>
      <c r="O476" s="2372"/>
      <c r="P476" s="2372"/>
      <c r="Q476" s="2372"/>
      <c r="R476" s="2372"/>
      <c r="S476" s="2372"/>
      <c r="T476" s="2372"/>
      <c r="U476" s="2372"/>
      <c r="V476" s="2372"/>
      <c r="W476" s="2372"/>
      <c r="X476" s="2372"/>
      <c r="Y476" s="2372"/>
      <c r="Z476" s="2372"/>
      <c r="AA476" s="2372"/>
      <c r="AB476" s="2372"/>
      <c r="AC476" s="2372"/>
      <c r="AD476" s="2372"/>
      <c r="AE476" s="2372"/>
      <c r="AF476" s="2372"/>
      <c r="AL476" s="628"/>
      <c r="AM476" s="468"/>
      <c r="AN476" s="495"/>
    </row>
    <row r="477" spans="1:40" s="449" customFormat="1" ht="12.75" customHeight="1">
      <c r="A477" s="436"/>
      <c r="B477" s="13"/>
      <c r="C477" s="635"/>
      <c r="F477" s="2372"/>
      <c r="G477" s="2372"/>
      <c r="H477" s="2372"/>
      <c r="I477" s="2372"/>
      <c r="J477" s="2372"/>
      <c r="K477" s="2372"/>
      <c r="L477" s="2372"/>
      <c r="M477" s="2372"/>
      <c r="N477" s="2372"/>
      <c r="O477" s="2372"/>
      <c r="P477" s="2372"/>
      <c r="Q477" s="2372"/>
      <c r="R477" s="2372"/>
      <c r="S477" s="2372"/>
      <c r="T477" s="2372"/>
      <c r="U477" s="2372"/>
      <c r="V477" s="2372"/>
      <c r="W477" s="2372"/>
      <c r="X477" s="2372"/>
      <c r="Y477" s="2372"/>
      <c r="Z477" s="2372"/>
      <c r="AA477" s="2372"/>
      <c r="AB477" s="2372"/>
      <c r="AC477" s="2372"/>
      <c r="AD477" s="2372"/>
      <c r="AE477" s="2372"/>
      <c r="AF477" s="2372"/>
      <c r="AL477" s="628"/>
      <c r="AM477" s="468"/>
      <c r="AN477" s="495"/>
    </row>
    <row r="478" spans="1:40" s="449" customFormat="1" ht="12.75" customHeight="1">
      <c r="A478" s="436"/>
      <c r="B478" s="13"/>
      <c r="C478" s="635"/>
      <c r="F478" s="2372"/>
      <c r="G478" s="2372"/>
      <c r="H478" s="2372"/>
      <c r="I478" s="2372"/>
      <c r="J478" s="2372"/>
      <c r="K478" s="2372"/>
      <c r="L478" s="2372"/>
      <c r="M478" s="2372"/>
      <c r="N478" s="2372"/>
      <c r="O478" s="2372"/>
      <c r="P478" s="2372"/>
      <c r="Q478" s="2372"/>
      <c r="R478" s="2372"/>
      <c r="S478" s="2372"/>
      <c r="T478" s="2372"/>
      <c r="U478" s="2372"/>
      <c r="V478" s="2372"/>
      <c r="W478" s="2372"/>
      <c r="X478" s="2372"/>
      <c r="Y478" s="2372"/>
      <c r="Z478" s="2372"/>
      <c r="AA478" s="2372"/>
      <c r="AB478" s="2372"/>
      <c r="AC478" s="2372"/>
      <c r="AD478" s="2372"/>
      <c r="AE478" s="2372"/>
      <c r="AF478" s="2372"/>
      <c r="AL478" s="628"/>
      <c r="AM478" s="468"/>
      <c r="AN478" s="495"/>
    </row>
    <row r="479" spans="1:40" s="449" customFormat="1" ht="12.75" customHeight="1">
      <c r="A479" s="436"/>
      <c r="B479" s="13"/>
      <c r="C479" s="2396" t="s">
        <v>826</v>
      </c>
      <c r="D479" s="2343"/>
      <c r="E479" s="615"/>
      <c r="F479" s="617" t="s">
        <v>2375</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97" t="s">
        <v>2359</v>
      </c>
      <c r="AG479" s="2397"/>
      <c r="AH479" s="2397"/>
      <c r="AI479" s="2397"/>
      <c r="AJ479" s="2397"/>
      <c r="AK479" s="2397"/>
      <c r="AL479" s="2398"/>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2393</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2394</v>
      </c>
      <c r="AK482" s="2324">
        <f>IF(Application!D214="N/A",AS371,AS373)</f>
        <v>10</v>
      </c>
      <c r="AL482" s="2370"/>
      <c r="AM482" s="2325"/>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826</v>
      </c>
      <c r="AP484" s="449">
        <v>0</v>
      </c>
      <c r="AT484" s="449" t="s">
        <v>826</v>
      </c>
      <c r="AU484" s="449">
        <v>0</v>
      </c>
      <c r="AV484" s="648"/>
    </row>
    <row r="485" spans="1:59" s="449" customFormat="1" ht="12.75" hidden="1" customHeight="1">
      <c r="A485" s="439" t="s">
        <v>2395</v>
      </c>
      <c r="C485" s="439"/>
      <c r="E485" s="494"/>
      <c r="AE485" s="2397" t="s">
        <v>2396</v>
      </c>
      <c r="AF485" s="2397"/>
      <c r="AG485" s="2397"/>
      <c r="AH485" s="2397"/>
      <c r="AI485" s="2397"/>
      <c r="AJ485" s="2397"/>
      <c r="AK485" s="2397"/>
      <c r="AL485" s="489"/>
      <c r="AN485" s="495"/>
      <c r="AO485" s="449" t="s">
        <v>2397</v>
      </c>
      <c r="AP485" s="449">
        <v>5</v>
      </c>
      <c r="AT485" s="449" t="s">
        <v>2397</v>
      </c>
      <c r="AU485" s="449">
        <v>5</v>
      </c>
      <c r="AV485" s="648"/>
    </row>
    <row r="486" spans="1:59" s="449" customFormat="1" ht="12.75" hidden="1" customHeight="1">
      <c r="A486" s="439"/>
      <c r="B486" s="436" t="s">
        <v>2398</v>
      </c>
      <c r="C486" s="439"/>
      <c r="E486" s="494"/>
      <c r="AE486" s="489"/>
      <c r="AF486" s="489"/>
      <c r="AG486" s="489"/>
      <c r="AH486" s="489"/>
      <c r="AI486" s="489"/>
      <c r="AJ486" s="489"/>
      <c r="AK486" s="489"/>
      <c r="AL486" s="489"/>
      <c r="AN486" s="495"/>
      <c r="AO486" s="449" t="s">
        <v>2399</v>
      </c>
      <c r="AP486" s="449">
        <v>5</v>
      </c>
      <c r="AT486" s="449" t="s">
        <v>2400</v>
      </c>
      <c r="AU486" s="449">
        <v>5</v>
      </c>
      <c r="AV486" s="648"/>
    </row>
    <row r="487" spans="1:59" s="449" customFormat="1" ht="12.75" hidden="1" customHeight="1">
      <c r="A487" s="439"/>
      <c r="B487" s="439" t="s">
        <v>2401</v>
      </c>
      <c r="C487" s="439"/>
      <c r="E487" s="494"/>
      <c r="AE487" s="489"/>
      <c r="AF487" s="489"/>
      <c r="AG487" s="489"/>
      <c r="AH487" s="489"/>
      <c r="AI487" s="489"/>
      <c r="AJ487" s="489"/>
      <c r="AK487" s="489"/>
      <c r="AL487" s="489"/>
      <c r="AN487" s="495"/>
      <c r="AO487" s="449" t="s">
        <v>2402</v>
      </c>
      <c r="AP487" s="449">
        <v>5</v>
      </c>
      <c r="AQ487" s="439"/>
      <c r="AR487" s="439"/>
      <c r="AS487" s="651"/>
      <c r="AT487" s="449" t="s">
        <v>2402</v>
      </c>
      <c r="AU487" s="449">
        <v>5</v>
      </c>
      <c r="AV487" s="436"/>
    </row>
    <row r="488" spans="1:59" s="449" customFormat="1" ht="12.75" hidden="1" customHeight="1">
      <c r="A488" s="439"/>
      <c r="B488" s="439" t="s">
        <v>2403</v>
      </c>
      <c r="C488" s="439"/>
      <c r="E488" s="494"/>
      <c r="AE488" s="489"/>
      <c r="AF488" s="489"/>
      <c r="AG488" s="489"/>
      <c r="AH488" s="489"/>
      <c r="AI488" s="489"/>
      <c r="AJ488" s="489"/>
      <c r="AK488" s="489"/>
      <c r="AL488" s="489"/>
      <c r="AN488" s="495"/>
      <c r="AO488" s="449" t="s">
        <v>2404</v>
      </c>
      <c r="AP488" s="449">
        <v>5</v>
      </c>
      <c r="AQ488" s="439"/>
      <c r="AR488" s="439"/>
      <c r="AT488" s="449" t="s">
        <v>2404</v>
      </c>
      <c r="AU488" s="449">
        <v>5</v>
      </c>
    </row>
    <row r="489" spans="1:59" s="449" customFormat="1" ht="12.75" hidden="1" customHeight="1">
      <c r="A489" s="439"/>
      <c r="C489" s="439"/>
      <c r="E489" s="494"/>
      <c r="AE489" s="489"/>
      <c r="AF489" s="489"/>
      <c r="AG489" s="489"/>
      <c r="AH489" s="489"/>
      <c r="AI489" s="489"/>
      <c r="AJ489" s="489"/>
      <c r="AK489" s="489"/>
      <c r="AL489" s="489"/>
      <c r="AN489" s="495"/>
      <c r="AO489" s="449" t="s">
        <v>2405</v>
      </c>
      <c r="AP489" s="449">
        <v>5</v>
      </c>
      <c r="AQ489" s="439"/>
      <c r="AR489" s="439"/>
      <c r="AT489" s="449" t="s">
        <v>2405</v>
      </c>
      <c r="AU489" s="449">
        <v>5</v>
      </c>
    </row>
    <row r="490" spans="1:59" s="449" customFormat="1" ht="12.75" hidden="1" customHeight="1">
      <c r="A490" s="439"/>
      <c r="C490" s="608" t="s">
        <v>2406</v>
      </c>
      <c r="D490" s="468"/>
      <c r="AE490" s="489"/>
      <c r="AF490" s="489"/>
      <c r="AG490" s="494"/>
      <c r="AH490" s="494"/>
      <c r="AI490" s="494"/>
      <c r="AJ490" s="494"/>
      <c r="AK490" s="494"/>
      <c r="AL490" s="494"/>
      <c r="AN490" s="495"/>
      <c r="AO490" s="449" t="s">
        <v>2407</v>
      </c>
      <c r="AP490" s="449">
        <v>5</v>
      </c>
      <c r="AT490" s="449" t="s">
        <v>2407</v>
      </c>
      <c r="AU490" s="449">
        <v>5</v>
      </c>
    </row>
    <row r="491" spans="1:59" s="449" customFormat="1" ht="12.75" hidden="1" customHeight="1">
      <c r="A491" s="439"/>
      <c r="C491" s="2346" t="s">
        <v>826</v>
      </c>
      <c r="D491" s="2347"/>
      <c r="E491" s="657" t="s">
        <v>51</v>
      </c>
      <c r="F491" s="2382" t="s">
        <v>2408</v>
      </c>
      <c r="G491" s="2382"/>
      <c r="H491" s="2382"/>
      <c r="I491" s="2382"/>
      <c r="J491" s="2382"/>
      <c r="K491" s="2382"/>
      <c r="L491" s="2382"/>
      <c r="M491" s="2382"/>
      <c r="N491" s="2382"/>
      <c r="O491" s="2382"/>
      <c r="P491" s="2382"/>
      <c r="Q491" s="2382"/>
      <c r="R491" s="2382"/>
      <c r="S491" s="2382"/>
      <c r="T491" s="2382"/>
      <c r="U491" s="2382"/>
      <c r="V491" s="2382"/>
      <c r="W491" s="2382"/>
      <c r="X491" s="2382"/>
      <c r="Y491" s="2382"/>
      <c r="Z491" s="2382"/>
      <c r="AA491" s="2382"/>
      <c r="AB491" s="2382"/>
      <c r="AC491" s="2382"/>
      <c r="AD491" s="2382"/>
      <c r="AE491" s="2382"/>
      <c r="AF491" s="610"/>
      <c r="AG491" s="610"/>
      <c r="AH491" s="610"/>
      <c r="AI491" s="610"/>
      <c r="AJ491" s="610"/>
      <c r="AK491" s="641"/>
      <c r="AN491" s="495"/>
      <c r="AO491" s="449" t="s">
        <v>2409</v>
      </c>
      <c r="AP491" s="449">
        <v>5</v>
      </c>
      <c r="AS491" s="654"/>
      <c r="AT491" s="449" t="s">
        <v>2410</v>
      </c>
      <c r="AU491" s="449">
        <v>5</v>
      </c>
    </row>
    <row r="492" spans="1:59" s="449" customFormat="1" ht="12.75" hidden="1" customHeight="1">
      <c r="C492" s="658"/>
      <c r="E492" s="659"/>
      <c r="F492" s="2383"/>
      <c r="G492" s="2383"/>
      <c r="H492" s="2383"/>
      <c r="I492" s="2383"/>
      <c r="J492" s="2383"/>
      <c r="K492" s="2383"/>
      <c r="L492" s="2383"/>
      <c r="M492" s="2383"/>
      <c r="N492" s="2383"/>
      <c r="O492" s="2383"/>
      <c r="P492" s="2383"/>
      <c r="Q492" s="2383"/>
      <c r="R492" s="2383"/>
      <c r="S492" s="2383"/>
      <c r="T492" s="2383"/>
      <c r="U492" s="2383"/>
      <c r="V492" s="2383"/>
      <c r="W492" s="2383"/>
      <c r="X492" s="2383"/>
      <c r="Y492" s="2383"/>
      <c r="Z492" s="2383"/>
      <c r="AA492" s="2383"/>
      <c r="AB492" s="2383"/>
      <c r="AC492" s="2383"/>
      <c r="AD492" s="2383"/>
      <c r="AE492" s="2383"/>
      <c r="AG492" s="450"/>
      <c r="AH492" s="450"/>
      <c r="AI492" s="450"/>
      <c r="AJ492" s="450"/>
      <c r="AK492" s="628"/>
      <c r="AN492" s="495"/>
      <c r="AO492" s="449" t="s">
        <v>2411</v>
      </c>
      <c r="AP492" s="449">
        <v>1</v>
      </c>
      <c r="AT492" s="449" t="s">
        <v>2411</v>
      </c>
      <c r="AU492" s="449">
        <v>1</v>
      </c>
    </row>
    <row r="493" spans="1:59" s="449" customFormat="1" ht="12.75" hidden="1" customHeight="1">
      <c r="C493" s="660"/>
      <c r="D493" s="623"/>
      <c r="E493" s="661"/>
      <c r="F493" s="2380" t="s">
        <v>826</v>
      </c>
      <c r="G493" s="2380"/>
      <c r="H493" s="2380"/>
      <c r="I493" s="2380"/>
      <c r="J493" s="2380"/>
      <c r="K493" s="2380"/>
      <c r="L493" s="2380"/>
      <c r="M493" s="2380"/>
      <c r="N493" s="2380"/>
      <c r="O493" s="2380"/>
      <c r="P493" s="2380"/>
      <c r="Q493" s="2380"/>
      <c r="R493" s="2380"/>
      <c r="S493" s="2380"/>
      <c r="T493" s="2380"/>
      <c r="U493" s="2380"/>
      <c r="V493" s="2380"/>
      <c r="W493" s="2380"/>
      <c r="X493" s="2380"/>
      <c r="Y493" s="2380"/>
      <c r="Z493" s="2380"/>
      <c r="AA493" s="662"/>
      <c r="AB493" s="554"/>
      <c r="AC493" s="554"/>
      <c r="AD493" s="623"/>
      <c r="AE493" s="623"/>
      <c r="AF493" s="623"/>
      <c r="AG493" s="663">
        <f>IF($C$491="Yes",(VLOOKUP($F$493,$AT$484:$AU$492,2,FALSE)),0)</f>
        <v>0</v>
      </c>
      <c r="AH493" s="664" t="s">
        <v>2193</v>
      </c>
      <c r="AI493" s="663"/>
      <c r="AJ493" s="663"/>
      <c r="AK493" s="638"/>
      <c r="AN493" s="495"/>
      <c r="AS493" s="651"/>
      <c r="AX493" s="651"/>
      <c r="BB493" s="651" t="s">
        <v>2412</v>
      </c>
      <c r="BF493" s="651" t="s">
        <v>2413</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826</v>
      </c>
      <c r="AP494" s="535">
        <v>0</v>
      </c>
      <c r="AT494" s="449" t="s">
        <v>826</v>
      </c>
      <c r="AU494" s="535">
        <v>0</v>
      </c>
      <c r="AW494" s="449" t="s">
        <v>826</v>
      </c>
      <c r="AX494" s="535">
        <v>0</v>
      </c>
      <c r="AY494" s="491"/>
      <c r="BB494" s="449" t="s">
        <v>826</v>
      </c>
      <c r="BC494" s="491">
        <v>0</v>
      </c>
      <c r="BF494" s="449" t="s">
        <v>826</v>
      </c>
      <c r="BG494" s="491">
        <v>0</v>
      </c>
    </row>
    <row r="495" spans="1:59" s="449" customFormat="1" ht="12.75" hidden="1" customHeight="1">
      <c r="C495" s="2349" t="s">
        <v>862</v>
      </c>
      <c r="D495" s="2350"/>
      <c r="E495" s="657" t="s">
        <v>53</v>
      </c>
      <c r="F495" s="665" t="s">
        <v>2414</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2415</v>
      </c>
      <c r="AX495" s="535">
        <v>3</v>
      </c>
      <c r="AY495" s="491"/>
      <c r="BB495" s="654">
        <v>0.4</v>
      </c>
      <c r="BC495" s="491">
        <v>3</v>
      </c>
      <c r="BF495" s="654">
        <v>0.4</v>
      </c>
      <c r="BG495" s="491">
        <v>4</v>
      </c>
    </row>
    <row r="496" spans="1:59" s="449" customFormat="1" ht="12.75" hidden="1" customHeight="1">
      <c r="C496" s="666" t="s">
        <v>2416</v>
      </c>
      <c r="F496" s="667" t="s">
        <v>2417</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2418</v>
      </c>
      <c r="AX496" s="535">
        <v>5</v>
      </c>
      <c r="AY496" s="491"/>
      <c r="BB496" s="654">
        <v>0.6</v>
      </c>
      <c r="BC496" s="491">
        <v>4</v>
      </c>
      <c r="BF496" s="654">
        <v>0.6</v>
      </c>
      <c r="BG496" s="491">
        <v>5</v>
      </c>
    </row>
    <row r="497" spans="1:81" s="449" customFormat="1" ht="12.75" hidden="1" customHeight="1">
      <c r="C497" s="647"/>
      <c r="D497" s="626"/>
      <c r="E497" s="668"/>
      <c r="F497" s="667" t="s">
        <v>2419</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2420</v>
      </c>
      <c r="G498" s="449"/>
      <c r="H498" s="449"/>
      <c r="I498" s="667"/>
      <c r="J498" s="667"/>
      <c r="K498" s="667"/>
      <c r="L498" s="667"/>
      <c r="M498" s="667"/>
      <c r="N498" s="667"/>
      <c r="O498" s="667"/>
      <c r="P498" s="667"/>
      <c r="Q498" s="667"/>
      <c r="R498" s="667"/>
      <c r="S498" s="667"/>
      <c r="T498" s="667"/>
      <c r="U498" s="667"/>
      <c r="V498" s="2379" t="s">
        <v>826</v>
      </c>
      <c r="W498" s="2379"/>
      <c r="X498" s="2379"/>
      <c r="Y498" s="667"/>
      <c r="Z498" s="667"/>
      <c r="AA498" s="667"/>
      <c r="AB498" s="667"/>
      <c r="AC498" s="667"/>
      <c r="AD498" s="507"/>
      <c r="AE498" s="507"/>
      <c r="AF498" s="507"/>
      <c r="AG498" s="511">
        <f>IF(AND($C$495="Yes",$V$500="N/A",$V$505="N/A",$V$509="N/A",$V$511="N/A"),(VLOOKUP(V498,$AW$494:$AX$496,2,FALSE)),0)</f>
        <v>0</v>
      </c>
      <c r="AH498" s="538" t="s">
        <v>2193</v>
      </c>
      <c r="AI498" s="450"/>
      <c r="AJ498" s="450"/>
      <c r="AK498" s="628"/>
      <c r="AL498" s="449"/>
      <c r="AM498" s="449"/>
      <c r="AN498" s="495"/>
      <c r="AT498" s="449" t="s">
        <v>826</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2421</v>
      </c>
      <c r="G500" s="449"/>
      <c r="H500" s="449"/>
      <c r="I500" s="667"/>
      <c r="J500" s="667"/>
      <c r="K500" s="667"/>
      <c r="L500" s="667"/>
      <c r="M500" s="667"/>
      <c r="N500" s="667"/>
      <c r="O500" s="667"/>
      <c r="P500" s="667"/>
      <c r="Q500" s="667"/>
      <c r="R500" s="667"/>
      <c r="S500" s="667"/>
      <c r="T500" s="667"/>
      <c r="U500" s="667"/>
      <c r="V500" s="2379" t="s">
        <v>826</v>
      </c>
      <c r="W500" s="2379"/>
      <c r="X500" s="2379"/>
      <c r="Y500" s="667"/>
      <c r="Z500" s="667"/>
      <c r="AA500" s="667"/>
      <c r="AB500" s="667"/>
      <c r="AC500" s="667"/>
      <c r="AD500" s="507"/>
      <c r="AE500" s="507"/>
      <c r="AF500" s="507"/>
      <c r="AG500" s="511">
        <f>IF(AND($C$495="Yes",$V$498="N/A", $V$505="N/A",$V$509="N/A",$V$511="N/A"),(VLOOKUP(V500,$AT$494:$AU$496,2,FALSE)),0)</f>
        <v>0</v>
      </c>
      <c r="AH500" s="538" t="s">
        <v>2193</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826</v>
      </c>
      <c r="AP501" s="449">
        <v>0</v>
      </c>
    </row>
    <row r="502" spans="1:81" s="449" customFormat="1" ht="12.75" hidden="1" customHeight="1">
      <c r="C502" s="658"/>
      <c r="E502" s="659"/>
      <c r="F502" s="672" t="s">
        <v>2422</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2423</v>
      </c>
      <c r="AP502" s="535">
        <v>2</v>
      </c>
    </row>
    <row r="503" spans="1:81" s="449" customFormat="1" ht="12.75" hidden="1" customHeight="1">
      <c r="C503" s="658"/>
      <c r="F503" s="507" t="s">
        <v>2424</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2425</v>
      </c>
      <c r="AP503" s="449">
        <v>2</v>
      </c>
    </row>
    <row r="504" spans="1:81" s="494" customFormat="1" ht="12.75" hidden="1" customHeight="1">
      <c r="A504" s="449"/>
      <c r="B504" s="449"/>
      <c r="C504" s="635"/>
      <c r="D504" s="468"/>
      <c r="E504" s="468"/>
      <c r="F504" s="507" t="s">
        <v>2426</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2427</v>
      </c>
      <c r="AP504" s="449">
        <v>2</v>
      </c>
    </row>
    <row r="505" spans="1:81" s="449" customFormat="1" ht="12.75" hidden="1" customHeight="1">
      <c r="C505" s="673"/>
      <c r="F505" s="671" t="s">
        <v>2428</v>
      </c>
      <c r="M505" s="659"/>
      <c r="N505" s="659"/>
      <c r="O505" s="659"/>
      <c r="P505" s="659"/>
      <c r="Q505" s="450"/>
      <c r="R505" s="450"/>
      <c r="S505" s="450"/>
      <c r="T505" s="450"/>
      <c r="U505" s="450"/>
      <c r="V505" s="2379" t="s">
        <v>826</v>
      </c>
      <c r="W505" s="2379"/>
      <c r="X505" s="2379"/>
      <c r="Y505" s="450"/>
      <c r="Z505" s="450"/>
      <c r="AA505" s="450"/>
      <c r="AB505" s="450"/>
      <c r="AC505" s="450"/>
      <c r="AG505" s="511">
        <f>IF(AND($C$495="Yes",$V$498="N/A",$V$500="N/A", $V$509="N/A",$V$511="N/A"),(VLOOKUP($V$505,$AT$498:$AU$500,2,FALSE)),0)</f>
        <v>0</v>
      </c>
      <c r="AH505" s="538" t="s">
        <v>2193</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2429</v>
      </c>
      <c r="D507" s="610"/>
      <c r="E507" s="610"/>
      <c r="F507" s="676" t="s">
        <v>2430</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826</v>
      </c>
      <c r="AP507" s="449">
        <v>0</v>
      </c>
      <c r="AQ507" s="439"/>
    </row>
    <row r="508" spans="1:81" s="494" customFormat="1" ht="12.75" hidden="1" customHeight="1">
      <c r="A508" s="449"/>
      <c r="B508" s="449"/>
      <c r="C508" s="677"/>
      <c r="D508" s="2348"/>
      <c r="E508" s="2348"/>
      <c r="F508" s="667" t="s">
        <v>2431</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2432</v>
      </c>
      <c r="AP508" s="535">
        <v>5</v>
      </c>
      <c r="AQ508" s="439"/>
    </row>
    <row r="509" spans="1:81" s="468" customFormat="1" ht="12.75" hidden="1" customHeight="1">
      <c r="A509" s="575"/>
      <c r="B509" s="449"/>
      <c r="C509" s="658"/>
      <c r="D509" s="449"/>
      <c r="E509" s="449"/>
      <c r="F509" s="678" t="s">
        <v>2420</v>
      </c>
      <c r="G509" s="449"/>
      <c r="H509" s="449"/>
      <c r="I509" s="449"/>
      <c r="J509" s="449"/>
      <c r="K509" s="449"/>
      <c r="L509" s="449"/>
      <c r="M509" s="449"/>
      <c r="N509" s="449"/>
      <c r="O509" s="449"/>
      <c r="P509" s="449"/>
      <c r="Q509" s="449"/>
      <c r="R509" s="449"/>
      <c r="S509" s="449"/>
      <c r="T509" s="449"/>
      <c r="U509" s="449"/>
      <c r="V509" s="2379" t="s">
        <v>826</v>
      </c>
      <c r="W509" s="2379"/>
      <c r="X509" s="2379"/>
      <c r="Y509" s="449"/>
      <c r="Z509" s="449"/>
      <c r="AA509" s="449"/>
      <c r="AB509" s="449"/>
      <c r="AC509" s="449"/>
      <c r="AD509" s="449"/>
      <c r="AE509" s="449"/>
      <c r="AF509" s="449"/>
      <c r="AG509" s="511">
        <f>IF(AND($C$495="Yes",$V$498="N/A",V500="N/A",$V$505="N/A",$V$511="N/A"),(VLOOKUP($V$509,$BB$494:$BC$497,2,FALSE)),0)</f>
        <v>0</v>
      </c>
      <c r="AH509" s="538" t="s">
        <v>2193</v>
      </c>
      <c r="AI509" s="450"/>
      <c r="AJ509" s="449"/>
      <c r="AK509" s="628"/>
      <c r="AL509" s="449"/>
      <c r="AM509" s="449"/>
      <c r="AN509" s="580"/>
      <c r="AO509" s="449" t="s">
        <v>2433</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2434</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2421</v>
      </c>
      <c r="G511" s="662"/>
      <c r="H511" s="662"/>
      <c r="I511" s="623"/>
      <c r="J511" s="623"/>
      <c r="K511" s="623"/>
      <c r="L511" s="623"/>
      <c r="M511" s="623"/>
      <c r="N511" s="623"/>
      <c r="O511" s="623"/>
      <c r="P511" s="623"/>
      <c r="Q511" s="623"/>
      <c r="R511" s="623"/>
      <c r="S511" s="623"/>
      <c r="T511" s="623"/>
      <c r="U511" s="623"/>
      <c r="V511" s="2379" t="s">
        <v>826</v>
      </c>
      <c r="W511" s="2379"/>
      <c r="X511" s="2379"/>
      <c r="Y511" s="623"/>
      <c r="Z511" s="623"/>
      <c r="AA511" s="623"/>
      <c r="AB511" s="623"/>
      <c r="AC511" s="623"/>
      <c r="AD511" s="623"/>
      <c r="AE511" s="623"/>
      <c r="AF511" s="623"/>
      <c r="AG511" s="679">
        <f>IF(AND($C$495="Yes",$V$498="N/A",$V$500="N/A",$V$505="N/A",$V$509="N/A"),(VLOOKUP($V$511,$BF$494:$BG$496,2,FALSE)),0)</f>
        <v>0</v>
      </c>
      <c r="AH511" s="664" t="s">
        <v>2193</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2435</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46" t="s">
        <v>826</v>
      </c>
      <c r="D514" s="2347"/>
      <c r="E514" s="657" t="s">
        <v>51</v>
      </c>
      <c r="F514" s="2382" t="s">
        <v>2408</v>
      </c>
      <c r="G514" s="2382"/>
      <c r="H514" s="2382"/>
      <c r="I514" s="2382"/>
      <c r="J514" s="2382"/>
      <c r="K514" s="2382"/>
      <c r="L514" s="2382"/>
      <c r="M514" s="2382"/>
      <c r="N514" s="2382"/>
      <c r="O514" s="2382"/>
      <c r="P514" s="2382"/>
      <c r="Q514" s="2382"/>
      <c r="R514" s="2382"/>
      <c r="S514" s="2382"/>
      <c r="T514" s="2382"/>
      <c r="U514" s="2382"/>
      <c r="V514" s="2382"/>
      <c r="W514" s="2382"/>
      <c r="X514" s="2382"/>
      <c r="Y514" s="2382"/>
      <c r="Z514" s="2382"/>
      <c r="AA514" s="2382"/>
      <c r="AB514" s="2382"/>
      <c r="AC514" s="2382"/>
      <c r="AD514" s="2382"/>
      <c r="AE514" s="2382"/>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83"/>
      <c r="G515" s="2383"/>
      <c r="H515" s="2383"/>
      <c r="I515" s="2383"/>
      <c r="J515" s="2383"/>
      <c r="K515" s="2383"/>
      <c r="L515" s="2383"/>
      <c r="M515" s="2383"/>
      <c r="N515" s="2383"/>
      <c r="O515" s="2383"/>
      <c r="P515" s="2383"/>
      <c r="Q515" s="2383"/>
      <c r="R515" s="2383"/>
      <c r="S515" s="2383"/>
      <c r="T515" s="2383"/>
      <c r="U515" s="2383"/>
      <c r="V515" s="2383"/>
      <c r="W515" s="2383"/>
      <c r="X515" s="2383"/>
      <c r="Y515" s="2383"/>
      <c r="Z515" s="2383"/>
      <c r="AA515" s="2383"/>
      <c r="AB515" s="2383"/>
      <c r="AC515" s="2383"/>
      <c r="AD515" s="2383"/>
      <c r="AE515" s="2383"/>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75" t="s">
        <v>826</v>
      </c>
      <c r="G516" s="2375"/>
      <c r="H516" s="2375"/>
      <c r="I516" s="2375"/>
      <c r="J516" s="2375"/>
      <c r="K516" s="2375"/>
      <c r="L516" s="2375"/>
      <c r="M516" s="2375"/>
      <c r="N516" s="2375"/>
      <c r="O516" s="2375"/>
      <c r="P516" s="2375"/>
      <c r="Q516" s="2375"/>
      <c r="R516" s="2375"/>
      <c r="S516" s="2375"/>
      <c r="T516" s="2375"/>
      <c r="U516" s="2375"/>
      <c r="V516" s="2375"/>
      <c r="W516" s="2375"/>
      <c r="X516" s="2375"/>
      <c r="Y516" s="2375"/>
      <c r="Z516" s="2375"/>
      <c r="AA516" s="662"/>
      <c r="AB516" s="554"/>
      <c r="AC516" s="554"/>
      <c r="AD516" s="623"/>
      <c r="AE516" s="623"/>
      <c r="AF516" s="623"/>
      <c r="AG516" s="663">
        <f>IF($C$514="Yes",(VLOOKUP($F$516,$AO$484:$AP$492,2,FALSE)),0)</f>
        <v>0</v>
      </c>
      <c r="AH516" s="664" t="s">
        <v>2193</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46" t="s">
        <v>826</v>
      </c>
      <c r="D518" s="2347"/>
      <c r="E518" s="657" t="s">
        <v>53</v>
      </c>
      <c r="F518" s="2376" t="s">
        <v>2436</v>
      </c>
      <c r="G518" s="2376"/>
      <c r="H518" s="2376"/>
      <c r="I518" s="2376"/>
      <c r="J518" s="2376"/>
      <c r="K518" s="2376"/>
      <c r="L518" s="2376"/>
      <c r="M518" s="2376"/>
      <c r="N518" s="2376"/>
      <c r="O518" s="2376"/>
      <c r="P518" s="2376"/>
      <c r="Q518" s="2376"/>
      <c r="R518" s="2376"/>
      <c r="S518" s="2376"/>
      <c r="T518" s="2376"/>
      <c r="U518" s="2376"/>
      <c r="V518" s="2376"/>
      <c r="W518" s="2376"/>
      <c r="X518" s="2376"/>
      <c r="Y518" s="2376"/>
      <c r="Z518" s="2376"/>
      <c r="AA518" s="2376"/>
      <c r="AB518" s="2376"/>
      <c r="AC518" s="2376"/>
      <c r="AD518" s="2376"/>
      <c r="AE518" s="2376"/>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77"/>
      <c r="G519" s="2377"/>
      <c r="H519" s="2377"/>
      <c r="I519" s="2377"/>
      <c r="J519" s="2377"/>
      <c r="K519" s="2377"/>
      <c r="L519" s="2377"/>
      <c r="M519" s="2377"/>
      <c r="N519" s="2377"/>
      <c r="O519" s="2377"/>
      <c r="P519" s="2377"/>
      <c r="Q519" s="2377"/>
      <c r="R519" s="2377"/>
      <c r="S519" s="2377"/>
      <c r="T519" s="2377"/>
      <c r="U519" s="2377"/>
      <c r="V519" s="2377"/>
      <c r="W519" s="2377"/>
      <c r="X519" s="2377"/>
      <c r="Y519" s="2377"/>
      <c r="Z519" s="2377"/>
      <c r="AA519" s="2377"/>
      <c r="AB519" s="2377"/>
      <c r="AC519" s="2377"/>
      <c r="AD519" s="2377"/>
      <c r="AE519" s="2377"/>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2437</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t="13" hidden="1">
      <c r="A521" s="449"/>
      <c r="B521" s="449"/>
      <c r="C521" s="660"/>
      <c r="D521" s="623"/>
      <c r="E521" s="661"/>
      <c r="F521" s="2378" t="s">
        <v>826</v>
      </c>
      <c r="G521" s="2378"/>
      <c r="H521" s="2378"/>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2193</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t="13"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t="13" hidden="1">
      <c r="A523" s="449"/>
      <c r="B523" s="449"/>
      <c r="C523" s="2346" t="s">
        <v>826</v>
      </c>
      <c r="D523" s="2347"/>
      <c r="E523" s="657" t="s">
        <v>2438</v>
      </c>
      <c r="F523" s="676" t="s">
        <v>2439</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t="13" hidden="1">
      <c r="A525" s="449"/>
      <c r="B525" s="449"/>
      <c r="C525" s="2404"/>
      <c r="D525" s="2348"/>
      <c r="E525" s="668"/>
      <c r="F525" s="450" t="s">
        <v>2440</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2193</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05" t="s">
        <v>826</v>
      </c>
      <c r="H526" s="2405"/>
      <c r="I526" s="2405"/>
      <c r="J526" s="2405"/>
      <c r="K526" s="2405"/>
      <c r="L526" s="2405"/>
      <c r="M526" s="2405"/>
      <c r="N526" s="2405"/>
      <c r="O526" s="2405"/>
      <c r="P526" s="2405"/>
      <c r="Q526" s="2405"/>
      <c r="R526" s="2405"/>
      <c r="S526" s="2405"/>
      <c r="T526" s="2405"/>
      <c r="U526" s="2405"/>
      <c r="V526" s="2405"/>
      <c r="W526" s="2405"/>
      <c r="X526" s="2405"/>
      <c r="Y526" s="2405"/>
      <c r="Z526" s="2405"/>
      <c r="AA526" s="2405"/>
      <c r="AB526" s="2405"/>
      <c r="AC526" s="2405"/>
      <c r="AD526" s="2405"/>
      <c r="AE526" s="2405"/>
      <c r="AF526" s="2405"/>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06" t="s">
        <v>826</v>
      </c>
      <c r="D528" s="2407"/>
      <c r="F528" s="450" t="s">
        <v>2441</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2193</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t="13" hidden="1">
      <c r="A529" s="13"/>
      <c r="B529" s="449"/>
      <c r="C529" s="677"/>
      <c r="D529" s="626"/>
      <c r="E529" s="626"/>
      <c r="F529" s="450"/>
      <c r="G529" s="450" t="s">
        <v>2442</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2443</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06" t="s">
        <v>826</v>
      </c>
      <c r="D532" s="2407"/>
      <c r="F532" s="691" t="s">
        <v>2444</v>
      </c>
      <c r="G532" s="2372" t="s">
        <v>2445</v>
      </c>
      <c r="H532" s="2372"/>
      <c r="I532" s="2372"/>
      <c r="J532" s="2372"/>
      <c r="K532" s="2372"/>
      <c r="L532" s="2372"/>
      <c r="M532" s="2372"/>
      <c r="N532" s="2372"/>
      <c r="O532" s="2372"/>
      <c r="P532" s="2372"/>
      <c r="Q532" s="2372"/>
      <c r="R532" s="2372"/>
      <c r="S532" s="2372"/>
      <c r="T532" s="2372"/>
      <c r="U532" s="2372"/>
      <c r="V532" s="2372"/>
      <c r="W532" s="2372"/>
      <c r="X532" s="2372"/>
      <c r="Y532" s="2372"/>
      <c r="Z532" s="2372"/>
      <c r="AA532" s="2372"/>
      <c r="AB532" s="2372"/>
      <c r="AC532" s="2372"/>
      <c r="AD532" s="2372"/>
      <c r="AE532" s="2372"/>
      <c r="AF532" s="2372"/>
      <c r="AG532" s="511">
        <f>IF(AND($C$532="Yes",$C$523="Yes"),2,0)</f>
        <v>0</v>
      </c>
      <c r="AH532" s="538" t="s">
        <v>2193</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73"/>
      <c r="H533" s="2373"/>
      <c r="I533" s="2373"/>
      <c r="J533" s="2373"/>
      <c r="K533" s="2373"/>
      <c r="L533" s="2373"/>
      <c r="M533" s="2373"/>
      <c r="N533" s="2373"/>
      <c r="O533" s="2373"/>
      <c r="P533" s="2373"/>
      <c r="Q533" s="2373"/>
      <c r="R533" s="2373"/>
      <c r="S533" s="2373"/>
      <c r="T533" s="2373"/>
      <c r="U533" s="2373"/>
      <c r="V533" s="2373"/>
      <c r="W533" s="2373"/>
      <c r="X533" s="2373"/>
      <c r="Y533" s="2373"/>
      <c r="Z533" s="2373"/>
      <c r="AA533" s="2373"/>
      <c r="AB533" s="2373"/>
      <c r="AC533" s="2373"/>
      <c r="AD533" s="2373"/>
      <c r="AE533" s="2373"/>
      <c r="AF533" s="2373"/>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2446</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08" t="s">
        <v>826</v>
      </c>
      <c r="D536" s="2409"/>
      <c r="E536" s="698" t="s">
        <v>2447</v>
      </c>
      <c r="F536" s="667" t="s">
        <v>2448</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2193</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10" t="s">
        <v>826</v>
      </c>
      <c r="G537" s="2410"/>
      <c r="H537" s="2410"/>
      <c r="I537" s="2410"/>
      <c r="J537" s="2410"/>
      <c r="K537" s="2410"/>
      <c r="L537" s="2410"/>
      <c r="M537" s="2410"/>
      <c r="N537" s="2410"/>
      <c r="O537" s="2410"/>
      <c r="P537" s="2410"/>
      <c r="Q537" s="2410"/>
      <c r="R537" s="2410"/>
      <c r="S537" s="2410"/>
      <c r="T537" s="2410"/>
      <c r="U537" s="2410"/>
      <c r="V537" s="2410"/>
      <c r="W537" s="2410"/>
      <c r="X537" s="2410"/>
      <c r="Y537" s="2410"/>
      <c r="Z537" s="2410"/>
      <c r="AA537" s="2410"/>
      <c r="AB537" s="2410"/>
      <c r="AC537" s="2410"/>
      <c r="AD537" s="2410"/>
      <c r="AE537" s="2410"/>
      <c r="AF537" s="2410"/>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11"/>
      <c r="G538" s="2411"/>
      <c r="H538" s="2411"/>
      <c r="I538" s="2411"/>
      <c r="J538" s="2411"/>
      <c r="K538" s="2411"/>
      <c r="L538" s="2411"/>
      <c r="M538" s="2411"/>
      <c r="N538" s="2411"/>
      <c r="O538" s="2411"/>
      <c r="P538" s="2411"/>
      <c r="Q538" s="2411"/>
      <c r="R538" s="2411"/>
      <c r="S538" s="2411"/>
      <c r="T538" s="2411"/>
      <c r="U538" s="2411"/>
      <c r="V538" s="2411"/>
      <c r="W538" s="2411"/>
      <c r="X538" s="2411"/>
      <c r="Y538" s="2411"/>
      <c r="Z538" s="2411"/>
      <c r="AA538" s="2411"/>
      <c r="AB538" s="2411"/>
      <c r="AC538" s="2411"/>
      <c r="AD538" s="2411"/>
      <c r="AE538" s="2411"/>
      <c r="AF538" s="2411"/>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2449</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2450</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2451</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2452</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2453</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2454</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2455</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2456</v>
      </c>
      <c r="AK548" s="2324">
        <f>SUM(AG492:AG537)</f>
        <v>0</v>
      </c>
      <c r="AL548" s="2370"/>
      <c r="AM548" s="2325"/>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 thickTop="1"/>
    <row r="551" spans="1:81" s="449" customFormat="1" ht="12.75" customHeight="1">
      <c r="A551" s="439" t="s">
        <v>2457</v>
      </c>
      <c r="B551" s="439" t="s">
        <v>2458</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81" t="s">
        <v>2459</v>
      </c>
      <c r="AF551" s="2381"/>
      <c r="AG551" s="2381"/>
      <c r="AH551" s="2381"/>
      <c r="AI551" s="2381"/>
      <c r="AJ551" s="2381"/>
      <c r="AK551" s="2381"/>
      <c r="AL551" s="493"/>
      <c r="AM551" s="493"/>
      <c r="AN551" s="495"/>
    </row>
    <row r="552" spans="1:81" s="449" customFormat="1" ht="12.75" customHeight="1">
      <c r="A552" s="439"/>
      <c r="B552" s="439" t="s">
        <v>2189</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43" t="s">
        <v>862</v>
      </c>
      <c r="D554" s="2343"/>
      <c r="E554" s="450"/>
      <c r="F554" s="2483" t="s">
        <v>2460</v>
      </c>
      <c r="G554" s="2484"/>
      <c r="H554" s="2484"/>
      <c r="I554" s="2484"/>
      <c r="J554" s="2484"/>
      <c r="K554" s="2484"/>
      <c r="L554" s="2484"/>
      <c r="M554" s="2484"/>
      <c r="N554" s="2484"/>
      <c r="O554" s="2484"/>
      <c r="P554" s="2484"/>
      <c r="Q554" s="2484"/>
      <c r="R554" s="2484"/>
      <c r="S554" s="2484"/>
      <c r="T554" s="2484"/>
      <c r="U554" s="2484"/>
      <c r="V554" s="2484"/>
      <c r="W554" s="2484"/>
      <c r="X554" s="2484"/>
      <c r="Y554" s="2484"/>
      <c r="Z554" s="2484"/>
      <c r="AA554" s="2484"/>
      <c r="AB554" s="2484"/>
      <c r="AC554" s="2484"/>
      <c r="AD554" s="2484"/>
      <c r="AE554" s="2484"/>
      <c r="AF554" s="2484"/>
      <c r="AG554" s="2484"/>
      <c r="AH554" s="2484"/>
      <c r="AI554" s="2484"/>
      <c r="AJ554" s="2484"/>
      <c r="AK554" s="2484"/>
      <c r="AL554" s="2485"/>
      <c r="AM554" s="493"/>
      <c r="AN554" s="495"/>
    </row>
    <row r="555" spans="1:81" s="449" customFormat="1" ht="12.75" customHeight="1">
      <c r="B555" s="439"/>
      <c r="C555" s="450"/>
      <c r="D555" s="450"/>
      <c r="E555" s="450"/>
      <c r="F555" s="2486"/>
      <c r="G555" s="2487"/>
      <c r="H555" s="2487"/>
      <c r="I555" s="2487"/>
      <c r="J555" s="2487"/>
      <c r="K555" s="2487"/>
      <c r="L555" s="2487"/>
      <c r="M555" s="2487"/>
      <c r="N555" s="2487"/>
      <c r="O555" s="2487"/>
      <c r="P555" s="2487"/>
      <c r="Q555" s="2487"/>
      <c r="R555" s="2487"/>
      <c r="S555" s="2487"/>
      <c r="T555" s="2487"/>
      <c r="U555" s="2487"/>
      <c r="V555" s="2487"/>
      <c r="W555" s="2487"/>
      <c r="X555" s="2487"/>
      <c r="Y555" s="2487"/>
      <c r="Z555" s="2487"/>
      <c r="AA555" s="2487"/>
      <c r="AB555" s="2487"/>
      <c r="AC555" s="2487"/>
      <c r="AD555" s="2487"/>
      <c r="AE555" s="2487"/>
      <c r="AF555" s="2487"/>
      <c r="AG555" s="2487"/>
      <c r="AH555" s="2487"/>
      <c r="AI555" s="2487"/>
      <c r="AJ555" s="2487"/>
      <c r="AK555" s="2487"/>
      <c r="AL555" s="2488"/>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43" t="s">
        <v>826</v>
      </c>
      <c r="D557" s="2343"/>
      <c r="E557" s="702"/>
      <c r="F557" s="542" t="s">
        <v>2461</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63" t="s">
        <v>2462</v>
      </c>
      <c r="G558" s="2321"/>
      <c r="H558" s="2321"/>
      <c r="I558" s="2321"/>
      <c r="J558" s="2321"/>
      <c r="K558" s="2321"/>
      <c r="L558" s="2321"/>
      <c r="M558" s="2321"/>
      <c r="N558" s="2321"/>
      <c r="O558" s="2321"/>
      <c r="P558" s="2321"/>
      <c r="Q558" s="2321"/>
      <c r="R558" s="2321"/>
      <c r="S558" s="2321"/>
      <c r="T558" s="2321"/>
      <c r="U558" s="2321"/>
      <c r="V558" s="2321"/>
      <c r="W558" s="2321"/>
      <c r="X558" s="2321"/>
      <c r="Y558" s="2321"/>
      <c r="Z558" s="2321"/>
      <c r="AA558" s="2321"/>
      <c r="AB558" s="2321"/>
      <c r="AC558" s="2321"/>
      <c r="AD558" s="2321"/>
      <c r="AE558" s="2321"/>
      <c r="AF558" s="2321"/>
      <c r="AG558" s="2321"/>
      <c r="AH558" s="2321"/>
      <c r="AI558" s="2321"/>
      <c r="AJ558" s="2321"/>
      <c r="AK558" s="2321"/>
      <c r="AL558" s="2364"/>
      <c r="AM558" s="493"/>
      <c r="AN558" s="495"/>
      <c r="AS558" s="765"/>
      <c r="AT558" s="765"/>
      <c r="AU558" s="765"/>
      <c r="AV558" s="765"/>
      <c r="AW558" s="765"/>
    </row>
    <row r="559" spans="1:81" s="449" customFormat="1" ht="12.75" customHeight="1">
      <c r="B559" s="702"/>
      <c r="C559" s="702"/>
      <c r="D559" s="702"/>
      <c r="E559" s="702"/>
      <c r="F559" s="2363"/>
      <c r="G559" s="2321"/>
      <c r="H559" s="2321"/>
      <c r="I559" s="2321"/>
      <c r="J559" s="2321"/>
      <c r="K559" s="2321"/>
      <c r="L559" s="2321"/>
      <c r="M559" s="2321"/>
      <c r="N559" s="2321"/>
      <c r="O559" s="2321"/>
      <c r="P559" s="2321"/>
      <c r="Q559" s="2321"/>
      <c r="R559" s="2321"/>
      <c r="S559" s="2321"/>
      <c r="T559" s="2321"/>
      <c r="U559" s="2321"/>
      <c r="V559" s="2321"/>
      <c r="W559" s="2321"/>
      <c r="X559" s="2321"/>
      <c r="Y559" s="2321"/>
      <c r="Z559" s="2321"/>
      <c r="AA559" s="2321"/>
      <c r="AB559" s="2321"/>
      <c r="AC559" s="2321"/>
      <c r="AD559" s="2321"/>
      <c r="AE559" s="2321"/>
      <c r="AF559" s="2321"/>
      <c r="AG559" s="2321"/>
      <c r="AH559" s="2321"/>
      <c r="AI559" s="2321"/>
      <c r="AJ559" s="2321"/>
      <c r="AK559" s="2321"/>
      <c r="AL559" s="2364"/>
      <c r="AM559" s="493"/>
      <c r="AN559" s="495"/>
    </row>
    <row r="560" spans="1:81" s="449" customFormat="1" ht="12.75" customHeight="1">
      <c r="B560" s="702"/>
      <c r="C560" s="702"/>
      <c r="D560" s="702"/>
      <c r="E560" s="702"/>
      <c r="F560" s="707" t="s">
        <v>2463</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63" t="s">
        <v>2464</v>
      </c>
      <c r="G561" s="2321"/>
      <c r="H561" s="2321"/>
      <c r="I561" s="2321"/>
      <c r="J561" s="2321"/>
      <c r="K561" s="2321"/>
      <c r="L561" s="2321"/>
      <c r="M561" s="2321"/>
      <c r="N561" s="2321"/>
      <c r="O561" s="2321"/>
      <c r="P561" s="2321"/>
      <c r="Q561" s="2321"/>
      <c r="R561" s="2321"/>
      <c r="S561" s="2321"/>
      <c r="T561" s="2321"/>
      <c r="U561" s="2321"/>
      <c r="V561" s="2321"/>
      <c r="W561" s="2321"/>
      <c r="X561" s="2321"/>
      <c r="Y561" s="2321"/>
      <c r="Z561" s="2321"/>
      <c r="AA561" s="2321"/>
      <c r="AB561" s="2321"/>
      <c r="AC561" s="2321"/>
      <c r="AD561" s="2321"/>
      <c r="AE561" s="2321"/>
      <c r="AF561" s="2321"/>
      <c r="AG561" s="2321"/>
      <c r="AH561" s="2321"/>
      <c r="AI561" s="2321"/>
      <c r="AJ561" s="2321"/>
      <c r="AK561" s="2321"/>
      <c r="AL561" s="709"/>
      <c r="AM561" s="493"/>
      <c r="AN561" s="495"/>
    </row>
    <row r="562" spans="1:45" s="449" customFormat="1" ht="12.75" customHeight="1">
      <c r="B562" s="702"/>
      <c r="C562" s="702"/>
      <c r="D562" s="702"/>
      <c r="E562" s="702"/>
      <c r="F562" s="2365"/>
      <c r="G562" s="2366"/>
      <c r="H562" s="2366"/>
      <c r="I562" s="2366"/>
      <c r="J562" s="2366"/>
      <c r="K562" s="2366"/>
      <c r="L562" s="2366"/>
      <c r="M562" s="2366"/>
      <c r="N562" s="2366"/>
      <c r="O562" s="2366"/>
      <c r="P562" s="2366"/>
      <c r="Q562" s="2366"/>
      <c r="R562" s="2366"/>
      <c r="S562" s="2366"/>
      <c r="T562" s="2366"/>
      <c r="U562" s="2366"/>
      <c r="V562" s="2366"/>
      <c r="W562" s="2366"/>
      <c r="X562" s="2366"/>
      <c r="Y562" s="2366"/>
      <c r="Z562" s="2366"/>
      <c r="AA562" s="2366"/>
      <c r="AB562" s="2366"/>
      <c r="AC562" s="2366"/>
      <c r="AD562" s="2366"/>
      <c r="AE562" s="2366"/>
      <c r="AF562" s="2366"/>
      <c r="AG562" s="2366"/>
      <c r="AH562" s="2366"/>
      <c r="AI562" s="2366"/>
      <c r="AJ562" s="2366"/>
      <c r="AK562" s="2366"/>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62">
        <f>Application!AJ1001</f>
        <v>92910700</v>
      </c>
      <c r="AQ563" s="2362"/>
      <c r="AR563" s="2362"/>
      <c r="AS563" s="449" t="s">
        <v>2465</v>
      </c>
    </row>
    <row r="564" spans="1:45" s="449" customFormat="1" ht="12.75" customHeight="1">
      <c r="A564" s="399"/>
      <c r="B564" s="349" t="s">
        <v>2466</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67">
        <f>'Sources and Uses Budget'!S107+'Sources and Uses Budget'!T107</f>
        <v>71877566</v>
      </c>
      <c r="AG564" s="2367"/>
      <c r="AH564" s="2367"/>
      <c r="AI564" s="2367"/>
      <c r="AJ564" s="2367"/>
      <c r="AK564" s="493"/>
      <c r="AL564" s="493"/>
      <c r="AM564" s="493"/>
      <c r="AN564" s="495"/>
    </row>
    <row r="565" spans="1:45" s="449" customFormat="1" ht="12.75" customHeight="1">
      <c r="A565" s="523"/>
      <c r="B565" s="523" t="s">
        <v>2467</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68">
        <f>IFERROR(AP572,0)</f>
        <v>163895046</v>
      </c>
      <c r="AG565" s="2368"/>
      <c r="AH565" s="2368"/>
      <c r="AI565" s="2368"/>
      <c r="AJ565" s="2368"/>
      <c r="AK565" s="493"/>
      <c r="AL565" s="493"/>
      <c r="AM565" s="493"/>
      <c r="AN565" s="495"/>
      <c r="AP565" s="2362">
        <f>Application!AJ1054</f>
        <v>10220177</v>
      </c>
      <c r="AQ565" s="2362"/>
      <c r="AR565" s="2362"/>
      <c r="AS565" s="449" t="s">
        <v>1729</v>
      </c>
    </row>
    <row r="566" spans="1:45" s="449" customFormat="1" ht="12.75" customHeight="1">
      <c r="A566" s="522"/>
      <c r="B566" s="522" t="s">
        <v>1657</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69">
        <f>IFERROR(ROUNDDOWN(IF(C557="YES",((1-(AF564/AF565))*2),(1-(AF564/AF565))),2),0)</f>
        <v>0.56000000000000005</v>
      </c>
      <c r="AG566" s="2369"/>
      <c r="AH566" s="2369"/>
      <c r="AI566" s="2369"/>
      <c r="AJ566" s="2369"/>
      <c r="AK566" s="493"/>
      <c r="AL566" s="493"/>
      <c r="AM566" s="493"/>
      <c r="AN566" s="495"/>
      <c r="AP566" s="2360">
        <f>Application!AJ1058</f>
        <v>20440354</v>
      </c>
      <c r="AQ566" s="2360"/>
      <c r="AR566" s="2360"/>
      <c r="AS566" s="449" t="s">
        <v>1739</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90">
        <f>IF(((AP565+AP566)/AP563)&gt;0.8,0.8,((AP565+AP566)/AP563))</f>
        <v>0.33</v>
      </c>
      <c r="AQ567" s="2390"/>
      <c r="AR567" s="2390"/>
      <c r="AS567" s="449" t="s">
        <v>2468</v>
      </c>
    </row>
    <row r="568" spans="1:45" s="449" customFormat="1" ht="12.75" customHeight="1">
      <c r="A568" s="522"/>
      <c r="B568" s="2440" t="s">
        <v>2469</v>
      </c>
      <c r="C568" s="2441"/>
      <c r="D568" s="2441"/>
      <c r="E568" s="2441"/>
      <c r="F568" s="2441"/>
      <c r="G568" s="2441"/>
      <c r="H568" s="2441"/>
      <c r="I568" s="2441"/>
      <c r="J568" s="2441"/>
      <c r="K568" s="2441"/>
      <c r="L568" s="2441"/>
      <c r="M568" s="2441"/>
      <c r="N568" s="2441"/>
      <c r="O568" s="2441"/>
      <c r="P568" s="2441"/>
      <c r="Q568" s="2441"/>
      <c r="R568" s="2441"/>
      <c r="S568" s="2441"/>
      <c r="T568" s="2441"/>
      <c r="U568" s="2441"/>
      <c r="V568" s="2441"/>
      <c r="W568" s="2441"/>
      <c r="X568" s="2441"/>
      <c r="Y568" s="2441"/>
      <c r="Z568" s="2441"/>
      <c r="AA568" s="2441"/>
      <c r="AB568" s="2441"/>
      <c r="AC568" s="2441"/>
      <c r="AD568" s="2441"/>
      <c r="AE568" s="2441"/>
      <c r="AF568" s="2441"/>
      <c r="AG568" s="2441"/>
      <c r="AH568" s="2441"/>
      <c r="AI568" s="2441"/>
      <c r="AJ568" s="2442"/>
      <c r="AK568" s="493"/>
      <c r="AL568" s="493"/>
      <c r="AM568" s="493"/>
      <c r="AN568" s="495"/>
    </row>
    <row r="569" spans="1:45" s="449" customFormat="1" ht="12.75" customHeight="1">
      <c r="A569" s="522"/>
      <c r="B569" s="2443"/>
      <c r="C569" s="2444"/>
      <c r="D569" s="2444"/>
      <c r="E569" s="2444"/>
      <c r="F569" s="2444"/>
      <c r="G569" s="2444"/>
      <c r="H569" s="2444"/>
      <c r="I569" s="2444"/>
      <c r="J569" s="2444"/>
      <c r="K569" s="2444"/>
      <c r="L569" s="2444"/>
      <c r="M569" s="2444"/>
      <c r="N569" s="2444"/>
      <c r="O569" s="2444"/>
      <c r="P569" s="2444"/>
      <c r="Q569" s="2444"/>
      <c r="R569" s="2444"/>
      <c r="S569" s="2444"/>
      <c r="T569" s="2444"/>
      <c r="U569" s="2444"/>
      <c r="V569" s="2444"/>
      <c r="W569" s="2444"/>
      <c r="X569" s="2444"/>
      <c r="Y569" s="2444"/>
      <c r="Z569" s="2444"/>
      <c r="AA569" s="2444"/>
      <c r="AB569" s="2444"/>
      <c r="AC569" s="2444"/>
      <c r="AD569" s="2444"/>
      <c r="AE569" s="2444"/>
      <c r="AF569" s="2444"/>
      <c r="AG569" s="2444"/>
      <c r="AH569" s="2444"/>
      <c r="AI569" s="2444"/>
      <c r="AJ569" s="2445"/>
      <c r="AK569" s="493"/>
      <c r="AL569" s="493"/>
      <c r="AM569" s="493"/>
      <c r="AN569" s="495"/>
      <c r="AP569" s="2362">
        <f>AP570-AP565-AP566</f>
        <v>133234515</v>
      </c>
      <c r="AQ569" s="2391"/>
      <c r="AR569" s="2391"/>
      <c r="AS569" s="449" t="s">
        <v>2470</v>
      </c>
    </row>
    <row r="570" spans="1:45" s="449" customFormat="1" ht="12.75" customHeight="1">
      <c r="A570" s="522"/>
      <c r="B570" s="2446"/>
      <c r="C570" s="2447"/>
      <c r="D570" s="2447"/>
      <c r="E570" s="2447"/>
      <c r="F570" s="2447"/>
      <c r="G570" s="2447"/>
      <c r="H570" s="2447"/>
      <c r="I570" s="2447"/>
      <c r="J570" s="2447"/>
      <c r="K570" s="2447"/>
      <c r="L570" s="2447"/>
      <c r="M570" s="2447"/>
      <c r="N570" s="2447"/>
      <c r="O570" s="2447"/>
      <c r="P570" s="2447"/>
      <c r="Q570" s="2447"/>
      <c r="R570" s="2447"/>
      <c r="S570" s="2447"/>
      <c r="T570" s="2447"/>
      <c r="U570" s="2447"/>
      <c r="V570" s="2447"/>
      <c r="W570" s="2447"/>
      <c r="X570" s="2447"/>
      <c r="Y570" s="2447"/>
      <c r="Z570" s="2447"/>
      <c r="AA570" s="2447"/>
      <c r="AB570" s="2447"/>
      <c r="AC570" s="2447"/>
      <c r="AD570" s="2447"/>
      <c r="AE570" s="2447"/>
      <c r="AF570" s="2447"/>
      <c r="AG570" s="2447"/>
      <c r="AH570" s="2447"/>
      <c r="AI570" s="2447"/>
      <c r="AJ570" s="2448"/>
      <c r="AK570" s="493"/>
      <c r="AL570" s="493"/>
      <c r="AM570" s="493"/>
      <c r="AN570" s="495"/>
      <c r="AP570" s="2362">
        <f>Application!AJ1062</f>
        <v>163895046</v>
      </c>
      <c r="AQ570" s="2362"/>
      <c r="AR570" s="2362"/>
      <c r="AS570" s="449" t="s">
        <v>2471</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2472</v>
      </c>
      <c r="AK572" s="2449">
        <f>IFERROR(IF(AND(C554="N/A",C557="N/A"),0,IF(AF566=0,0,IF((AF566*100)&gt;12,12,(AF566*100)))),0)</f>
        <v>12</v>
      </c>
      <c r="AL572" s="2449"/>
      <c r="AM572" s="2450"/>
      <c r="AN572" s="495"/>
      <c r="AP572" s="2351">
        <f>AP569+(AP563*AP567)</f>
        <v>163895046</v>
      </c>
      <c r="AQ572" s="2352"/>
      <c r="AR572" s="2353"/>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2473</v>
      </c>
      <c r="B575" s="439" t="s">
        <v>2474</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81" t="s">
        <v>2172</v>
      </c>
      <c r="AF575" s="2381"/>
      <c r="AG575" s="2381"/>
      <c r="AH575" s="2381"/>
      <c r="AI575" s="2381"/>
      <c r="AJ575" s="2381"/>
      <c r="AK575" s="2381"/>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21" t="s">
        <v>2475</v>
      </c>
      <c r="C577" s="2321"/>
      <c r="D577" s="2321"/>
      <c r="E577" s="2321"/>
      <c r="F577" s="2321"/>
      <c r="G577" s="2321"/>
      <c r="H577" s="2321"/>
      <c r="I577" s="2321"/>
      <c r="J577" s="2321"/>
      <c r="K577" s="2321"/>
      <c r="L577" s="2321"/>
      <c r="M577" s="2321"/>
      <c r="N577" s="2321"/>
      <c r="O577" s="2321"/>
      <c r="P577" s="2321"/>
      <c r="Q577" s="2321"/>
      <c r="R577" s="2321"/>
      <c r="S577" s="2321"/>
      <c r="T577" s="2321"/>
      <c r="U577" s="2321"/>
      <c r="V577" s="2321"/>
      <c r="W577" s="2321"/>
      <c r="X577" s="2321"/>
      <c r="Y577" s="2321"/>
      <c r="Z577" s="2321"/>
      <c r="AA577" s="2321"/>
      <c r="AB577" s="2321"/>
      <c r="AC577" s="2321"/>
      <c r="AD577" s="2321"/>
      <c r="AE577" s="2321"/>
      <c r="AF577" s="2321"/>
      <c r="AG577" s="2321"/>
      <c r="AH577" s="2321"/>
      <c r="AI577" s="2321"/>
      <c r="AJ577" s="2321"/>
      <c r="AK577" s="540"/>
      <c r="AL577" s="471"/>
      <c r="AM577" s="501"/>
      <c r="AN577" s="495"/>
    </row>
    <row r="578" spans="1:42" s="449" customFormat="1" ht="12.75" customHeight="1">
      <c r="A578" s="501"/>
      <c r="B578" s="2321"/>
      <c r="C578" s="2321"/>
      <c r="D578" s="2321"/>
      <c r="E578" s="2321"/>
      <c r="F578" s="2321"/>
      <c r="G578" s="2321"/>
      <c r="H578" s="2321"/>
      <c r="I578" s="2321"/>
      <c r="J578" s="2321"/>
      <c r="K578" s="2321"/>
      <c r="L578" s="2321"/>
      <c r="M578" s="2321"/>
      <c r="N578" s="2321"/>
      <c r="O578" s="2321"/>
      <c r="P578" s="2321"/>
      <c r="Q578" s="2321"/>
      <c r="R578" s="2321"/>
      <c r="S578" s="2321"/>
      <c r="T578" s="2321"/>
      <c r="U578" s="2321"/>
      <c r="V578" s="2321"/>
      <c r="W578" s="2321"/>
      <c r="X578" s="2321"/>
      <c r="Y578" s="2321"/>
      <c r="Z578" s="2321"/>
      <c r="AA578" s="2321"/>
      <c r="AB578" s="2321"/>
      <c r="AC578" s="2321"/>
      <c r="AD578" s="2321"/>
      <c r="AE578" s="2321"/>
      <c r="AF578" s="2321"/>
      <c r="AG578" s="2321"/>
      <c r="AH578" s="2321"/>
      <c r="AI578" s="2321"/>
      <c r="AJ578" s="2321"/>
      <c r="AK578" s="540"/>
      <c r="AL578" s="471"/>
      <c r="AM578" s="501"/>
      <c r="AN578" s="495"/>
    </row>
    <row r="579" spans="1:42" s="449" customFormat="1" ht="12.75" customHeight="1">
      <c r="A579" s="501"/>
      <c r="B579" s="2321"/>
      <c r="C579" s="2321"/>
      <c r="D579" s="2321"/>
      <c r="E579" s="2321"/>
      <c r="F579" s="2321"/>
      <c r="G579" s="2321"/>
      <c r="H579" s="2321"/>
      <c r="I579" s="2321"/>
      <c r="J579" s="2321"/>
      <c r="K579" s="2321"/>
      <c r="L579" s="2321"/>
      <c r="M579" s="2321"/>
      <c r="N579" s="2321"/>
      <c r="O579" s="2321"/>
      <c r="P579" s="2321"/>
      <c r="Q579" s="2321"/>
      <c r="R579" s="2321"/>
      <c r="S579" s="2321"/>
      <c r="T579" s="2321"/>
      <c r="U579" s="2321"/>
      <c r="V579" s="2321"/>
      <c r="W579" s="2321"/>
      <c r="X579" s="2321"/>
      <c r="Y579" s="2321"/>
      <c r="Z579" s="2321"/>
      <c r="AA579" s="2321"/>
      <c r="AB579" s="2321"/>
      <c r="AC579" s="2321"/>
      <c r="AD579" s="2321"/>
      <c r="AE579" s="2321"/>
      <c r="AF579" s="2321"/>
      <c r="AG579" s="2321"/>
      <c r="AH579" s="2321"/>
      <c r="AI579" s="2321"/>
      <c r="AJ579" s="2321"/>
      <c r="AK579" s="540"/>
      <c r="AL579" s="471"/>
      <c r="AM579" s="501"/>
      <c r="AN579" s="495"/>
    </row>
    <row r="580" spans="1:42" s="449" customFormat="1" ht="12.75" customHeight="1">
      <c r="A580" s="501"/>
      <c r="B580" s="2321"/>
      <c r="C580" s="2321"/>
      <c r="D580" s="2321"/>
      <c r="E580" s="2321"/>
      <c r="F580" s="2321"/>
      <c r="G580" s="2321"/>
      <c r="H580" s="2321"/>
      <c r="I580" s="2321"/>
      <c r="J580" s="2321"/>
      <c r="K580" s="2321"/>
      <c r="L580" s="2321"/>
      <c r="M580" s="2321"/>
      <c r="N580" s="2321"/>
      <c r="O580" s="2321"/>
      <c r="P580" s="2321"/>
      <c r="Q580" s="2321"/>
      <c r="R580" s="2321"/>
      <c r="S580" s="2321"/>
      <c r="T580" s="2321"/>
      <c r="U580" s="2321"/>
      <c r="V580" s="2321"/>
      <c r="W580" s="2321"/>
      <c r="X580" s="2321"/>
      <c r="Y580" s="2321"/>
      <c r="Z580" s="2321"/>
      <c r="AA580" s="2321"/>
      <c r="AB580" s="2321"/>
      <c r="AC580" s="2321"/>
      <c r="AD580" s="2321"/>
      <c r="AE580" s="2321"/>
      <c r="AF580" s="2321"/>
      <c r="AG580" s="2321"/>
      <c r="AH580" s="2321"/>
      <c r="AI580" s="2321"/>
      <c r="AJ580" s="2321"/>
      <c r="AK580" s="540"/>
      <c r="AL580" s="471"/>
      <c r="AM580" s="501"/>
      <c r="AN580" s="495"/>
    </row>
    <row r="581" spans="1:42" s="449" customFormat="1" ht="12.75" customHeight="1">
      <c r="A581" s="501"/>
      <c r="B581" s="2321"/>
      <c r="C581" s="2321"/>
      <c r="D581" s="2321"/>
      <c r="E581" s="2321"/>
      <c r="F581" s="2321"/>
      <c r="G581" s="2321"/>
      <c r="H581" s="2321"/>
      <c r="I581" s="2321"/>
      <c r="J581" s="2321"/>
      <c r="K581" s="2321"/>
      <c r="L581" s="2321"/>
      <c r="M581" s="2321"/>
      <c r="N581" s="2321"/>
      <c r="O581" s="2321"/>
      <c r="P581" s="2321"/>
      <c r="Q581" s="2321"/>
      <c r="R581" s="2321"/>
      <c r="S581" s="2321"/>
      <c r="T581" s="2321"/>
      <c r="U581" s="2321"/>
      <c r="V581" s="2321"/>
      <c r="W581" s="2321"/>
      <c r="X581" s="2321"/>
      <c r="Y581" s="2321"/>
      <c r="Z581" s="2321"/>
      <c r="AA581" s="2321"/>
      <c r="AB581" s="2321"/>
      <c r="AC581" s="2321"/>
      <c r="AD581" s="2321"/>
      <c r="AE581" s="2321"/>
      <c r="AF581" s="2321"/>
      <c r="AG581" s="2321"/>
      <c r="AH581" s="2321"/>
      <c r="AI581" s="2321"/>
      <c r="AJ581" s="2321"/>
      <c r="AK581" s="540"/>
      <c r="AL581" s="471"/>
      <c r="AM581" s="501"/>
      <c r="AN581" s="495"/>
    </row>
    <row r="582" spans="1:42" s="449" customFormat="1" ht="12.75" customHeight="1">
      <c r="A582" s="501"/>
      <c r="B582" s="2321"/>
      <c r="C582" s="2321"/>
      <c r="D582" s="2321"/>
      <c r="E582" s="2321"/>
      <c r="F582" s="2321"/>
      <c r="G582" s="2321"/>
      <c r="H582" s="2321"/>
      <c r="I582" s="2321"/>
      <c r="J582" s="2321"/>
      <c r="K582" s="2321"/>
      <c r="L582" s="2321"/>
      <c r="M582" s="2321"/>
      <c r="N582" s="2321"/>
      <c r="O582" s="2321"/>
      <c r="P582" s="2321"/>
      <c r="Q582" s="2321"/>
      <c r="R582" s="2321"/>
      <c r="S582" s="2321"/>
      <c r="T582" s="2321"/>
      <c r="U582" s="2321"/>
      <c r="V582" s="2321"/>
      <c r="W582" s="2321"/>
      <c r="X582" s="2321"/>
      <c r="Y582" s="2321"/>
      <c r="Z582" s="2321"/>
      <c r="AA582" s="2321"/>
      <c r="AB582" s="2321"/>
      <c r="AC582" s="2321"/>
      <c r="AD582" s="2321"/>
      <c r="AE582" s="2321"/>
      <c r="AF582" s="2321"/>
      <c r="AG582" s="2321"/>
      <c r="AH582" s="2321"/>
      <c r="AI582" s="2321"/>
      <c r="AJ582" s="2321"/>
      <c r="AK582" s="540"/>
      <c r="AL582" s="471"/>
      <c r="AM582" s="501"/>
      <c r="AN582" s="495"/>
    </row>
    <row r="583" spans="1:42" s="449" customFormat="1" ht="12.75" customHeight="1">
      <c r="A583" s="501"/>
      <c r="B583" s="2321"/>
      <c r="C583" s="2321"/>
      <c r="D583" s="2321"/>
      <c r="E583" s="2321"/>
      <c r="F583" s="2321"/>
      <c r="G583" s="2321"/>
      <c r="H583" s="2321"/>
      <c r="I583" s="2321"/>
      <c r="J583" s="2321"/>
      <c r="K583" s="2321"/>
      <c r="L583" s="2321"/>
      <c r="M583" s="2321"/>
      <c r="N583" s="2321"/>
      <c r="O583" s="2321"/>
      <c r="P583" s="2321"/>
      <c r="Q583" s="2321"/>
      <c r="R583" s="2321"/>
      <c r="S583" s="2321"/>
      <c r="T583" s="2321"/>
      <c r="U583" s="2321"/>
      <c r="V583" s="2321"/>
      <c r="W583" s="2321"/>
      <c r="X583" s="2321"/>
      <c r="Y583" s="2321"/>
      <c r="Z583" s="2321"/>
      <c r="AA583" s="2321"/>
      <c r="AB583" s="2321"/>
      <c r="AC583" s="2321"/>
      <c r="AD583" s="2321"/>
      <c r="AE583" s="2321"/>
      <c r="AF583" s="2321"/>
      <c r="AG583" s="2321"/>
      <c r="AH583" s="2321"/>
      <c r="AI583" s="2321"/>
      <c r="AJ583" s="2321"/>
      <c r="AK583" s="540"/>
      <c r="AL583" s="471"/>
      <c r="AM583" s="501"/>
      <c r="AN583" s="495"/>
    </row>
    <row r="584" spans="1:42" ht="12.75" customHeight="1">
      <c r="A584" s="501"/>
      <c r="B584" s="2321"/>
      <c r="C584" s="2321"/>
      <c r="D584" s="2321"/>
      <c r="E584" s="2321"/>
      <c r="F584" s="2321"/>
      <c r="G584" s="2321"/>
      <c r="H584" s="2321"/>
      <c r="I584" s="2321"/>
      <c r="J584" s="2321"/>
      <c r="K584" s="2321"/>
      <c r="L584" s="2321"/>
      <c r="M584" s="2321"/>
      <c r="N584" s="2321"/>
      <c r="O584" s="2321"/>
      <c r="P584" s="2321"/>
      <c r="Q584" s="2321"/>
      <c r="R584" s="2321"/>
      <c r="S584" s="2321"/>
      <c r="T584" s="2321"/>
      <c r="U584" s="2321"/>
      <c r="V584" s="2321"/>
      <c r="W584" s="2321"/>
      <c r="X584" s="2321"/>
      <c r="Y584" s="2321"/>
      <c r="Z584" s="2321"/>
      <c r="AA584" s="2321"/>
      <c r="AB584" s="2321"/>
      <c r="AC584" s="2321"/>
      <c r="AD584" s="2321"/>
      <c r="AE584" s="2321"/>
      <c r="AF584" s="2321"/>
      <c r="AG584" s="2321"/>
      <c r="AH584" s="2321"/>
      <c r="AI584" s="2321"/>
      <c r="AJ584" s="2321"/>
      <c r="AK584" s="540"/>
      <c r="AL584" s="471"/>
      <c r="AM584" s="501"/>
    </row>
    <row r="585" spans="1:42" s="449" customFormat="1" ht="12.75" customHeight="1">
      <c r="B585" s="2321"/>
      <c r="C585" s="2321"/>
      <c r="D585" s="2321"/>
      <c r="E585" s="2321"/>
      <c r="F585" s="2321"/>
      <c r="G585" s="2321"/>
      <c r="H585" s="2321"/>
      <c r="I585" s="2321"/>
      <c r="J585" s="2321"/>
      <c r="K585" s="2321"/>
      <c r="L585" s="2321"/>
      <c r="M585" s="2321"/>
      <c r="N585" s="2321"/>
      <c r="O585" s="2321"/>
      <c r="P585" s="2321"/>
      <c r="Q585" s="2321"/>
      <c r="R585" s="2321"/>
      <c r="S585" s="2321"/>
      <c r="T585" s="2321"/>
      <c r="U585" s="2321"/>
      <c r="V585" s="2321"/>
      <c r="W585" s="2321"/>
      <c r="X585" s="2321"/>
      <c r="Y585" s="2321"/>
      <c r="Z585" s="2321"/>
      <c r="AA585" s="2321"/>
      <c r="AB585" s="2321"/>
      <c r="AC585" s="2321"/>
      <c r="AD585" s="2321"/>
      <c r="AE585" s="2321"/>
      <c r="AF585" s="2321"/>
      <c r="AG585" s="2321"/>
      <c r="AH585" s="2321"/>
      <c r="AI585" s="2321"/>
      <c r="AJ585" s="2321"/>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2476</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826</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862</v>
      </c>
    </row>
    <row r="589" spans="1:42" s="449" customFormat="1" ht="12.75" customHeight="1">
      <c r="C589" s="439" t="s">
        <v>2477</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2478</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22" t="s">
        <v>2217</v>
      </c>
      <c r="AG591" s="2322"/>
      <c r="AH591" s="2322"/>
      <c r="AI591" s="2322"/>
      <c r="AJ591" s="2322"/>
      <c r="AK591" s="2322"/>
      <c r="AL591" s="2322"/>
      <c r="AN591" s="495"/>
    </row>
    <row r="592" spans="1:42" s="449" customFormat="1" ht="12.75" customHeight="1">
      <c r="B592" s="436"/>
      <c r="C592" s="514"/>
      <c r="D592" s="559"/>
      <c r="E592" s="734" t="s">
        <v>2479</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2480</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2481</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2482</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2483</v>
      </c>
      <c r="AP595" s="449" t="b">
        <f>IF(Application!AF427&gt;=25,TRUE,FALSE)</f>
        <v>1</v>
      </c>
    </row>
    <row r="596" spans="1:42" s="449" customFormat="1" ht="12.75" customHeight="1">
      <c r="B596" s="436"/>
      <c r="C596" s="514"/>
      <c r="D596" s="559"/>
      <c r="E596" s="734" t="s">
        <v>2484</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2485</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22" t="s">
        <v>2486</v>
      </c>
      <c r="AG598" s="2322"/>
      <c r="AH598" s="2322"/>
      <c r="AI598" s="2322"/>
      <c r="AJ598" s="2322"/>
      <c r="AK598" s="2322"/>
      <c r="AL598" s="2322"/>
      <c r="AN598" s="495"/>
    </row>
    <row r="599" spans="1:42" s="449" customFormat="1" ht="12.75" customHeight="1">
      <c r="B599" s="436"/>
      <c r="C599" s="823"/>
      <c r="D599" s="559"/>
      <c r="E599" s="734" t="s">
        <v>2487</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826</v>
      </c>
      <c r="AP599" s="569">
        <v>0</v>
      </c>
    </row>
    <row r="600" spans="1:42" s="449" customFormat="1" ht="12.75" customHeight="1">
      <c r="B600" s="508"/>
      <c r="C600" s="821"/>
      <c r="D600" s="559"/>
      <c r="E600" s="734" t="s">
        <v>2488</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2489</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2490</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2491</v>
      </c>
      <c r="AP603" s="449">
        <v>4</v>
      </c>
    </row>
    <row r="604" spans="1:42" s="449" customFormat="1" ht="12.75" customHeight="1">
      <c r="B604" s="436"/>
      <c r="C604" s="821"/>
      <c r="D604" s="559" t="s">
        <v>49</v>
      </c>
      <c r="E604" s="734" t="s">
        <v>2492</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22" t="s">
        <v>2493</v>
      </c>
      <c r="AG604" s="2322"/>
      <c r="AH604" s="2322"/>
      <c r="AI604" s="2322"/>
      <c r="AJ604" s="2322"/>
      <c r="AK604" s="2322"/>
      <c r="AL604" s="2322"/>
      <c r="AN604" s="495"/>
      <c r="AO604" s="509" t="s">
        <v>2494</v>
      </c>
      <c r="AP604" s="449">
        <v>3</v>
      </c>
    </row>
    <row r="605" spans="1:42" s="449" customFormat="1" ht="12.75" customHeight="1">
      <c r="B605" s="436"/>
      <c r="C605" s="823"/>
      <c r="D605" s="559"/>
      <c r="E605" s="734" t="s">
        <v>2487</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2488</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2495</v>
      </c>
    </row>
    <row r="607" spans="1:42" s="449" customFormat="1" ht="12.75" customHeight="1">
      <c r="B607" s="436"/>
      <c r="C607" s="823"/>
      <c r="D607" s="559"/>
      <c r="E607" s="734" t="s">
        <v>2489</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2496</v>
      </c>
    </row>
    <row r="608" spans="1:42" s="449" customFormat="1" ht="12.75" customHeight="1">
      <c r="B608" s="436"/>
      <c r="C608" s="823"/>
      <c r="D608" s="559"/>
      <c r="E608" s="734" t="s">
        <v>2490</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2497</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2491</v>
      </c>
      <c r="E610" s="734" t="s">
        <v>2498</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22" t="s">
        <v>2499</v>
      </c>
      <c r="AG610" s="2322"/>
      <c r="AH610" s="2322"/>
      <c r="AI610" s="2322"/>
      <c r="AJ610" s="2322"/>
      <c r="AK610" s="2322"/>
      <c r="AL610" s="2322"/>
      <c r="AN610" s="495"/>
      <c r="AO610" s="449" t="str">
        <f>X647</f>
        <v>N/A</v>
      </c>
    </row>
    <row r="611" spans="1:53" s="449" customFormat="1" ht="12.75" customHeight="1">
      <c r="B611" s="436"/>
      <c r="C611" s="823"/>
      <c r="D611" s="559"/>
      <c r="E611" s="734" t="s">
        <v>2500</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2501</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2502</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2503</v>
      </c>
    </row>
    <row r="614" spans="1:53" s="449" customFormat="1" ht="12.75" customHeight="1">
      <c r="B614" s="508"/>
      <c r="C614" s="821"/>
      <c r="D614" s="559"/>
      <c r="E614" s="436" t="s">
        <v>2504</v>
      </c>
      <c r="O614" s="2467" t="s">
        <v>1043</v>
      </c>
      <c r="P614" s="2467"/>
      <c r="Q614" s="2467"/>
      <c r="R614" s="2467"/>
      <c r="S614" s="2467"/>
      <c r="T614" s="2467"/>
      <c r="U614" s="2467"/>
      <c r="V614" s="2467"/>
      <c r="W614" s="2467"/>
      <c r="X614" s="2467"/>
      <c r="Y614" s="2467"/>
      <c r="Z614" s="2467"/>
      <c r="AA614" s="2467"/>
      <c r="AB614" s="2467"/>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2494</v>
      </c>
      <c r="E616" s="734" t="s">
        <v>2505</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22" t="s">
        <v>2233</v>
      </c>
      <c r="AG616" s="2322"/>
      <c r="AH616" s="2322"/>
      <c r="AI616" s="2322"/>
      <c r="AJ616" s="2322"/>
      <c r="AK616" s="2322"/>
      <c r="AL616" s="2322"/>
      <c r="AN616" s="495"/>
    </row>
    <row r="617" spans="1:53" s="449" customFormat="1" ht="12.75" customHeight="1">
      <c r="B617" s="436"/>
      <c r="C617" s="821"/>
      <c r="D617" s="559"/>
      <c r="E617" s="734" t="s">
        <v>2506</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826</v>
      </c>
      <c r="AP618" s="569">
        <v>0</v>
      </c>
      <c r="AT618" s="449" t="s">
        <v>826</v>
      </c>
      <c r="AU618" s="569">
        <v>0</v>
      </c>
    </row>
    <row r="619" spans="1:53" s="449" customFormat="1" ht="12.75" customHeight="1">
      <c r="B619" s="436"/>
      <c r="C619" s="823"/>
      <c r="D619" s="436" t="s">
        <v>2507</v>
      </c>
      <c r="E619" s="826"/>
      <c r="F619" s="826"/>
      <c r="G619" s="826"/>
      <c r="H619" s="2323" t="s">
        <v>22</v>
      </c>
      <c r="I619" s="2323"/>
      <c r="J619" s="826"/>
      <c r="K619" s="826"/>
      <c r="L619" s="826"/>
      <c r="N619" s="19"/>
      <c r="O619" s="19"/>
      <c r="P619" s="19"/>
      <c r="Q619" s="1034" t="s">
        <v>2508</v>
      </c>
      <c r="R619" s="2468"/>
      <c r="S619" s="2468"/>
      <c r="T619" s="2468"/>
      <c r="U619" s="2468"/>
      <c r="V619" s="2468"/>
      <c r="W619" s="2468"/>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9" t="str">
        <f>IF(AND(H619="(i)",NOT(AP595)),AO612,IF(AND(H619="(iv)",OR(R619=AO608,R619=AO607),NOT(AP596)),AO613,""))</f>
        <v/>
      </c>
      <c r="Z620" s="2469"/>
      <c r="AA620" s="2469"/>
      <c r="AB620" s="2469"/>
      <c r="AC620" s="2469"/>
      <c r="AD620" s="2469"/>
      <c r="AE620" s="2469"/>
      <c r="AF620" s="2469"/>
      <c r="AG620" s="2469"/>
      <c r="AH620" s="2469"/>
      <c r="AI620" s="2469"/>
      <c r="AJ620" s="2469"/>
      <c r="AK620" s="2469"/>
      <c r="AL620" s="2469"/>
      <c r="AM620" s="2470"/>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9"/>
      <c r="Z621" s="2469"/>
      <c r="AA621" s="2469"/>
      <c r="AB621" s="2469"/>
      <c r="AC621" s="2469"/>
      <c r="AD621" s="2469"/>
      <c r="AE621" s="2469"/>
      <c r="AF621" s="2469"/>
      <c r="AG621" s="2469"/>
      <c r="AH621" s="2469"/>
      <c r="AI621" s="2469"/>
      <c r="AJ621" s="2469"/>
      <c r="AK621" s="2469"/>
      <c r="AL621" s="2469"/>
      <c r="AM621" s="2470"/>
      <c r="AN621" s="495"/>
      <c r="AO621" s="509"/>
      <c r="AT621" s="509"/>
    </row>
    <row r="622" spans="1:53" s="449" customFormat="1" ht="12.75" customHeight="1">
      <c r="B622" s="436"/>
      <c r="C622" s="823"/>
      <c r="D622" s="436" t="s">
        <v>2509</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2510</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2511</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2512</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826</v>
      </c>
      <c r="AP626" s="569">
        <v>0</v>
      </c>
    </row>
    <row r="627" spans="1:42" s="449" customFormat="1" ht="12.75" customHeight="1">
      <c r="B627" s="436"/>
      <c r="C627" s="823"/>
      <c r="D627" s="436"/>
      <c r="E627" s="436" t="s">
        <v>2507</v>
      </c>
      <c r="F627" s="826"/>
      <c r="G627" s="826"/>
      <c r="I627" s="2466" t="s">
        <v>826</v>
      </c>
      <c r="J627" s="2466"/>
      <c r="K627" s="2466"/>
      <c r="L627" s="2466"/>
      <c r="M627" s="2466"/>
      <c r="N627" s="2466"/>
      <c r="O627" s="2466"/>
      <c r="P627" s="2466"/>
      <c r="Q627" s="2466"/>
      <c r="R627" s="2466"/>
      <c r="S627" s="2466"/>
      <c r="T627" s="2466"/>
      <c r="U627" s="2466"/>
      <c r="V627" s="2466"/>
      <c r="W627" s="2466"/>
      <c r="X627" s="2466"/>
      <c r="Y627" s="2466"/>
      <c r="Z627" s="2466"/>
      <c r="AA627" s="2466"/>
      <c r="AB627" s="2466"/>
      <c r="AC627" s="2466"/>
      <c r="AD627" s="2466"/>
      <c r="AE627" s="2466"/>
      <c r="AF627" s="436"/>
      <c r="AG627" s="436"/>
      <c r="AH627" s="436"/>
      <c r="AI627" s="436"/>
      <c r="AJ627" s="436"/>
      <c r="AK627" s="436"/>
      <c r="AL627" s="436"/>
      <c r="AN627" s="495"/>
      <c r="AO627" s="449" t="s">
        <v>2513</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2514</v>
      </c>
      <c r="AP628" s="449">
        <v>2</v>
      </c>
    </row>
    <row r="629" spans="1:42" s="449" customFormat="1" ht="12.75" customHeight="1">
      <c r="B629" s="2329" t="s">
        <v>826</v>
      </c>
      <c r="C629" s="2329"/>
      <c r="D629" s="540"/>
      <c r="E629" s="2321" t="s">
        <v>2515</v>
      </c>
      <c r="F629" s="2321"/>
      <c r="G629" s="2321"/>
      <c r="H629" s="2321"/>
      <c r="I629" s="2321"/>
      <c r="J629" s="2321"/>
      <c r="K629" s="2321"/>
      <c r="L629" s="2321"/>
      <c r="M629" s="2321"/>
      <c r="N629" s="2321"/>
      <c r="O629" s="2321"/>
      <c r="P629" s="2321"/>
      <c r="Q629" s="2321"/>
      <c r="R629" s="2321"/>
      <c r="S629" s="2321"/>
      <c r="T629" s="2321"/>
      <c r="U629" s="2321"/>
      <c r="V629" s="2321"/>
      <c r="W629" s="2321"/>
      <c r="X629" s="2321"/>
      <c r="Y629" s="2321"/>
      <c r="Z629" s="2321"/>
      <c r="AA629" s="2321"/>
      <c r="AB629" s="2321"/>
      <c r="AC629" s="2321"/>
      <c r="AD629" s="2321"/>
      <c r="AE629" s="2321"/>
      <c r="AF629" s="2321"/>
      <c r="AG629" s="2321"/>
      <c r="AH629" s="540"/>
      <c r="AI629" s="540"/>
      <c r="AJ629" s="540"/>
      <c r="AK629" s="540"/>
      <c r="AL629" s="540"/>
      <c r="AN629" s="495"/>
    </row>
    <row r="630" spans="1:42" s="449" customFormat="1" ht="12.75" customHeight="1">
      <c r="B630" s="436"/>
      <c r="C630" s="823"/>
      <c r="D630" s="540"/>
      <c r="E630" s="2321"/>
      <c r="F630" s="2321"/>
      <c r="G630" s="2321"/>
      <c r="H630" s="2321"/>
      <c r="I630" s="2321"/>
      <c r="J630" s="2321"/>
      <c r="K630" s="2321"/>
      <c r="L630" s="2321"/>
      <c r="M630" s="2321"/>
      <c r="N630" s="2321"/>
      <c r="O630" s="2321"/>
      <c r="P630" s="2321"/>
      <c r="Q630" s="2321"/>
      <c r="R630" s="2321"/>
      <c r="S630" s="2321"/>
      <c r="T630" s="2321"/>
      <c r="U630" s="2321"/>
      <c r="V630" s="2321"/>
      <c r="W630" s="2321"/>
      <c r="X630" s="2321"/>
      <c r="Y630" s="2321"/>
      <c r="Z630" s="2321"/>
      <c r="AA630" s="2321"/>
      <c r="AB630" s="2321"/>
      <c r="AC630" s="2321"/>
      <c r="AD630" s="2321"/>
      <c r="AE630" s="2321"/>
      <c r="AF630" s="2321"/>
      <c r="AG630" s="2321"/>
      <c r="AH630" s="540"/>
      <c r="AI630" s="540"/>
      <c r="AJ630" s="540"/>
      <c r="AK630" s="540"/>
      <c r="AL630" s="540"/>
      <c r="AN630" s="495"/>
    </row>
    <row r="631" spans="1:42" s="449" customFormat="1" ht="12.75" customHeight="1">
      <c r="B631" s="436"/>
      <c r="C631" s="823"/>
      <c r="D631" s="540"/>
      <c r="E631" s="2321"/>
      <c r="F631" s="2321"/>
      <c r="G631" s="2321"/>
      <c r="H631" s="2321"/>
      <c r="I631" s="2321"/>
      <c r="J631" s="2321"/>
      <c r="K631" s="2321"/>
      <c r="L631" s="2321"/>
      <c r="M631" s="2321"/>
      <c r="N631" s="2321"/>
      <c r="O631" s="2321"/>
      <c r="P631" s="2321"/>
      <c r="Q631" s="2321"/>
      <c r="R631" s="2321"/>
      <c r="S631" s="2321"/>
      <c r="T631" s="2321"/>
      <c r="U631" s="2321"/>
      <c r="V631" s="2321"/>
      <c r="W631" s="2321"/>
      <c r="X631" s="2321"/>
      <c r="Y631" s="2321"/>
      <c r="Z631" s="2321"/>
      <c r="AA631" s="2321"/>
      <c r="AB631" s="2321"/>
      <c r="AC631" s="2321"/>
      <c r="AD631" s="2321"/>
      <c r="AE631" s="2321"/>
      <c r="AF631" s="2321"/>
      <c r="AG631" s="2321"/>
      <c r="AH631" s="540"/>
      <c r="AI631" s="540"/>
      <c r="AJ631" s="540"/>
      <c r="AK631" s="540"/>
      <c r="AL631" s="540"/>
      <c r="AN631" s="495"/>
    </row>
    <row r="632" spans="1:42" s="449" customFormat="1" ht="12.75" customHeight="1">
      <c r="B632" s="436"/>
      <c r="C632" s="823"/>
      <c r="D632" s="540"/>
      <c r="E632" s="2321"/>
      <c r="F632" s="2321"/>
      <c r="G632" s="2321"/>
      <c r="H632" s="2321"/>
      <c r="I632" s="2321"/>
      <c r="J632" s="2321"/>
      <c r="K632" s="2321"/>
      <c r="L632" s="2321"/>
      <c r="M632" s="2321"/>
      <c r="N632" s="2321"/>
      <c r="O632" s="2321"/>
      <c r="P632" s="2321"/>
      <c r="Q632" s="2321"/>
      <c r="R632" s="2321"/>
      <c r="S632" s="2321"/>
      <c r="T632" s="2321"/>
      <c r="U632" s="2321"/>
      <c r="V632" s="2321"/>
      <c r="W632" s="2321"/>
      <c r="X632" s="2321"/>
      <c r="Y632" s="2321"/>
      <c r="Z632" s="2321"/>
      <c r="AA632" s="2321"/>
      <c r="AB632" s="2321"/>
      <c r="AC632" s="2321"/>
      <c r="AD632" s="2321"/>
      <c r="AE632" s="2321"/>
      <c r="AF632" s="2321"/>
      <c r="AG632" s="2321"/>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2516</v>
      </c>
      <c r="AJ634" s="2324">
        <f>VLOOKUP($H$619,$AO$599:$AP$604,2,FALSE)+IF(R619=AO607,0,VLOOKUP($I$627,$AO$626:$AP$628,2,FALSE))</f>
        <v>7</v>
      </c>
      <c r="AK634" s="2325"/>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2517</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5" t="s">
        <v>2518</v>
      </c>
      <c r="F638" s="2465"/>
      <c r="G638" s="2465"/>
      <c r="H638" s="2465"/>
      <c r="I638" s="2465"/>
      <c r="J638" s="2465"/>
      <c r="K638" s="2465"/>
      <c r="L638" s="2465"/>
      <c r="M638" s="2465"/>
      <c r="N638" s="2465"/>
      <c r="O638" s="2465"/>
      <c r="P638" s="2465"/>
      <c r="Q638" s="2465"/>
      <c r="R638" s="2465"/>
      <c r="S638" s="2465"/>
      <c r="T638" s="2465"/>
      <c r="U638" s="2465"/>
      <c r="V638" s="2465"/>
      <c r="W638" s="2465"/>
      <c r="X638" s="2465"/>
      <c r="Y638" s="2465"/>
      <c r="Z638" s="2465"/>
      <c r="AA638" s="2465"/>
      <c r="AB638" s="2465"/>
      <c r="AC638" s="2465"/>
      <c r="AD638" s="2465"/>
      <c r="AE638" s="439"/>
      <c r="AF638" s="2322" t="s">
        <v>2233</v>
      </c>
      <c r="AG638" s="2322"/>
      <c r="AH638" s="2322"/>
      <c r="AI638" s="2322"/>
      <c r="AJ638" s="2322"/>
      <c r="AK638" s="2322"/>
      <c r="AL638" s="2322"/>
      <c r="AM638" s="449"/>
      <c r="AN638" s="574"/>
    </row>
    <row r="639" spans="1:42" s="449" customFormat="1" ht="12.75" customHeight="1">
      <c r="A639" s="575"/>
      <c r="B639" s="436"/>
      <c r="C639" s="823"/>
      <c r="D639" s="559"/>
      <c r="E639" s="2465"/>
      <c r="F639" s="2465"/>
      <c r="G639" s="2465"/>
      <c r="H639" s="2465"/>
      <c r="I639" s="2465"/>
      <c r="J639" s="2465"/>
      <c r="K639" s="2465"/>
      <c r="L639" s="2465"/>
      <c r="M639" s="2465"/>
      <c r="N639" s="2465"/>
      <c r="O639" s="2465"/>
      <c r="P639" s="2465"/>
      <c r="Q639" s="2465"/>
      <c r="R639" s="2465"/>
      <c r="S639" s="2465"/>
      <c r="T639" s="2465"/>
      <c r="U639" s="2465"/>
      <c r="V639" s="2465"/>
      <c r="W639" s="2465"/>
      <c r="X639" s="2465"/>
      <c r="Y639" s="2465"/>
      <c r="Z639" s="2465"/>
      <c r="AA639" s="2465"/>
      <c r="AB639" s="2465"/>
      <c r="AC639" s="2465"/>
      <c r="AD639" s="2465"/>
      <c r="AE639" s="436"/>
      <c r="AF639" s="436"/>
      <c r="AG639" s="436"/>
      <c r="AH639" s="436"/>
      <c r="AI639" s="436"/>
      <c r="AJ639" s="436"/>
      <c r="AK639" s="436"/>
      <c r="AL639" s="436"/>
      <c r="AN639" s="495"/>
    </row>
    <row r="640" spans="1:42" s="449" customFormat="1" ht="12.75" customHeight="1">
      <c r="B640" s="436"/>
      <c r="C640" s="821"/>
      <c r="D640" s="559"/>
      <c r="E640" s="2465"/>
      <c r="F640" s="2465"/>
      <c r="G640" s="2465"/>
      <c r="H640" s="2465"/>
      <c r="I640" s="2465"/>
      <c r="J640" s="2465"/>
      <c r="K640" s="2465"/>
      <c r="L640" s="2465"/>
      <c r="M640" s="2465"/>
      <c r="N640" s="2465"/>
      <c r="O640" s="2465"/>
      <c r="P640" s="2465"/>
      <c r="Q640" s="2465"/>
      <c r="R640" s="2465"/>
      <c r="S640" s="2465"/>
      <c r="T640" s="2465"/>
      <c r="U640" s="2465"/>
      <c r="V640" s="2465"/>
      <c r="W640" s="2465"/>
      <c r="X640" s="2465"/>
      <c r="Y640" s="2465"/>
      <c r="Z640" s="2465"/>
      <c r="AA640" s="2465"/>
      <c r="AB640" s="2465"/>
      <c r="AC640" s="2465"/>
      <c r="AD640" s="2465"/>
      <c r="AE640" s="436"/>
      <c r="AF640" s="436"/>
      <c r="AG640" s="436"/>
      <c r="AH640" s="436"/>
      <c r="AI640" s="436"/>
      <c r="AJ640" s="436"/>
      <c r="AK640" s="436"/>
      <c r="AL640" s="436"/>
      <c r="AN640" s="495"/>
    </row>
    <row r="641" spans="1:42" s="449" customFormat="1" ht="12.75" customHeight="1">
      <c r="B641" s="436"/>
      <c r="C641" s="821"/>
      <c r="D641" s="559"/>
      <c r="E641" s="2465"/>
      <c r="F641" s="2465"/>
      <c r="G641" s="2465"/>
      <c r="H641" s="2465"/>
      <c r="I641" s="2465"/>
      <c r="J641" s="2465"/>
      <c r="K641" s="2465"/>
      <c r="L641" s="2465"/>
      <c r="M641" s="2465"/>
      <c r="N641" s="2465"/>
      <c r="O641" s="2465"/>
      <c r="P641" s="2465"/>
      <c r="Q641" s="2465"/>
      <c r="R641" s="2465"/>
      <c r="S641" s="2465"/>
      <c r="T641" s="2465"/>
      <c r="U641" s="2465"/>
      <c r="V641" s="2465"/>
      <c r="W641" s="2465"/>
      <c r="X641" s="2465"/>
      <c r="Y641" s="2465"/>
      <c r="Z641" s="2465"/>
      <c r="AA641" s="2465"/>
      <c r="AB641" s="2465"/>
      <c r="AC641" s="2465"/>
      <c r="AD641" s="2465"/>
      <c r="AE641" s="436"/>
      <c r="AF641" s="436"/>
      <c r="AG641" s="436"/>
      <c r="AH641" s="436"/>
      <c r="AI641" s="436"/>
      <c r="AJ641" s="436"/>
      <c r="AK641" s="436"/>
      <c r="AL641" s="436"/>
      <c r="AN641" s="495"/>
    </row>
    <row r="642" spans="1:42" s="449" customFormat="1" ht="12.75" customHeight="1">
      <c r="B642" s="436"/>
      <c r="C642" s="821"/>
      <c r="D642" s="559"/>
      <c r="E642" s="2465"/>
      <c r="F642" s="2465"/>
      <c r="G642" s="2465"/>
      <c r="H642" s="2465"/>
      <c r="I642" s="2465"/>
      <c r="J642" s="2465"/>
      <c r="K642" s="2465"/>
      <c r="L642" s="2465"/>
      <c r="M642" s="2465"/>
      <c r="N642" s="2465"/>
      <c r="O642" s="2465"/>
      <c r="P642" s="2465"/>
      <c r="Q642" s="2465"/>
      <c r="R642" s="2465"/>
      <c r="S642" s="2465"/>
      <c r="T642" s="2465"/>
      <c r="U642" s="2465"/>
      <c r="V642" s="2465"/>
      <c r="W642" s="2465"/>
      <c r="X642" s="2465"/>
      <c r="Y642" s="2465"/>
      <c r="Z642" s="2465"/>
      <c r="AA642" s="2465"/>
      <c r="AB642" s="2465"/>
      <c r="AC642" s="2465"/>
      <c r="AD642" s="2465"/>
      <c r="AE642" s="436"/>
      <c r="AF642" s="436"/>
      <c r="AG642" s="436"/>
      <c r="AH642" s="436"/>
      <c r="AI642" s="436"/>
      <c r="AJ642" s="436"/>
      <c r="AK642" s="436"/>
      <c r="AL642" s="436"/>
      <c r="AN642" s="495"/>
    </row>
    <row r="643" spans="1:42" s="449" customFormat="1" ht="12.75" customHeight="1">
      <c r="B643" s="436"/>
      <c r="C643" s="821"/>
      <c r="D643" s="559"/>
      <c r="E643" s="2465"/>
      <c r="F643" s="2465"/>
      <c r="G643" s="2465"/>
      <c r="H643" s="2465"/>
      <c r="I643" s="2465"/>
      <c r="J643" s="2465"/>
      <c r="K643" s="2465"/>
      <c r="L643" s="2465"/>
      <c r="M643" s="2465"/>
      <c r="N643" s="2465"/>
      <c r="O643" s="2465"/>
      <c r="P643" s="2465"/>
      <c r="Q643" s="2465"/>
      <c r="R643" s="2465"/>
      <c r="S643" s="2465"/>
      <c r="T643" s="2465"/>
      <c r="U643" s="2465"/>
      <c r="V643" s="2465"/>
      <c r="W643" s="2465"/>
      <c r="X643" s="2465"/>
      <c r="Y643" s="2465"/>
      <c r="Z643" s="2465"/>
      <c r="AA643" s="2465"/>
      <c r="AB643" s="2465"/>
      <c r="AC643" s="2465"/>
      <c r="AD643" s="2465"/>
      <c r="AE643" s="436"/>
      <c r="AF643" s="436"/>
      <c r="AG643" s="436"/>
      <c r="AH643" s="436"/>
      <c r="AI643" s="436"/>
      <c r="AJ643" s="436"/>
      <c r="AK643" s="436"/>
      <c r="AL643" s="436"/>
      <c r="AN643" s="495"/>
    </row>
    <row r="644" spans="1:42" s="449" customFormat="1" ht="12.75" customHeight="1">
      <c r="A644" s="535"/>
      <c r="B644" s="514"/>
      <c r="C644" s="830"/>
      <c r="D644" s="559"/>
      <c r="E644" s="2465"/>
      <c r="F644" s="2465"/>
      <c r="G644" s="2465"/>
      <c r="H644" s="2465"/>
      <c r="I644" s="2465"/>
      <c r="J644" s="2465"/>
      <c r="K644" s="2465"/>
      <c r="L644" s="2465"/>
      <c r="M644" s="2465"/>
      <c r="N644" s="2465"/>
      <c r="O644" s="2465"/>
      <c r="P644" s="2465"/>
      <c r="Q644" s="2465"/>
      <c r="R644" s="2465"/>
      <c r="S644" s="2465"/>
      <c r="T644" s="2465"/>
      <c r="U644" s="2465"/>
      <c r="V644" s="2465"/>
      <c r="W644" s="2465"/>
      <c r="X644" s="2465"/>
      <c r="Y644" s="2465"/>
      <c r="Z644" s="2465"/>
      <c r="AA644" s="2465"/>
      <c r="AB644" s="2465"/>
      <c r="AC644" s="2465"/>
      <c r="AD644" s="2465"/>
      <c r="AE644" s="514"/>
      <c r="AF644" s="514"/>
      <c r="AG644" s="514"/>
      <c r="AH644" s="514"/>
      <c r="AI644" s="514"/>
      <c r="AJ644" s="514"/>
      <c r="AK644" s="436"/>
      <c r="AL644" s="436"/>
      <c r="AN644" s="495"/>
    </row>
    <row r="645" spans="1:42" s="449" customFormat="1" ht="12.75" customHeight="1">
      <c r="B645" s="514"/>
      <c r="C645" s="830"/>
      <c r="D645" s="559"/>
      <c r="E645" s="2465"/>
      <c r="F645" s="2465"/>
      <c r="G645" s="2465"/>
      <c r="H645" s="2465"/>
      <c r="I645" s="2465"/>
      <c r="J645" s="2465"/>
      <c r="K645" s="2465"/>
      <c r="L645" s="2465"/>
      <c r="M645" s="2465"/>
      <c r="N645" s="2465"/>
      <c r="O645" s="2465"/>
      <c r="P645" s="2465"/>
      <c r="Q645" s="2465"/>
      <c r="R645" s="2465"/>
      <c r="S645" s="2465"/>
      <c r="T645" s="2465"/>
      <c r="U645" s="2465"/>
      <c r="V645" s="2465"/>
      <c r="W645" s="2465"/>
      <c r="X645" s="2465"/>
      <c r="Y645" s="2465"/>
      <c r="Z645" s="2465"/>
      <c r="AA645" s="2465"/>
      <c r="AB645" s="2465"/>
      <c r="AC645" s="2465"/>
      <c r="AD645" s="2465"/>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826</v>
      </c>
      <c r="AP646" s="569">
        <v>0</v>
      </c>
    </row>
    <row r="647" spans="1:42" s="449" customFormat="1" ht="12.75" customHeight="1">
      <c r="B647" s="514"/>
      <c r="C647" s="821"/>
      <c r="D647" s="559"/>
      <c r="E647" s="514" t="s">
        <v>2519</v>
      </c>
      <c r="F647" s="831"/>
      <c r="G647" s="831"/>
      <c r="H647" s="831"/>
      <c r="I647" s="831"/>
      <c r="J647" s="831"/>
      <c r="K647" s="831"/>
      <c r="L647" s="831"/>
      <c r="M647" s="831"/>
      <c r="N647" s="831"/>
      <c r="O647" s="831"/>
      <c r="P647" s="831"/>
      <c r="Q647" s="831"/>
      <c r="R647" s="831"/>
      <c r="U647" s="831"/>
      <c r="V647" s="831"/>
      <c r="W647" s="831"/>
      <c r="X647" s="2329" t="s">
        <v>826</v>
      </c>
      <c r="Y647" s="2329"/>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2520</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22" t="s">
        <v>2521</v>
      </c>
      <c r="AG649" s="2322"/>
      <c r="AH649" s="2322"/>
      <c r="AI649" s="2322"/>
      <c r="AJ649" s="2322"/>
      <c r="AK649" s="2322"/>
      <c r="AL649" s="2322"/>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2491</v>
      </c>
      <c r="AP650" s="576">
        <v>4</v>
      </c>
    </row>
    <row r="651" spans="1:42" s="449" customFormat="1" ht="12.75" customHeight="1">
      <c r="B651" s="436"/>
      <c r="C651" s="821"/>
      <c r="D651" s="436" t="s">
        <v>2507</v>
      </c>
      <c r="E651" s="826"/>
      <c r="F651" s="826"/>
      <c r="G651" s="826"/>
      <c r="H651" s="2323" t="s">
        <v>22</v>
      </c>
      <c r="I651" s="2323"/>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2494</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2522</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2523</v>
      </c>
      <c r="AJ653" s="2324">
        <f>VLOOKUP($H$651,$AO$618:$AP$620,2,FALSE)</f>
        <v>3</v>
      </c>
      <c r="AK653" s="2325"/>
      <c r="AL653" s="493"/>
      <c r="AN653" s="495"/>
      <c r="AO653" s="509" t="s">
        <v>2524</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2525</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21" t="s">
        <v>2526</v>
      </c>
      <c r="F657" s="2321"/>
      <c r="G657" s="2321"/>
      <c r="H657" s="2321"/>
      <c r="I657" s="2321"/>
      <c r="J657" s="2321"/>
      <c r="K657" s="2321"/>
      <c r="L657" s="2321"/>
      <c r="M657" s="2321"/>
      <c r="N657" s="2321"/>
      <c r="O657" s="2321"/>
      <c r="P657" s="2321"/>
      <c r="Q657" s="2321"/>
      <c r="R657" s="2321"/>
      <c r="S657" s="2321"/>
      <c r="T657" s="2321"/>
      <c r="U657" s="2321"/>
      <c r="V657" s="2321"/>
      <c r="W657" s="2321"/>
      <c r="X657" s="2321"/>
      <c r="Y657" s="2321"/>
      <c r="Z657" s="2321"/>
      <c r="AA657" s="2321"/>
      <c r="AB657" s="2321"/>
      <c r="AC657" s="2321"/>
      <c r="AD657" s="2321"/>
      <c r="AE657" s="436"/>
      <c r="AF657" s="2322" t="s">
        <v>2233</v>
      </c>
      <c r="AG657" s="2322"/>
      <c r="AH657" s="2322"/>
      <c r="AI657" s="2322"/>
      <c r="AJ657" s="2322"/>
      <c r="AK657" s="2322"/>
      <c r="AL657" s="2322"/>
      <c r="AN657" s="495"/>
    </row>
    <row r="658" spans="1:42" s="449" customFormat="1" ht="12.75" customHeight="1">
      <c r="B658" s="436"/>
      <c r="C658" s="436"/>
      <c r="D658" s="559"/>
      <c r="E658" s="2321"/>
      <c r="F658" s="2321"/>
      <c r="G658" s="2321"/>
      <c r="H658" s="2321"/>
      <c r="I658" s="2321"/>
      <c r="J658" s="2321"/>
      <c r="K658" s="2321"/>
      <c r="L658" s="2321"/>
      <c r="M658" s="2321"/>
      <c r="N658" s="2321"/>
      <c r="O658" s="2321"/>
      <c r="P658" s="2321"/>
      <c r="Q658" s="2321"/>
      <c r="R658" s="2321"/>
      <c r="S658" s="2321"/>
      <c r="T658" s="2321"/>
      <c r="U658" s="2321"/>
      <c r="V658" s="2321"/>
      <c r="W658" s="2321"/>
      <c r="X658" s="2321"/>
      <c r="Y658" s="2321"/>
      <c r="Z658" s="2321"/>
      <c r="AA658" s="2321"/>
      <c r="AB658" s="2321"/>
      <c r="AC658" s="2321"/>
      <c r="AD658" s="2321"/>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2527</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22" t="s">
        <v>2521</v>
      </c>
      <c r="AG660" s="2322"/>
      <c r="AH660" s="2322"/>
      <c r="AI660" s="2322"/>
      <c r="AJ660" s="2322"/>
      <c r="AK660" s="2322"/>
      <c r="AL660" s="2322"/>
      <c r="AN660" s="495"/>
    </row>
    <row r="661" spans="1:42" s="449" customFormat="1" ht="12.75" customHeight="1">
      <c r="B661" s="436"/>
      <c r="C661" s="821"/>
      <c r="D661" s="559"/>
      <c r="E661" s="514" t="s">
        <v>2528</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2507</v>
      </c>
      <c r="E663" s="826"/>
      <c r="F663" s="826"/>
      <c r="G663" s="826"/>
      <c r="H663" s="2323" t="s">
        <v>826</v>
      </c>
      <c r="I663" s="2323"/>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2529</v>
      </c>
      <c r="AJ665" s="2324">
        <f>VLOOKUP(H663,AT618:AU620,2,FALSE)</f>
        <v>0</v>
      </c>
      <c r="AK665" s="2325"/>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2530</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2531</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21" t="s">
        <v>2532</v>
      </c>
      <c r="F670" s="2321"/>
      <c r="G670" s="2321"/>
      <c r="H670" s="2321"/>
      <c r="I670" s="2321"/>
      <c r="J670" s="2321"/>
      <c r="K670" s="2321"/>
      <c r="L670" s="2321"/>
      <c r="M670" s="2321"/>
      <c r="N670" s="2321"/>
      <c r="O670" s="2321"/>
      <c r="P670" s="2321"/>
      <c r="Q670" s="2321"/>
      <c r="R670" s="2321"/>
      <c r="S670" s="2321"/>
      <c r="T670" s="2321"/>
      <c r="U670" s="2321"/>
      <c r="V670" s="2321"/>
      <c r="W670" s="2321"/>
      <c r="X670" s="2321"/>
      <c r="Y670" s="2321"/>
      <c r="Z670" s="2321"/>
      <c r="AA670" s="2321"/>
      <c r="AB670" s="2321"/>
      <c r="AC670" s="2321"/>
      <c r="AD670" s="436"/>
      <c r="AE670" s="436"/>
      <c r="AF670" s="2322" t="s">
        <v>2493</v>
      </c>
      <c r="AG670" s="2322"/>
      <c r="AH670" s="2322"/>
      <c r="AI670" s="2322"/>
      <c r="AJ670" s="2322"/>
      <c r="AK670" s="2322"/>
      <c r="AL670" s="2322"/>
      <c r="AN670" s="495"/>
    </row>
    <row r="671" spans="1:42" s="449" customFormat="1" ht="12.75" customHeight="1">
      <c r="B671" s="436"/>
      <c r="C671" s="439"/>
      <c r="D671" s="436"/>
      <c r="E671" s="2321"/>
      <c r="F671" s="2321"/>
      <c r="G671" s="2321"/>
      <c r="H671" s="2321"/>
      <c r="I671" s="2321"/>
      <c r="J671" s="2321"/>
      <c r="K671" s="2321"/>
      <c r="L671" s="2321"/>
      <c r="M671" s="2321"/>
      <c r="N671" s="2321"/>
      <c r="O671" s="2321"/>
      <c r="P671" s="2321"/>
      <c r="Q671" s="2321"/>
      <c r="R671" s="2321"/>
      <c r="S671" s="2321"/>
      <c r="T671" s="2321"/>
      <c r="U671" s="2321"/>
      <c r="V671" s="2321"/>
      <c r="W671" s="2321"/>
      <c r="X671" s="2321"/>
      <c r="Y671" s="2321"/>
      <c r="Z671" s="2321"/>
      <c r="AA671" s="2321"/>
      <c r="AB671" s="2321"/>
      <c r="AC671" s="2321"/>
      <c r="AD671" s="436"/>
      <c r="AE671" s="436"/>
      <c r="AF671" s="436"/>
      <c r="AG671" s="436"/>
      <c r="AH671" s="436"/>
      <c r="AI671" s="436"/>
      <c r="AJ671" s="436"/>
      <c r="AK671" s="436"/>
      <c r="AL671" s="436"/>
      <c r="AN671" s="495"/>
    </row>
    <row r="672" spans="1:42" s="449" customFormat="1" ht="12.75" customHeight="1">
      <c r="B672" s="436"/>
      <c r="C672" s="439"/>
      <c r="D672" s="559"/>
      <c r="E672" s="2321"/>
      <c r="F672" s="2321"/>
      <c r="G672" s="2321"/>
      <c r="H672" s="2321"/>
      <c r="I672" s="2321"/>
      <c r="J672" s="2321"/>
      <c r="K672" s="2321"/>
      <c r="L672" s="2321"/>
      <c r="M672" s="2321"/>
      <c r="N672" s="2321"/>
      <c r="O672" s="2321"/>
      <c r="P672" s="2321"/>
      <c r="Q672" s="2321"/>
      <c r="R672" s="2321"/>
      <c r="S672" s="2321"/>
      <c r="T672" s="2321"/>
      <c r="U672" s="2321"/>
      <c r="V672" s="2321"/>
      <c r="W672" s="2321"/>
      <c r="X672" s="2321"/>
      <c r="Y672" s="2321"/>
      <c r="Z672" s="2321"/>
      <c r="AA672" s="2321"/>
      <c r="AB672" s="2321"/>
      <c r="AC672" s="2321"/>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21" t="s">
        <v>2533</v>
      </c>
      <c r="F674" s="2321"/>
      <c r="G674" s="2321"/>
      <c r="H674" s="2321"/>
      <c r="I674" s="2321"/>
      <c r="J674" s="2321"/>
      <c r="K674" s="2321"/>
      <c r="L674" s="2321"/>
      <c r="M674" s="2321"/>
      <c r="N674" s="2321"/>
      <c r="O674" s="2321"/>
      <c r="P674" s="2321"/>
      <c r="Q674" s="2321"/>
      <c r="R674" s="2321"/>
      <c r="S674" s="2321"/>
      <c r="T674" s="2321"/>
      <c r="U674" s="2321"/>
      <c r="V674" s="2321"/>
      <c r="W674" s="2321"/>
      <c r="X674" s="2321"/>
      <c r="Y674" s="2321"/>
      <c r="Z674" s="2321"/>
      <c r="AA674" s="2321"/>
      <c r="AB674" s="2321"/>
      <c r="AC674" s="2321"/>
      <c r="AD674" s="436"/>
      <c r="AE674" s="436"/>
      <c r="AF674" s="2322" t="s">
        <v>2499</v>
      </c>
      <c r="AG674" s="2322"/>
      <c r="AH674" s="2322"/>
      <c r="AI674" s="2322"/>
      <c r="AJ674" s="2322"/>
      <c r="AK674" s="2322"/>
      <c r="AL674" s="2322"/>
      <c r="AN674" s="495"/>
    </row>
    <row r="675" spans="1:42" s="449" customFormat="1" ht="12.75" customHeight="1">
      <c r="B675" s="436"/>
      <c r="C675" s="439"/>
      <c r="D675" s="436"/>
      <c r="E675" s="2321"/>
      <c r="F675" s="2321"/>
      <c r="G675" s="2321"/>
      <c r="H675" s="2321"/>
      <c r="I675" s="2321"/>
      <c r="J675" s="2321"/>
      <c r="K675" s="2321"/>
      <c r="L675" s="2321"/>
      <c r="M675" s="2321"/>
      <c r="N675" s="2321"/>
      <c r="O675" s="2321"/>
      <c r="P675" s="2321"/>
      <c r="Q675" s="2321"/>
      <c r="R675" s="2321"/>
      <c r="S675" s="2321"/>
      <c r="T675" s="2321"/>
      <c r="U675" s="2321"/>
      <c r="V675" s="2321"/>
      <c r="W675" s="2321"/>
      <c r="X675" s="2321"/>
      <c r="Y675" s="2321"/>
      <c r="Z675" s="2321"/>
      <c r="AA675" s="2321"/>
      <c r="AB675" s="2321"/>
      <c r="AC675" s="2321"/>
      <c r="AD675" s="436"/>
      <c r="AE675" s="436"/>
      <c r="AF675" s="436"/>
      <c r="AG675" s="436"/>
      <c r="AH675" s="436"/>
      <c r="AI675" s="436"/>
      <c r="AJ675" s="436"/>
      <c r="AK675" s="436"/>
      <c r="AL675" s="436"/>
      <c r="AN675" s="495"/>
    </row>
    <row r="676" spans="1:42" s="449" customFormat="1" ht="15" customHeight="1">
      <c r="B676" s="436"/>
      <c r="C676" s="439"/>
      <c r="D676" s="559"/>
      <c r="E676" s="2321"/>
      <c r="F676" s="2321"/>
      <c r="G676" s="2321"/>
      <c r="H676" s="2321"/>
      <c r="I676" s="2321"/>
      <c r="J676" s="2321"/>
      <c r="K676" s="2321"/>
      <c r="L676" s="2321"/>
      <c r="M676" s="2321"/>
      <c r="N676" s="2321"/>
      <c r="O676" s="2321"/>
      <c r="P676" s="2321"/>
      <c r="Q676" s="2321"/>
      <c r="R676" s="2321"/>
      <c r="S676" s="2321"/>
      <c r="T676" s="2321"/>
      <c r="U676" s="2321"/>
      <c r="V676" s="2321"/>
      <c r="W676" s="2321"/>
      <c r="X676" s="2321"/>
      <c r="Y676" s="2321"/>
      <c r="Z676" s="2321"/>
      <c r="AA676" s="2321"/>
      <c r="AB676" s="2321"/>
      <c r="AC676" s="2321"/>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21" t="s">
        <v>2534</v>
      </c>
      <c r="F678" s="2321"/>
      <c r="G678" s="2321"/>
      <c r="H678" s="2321"/>
      <c r="I678" s="2321"/>
      <c r="J678" s="2321"/>
      <c r="K678" s="2321"/>
      <c r="L678" s="2321"/>
      <c r="M678" s="2321"/>
      <c r="N678" s="2321"/>
      <c r="O678" s="2321"/>
      <c r="P678" s="2321"/>
      <c r="Q678" s="2321"/>
      <c r="R678" s="2321"/>
      <c r="S678" s="2321"/>
      <c r="T678" s="2321"/>
      <c r="U678" s="2321"/>
      <c r="V678" s="2321"/>
      <c r="W678" s="2321"/>
      <c r="X678" s="2321"/>
      <c r="Y678" s="2321"/>
      <c r="Z678" s="2321"/>
      <c r="AA678" s="2321"/>
      <c r="AB678" s="2321"/>
      <c r="AC678" s="2321"/>
      <c r="AD678" s="436"/>
      <c r="AE678" s="436"/>
      <c r="AF678" s="2322" t="s">
        <v>2233</v>
      </c>
      <c r="AG678" s="2322"/>
      <c r="AH678" s="2322"/>
      <c r="AI678" s="2322"/>
      <c r="AJ678" s="2322"/>
      <c r="AK678" s="2322"/>
      <c r="AL678" s="2322"/>
      <c r="AN678" s="495"/>
    </row>
    <row r="679" spans="1:42" s="449" customFormat="1" ht="12.75" customHeight="1">
      <c r="B679" s="436"/>
      <c r="C679" s="821"/>
      <c r="D679" s="436"/>
      <c r="E679" s="2321"/>
      <c r="F679" s="2321"/>
      <c r="G679" s="2321"/>
      <c r="H679" s="2321"/>
      <c r="I679" s="2321"/>
      <c r="J679" s="2321"/>
      <c r="K679" s="2321"/>
      <c r="L679" s="2321"/>
      <c r="M679" s="2321"/>
      <c r="N679" s="2321"/>
      <c r="O679" s="2321"/>
      <c r="P679" s="2321"/>
      <c r="Q679" s="2321"/>
      <c r="R679" s="2321"/>
      <c r="S679" s="2321"/>
      <c r="T679" s="2321"/>
      <c r="U679" s="2321"/>
      <c r="V679" s="2321"/>
      <c r="W679" s="2321"/>
      <c r="X679" s="2321"/>
      <c r="Y679" s="2321"/>
      <c r="Z679" s="2321"/>
      <c r="AA679" s="2321"/>
      <c r="AB679" s="2321"/>
      <c r="AC679" s="2321"/>
      <c r="AD679" s="436"/>
      <c r="AE679" s="2322"/>
      <c r="AF679" s="2322"/>
      <c r="AG679" s="2322"/>
      <c r="AH679" s="2322"/>
      <c r="AI679" s="2322"/>
      <c r="AJ679" s="2322"/>
      <c r="AK679" s="2322"/>
      <c r="AL679" s="492"/>
      <c r="AN679" s="495"/>
      <c r="AO679" s="449" t="s">
        <v>826</v>
      </c>
      <c r="AP679" s="569">
        <v>0</v>
      </c>
    </row>
    <row r="680" spans="1:42" s="449" customFormat="1" ht="12.75" customHeight="1">
      <c r="A680" s="575"/>
      <c r="B680" s="436"/>
      <c r="C680" s="436"/>
      <c r="D680" s="559"/>
      <c r="E680" s="2321"/>
      <c r="F680" s="2321"/>
      <c r="G680" s="2321"/>
      <c r="H680" s="2321"/>
      <c r="I680" s="2321"/>
      <c r="J680" s="2321"/>
      <c r="K680" s="2321"/>
      <c r="L680" s="2321"/>
      <c r="M680" s="2321"/>
      <c r="N680" s="2321"/>
      <c r="O680" s="2321"/>
      <c r="P680" s="2321"/>
      <c r="Q680" s="2321"/>
      <c r="R680" s="2321"/>
      <c r="S680" s="2321"/>
      <c r="T680" s="2321"/>
      <c r="U680" s="2321"/>
      <c r="V680" s="2321"/>
      <c r="W680" s="2321"/>
      <c r="X680" s="2321"/>
      <c r="Y680" s="2321"/>
      <c r="Z680" s="2321"/>
      <c r="AA680" s="2321"/>
      <c r="AB680" s="2321"/>
      <c r="AC680" s="2321"/>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2491</v>
      </c>
      <c r="E682" s="2321" t="s">
        <v>2535</v>
      </c>
      <c r="F682" s="2321"/>
      <c r="G682" s="2321"/>
      <c r="H682" s="2321"/>
      <c r="I682" s="2321"/>
      <c r="J682" s="2321"/>
      <c r="K682" s="2321"/>
      <c r="L682" s="2321"/>
      <c r="M682" s="2321"/>
      <c r="N682" s="2321"/>
      <c r="O682" s="2321"/>
      <c r="P682" s="2321"/>
      <c r="Q682" s="2321"/>
      <c r="R682" s="2321"/>
      <c r="S682" s="2321"/>
      <c r="T682" s="2321"/>
      <c r="U682" s="2321"/>
      <c r="V682" s="2321"/>
      <c r="W682" s="2321"/>
      <c r="X682" s="2321"/>
      <c r="Y682" s="2321"/>
      <c r="Z682" s="2321"/>
      <c r="AA682" s="2321"/>
      <c r="AB682" s="2321"/>
      <c r="AC682" s="2321"/>
      <c r="AD682" s="436"/>
      <c r="AE682" s="436"/>
      <c r="AF682" s="2322" t="s">
        <v>2499</v>
      </c>
      <c r="AG682" s="2322"/>
      <c r="AH682" s="2322"/>
      <c r="AI682" s="2322"/>
      <c r="AJ682" s="2322"/>
      <c r="AK682" s="2322"/>
      <c r="AL682" s="2322"/>
      <c r="AN682" s="495"/>
    </row>
    <row r="683" spans="1:42" s="449" customFormat="1" ht="12.75" customHeight="1">
      <c r="A683" s="566"/>
      <c r="B683" s="436"/>
      <c r="C683" s="837"/>
      <c r="D683" s="559"/>
      <c r="E683" s="2321"/>
      <c r="F683" s="2321"/>
      <c r="G683" s="2321"/>
      <c r="H683" s="2321"/>
      <c r="I683" s="2321"/>
      <c r="J683" s="2321"/>
      <c r="K683" s="2321"/>
      <c r="L683" s="2321"/>
      <c r="M683" s="2321"/>
      <c r="N683" s="2321"/>
      <c r="O683" s="2321"/>
      <c r="P683" s="2321"/>
      <c r="Q683" s="2321"/>
      <c r="R683" s="2321"/>
      <c r="S683" s="2321"/>
      <c r="T683" s="2321"/>
      <c r="U683" s="2321"/>
      <c r="V683" s="2321"/>
      <c r="W683" s="2321"/>
      <c r="X683" s="2321"/>
      <c r="Y683" s="2321"/>
      <c r="Z683" s="2321"/>
      <c r="AA683" s="2321"/>
      <c r="AB683" s="2321"/>
      <c r="AC683" s="2321"/>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21"/>
      <c r="F684" s="2321"/>
      <c r="G684" s="2321"/>
      <c r="H684" s="2321"/>
      <c r="I684" s="2321"/>
      <c r="J684" s="2321"/>
      <c r="K684" s="2321"/>
      <c r="L684" s="2321"/>
      <c r="M684" s="2321"/>
      <c r="N684" s="2321"/>
      <c r="O684" s="2321"/>
      <c r="P684" s="2321"/>
      <c r="Q684" s="2321"/>
      <c r="R684" s="2321"/>
      <c r="S684" s="2321"/>
      <c r="T684" s="2321"/>
      <c r="U684" s="2321"/>
      <c r="V684" s="2321"/>
      <c r="W684" s="2321"/>
      <c r="X684" s="2321"/>
      <c r="Y684" s="2321"/>
      <c r="Z684" s="2321"/>
      <c r="AA684" s="2321"/>
      <c r="AB684" s="2321"/>
      <c r="AC684" s="2321"/>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2494</v>
      </c>
      <c r="E686" s="2321" t="s">
        <v>2536</v>
      </c>
      <c r="F686" s="2321"/>
      <c r="G686" s="2321"/>
      <c r="H686" s="2321"/>
      <c r="I686" s="2321"/>
      <c r="J686" s="2321"/>
      <c r="K686" s="2321"/>
      <c r="L686" s="2321"/>
      <c r="M686" s="2321"/>
      <c r="N686" s="2321"/>
      <c r="O686" s="2321"/>
      <c r="P686" s="2321"/>
      <c r="Q686" s="2321"/>
      <c r="R686" s="2321"/>
      <c r="S686" s="2321"/>
      <c r="T686" s="2321"/>
      <c r="U686" s="2321"/>
      <c r="V686" s="2321"/>
      <c r="W686" s="2321"/>
      <c r="X686" s="2321"/>
      <c r="Y686" s="2321"/>
      <c r="Z686" s="2321"/>
      <c r="AA686" s="2321"/>
      <c r="AB686" s="2321"/>
      <c r="AC686" s="2321"/>
      <c r="AD686" s="436"/>
      <c r="AE686" s="436"/>
      <c r="AF686" s="2322" t="s">
        <v>2233</v>
      </c>
      <c r="AG686" s="2322"/>
      <c r="AH686" s="2322"/>
      <c r="AI686" s="2322"/>
      <c r="AJ686" s="2322"/>
      <c r="AK686" s="2322"/>
      <c r="AL686" s="2322"/>
      <c r="AM686" s="494"/>
      <c r="AN686" s="495"/>
    </row>
    <row r="687" spans="1:42" s="449" customFormat="1" ht="12.75" customHeight="1">
      <c r="B687" s="436"/>
      <c r="C687" s="821"/>
      <c r="D687" s="559"/>
      <c r="E687" s="2321"/>
      <c r="F687" s="2321"/>
      <c r="G687" s="2321"/>
      <c r="H687" s="2321"/>
      <c r="I687" s="2321"/>
      <c r="J687" s="2321"/>
      <c r="K687" s="2321"/>
      <c r="L687" s="2321"/>
      <c r="M687" s="2321"/>
      <c r="N687" s="2321"/>
      <c r="O687" s="2321"/>
      <c r="P687" s="2321"/>
      <c r="Q687" s="2321"/>
      <c r="R687" s="2321"/>
      <c r="S687" s="2321"/>
      <c r="T687" s="2321"/>
      <c r="U687" s="2321"/>
      <c r="V687" s="2321"/>
      <c r="W687" s="2321"/>
      <c r="X687" s="2321"/>
      <c r="Y687" s="2321"/>
      <c r="Z687" s="2321"/>
      <c r="AA687" s="2321"/>
      <c r="AB687" s="2321"/>
      <c r="AC687" s="2321"/>
      <c r="AD687" s="436"/>
      <c r="AE687" s="436"/>
      <c r="AF687" s="436"/>
      <c r="AG687" s="436"/>
      <c r="AH687" s="436"/>
      <c r="AI687" s="436"/>
      <c r="AJ687" s="436"/>
      <c r="AK687" s="436"/>
      <c r="AL687" s="436"/>
      <c r="AM687" s="494"/>
      <c r="AN687" s="495"/>
    </row>
    <row r="688" spans="1:42" s="449" customFormat="1" ht="12.75" customHeight="1">
      <c r="B688" s="436"/>
      <c r="C688" s="821"/>
      <c r="D688" s="559"/>
      <c r="E688" s="2321"/>
      <c r="F688" s="2321"/>
      <c r="G688" s="2321"/>
      <c r="H688" s="2321"/>
      <c r="I688" s="2321"/>
      <c r="J688" s="2321"/>
      <c r="K688" s="2321"/>
      <c r="L688" s="2321"/>
      <c r="M688" s="2321"/>
      <c r="N688" s="2321"/>
      <c r="O688" s="2321"/>
      <c r="P688" s="2321"/>
      <c r="Q688" s="2321"/>
      <c r="R688" s="2321"/>
      <c r="S688" s="2321"/>
      <c r="T688" s="2321"/>
      <c r="U688" s="2321"/>
      <c r="V688" s="2321"/>
      <c r="W688" s="2321"/>
      <c r="X688" s="2321"/>
      <c r="Y688" s="2321"/>
      <c r="Z688" s="2321"/>
      <c r="AA688" s="2321"/>
      <c r="AB688" s="2321"/>
      <c r="AC688" s="2321"/>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2522</v>
      </c>
      <c r="E690" s="2321" t="s">
        <v>2537</v>
      </c>
      <c r="F690" s="2321"/>
      <c r="G690" s="2321"/>
      <c r="H690" s="2321"/>
      <c r="I690" s="2321"/>
      <c r="J690" s="2321"/>
      <c r="K690" s="2321"/>
      <c r="L690" s="2321"/>
      <c r="M690" s="2321"/>
      <c r="N690" s="2321"/>
      <c r="O690" s="2321"/>
      <c r="P690" s="2321"/>
      <c r="Q690" s="2321"/>
      <c r="R690" s="2321"/>
      <c r="S690" s="2321"/>
      <c r="T690" s="2321"/>
      <c r="U690" s="2321"/>
      <c r="V690" s="2321"/>
      <c r="W690" s="2321"/>
      <c r="X690" s="2321"/>
      <c r="Y690" s="2321"/>
      <c r="Z690" s="2321"/>
      <c r="AA690" s="2321"/>
      <c r="AB690" s="2321"/>
      <c r="AC690" s="2321"/>
      <c r="AD690" s="436"/>
      <c r="AE690" s="436"/>
      <c r="AF690" s="2322" t="s">
        <v>2521</v>
      </c>
      <c r="AG690" s="2322"/>
      <c r="AH690" s="2322"/>
      <c r="AI690" s="2322"/>
      <c r="AJ690" s="2322"/>
      <c r="AK690" s="2322"/>
      <c r="AL690" s="2322"/>
      <c r="AM690" s="494"/>
      <c r="AN690" s="495"/>
    </row>
    <row r="691" spans="1:50" s="449" customFormat="1" ht="12.75" customHeight="1">
      <c r="A691" s="575"/>
      <c r="B691" s="436"/>
      <c r="C691" s="821"/>
      <c r="D691" s="559"/>
      <c r="E691" s="2321"/>
      <c r="F691" s="2321"/>
      <c r="G691" s="2321"/>
      <c r="H691" s="2321"/>
      <c r="I691" s="2321"/>
      <c r="J691" s="2321"/>
      <c r="K691" s="2321"/>
      <c r="L691" s="2321"/>
      <c r="M691" s="2321"/>
      <c r="N691" s="2321"/>
      <c r="O691" s="2321"/>
      <c r="P691" s="2321"/>
      <c r="Q691" s="2321"/>
      <c r="R691" s="2321"/>
      <c r="S691" s="2321"/>
      <c r="T691" s="2321"/>
      <c r="U691" s="2321"/>
      <c r="V691" s="2321"/>
      <c r="W691" s="2321"/>
      <c r="X691" s="2321"/>
      <c r="Y691" s="2321"/>
      <c r="Z691" s="2321"/>
      <c r="AA691" s="2321"/>
      <c r="AB691" s="2321"/>
      <c r="AC691" s="2321"/>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21"/>
      <c r="F692" s="2321"/>
      <c r="G692" s="2321"/>
      <c r="H692" s="2321"/>
      <c r="I692" s="2321"/>
      <c r="J692" s="2321"/>
      <c r="K692" s="2321"/>
      <c r="L692" s="2321"/>
      <c r="M692" s="2321"/>
      <c r="N692" s="2321"/>
      <c r="O692" s="2321"/>
      <c r="P692" s="2321"/>
      <c r="Q692" s="2321"/>
      <c r="R692" s="2321"/>
      <c r="S692" s="2321"/>
      <c r="T692" s="2321"/>
      <c r="U692" s="2321"/>
      <c r="V692" s="2321"/>
      <c r="W692" s="2321"/>
      <c r="X692" s="2321"/>
      <c r="Y692" s="2321"/>
      <c r="Z692" s="2321"/>
      <c r="AA692" s="2321"/>
      <c r="AB692" s="2321"/>
      <c r="AC692" s="2321"/>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826</v>
      </c>
      <c r="AP693" s="535">
        <v>0</v>
      </c>
    </row>
    <row r="694" spans="1:50" s="449" customFormat="1" ht="12.75" customHeight="1">
      <c r="A694" s="575"/>
      <c r="B694" s="436"/>
      <c r="C694" s="821"/>
      <c r="D694" s="559" t="s">
        <v>2524</v>
      </c>
      <c r="E694" s="2321" t="s">
        <v>2538</v>
      </c>
      <c r="F694" s="2321"/>
      <c r="G694" s="2321"/>
      <c r="H694" s="2321"/>
      <c r="I694" s="2321"/>
      <c r="J694" s="2321"/>
      <c r="K694" s="2321"/>
      <c r="L694" s="2321"/>
      <c r="M694" s="2321"/>
      <c r="N694" s="2321"/>
      <c r="O694" s="2321"/>
      <c r="P694" s="2321"/>
      <c r="Q694" s="2321"/>
      <c r="R694" s="2321"/>
      <c r="S694" s="2321"/>
      <c r="T694" s="2321"/>
      <c r="U694" s="2321"/>
      <c r="V694" s="2321"/>
      <c r="W694" s="2321"/>
      <c r="X694" s="2321"/>
      <c r="Y694" s="2321"/>
      <c r="Z694" s="2321"/>
      <c r="AA694" s="2321"/>
      <c r="AB694" s="2321"/>
      <c r="AC694" s="2321"/>
      <c r="AD694" s="436"/>
      <c r="AE694" s="436"/>
      <c r="AF694" s="2322" t="s">
        <v>2539</v>
      </c>
      <c r="AG694" s="2322"/>
      <c r="AH694" s="2322"/>
      <c r="AI694" s="2322"/>
      <c r="AJ694" s="2322"/>
      <c r="AK694" s="2322"/>
      <c r="AL694" s="2322"/>
      <c r="AM694" s="494"/>
      <c r="AN694" s="495"/>
      <c r="AO694" s="509" t="s">
        <v>22</v>
      </c>
      <c r="AP694" s="449">
        <v>3</v>
      </c>
    </row>
    <row r="695" spans="1:50" s="449" customFormat="1" ht="12.75" customHeight="1">
      <c r="A695" s="575"/>
      <c r="B695" s="436"/>
      <c r="C695" s="821"/>
      <c r="D695" s="559"/>
      <c r="E695" s="2321"/>
      <c r="F695" s="2321"/>
      <c r="G695" s="2321"/>
      <c r="H695" s="2321"/>
      <c r="I695" s="2321"/>
      <c r="J695" s="2321"/>
      <c r="K695" s="2321"/>
      <c r="L695" s="2321"/>
      <c r="M695" s="2321"/>
      <c r="N695" s="2321"/>
      <c r="O695" s="2321"/>
      <c r="P695" s="2321"/>
      <c r="Q695" s="2321"/>
      <c r="R695" s="2321"/>
      <c r="S695" s="2321"/>
      <c r="T695" s="2321"/>
      <c r="U695" s="2321"/>
      <c r="V695" s="2321"/>
      <c r="W695" s="2321"/>
      <c r="X695" s="2321"/>
      <c r="Y695" s="2321"/>
      <c r="Z695" s="2321"/>
      <c r="AA695" s="2321"/>
      <c r="AB695" s="2321"/>
      <c r="AC695" s="2321"/>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21"/>
      <c r="F696" s="2321"/>
      <c r="G696" s="2321"/>
      <c r="H696" s="2321"/>
      <c r="I696" s="2321"/>
      <c r="J696" s="2321"/>
      <c r="K696" s="2321"/>
      <c r="L696" s="2321"/>
      <c r="M696" s="2321"/>
      <c r="N696" s="2321"/>
      <c r="O696" s="2321"/>
      <c r="P696" s="2321"/>
      <c r="Q696" s="2321"/>
      <c r="R696" s="2321"/>
      <c r="S696" s="2321"/>
      <c r="T696" s="2321"/>
      <c r="U696" s="2321"/>
      <c r="V696" s="2321"/>
      <c r="W696" s="2321"/>
      <c r="X696" s="2321"/>
      <c r="Y696" s="2321"/>
      <c r="Z696" s="2321"/>
      <c r="AA696" s="2321"/>
      <c r="AB696" s="2321"/>
      <c r="AC696" s="2321"/>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2507</v>
      </c>
      <c r="E698" s="826"/>
      <c r="F698" s="826"/>
      <c r="G698" s="826"/>
      <c r="H698" s="2323" t="s">
        <v>27</v>
      </c>
      <c r="I698" s="2323"/>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2540</v>
      </c>
      <c r="AJ700" s="2324">
        <f>VLOOKUP($H$698,$AO$646:$AP$653,2,FALSE)</f>
        <v>4</v>
      </c>
      <c r="AK700" s="2325"/>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2541</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2542</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2543</v>
      </c>
      <c r="AX703" s="1035">
        <f>Application!G761</f>
        <v>112</v>
      </c>
    </row>
    <row r="704" spans="1:50" s="449" customFormat="1" ht="12.75" customHeight="1">
      <c r="A704" s="575"/>
      <c r="B704" s="436"/>
      <c r="C704" s="838"/>
      <c r="D704" s="559" t="s">
        <v>22</v>
      </c>
      <c r="E704" s="2327" t="s">
        <v>2544</v>
      </c>
      <c r="F704" s="2327"/>
      <c r="G704" s="2327"/>
      <c r="H704" s="2327"/>
      <c r="I704" s="2327"/>
      <c r="J704" s="2327"/>
      <c r="K704" s="2327"/>
      <c r="L704" s="2327"/>
      <c r="M704" s="2327"/>
      <c r="N704" s="2327"/>
      <c r="O704" s="2327"/>
      <c r="P704" s="2327"/>
      <c r="Q704" s="2327"/>
      <c r="R704" s="2327"/>
      <c r="S704" s="2327"/>
      <c r="T704" s="2327"/>
      <c r="U704" s="2327"/>
      <c r="V704" s="2327"/>
      <c r="W704" s="2327"/>
      <c r="X704" s="2327"/>
      <c r="Y704" s="2327"/>
      <c r="Z704" s="2327"/>
      <c r="AA704" s="2327"/>
      <c r="AB704" s="2327"/>
      <c r="AC704" s="436"/>
      <c r="AD704" s="436"/>
      <c r="AE704" s="436"/>
      <c r="AF704" s="2322" t="s">
        <v>2233</v>
      </c>
      <c r="AG704" s="2322"/>
      <c r="AH704" s="2322"/>
      <c r="AI704" s="2322"/>
      <c r="AJ704" s="2322"/>
      <c r="AK704" s="2322"/>
      <c r="AL704" s="2322"/>
      <c r="AN704" s="495"/>
      <c r="AW704" s="19" t="s">
        <v>2545</v>
      </c>
      <c r="AX704" s="449">
        <f>Application!DE761</f>
        <v>53</v>
      </c>
    </row>
    <row r="705" spans="1:51" s="449" customFormat="1" ht="12.75" customHeight="1">
      <c r="A705" s="575"/>
      <c r="B705" s="436"/>
      <c r="C705" s="838"/>
      <c r="D705" s="559"/>
      <c r="E705" s="2327"/>
      <c r="F705" s="2327"/>
      <c r="G705" s="2327"/>
      <c r="H705" s="2327"/>
      <c r="I705" s="2327"/>
      <c r="J705" s="2327"/>
      <c r="K705" s="2327"/>
      <c r="L705" s="2327"/>
      <c r="M705" s="2327"/>
      <c r="N705" s="2327"/>
      <c r="O705" s="2327"/>
      <c r="P705" s="2327"/>
      <c r="Q705" s="2327"/>
      <c r="R705" s="2327"/>
      <c r="S705" s="2327"/>
      <c r="T705" s="2327"/>
      <c r="U705" s="2327"/>
      <c r="V705" s="2327"/>
      <c r="W705" s="2327"/>
      <c r="X705" s="2327"/>
      <c r="Y705" s="2327"/>
      <c r="Z705" s="2327"/>
      <c r="AA705" s="2327"/>
      <c r="AB705" s="2327"/>
      <c r="AC705" s="436"/>
      <c r="AD705" s="436"/>
      <c r="AE705" s="436"/>
      <c r="AF705" s="436"/>
      <c r="AG705" s="436"/>
      <c r="AH705" s="436"/>
      <c r="AI705" s="436"/>
      <c r="AJ705" s="436"/>
      <c r="AK705" s="436"/>
      <c r="AL705" s="436"/>
      <c r="AN705" s="495"/>
      <c r="AW705" s="19" t="s">
        <v>2546</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2547</v>
      </c>
      <c r="AX706" s="449">
        <f>Application!DO761</f>
        <v>0</v>
      </c>
    </row>
    <row r="707" spans="1:51" s="449" customFormat="1" ht="12.75" customHeight="1">
      <c r="B707" s="436"/>
      <c r="C707" s="821"/>
      <c r="D707" s="559" t="s">
        <v>27</v>
      </c>
      <c r="E707" s="2321" t="s">
        <v>2548</v>
      </c>
      <c r="F707" s="2321"/>
      <c r="G707" s="2321"/>
      <c r="H707" s="2321"/>
      <c r="I707" s="2321"/>
      <c r="J707" s="2321"/>
      <c r="K707" s="2321"/>
      <c r="L707" s="2321"/>
      <c r="M707" s="2321"/>
      <c r="N707" s="2321"/>
      <c r="O707" s="2321"/>
      <c r="P707" s="2321"/>
      <c r="Q707" s="2321"/>
      <c r="R707" s="2321"/>
      <c r="S707" s="2321"/>
      <c r="T707" s="2321"/>
      <c r="U707" s="2321"/>
      <c r="V707" s="2321"/>
      <c r="W707" s="2321"/>
      <c r="X707" s="2321"/>
      <c r="Y707" s="2321"/>
      <c r="Z707" s="2321"/>
      <c r="AA707" s="2321"/>
      <c r="AB707" s="2321"/>
      <c r="AC707" s="436"/>
      <c r="AD707" s="436"/>
      <c r="AE707" s="436"/>
      <c r="AF707" s="2322" t="s">
        <v>2233</v>
      </c>
      <c r="AG707" s="2322"/>
      <c r="AH707" s="2322"/>
      <c r="AI707" s="2322"/>
      <c r="AJ707" s="2322"/>
      <c r="AK707" s="2322"/>
      <c r="AL707" s="2322"/>
      <c r="AN707" s="495"/>
      <c r="AW707" s="19" t="s">
        <v>2549</v>
      </c>
      <c r="AX707" s="449">
        <f>AX704+AX705+AX706</f>
        <v>53</v>
      </c>
    </row>
    <row r="708" spans="1:51" s="449" customFormat="1" ht="12.75" customHeight="1">
      <c r="B708" s="436"/>
      <c r="C708" s="830"/>
      <c r="D708" s="559"/>
      <c r="E708" s="2321"/>
      <c r="F708" s="2321"/>
      <c r="G708" s="2321"/>
      <c r="H708" s="2321"/>
      <c r="I708" s="2321"/>
      <c r="J708" s="2321"/>
      <c r="K708" s="2321"/>
      <c r="L708" s="2321"/>
      <c r="M708" s="2321"/>
      <c r="N708" s="2321"/>
      <c r="O708" s="2321"/>
      <c r="P708" s="2321"/>
      <c r="Q708" s="2321"/>
      <c r="R708" s="2321"/>
      <c r="S708" s="2321"/>
      <c r="T708" s="2321"/>
      <c r="U708" s="2321"/>
      <c r="V708" s="2321"/>
      <c r="W708" s="2321"/>
      <c r="X708" s="2321"/>
      <c r="Y708" s="2321"/>
      <c r="Z708" s="2321"/>
      <c r="AA708" s="2321"/>
      <c r="AB708" s="2321"/>
      <c r="AC708" s="436"/>
      <c r="AD708" s="436"/>
      <c r="AE708" s="514"/>
      <c r="AF708" s="436"/>
      <c r="AG708" s="436"/>
      <c r="AH708" s="436"/>
      <c r="AI708" s="436"/>
      <c r="AJ708" s="436"/>
      <c r="AK708" s="436"/>
      <c r="AL708" s="436"/>
      <c r="AN708" s="495"/>
      <c r="AO708" s="2391" t="b">
        <f>IF(Application!D211="Special Needs",IF(AY708&gt;=0.25,TRUE,FALSE),IF(AX708&gt;=0.25,TRUE,FALSE))</f>
        <v>1</v>
      </c>
      <c r="AP708" s="2391"/>
      <c r="AW708" s="19" t="s">
        <v>2550</v>
      </c>
      <c r="AX708" s="449">
        <f>IFERROR(AX707/AX703,0)</f>
        <v>0.4732142857142857</v>
      </c>
      <c r="AY708" s="449">
        <f>IFERROR(AX707/(AX703-AX702),0)</f>
        <v>0.4732142857142857</v>
      </c>
    </row>
    <row r="709" spans="1:51" s="449" customFormat="1" ht="12.75" customHeight="1">
      <c r="B709" s="436"/>
      <c r="C709" s="830"/>
      <c r="E709" s="2321"/>
      <c r="F709" s="2321"/>
      <c r="G709" s="2321"/>
      <c r="H709" s="2321"/>
      <c r="I709" s="2321"/>
      <c r="J709" s="2321"/>
      <c r="K709" s="2321"/>
      <c r="L709" s="2321"/>
      <c r="M709" s="2321"/>
      <c r="N709" s="2321"/>
      <c r="O709" s="2321"/>
      <c r="P709" s="2321"/>
      <c r="Q709" s="2321"/>
      <c r="R709" s="2321"/>
      <c r="S709" s="2321"/>
      <c r="T709" s="2321"/>
      <c r="U709" s="2321"/>
      <c r="V709" s="2321"/>
      <c r="W709" s="2321"/>
      <c r="X709" s="2321"/>
      <c r="Y709" s="2321"/>
      <c r="Z709" s="2321"/>
      <c r="AA709" s="2321"/>
      <c r="AB709" s="2321"/>
      <c r="AC709" s="436"/>
      <c r="AD709" s="436"/>
      <c r="AE709" s="514"/>
      <c r="AF709" s="514"/>
      <c r="AG709" s="514"/>
      <c r="AH709" s="514"/>
      <c r="AI709" s="514"/>
      <c r="AJ709" s="514"/>
      <c r="AK709" s="514"/>
      <c r="AL709" s="514"/>
      <c r="AN709" s="495"/>
      <c r="AW709" s="13"/>
    </row>
    <row r="710" spans="1:51" s="449" customFormat="1" ht="28.5" customHeight="1">
      <c r="B710" s="436"/>
      <c r="C710" s="830"/>
      <c r="D710" s="436"/>
      <c r="E710" s="2321"/>
      <c r="F710" s="2321"/>
      <c r="G710" s="2321"/>
      <c r="H710" s="2321"/>
      <c r="I710" s="2321"/>
      <c r="J710" s="2321"/>
      <c r="K710" s="2321"/>
      <c r="L710" s="2321"/>
      <c r="M710" s="2321"/>
      <c r="N710" s="2321"/>
      <c r="O710" s="2321"/>
      <c r="P710" s="2321"/>
      <c r="Q710" s="2321"/>
      <c r="R710" s="2321"/>
      <c r="S710" s="2321"/>
      <c r="T710" s="2321"/>
      <c r="U710" s="2321"/>
      <c r="V710" s="2321"/>
      <c r="W710" s="2321"/>
      <c r="X710" s="2321"/>
      <c r="Y710" s="2321"/>
      <c r="Z710" s="2321"/>
      <c r="AA710" s="2321"/>
      <c r="AB710" s="2321"/>
      <c r="AC710" s="436"/>
      <c r="AD710" s="436"/>
      <c r="AE710" s="514"/>
      <c r="AF710" s="514"/>
      <c r="AG710" s="514"/>
      <c r="AH710" s="514"/>
      <c r="AI710" s="514"/>
      <c r="AJ710" s="514"/>
      <c r="AK710" s="514"/>
      <c r="AL710" s="514"/>
      <c r="AN710" s="495"/>
      <c r="AO710" s="449" t="s">
        <v>826</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21" t="s">
        <v>2551</v>
      </c>
      <c r="F712" s="2321"/>
      <c r="G712" s="2321"/>
      <c r="H712" s="2321"/>
      <c r="I712" s="2321"/>
      <c r="J712" s="2321"/>
      <c r="K712" s="2321"/>
      <c r="L712" s="2321"/>
      <c r="M712" s="2321"/>
      <c r="N712" s="2321"/>
      <c r="O712" s="2321"/>
      <c r="P712" s="2321"/>
      <c r="Q712" s="2321"/>
      <c r="R712" s="2321"/>
      <c r="S712" s="2321"/>
      <c r="T712" s="2321"/>
      <c r="U712" s="2321"/>
      <c r="V712" s="2321"/>
      <c r="W712" s="2321"/>
      <c r="X712" s="2321"/>
      <c r="Y712" s="2321"/>
      <c r="Z712" s="2321"/>
      <c r="AA712" s="2321"/>
      <c r="AB712" s="2321"/>
      <c r="AC712" s="436"/>
      <c r="AD712" s="436"/>
      <c r="AE712" s="436"/>
      <c r="AF712" s="2322" t="s">
        <v>2521</v>
      </c>
      <c r="AG712" s="2322"/>
      <c r="AH712" s="2322"/>
      <c r="AI712" s="2322"/>
      <c r="AJ712" s="2322"/>
      <c r="AK712" s="2322"/>
      <c r="AL712" s="2322"/>
      <c r="AN712" s="495"/>
      <c r="AO712" s="509" t="s">
        <v>27</v>
      </c>
      <c r="AP712" s="449">
        <v>1</v>
      </c>
    </row>
    <row r="713" spans="1:51" s="449" customFormat="1" ht="12" customHeight="1">
      <c r="B713" s="436"/>
      <c r="C713" s="821"/>
      <c r="E713" s="2321"/>
      <c r="F713" s="2321"/>
      <c r="G713" s="2321"/>
      <c r="H713" s="2321"/>
      <c r="I713" s="2321"/>
      <c r="J713" s="2321"/>
      <c r="K713" s="2321"/>
      <c r="L713" s="2321"/>
      <c r="M713" s="2321"/>
      <c r="N713" s="2321"/>
      <c r="O713" s="2321"/>
      <c r="P713" s="2321"/>
      <c r="Q713" s="2321"/>
      <c r="R713" s="2321"/>
      <c r="S713" s="2321"/>
      <c r="T713" s="2321"/>
      <c r="U713" s="2321"/>
      <c r="V713" s="2321"/>
      <c r="W713" s="2321"/>
      <c r="X713" s="2321"/>
      <c r="Y713" s="2321"/>
      <c r="Z713" s="2321"/>
      <c r="AA713" s="2321"/>
      <c r="AB713" s="2321"/>
      <c r="AC713" s="436"/>
      <c r="AD713" s="436"/>
      <c r="AE713" s="514"/>
      <c r="AF713" s="436"/>
      <c r="AG713" s="436"/>
      <c r="AH713" s="436"/>
      <c r="AI713" s="436"/>
      <c r="AJ713" s="436"/>
      <c r="AK713" s="436"/>
      <c r="AL713" s="436"/>
      <c r="AN713" s="495"/>
    </row>
    <row r="714" spans="1:51" s="449" customFormat="1" ht="12" customHeight="1">
      <c r="B714" s="436"/>
      <c r="C714" s="821"/>
      <c r="D714" s="436"/>
      <c r="E714" s="2321"/>
      <c r="F714" s="2321"/>
      <c r="G714" s="2321"/>
      <c r="H714" s="2321"/>
      <c r="I714" s="2321"/>
      <c r="J714" s="2321"/>
      <c r="K714" s="2321"/>
      <c r="L714" s="2321"/>
      <c r="M714" s="2321"/>
      <c r="N714" s="2321"/>
      <c r="O714" s="2321"/>
      <c r="P714" s="2321"/>
      <c r="Q714" s="2321"/>
      <c r="R714" s="2321"/>
      <c r="S714" s="2321"/>
      <c r="T714" s="2321"/>
      <c r="U714" s="2321"/>
      <c r="V714" s="2321"/>
      <c r="W714" s="2321"/>
      <c r="X714" s="2321"/>
      <c r="Y714" s="2321"/>
      <c r="Z714" s="2321"/>
      <c r="AA714" s="2321"/>
      <c r="AB714" s="2321"/>
      <c r="AC714" s="436"/>
      <c r="AD714" s="436"/>
      <c r="AE714" s="514"/>
      <c r="AF714" s="436"/>
      <c r="AG714" s="436"/>
      <c r="AH714" s="436"/>
      <c r="AI714" s="436"/>
      <c r="AJ714" s="436"/>
      <c r="AK714" s="436"/>
      <c r="AL714" s="436"/>
      <c r="AN714" s="495"/>
    </row>
    <row r="715" spans="1:51" s="449" customFormat="1" ht="12" customHeight="1">
      <c r="B715" s="436"/>
      <c r="C715" s="821"/>
      <c r="D715" s="436"/>
      <c r="E715" s="2321"/>
      <c r="F715" s="2321"/>
      <c r="G715" s="2321"/>
      <c r="H715" s="2321"/>
      <c r="I715" s="2321"/>
      <c r="J715" s="2321"/>
      <c r="K715" s="2321"/>
      <c r="L715" s="2321"/>
      <c r="M715" s="2321"/>
      <c r="N715" s="2321"/>
      <c r="O715" s="2321"/>
      <c r="P715" s="2321"/>
      <c r="Q715" s="2321"/>
      <c r="R715" s="2321"/>
      <c r="S715" s="2321"/>
      <c r="T715" s="2321"/>
      <c r="U715" s="2321"/>
      <c r="V715" s="2321"/>
      <c r="W715" s="2321"/>
      <c r="X715" s="2321"/>
      <c r="Y715" s="2321"/>
      <c r="Z715" s="2321"/>
      <c r="AA715" s="2321"/>
      <c r="AB715" s="2321"/>
      <c r="AC715" s="436"/>
      <c r="AD715" s="436"/>
      <c r="AE715" s="514"/>
      <c r="AF715" s="436"/>
      <c r="AG715" s="436"/>
      <c r="AH715" s="436"/>
      <c r="AI715" s="436"/>
      <c r="AJ715" s="436"/>
      <c r="AK715" s="436"/>
      <c r="AL715" s="436"/>
      <c r="AN715" s="495"/>
    </row>
    <row r="716" spans="1:51" s="468" customFormat="1" ht="13" customHeight="1">
      <c r="A716" s="449"/>
      <c r="B716" s="436"/>
      <c r="C716" s="821"/>
      <c r="D716" s="436"/>
      <c r="E716" s="2321"/>
      <c r="F716" s="2321"/>
      <c r="G716" s="2321"/>
      <c r="H716" s="2321"/>
      <c r="I716" s="2321"/>
      <c r="J716" s="2321"/>
      <c r="K716" s="2321"/>
      <c r="L716" s="2321"/>
      <c r="M716" s="2321"/>
      <c r="N716" s="2321"/>
      <c r="O716" s="2321"/>
      <c r="P716" s="2321"/>
      <c r="Q716" s="2321"/>
      <c r="R716" s="2321"/>
      <c r="S716" s="2321"/>
      <c r="T716" s="2321"/>
      <c r="U716" s="2321"/>
      <c r="V716" s="2321"/>
      <c r="W716" s="2321"/>
      <c r="X716" s="2321"/>
      <c r="Y716" s="2321"/>
      <c r="Z716" s="2321"/>
      <c r="AA716" s="2321"/>
      <c r="AB716" s="2321"/>
      <c r="AC716" s="436"/>
      <c r="AD716" s="436"/>
      <c r="AE716" s="514"/>
      <c r="AF716" s="514"/>
      <c r="AG716" s="514"/>
      <c r="AH716" s="514"/>
      <c r="AI716" s="514"/>
      <c r="AJ716" s="436"/>
      <c r="AK716" s="436"/>
      <c r="AL716" s="436"/>
      <c r="AM716" s="449"/>
      <c r="AN716" s="580"/>
      <c r="AO716" s="449" t="s">
        <v>826</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21" t="s">
        <v>2552</v>
      </c>
      <c r="F718" s="2321"/>
      <c r="G718" s="2321"/>
      <c r="H718" s="2321"/>
      <c r="I718" s="2321"/>
      <c r="J718" s="2321"/>
      <c r="K718" s="2321"/>
      <c r="L718" s="2321"/>
      <c r="M718" s="2321"/>
      <c r="N718" s="2321"/>
      <c r="O718" s="2321"/>
      <c r="P718" s="2321"/>
      <c r="Q718" s="2321"/>
      <c r="R718" s="2321"/>
      <c r="S718" s="2321"/>
      <c r="T718" s="2321"/>
      <c r="U718" s="2321"/>
      <c r="V718" s="2321"/>
      <c r="W718" s="2321"/>
      <c r="X718" s="2321"/>
      <c r="Y718" s="2321"/>
      <c r="Z718" s="2321"/>
      <c r="AA718" s="2321"/>
      <c r="AB718" s="2321"/>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21"/>
      <c r="F719" s="2321"/>
      <c r="G719" s="2321"/>
      <c r="H719" s="2321"/>
      <c r="I719" s="2321"/>
      <c r="J719" s="2321"/>
      <c r="K719" s="2321"/>
      <c r="L719" s="2321"/>
      <c r="M719" s="2321"/>
      <c r="N719" s="2321"/>
      <c r="O719" s="2321"/>
      <c r="P719" s="2321"/>
      <c r="Q719" s="2321"/>
      <c r="R719" s="2321"/>
      <c r="S719" s="2321"/>
      <c r="T719" s="2321"/>
      <c r="U719" s="2321"/>
      <c r="V719" s="2321"/>
      <c r="W719" s="2321"/>
      <c r="X719" s="2321"/>
      <c r="Y719" s="2321"/>
      <c r="Z719" s="2321"/>
      <c r="AA719" s="2321"/>
      <c r="AB719" s="2321"/>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21"/>
      <c r="F720" s="2321"/>
      <c r="G720" s="2321"/>
      <c r="H720" s="2321"/>
      <c r="I720" s="2321"/>
      <c r="J720" s="2321"/>
      <c r="K720" s="2321"/>
      <c r="L720" s="2321"/>
      <c r="M720" s="2321"/>
      <c r="N720" s="2321"/>
      <c r="O720" s="2321"/>
      <c r="P720" s="2321"/>
      <c r="Q720" s="2321"/>
      <c r="R720" s="2321"/>
      <c r="S720" s="2321"/>
      <c r="T720" s="2321"/>
      <c r="U720" s="2321"/>
      <c r="V720" s="2321"/>
      <c r="W720" s="2321"/>
      <c r="X720" s="2321"/>
      <c r="Y720" s="2321"/>
      <c r="Z720" s="2321"/>
      <c r="AA720" s="2321"/>
      <c r="AB720" s="2321"/>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2507</v>
      </c>
      <c r="E722" s="826"/>
      <c r="F722" s="826"/>
      <c r="G722" s="826"/>
      <c r="H722" s="2323" t="s">
        <v>27</v>
      </c>
      <c r="I722" s="2323"/>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2553</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2517</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2554</v>
      </c>
      <c r="AJ724" s="2324">
        <f>VLOOKUP($H$722,$AO$716:$AP$719,2,FALSE)</f>
        <v>3</v>
      </c>
      <c r="AK724" s="2325"/>
      <c r="AL724" s="493"/>
      <c r="AM724" s="449"/>
      <c r="AN724" s="580"/>
      <c r="AP724" s="468" t="s">
        <v>2525</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2555</v>
      </c>
    </row>
    <row r="726" spans="1:43" s="468" customFormat="1" ht="12.75" customHeight="1">
      <c r="A726" s="449"/>
      <c r="B726" s="436"/>
      <c r="C726" s="439" t="s">
        <v>2556</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2557</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2558</v>
      </c>
    </row>
    <row r="728" spans="1:43" s="468" customFormat="1" ht="12.75" customHeight="1">
      <c r="A728" s="535"/>
      <c r="B728" s="436"/>
      <c r="C728" s="821"/>
      <c r="D728" s="559" t="s">
        <v>22</v>
      </c>
      <c r="E728" s="2463" t="s">
        <v>2559</v>
      </c>
      <c r="F728" s="2463"/>
      <c r="G728" s="2463"/>
      <c r="H728" s="2463"/>
      <c r="I728" s="2463"/>
      <c r="J728" s="2463"/>
      <c r="K728" s="2463"/>
      <c r="L728" s="2463"/>
      <c r="M728" s="2463"/>
      <c r="N728" s="2463"/>
      <c r="O728" s="2463"/>
      <c r="P728" s="2463"/>
      <c r="Q728" s="2463"/>
      <c r="R728" s="2463"/>
      <c r="S728" s="2463"/>
      <c r="T728" s="2463"/>
      <c r="U728" s="2463"/>
      <c r="V728" s="2463"/>
      <c r="W728" s="2463"/>
      <c r="X728" s="2463"/>
      <c r="Y728" s="2463"/>
      <c r="Z728" s="2463"/>
      <c r="AA728" s="2463"/>
      <c r="AB728" s="2463"/>
      <c r="AC728" s="436"/>
      <c r="AD728" s="436"/>
      <c r="AE728" s="436"/>
      <c r="AF728" s="2322" t="s">
        <v>2233</v>
      </c>
      <c r="AG728" s="2322"/>
      <c r="AH728" s="2322"/>
      <c r="AI728" s="2322"/>
      <c r="AJ728" s="2322"/>
      <c r="AK728" s="2322"/>
      <c r="AL728" s="2322"/>
      <c r="AM728" s="449"/>
      <c r="AN728" s="580"/>
      <c r="AP728" s="468" t="s">
        <v>2560</v>
      </c>
    </row>
    <row r="729" spans="1:43" s="468" customFormat="1" ht="12" customHeight="1">
      <c r="A729" s="449"/>
      <c r="B729" s="436"/>
      <c r="C729" s="823"/>
      <c r="D729" s="559"/>
      <c r="E729" s="2463"/>
      <c r="F729" s="2463"/>
      <c r="G729" s="2463"/>
      <c r="H729" s="2463"/>
      <c r="I729" s="2463"/>
      <c r="J729" s="2463"/>
      <c r="K729" s="2463"/>
      <c r="L729" s="2463"/>
      <c r="M729" s="2463"/>
      <c r="N729" s="2463"/>
      <c r="O729" s="2463"/>
      <c r="P729" s="2463"/>
      <c r="Q729" s="2463"/>
      <c r="R729" s="2463"/>
      <c r="S729" s="2463"/>
      <c r="T729" s="2463"/>
      <c r="U729" s="2463"/>
      <c r="V729" s="2463"/>
      <c r="W729" s="2463"/>
      <c r="X729" s="2463"/>
      <c r="Y729" s="2463"/>
      <c r="Z729" s="2463"/>
      <c r="AA729" s="2463"/>
      <c r="AB729" s="2463"/>
      <c r="AC729" s="436"/>
      <c r="AD729" s="436"/>
      <c r="AE729" s="436"/>
      <c r="AF729" s="436"/>
      <c r="AG729" s="436"/>
      <c r="AH729" s="436"/>
      <c r="AI729" s="436"/>
      <c r="AJ729" s="436"/>
      <c r="AK729" s="436"/>
      <c r="AL729" s="436"/>
      <c r="AM729" s="449"/>
      <c r="AN729" s="580"/>
      <c r="AP729" s="468" t="s">
        <v>2561</v>
      </c>
    </row>
    <row r="730" spans="1:43" s="468" customFormat="1" ht="14.25" customHeight="1">
      <c r="A730" s="449"/>
      <c r="B730" s="508"/>
      <c r="C730" s="821"/>
      <c r="D730" s="559"/>
      <c r="E730" s="2463"/>
      <c r="F730" s="2463"/>
      <c r="G730" s="2463"/>
      <c r="H730" s="2463"/>
      <c r="I730" s="2463"/>
      <c r="J730" s="2463"/>
      <c r="K730" s="2463"/>
      <c r="L730" s="2463"/>
      <c r="M730" s="2463"/>
      <c r="N730" s="2463"/>
      <c r="O730" s="2463"/>
      <c r="P730" s="2463"/>
      <c r="Q730" s="2463"/>
      <c r="R730" s="2463"/>
      <c r="S730" s="2463"/>
      <c r="T730" s="2463"/>
      <c r="U730" s="2463"/>
      <c r="V730" s="2463"/>
      <c r="W730" s="2463"/>
      <c r="X730" s="2463"/>
      <c r="Y730" s="2463"/>
      <c r="Z730" s="2463"/>
      <c r="AA730" s="2463"/>
      <c r="AB730" s="2463"/>
      <c r="AC730" s="436"/>
      <c r="AD730" s="436"/>
      <c r="AE730" s="514"/>
      <c r="AF730" s="436"/>
      <c r="AG730" s="436"/>
      <c r="AH730" s="436"/>
      <c r="AI730" s="436"/>
      <c r="AJ730" s="436"/>
      <c r="AK730" s="436"/>
      <c r="AL730" s="436"/>
      <c r="AM730" s="449"/>
      <c r="AN730" s="580"/>
      <c r="AP730" s="468" t="s">
        <v>2562</v>
      </c>
    </row>
    <row r="731" spans="1:43" s="468" customFormat="1" ht="14.25"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2563</v>
      </c>
    </row>
    <row r="732" spans="1:43" s="468" customFormat="1" ht="14.25" customHeight="1">
      <c r="A732" s="449"/>
      <c r="B732" s="436"/>
      <c r="C732" s="821"/>
      <c r="D732" s="559" t="s">
        <v>27</v>
      </c>
      <c r="E732" s="2464" t="s">
        <v>2564</v>
      </c>
      <c r="F732" s="2464"/>
      <c r="G732" s="2464"/>
      <c r="H732" s="2464"/>
      <c r="I732" s="2464"/>
      <c r="J732" s="2464"/>
      <c r="K732" s="2464"/>
      <c r="L732" s="2464"/>
      <c r="M732" s="2464"/>
      <c r="N732" s="2464"/>
      <c r="O732" s="2464"/>
      <c r="P732" s="2464"/>
      <c r="Q732" s="2464"/>
      <c r="R732" s="2464"/>
      <c r="S732" s="2464"/>
      <c r="T732" s="2464"/>
      <c r="U732" s="2464"/>
      <c r="V732" s="2464"/>
      <c r="W732" s="2464"/>
      <c r="X732" s="2464"/>
      <c r="Y732" s="2464"/>
      <c r="Z732" s="2464"/>
      <c r="AA732" s="2464"/>
      <c r="AB732" s="2464"/>
      <c r="AC732" s="436"/>
      <c r="AD732" s="436"/>
      <c r="AE732" s="436"/>
      <c r="AF732" s="2322" t="s">
        <v>2521</v>
      </c>
      <c r="AG732" s="2322"/>
      <c r="AH732" s="2322"/>
      <c r="AI732" s="2322"/>
      <c r="AJ732" s="2322"/>
      <c r="AK732" s="2322"/>
      <c r="AL732" s="2322"/>
      <c r="AM732" s="449"/>
      <c r="AN732" s="581"/>
    </row>
    <row r="733" spans="1:43" s="468" customFormat="1" ht="12.75" customHeight="1">
      <c r="A733" s="449"/>
      <c r="B733" s="436"/>
      <c r="C733" s="823"/>
      <c r="D733" s="436"/>
      <c r="E733" s="2464"/>
      <c r="F733" s="2464"/>
      <c r="G733" s="2464"/>
      <c r="H733" s="2464"/>
      <c r="I733" s="2464"/>
      <c r="J733" s="2464"/>
      <c r="K733" s="2464"/>
      <c r="L733" s="2464"/>
      <c r="M733" s="2464"/>
      <c r="N733" s="2464"/>
      <c r="O733" s="2464"/>
      <c r="P733" s="2464"/>
      <c r="Q733" s="2464"/>
      <c r="R733" s="2464"/>
      <c r="S733" s="2464"/>
      <c r="T733" s="2464"/>
      <c r="U733" s="2464"/>
      <c r="V733" s="2464"/>
      <c r="W733" s="2464"/>
      <c r="X733" s="2464"/>
      <c r="Y733" s="2464"/>
      <c r="Z733" s="2464"/>
      <c r="AA733" s="2464"/>
      <c r="AB733" s="2464"/>
      <c r="AC733" s="436"/>
      <c r="AD733" s="436"/>
      <c r="AE733" s="436"/>
      <c r="AF733" s="436"/>
      <c r="AG733" s="436"/>
      <c r="AH733" s="436"/>
      <c r="AI733" s="436"/>
      <c r="AJ733" s="436"/>
      <c r="AK733" s="436"/>
      <c r="AL733" s="436"/>
      <c r="AM733" s="449"/>
      <c r="AN733" s="580"/>
      <c r="AP733" s="449" t="s">
        <v>826</v>
      </c>
      <c r="AQ733" s="569">
        <v>0</v>
      </c>
    </row>
    <row r="734" spans="1:43" s="468" customFormat="1" ht="14.25" customHeight="1">
      <c r="A734" s="449"/>
      <c r="B734" s="436"/>
      <c r="C734" s="823"/>
      <c r="D734" s="436"/>
      <c r="E734" s="2464"/>
      <c r="F734" s="2464"/>
      <c r="G734" s="2464"/>
      <c r="H734" s="2464"/>
      <c r="I734" s="2464"/>
      <c r="J734" s="2464"/>
      <c r="K734" s="2464"/>
      <c r="L734" s="2464"/>
      <c r="M734" s="2464"/>
      <c r="N734" s="2464"/>
      <c r="O734" s="2464"/>
      <c r="P734" s="2464"/>
      <c r="Q734" s="2464"/>
      <c r="R734" s="2464"/>
      <c r="S734" s="2464"/>
      <c r="T734" s="2464"/>
      <c r="U734" s="2464"/>
      <c r="V734" s="2464"/>
      <c r="W734" s="2464"/>
      <c r="X734" s="2464"/>
      <c r="Y734" s="2464"/>
      <c r="Z734" s="2464"/>
      <c r="AA734" s="2464"/>
      <c r="AB734" s="2464"/>
      <c r="AC734" s="436"/>
      <c r="AD734" s="436"/>
      <c r="AE734" s="436"/>
      <c r="AF734" s="436"/>
      <c r="AG734" s="436"/>
      <c r="AH734" s="436"/>
      <c r="AI734" s="436"/>
      <c r="AJ734" s="436"/>
      <c r="AK734" s="436"/>
      <c r="AL734" s="436"/>
      <c r="AM734" s="449"/>
      <c r="AN734" s="580"/>
      <c r="AP734" s="509" t="s">
        <v>22</v>
      </c>
      <c r="AQ734" s="449">
        <v>3</v>
      </c>
    </row>
    <row r="735" spans="1:43" s="468" customFormat="1" ht="14.25"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25" customHeight="1">
      <c r="A736" s="449"/>
      <c r="B736" s="436"/>
      <c r="C736" s="823"/>
      <c r="D736" s="436" t="s">
        <v>2507</v>
      </c>
      <c r="E736" s="826"/>
      <c r="F736" s="826"/>
      <c r="G736" s="826"/>
      <c r="H736" s="2323" t="s">
        <v>826</v>
      </c>
      <c r="I736" s="2323"/>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2565</v>
      </c>
      <c r="AJ738" s="2324">
        <f>VLOOKUP($H$736,$AP$733:$AQ$735,2,FALSE)</f>
        <v>0</v>
      </c>
      <c r="AK738" s="2325"/>
      <c r="AL738" s="493"/>
      <c r="AM738" s="449"/>
      <c r="AN738" s="580"/>
      <c r="AP738" s="2324"/>
      <c r="AQ738" s="2325"/>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ht="13">
      <c r="A740" s="449"/>
      <c r="B740" s="436"/>
      <c r="C740" s="439" t="s">
        <v>2566</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ht="13">
      <c r="A742" s="449"/>
      <c r="B742" s="436"/>
      <c r="C742" s="821"/>
      <c r="D742" s="559" t="s">
        <v>22</v>
      </c>
      <c r="E742" s="2321" t="s">
        <v>2567</v>
      </c>
      <c r="F742" s="2321"/>
      <c r="G742" s="2321"/>
      <c r="H742" s="2321"/>
      <c r="I742" s="2321"/>
      <c r="J742" s="2321"/>
      <c r="K742" s="2321"/>
      <c r="L742" s="2321"/>
      <c r="M742" s="2321"/>
      <c r="N742" s="2321"/>
      <c r="O742" s="2321"/>
      <c r="P742" s="2321"/>
      <c r="Q742" s="2321"/>
      <c r="R742" s="2321"/>
      <c r="S742" s="2321"/>
      <c r="T742" s="2321"/>
      <c r="U742" s="2321"/>
      <c r="V742" s="2321"/>
      <c r="W742" s="2321"/>
      <c r="X742" s="2321"/>
      <c r="Y742" s="2321"/>
      <c r="Z742" s="2321"/>
      <c r="AA742" s="2321"/>
      <c r="AB742" s="2321"/>
      <c r="AC742" s="436"/>
      <c r="AD742" s="436"/>
      <c r="AE742" s="436"/>
      <c r="AF742" s="2322" t="s">
        <v>2233</v>
      </c>
      <c r="AG742" s="2322"/>
      <c r="AH742" s="2322"/>
      <c r="AI742" s="2322"/>
      <c r="AJ742" s="2322"/>
      <c r="AK742" s="2322"/>
      <c r="AL742" s="2322"/>
      <c r="AM742" s="449"/>
      <c r="AN742" s="580"/>
      <c r="AT742" s="13"/>
      <c r="AU742" s="13"/>
      <c r="AV742" s="13"/>
      <c r="AW742" s="13"/>
      <c r="AX742" s="13"/>
      <c r="AY742" s="13"/>
      <c r="AZ742" s="13"/>
    </row>
    <row r="743" spans="1:81" s="468" customFormat="1" ht="13">
      <c r="A743" s="449"/>
      <c r="B743" s="436"/>
      <c r="C743" s="823"/>
      <c r="D743" s="559"/>
      <c r="E743" s="2321"/>
      <c r="F743" s="2321"/>
      <c r="G743" s="2321"/>
      <c r="H743" s="2321"/>
      <c r="I743" s="2321"/>
      <c r="J743" s="2321"/>
      <c r="K743" s="2321"/>
      <c r="L743" s="2321"/>
      <c r="M743" s="2321"/>
      <c r="N743" s="2321"/>
      <c r="O743" s="2321"/>
      <c r="P743" s="2321"/>
      <c r="Q743" s="2321"/>
      <c r="R743" s="2321"/>
      <c r="S743" s="2321"/>
      <c r="T743" s="2321"/>
      <c r="U743" s="2321"/>
      <c r="V743" s="2321"/>
      <c r="W743" s="2321"/>
      <c r="X743" s="2321"/>
      <c r="Y743" s="2321"/>
      <c r="Z743" s="2321"/>
      <c r="AA743" s="2321"/>
      <c r="AB743" s="2321"/>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21" t="s">
        <v>2568</v>
      </c>
      <c r="F745" s="2321"/>
      <c r="G745" s="2321"/>
      <c r="H745" s="2321"/>
      <c r="I745" s="2321"/>
      <c r="J745" s="2321"/>
      <c r="K745" s="2321"/>
      <c r="L745" s="2321"/>
      <c r="M745" s="2321"/>
      <c r="N745" s="2321"/>
      <c r="O745" s="2321"/>
      <c r="P745" s="2321"/>
      <c r="Q745" s="2321"/>
      <c r="R745" s="2321"/>
      <c r="S745" s="2321"/>
      <c r="T745" s="2321"/>
      <c r="U745" s="2321"/>
      <c r="V745" s="2321"/>
      <c r="W745" s="2321"/>
      <c r="X745" s="2321"/>
      <c r="Y745" s="2321"/>
      <c r="Z745" s="2321"/>
      <c r="AA745" s="2321"/>
      <c r="AB745" s="2321"/>
      <c r="AC745" s="436"/>
      <c r="AD745" s="436"/>
      <c r="AE745" s="436"/>
      <c r="AF745" s="2322" t="s">
        <v>2521</v>
      </c>
      <c r="AG745" s="2322"/>
      <c r="AH745" s="2322"/>
      <c r="AI745" s="2322"/>
      <c r="AJ745" s="2322"/>
      <c r="AK745" s="2322"/>
      <c r="AL745" s="2322"/>
      <c r="AM745" s="449"/>
      <c r="AN745" s="580"/>
      <c r="AT745" s="13"/>
      <c r="AU745" s="13"/>
      <c r="AV745" s="13"/>
      <c r="AW745" s="13"/>
      <c r="AX745" s="13"/>
      <c r="AY745" s="13"/>
      <c r="AZ745" s="13"/>
    </row>
    <row r="746" spans="1:81" s="468" customFormat="1" ht="13">
      <c r="A746" s="449"/>
      <c r="B746" s="436"/>
      <c r="C746" s="823"/>
      <c r="D746" s="436"/>
      <c r="E746" s="2321"/>
      <c r="F746" s="2321"/>
      <c r="G746" s="2321"/>
      <c r="H746" s="2321"/>
      <c r="I746" s="2321"/>
      <c r="J746" s="2321"/>
      <c r="K746" s="2321"/>
      <c r="L746" s="2321"/>
      <c r="M746" s="2321"/>
      <c r="N746" s="2321"/>
      <c r="O746" s="2321"/>
      <c r="P746" s="2321"/>
      <c r="Q746" s="2321"/>
      <c r="R746" s="2321"/>
      <c r="S746" s="2321"/>
      <c r="T746" s="2321"/>
      <c r="U746" s="2321"/>
      <c r="V746" s="2321"/>
      <c r="W746" s="2321"/>
      <c r="X746" s="2321"/>
      <c r="Y746" s="2321"/>
      <c r="Z746" s="2321"/>
      <c r="AA746" s="2321"/>
      <c r="AB746" s="2321"/>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ht="13">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2507</v>
      </c>
      <c r="E748" s="826"/>
      <c r="F748" s="826"/>
      <c r="G748" s="826"/>
      <c r="H748" s="2323" t="s">
        <v>826</v>
      </c>
      <c r="I748" s="2323"/>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ht="13">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ht="13">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2569</v>
      </c>
      <c r="AJ750" s="2324">
        <f>VLOOKUP($H$748,$AO$679:$AP$681,2,FALSE)</f>
        <v>0</v>
      </c>
      <c r="AK750" s="2325"/>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2570</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ht="13">
      <c r="A754" s="449"/>
      <c r="B754" s="436"/>
      <c r="C754" s="821"/>
      <c r="D754" s="559" t="s">
        <v>22</v>
      </c>
      <c r="E754" s="2321" t="s">
        <v>2571</v>
      </c>
      <c r="F754" s="2321"/>
      <c r="G754" s="2321"/>
      <c r="H754" s="2321"/>
      <c r="I754" s="2321"/>
      <c r="J754" s="2321"/>
      <c r="K754" s="2321"/>
      <c r="L754" s="2321"/>
      <c r="M754" s="2321"/>
      <c r="N754" s="2321"/>
      <c r="O754" s="2321"/>
      <c r="P754" s="2321"/>
      <c r="Q754" s="2321"/>
      <c r="R754" s="2321"/>
      <c r="S754" s="2321"/>
      <c r="T754" s="2321"/>
      <c r="U754" s="2321"/>
      <c r="V754" s="2321"/>
      <c r="W754" s="2321"/>
      <c r="X754" s="2321"/>
      <c r="Y754" s="2321"/>
      <c r="Z754" s="2321"/>
      <c r="AA754" s="2321"/>
      <c r="AB754" s="2321"/>
      <c r="AC754" s="436"/>
      <c r="AD754" s="436"/>
      <c r="AE754" s="436"/>
      <c r="AF754" s="2322" t="s">
        <v>2233</v>
      </c>
      <c r="AG754" s="2322"/>
      <c r="AH754" s="2322"/>
      <c r="AI754" s="2322"/>
      <c r="AJ754" s="2322"/>
      <c r="AK754" s="2322"/>
      <c r="AL754" s="2322"/>
      <c r="AM754" s="449"/>
      <c r="AN754" s="580"/>
      <c r="AT754" s="13"/>
      <c r="AU754" s="13"/>
      <c r="AV754" s="13"/>
      <c r="AW754" s="13"/>
      <c r="AX754" s="13"/>
      <c r="AY754" s="13"/>
      <c r="AZ754" s="13"/>
    </row>
    <row r="755" spans="1:81" s="468" customFormat="1" ht="13">
      <c r="A755" s="449"/>
      <c r="B755" s="436"/>
      <c r="C755" s="821"/>
      <c r="D755" s="559"/>
      <c r="E755" s="2321"/>
      <c r="F755" s="2321"/>
      <c r="G755" s="2321"/>
      <c r="H755" s="2321"/>
      <c r="I755" s="2321"/>
      <c r="J755" s="2321"/>
      <c r="K755" s="2321"/>
      <c r="L755" s="2321"/>
      <c r="M755" s="2321"/>
      <c r="N755" s="2321"/>
      <c r="O755" s="2321"/>
      <c r="P755" s="2321"/>
      <c r="Q755" s="2321"/>
      <c r="R755" s="2321"/>
      <c r="S755" s="2321"/>
      <c r="T755" s="2321"/>
      <c r="U755" s="2321"/>
      <c r="V755" s="2321"/>
      <c r="W755" s="2321"/>
      <c r="X755" s="2321"/>
      <c r="Y755" s="2321"/>
      <c r="Z755" s="2321"/>
      <c r="AA755" s="2321"/>
      <c r="AB755" s="2321"/>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ht="13">
      <c r="A756" s="449"/>
      <c r="B756" s="436"/>
      <c r="C756" s="823"/>
      <c r="D756" s="559"/>
      <c r="E756" s="2321"/>
      <c r="F756" s="2321"/>
      <c r="G756" s="2321"/>
      <c r="H756" s="2321"/>
      <c r="I756" s="2321"/>
      <c r="J756" s="2321"/>
      <c r="K756" s="2321"/>
      <c r="L756" s="2321"/>
      <c r="M756" s="2321"/>
      <c r="N756" s="2321"/>
      <c r="O756" s="2321"/>
      <c r="P756" s="2321"/>
      <c r="Q756" s="2321"/>
      <c r="R756" s="2321"/>
      <c r="S756" s="2321"/>
      <c r="T756" s="2321"/>
      <c r="U756" s="2321"/>
      <c r="V756" s="2321"/>
      <c r="W756" s="2321"/>
      <c r="X756" s="2321"/>
      <c r="Y756" s="2321"/>
      <c r="Z756" s="2321"/>
      <c r="AA756" s="2321"/>
      <c r="AB756" s="2321"/>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21"/>
      <c r="F757" s="2321"/>
      <c r="G757" s="2321"/>
      <c r="H757" s="2321"/>
      <c r="I757" s="2321"/>
      <c r="J757" s="2321"/>
      <c r="K757" s="2321"/>
      <c r="L757" s="2321"/>
      <c r="M757" s="2321"/>
      <c r="N757" s="2321"/>
      <c r="O757" s="2321"/>
      <c r="P757" s="2321"/>
      <c r="Q757" s="2321"/>
      <c r="R757" s="2321"/>
      <c r="S757" s="2321"/>
      <c r="T757" s="2321"/>
      <c r="U757" s="2321"/>
      <c r="V757" s="2321"/>
      <c r="W757" s="2321"/>
      <c r="X757" s="2321"/>
      <c r="Y757" s="2321"/>
      <c r="Z757" s="2321"/>
      <c r="AA757" s="2321"/>
      <c r="AB757" s="2321"/>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ht="13">
      <c r="A759" s="449"/>
      <c r="B759" s="436"/>
      <c r="C759" s="821"/>
      <c r="D759" s="559" t="s">
        <v>27</v>
      </c>
      <c r="E759" s="2321" t="s">
        <v>2572</v>
      </c>
      <c r="F759" s="2321"/>
      <c r="G759" s="2321"/>
      <c r="H759" s="2321"/>
      <c r="I759" s="2321"/>
      <c r="J759" s="2321"/>
      <c r="K759" s="2321"/>
      <c r="L759" s="2321"/>
      <c r="M759" s="2321"/>
      <c r="N759" s="2321"/>
      <c r="O759" s="2321"/>
      <c r="P759" s="2321"/>
      <c r="Q759" s="2321"/>
      <c r="R759" s="2321"/>
      <c r="S759" s="2321"/>
      <c r="T759" s="2321"/>
      <c r="U759" s="2321"/>
      <c r="V759" s="2321"/>
      <c r="W759" s="2321"/>
      <c r="X759" s="2321"/>
      <c r="Y759" s="2321"/>
      <c r="Z759" s="2321"/>
      <c r="AA759" s="2321"/>
      <c r="AB759" s="473"/>
      <c r="AC759" s="436"/>
      <c r="AD759" s="436"/>
      <c r="AE759" s="436"/>
      <c r="AF759" s="2322" t="s">
        <v>2521</v>
      </c>
      <c r="AG759" s="2322"/>
      <c r="AH759" s="2322"/>
      <c r="AI759" s="2322"/>
      <c r="AJ759" s="2322"/>
      <c r="AK759" s="2322"/>
      <c r="AL759" s="2322"/>
      <c r="AM759" s="449"/>
      <c r="AN759" s="580"/>
      <c r="AO759" s="25"/>
      <c r="AP759" s="13"/>
    </row>
    <row r="760" spans="1:81" s="468" customFormat="1" ht="13">
      <c r="A760" s="449"/>
      <c r="B760" s="436"/>
      <c r="C760" s="821"/>
      <c r="D760" s="559"/>
      <c r="E760" s="2321"/>
      <c r="F760" s="2321"/>
      <c r="G760" s="2321"/>
      <c r="H760" s="2321"/>
      <c r="I760" s="2321"/>
      <c r="J760" s="2321"/>
      <c r="K760" s="2321"/>
      <c r="L760" s="2321"/>
      <c r="M760" s="2321"/>
      <c r="N760" s="2321"/>
      <c r="O760" s="2321"/>
      <c r="P760" s="2321"/>
      <c r="Q760" s="2321"/>
      <c r="R760" s="2321"/>
      <c r="S760" s="2321"/>
      <c r="T760" s="2321"/>
      <c r="U760" s="2321"/>
      <c r="V760" s="2321"/>
      <c r="W760" s="2321"/>
      <c r="X760" s="2321"/>
      <c r="Y760" s="2321"/>
      <c r="Z760" s="2321"/>
      <c r="AA760" s="2321"/>
      <c r="AB760" s="473"/>
      <c r="AC760" s="436"/>
      <c r="AD760" s="436"/>
      <c r="AE760" s="436"/>
      <c r="AF760" s="492"/>
      <c r="AG760" s="492"/>
      <c r="AH760" s="492"/>
      <c r="AI760" s="492"/>
      <c r="AJ760" s="492"/>
      <c r="AK760" s="492"/>
      <c r="AL760" s="492"/>
      <c r="AM760" s="449"/>
      <c r="AN760" s="580"/>
      <c r="AO760" s="25"/>
      <c r="AP760" s="13"/>
    </row>
    <row r="761" spans="1:81" s="468" customFormat="1" ht="13">
      <c r="A761" s="449"/>
      <c r="B761" s="436"/>
      <c r="C761" s="821"/>
      <c r="D761" s="436"/>
      <c r="E761" s="2321"/>
      <c r="F761" s="2321"/>
      <c r="G761" s="2321"/>
      <c r="H761" s="2321"/>
      <c r="I761" s="2321"/>
      <c r="J761" s="2321"/>
      <c r="K761" s="2321"/>
      <c r="L761" s="2321"/>
      <c r="M761" s="2321"/>
      <c r="N761" s="2321"/>
      <c r="O761" s="2321"/>
      <c r="P761" s="2321"/>
      <c r="Q761" s="2321"/>
      <c r="R761" s="2321"/>
      <c r="S761" s="2321"/>
      <c r="T761" s="2321"/>
      <c r="U761" s="2321"/>
      <c r="V761" s="2321"/>
      <c r="W761" s="2321"/>
      <c r="X761" s="2321"/>
      <c r="Y761" s="2321"/>
      <c r="Z761" s="2321"/>
      <c r="AA761" s="2321"/>
      <c r="AB761" s="473"/>
      <c r="AC761" s="492"/>
      <c r="AD761" s="492"/>
      <c r="AE761" s="492"/>
      <c r="AF761" s="492"/>
      <c r="AG761" s="492"/>
      <c r="AH761" s="492"/>
      <c r="AI761" s="492"/>
      <c r="AJ761" s="436"/>
      <c r="AK761" s="436"/>
      <c r="AL761" s="436"/>
      <c r="AM761" s="449"/>
      <c r="AN761" s="580"/>
      <c r="AO761" s="25"/>
      <c r="AP761" s="13"/>
    </row>
    <row r="762" spans="1:81" s="468" customFormat="1" ht="13">
      <c r="A762" s="449"/>
      <c r="B762" s="436"/>
      <c r="C762" s="821"/>
      <c r="D762" s="436"/>
      <c r="E762" s="2321"/>
      <c r="F762" s="2321"/>
      <c r="G762" s="2321"/>
      <c r="H762" s="2321"/>
      <c r="I762" s="2321"/>
      <c r="J762" s="2321"/>
      <c r="K762" s="2321"/>
      <c r="L762" s="2321"/>
      <c r="M762" s="2321"/>
      <c r="N762" s="2321"/>
      <c r="O762" s="2321"/>
      <c r="P762" s="2321"/>
      <c r="Q762" s="2321"/>
      <c r="R762" s="2321"/>
      <c r="S762" s="2321"/>
      <c r="T762" s="2321"/>
      <c r="U762" s="2321"/>
      <c r="V762" s="2321"/>
      <c r="W762" s="2321"/>
      <c r="X762" s="2321"/>
      <c r="Y762" s="2321"/>
      <c r="Z762" s="2321"/>
      <c r="AA762" s="2321"/>
      <c r="AB762" s="473"/>
      <c r="AC762" s="492"/>
      <c r="AD762" s="492"/>
      <c r="AE762" s="492"/>
      <c r="AF762" s="492"/>
      <c r="AG762" s="492"/>
      <c r="AH762" s="492"/>
      <c r="AI762" s="492"/>
      <c r="AJ762" s="436"/>
      <c r="AK762" s="436"/>
      <c r="AL762" s="436"/>
      <c r="AM762" s="449"/>
      <c r="AN762" s="580"/>
      <c r="AO762" s="25"/>
      <c r="AP762" s="13"/>
    </row>
    <row r="763" spans="1:81" s="468" customFormat="1" ht="13">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2507</v>
      </c>
      <c r="E764" s="826"/>
      <c r="F764" s="826"/>
      <c r="G764" s="826"/>
      <c r="H764" s="2323" t="s">
        <v>27</v>
      </c>
      <c r="I764" s="2323"/>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ht="13">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2573</v>
      </c>
      <c r="AJ766" s="2324">
        <f>VLOOKUP($H$764,$AO$693:$AP$695,2,FALSE)</f>
        <v>2</v>
      </c>
      <c r="AK766" s="2325"/>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ht="13">
      <c r="A768" s="449"/>
      <c r="B768" s="436"/>
      <c r="C768" s="439" t="s">
        <v>2562</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ht="13">
      <c r="A770" s="449"/>
      <c r="B770" s="436"/>
      <c r="C770" s="821"/>
      <c r="D770" s="559" t="s">
        <v>22</v>
      </c>
      <c r="E770" s="2321" t="s">
        <v>2574</v>
      </c>
      <c r="F770" s="2321"/>
      <c r="G770" s="2321"/>
      <c r="H770" s="2321"/>
      <c r="I770" s="2321"/>
      <c r="J770" s="2321"/>
      <c r="K770" s="2321"/>
      <c r="L770" s="2321"/>
      <c r="M770" s="2321"/>
      <c r="N770" s="2321"/>
      <c r="O770" s="2321"/>
      <c r="P770" s="2321"/>
      <c r="Q770" s="2321"/>
      <c r="R770" s="2321"/>
      <c r="S770" s="2321"/>
      <c r="T770" s="2321"/>
      <c r="U770" s="2321"/>
      <c r="V770" s="2321"/>
      <c r="W770" s="2321"/>
      <c r="X770" s="2321"/>
      <c r="Y770" s="2321"/>
      <c r="Z770" s="2321"/>
      <c r="AA770" s="2321"/>
      <c r="AB770" s="2321"/>
      <c r="AC770" s="436"/>
      <c r="AD770" s="436"/>
      <c r="AE770" s="436"/>
      <c r="AF770" s="2322" t="s">
        <v>2521</v>
      </c>
      <c r="AG770" s="2322"/>
      <c r="AH770" s="2322"/>
      <c r="AI770" s="2322"/>
      <c r="AJ770" s="2322"/>
      <c r="AK770" s="2322"/>
      <c r="AL770" s="2322"/>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ht="13">
      <c r="A771" s="449"/>
      <c r="B771" s="436"/>
      <c r="C771" s="823"/>
      <c r="D771" s="559"/>
      <c r="E771" s="2321"/>
      <c r="F771" s="2321"/>
      <c r="G771" s="2321"/>
      <c r="H771" s="2321"/>
      <c r="I771" s="2321"/>
      <c r="J771" s="2321"/>
      <c r="K771" s="2321"/>
      <c r="L771" s="2321"/>
      <c r="M771" s="2321"/>
      <c r="N771" s="2321"/>
      <c r="O771" s="2321"/>
      <c r="P771" s="2321"/>
      <c r="Q771" s="2321"/>
      <c r="R771" s="2321"/>
      <c r="S771" s="2321"/>
      <c r="T771" s="2321"/>
      <c r="U771" s="2321"/>
      <c r="V771" s="2321"/>
      <c r="W771" s="2321"/>
      <c r="X771" s="2321"/>
      <c r="Y771" s="2321"/>
      <c r="Z771" s="2321"/>
      <c r="AA771" s="2321"/>
      <c r="AB771" s="2321"/>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ht="13">
      <c r="A773" s="535"/>
      <c r="B773" s="436"/>
      <c r="C773" s="821"/>
      <c r="D773" s="559" t="s">
        <v>27</v>
      </c>
      <c r="E773" s="2321" t="s">
        <v>2575</v>
      </c>
      <c r="F773" s="2321"/>
      <c r="G773" s="2321"/>
      <c r="H773" s="2321"/>
      <c r="I773" s="2321"/>
      <c r="J773" s="2321"/>
      <c r="K773" s="2321"/>
      <c r="L773" s="2321"/>
      <c r="M773" s="2321"/>
      <c r="N773" s="2321"/>
      <c r="O773" s="2321"/>
      <c r="P773" s="2321"/>
      <c r="Q773" s="2321"/>
      <c r="R773" s="2321"/>
      <c r="S773" s="2321"/>
      <c r="T773" s="2321"/>
      <c r="U773" s="2321"/>
      <c r="V773" s="2321"/>
      <c r="W773" s="2321"/>
      <c r="X773" s="2321"/>
      <c r="Y773" s="2321"/>
      <c r="Z773" s="2321"/>
      <c r="AA773" s="2321"/>
      <c r="AB773" s="2321"/>
      <c r="AC773" s="436"/>
      <c r="AD773" s="436"/>
      <c r="AE773" s="436"/>
      <c r="AF773" s="2322" t="s">
        <v>2539</v>
      </c>
      <c r="AG773" s="2322"/>
      <c r="AH773" s="2322"/>
      <c r="AI773" s="2322"/>
      <c r="AJ773" s="2322"/>
      <c r="AK773" s="2322"/>
      <c r="AL773" s="2322"/>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21"/>
      <c r="F774" s="2321"/>
      <c r="G774" s="2321"/>
      <c r="H774" s="2321"/>
      <c r="I774" s="2321"/>
      <c r="J774" s="2321"/>
      <c r="K774" s="2321"/>
      <c r="L774" s="2321"/>
      <c r="M774" s="2321"/>
      <c r="N774" s="2321"/>
      <c r="O774" s="2321"/>
      <c r="P774" s="2321"/>
      <c r="Q774" s="2321"/>
      <c r="R774" s="2321"/>
      <c r="S774" s="2321"/>
      <c r="T774" s="2321"/>
      <c r="U774" s="2321"/>
      <c r="V774" s="2321"/>
      <c r="W774" s="2321"/>
      <c r="X774" s="2321"/>
      <c r="Y774" s="2321"/>
      <c r="Z774" s="2321"/>
      <c r="AA774" s="2321"/>
      <c r="AB774" s="2321"/>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ht="13">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2507</v>
      </c>
      <c r="E776" s="826"/>
      <c r="F776" s="826"/>
      <c r="G776" s="826"/>
      <c r="H776" s="2323" t="s">
        <v>27</v>
      </c>
      <c r="I776" s="2323"/>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25"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2576</v>
      </c>
      <c r="AJ778" s="2324">
        <f>VLOOKUP($H$776,$AO$710:$AP$712,2,FALSE)</f>
        <v>1</v>
      </c>
      <c r="AK778" s="2325"/>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ht="13">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ht="13">
      <c r="A780" s="449"/>
      <c r="B780" s="514"/>
      <c r="C780" s="439" t="s">
        <v>2563</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ht="13">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5" customHeight="1">
      <c r="A782" s="449"/>
      <c r="B782" s="514"/>
      <c r="C782" s="830"/>
      <c r="D782" s="559" t="s">
        <v>22</v>
      </c>
      <c r="E782" s="2321" t="s">
        <v>2577</v>
      </c>
      <c r="F782" s="2321"/>
      <c r="G782" s="2321"/>
      <c r="H782" s="2321"/>
      <c r="I782" s="2321"/>
      <c r="J782" s="2321"/>
      <c r="K782" s="2321"/>
      <c r="L782" s="2321"/>
      <c r="M782" s="2321"/>
      <c r="N782" s="2321"/>
      <c r="O782" s="2321"/>
      <c r="P782" s="2321"/>
      <c r="Q782" s="2321"/>
      <c r="R782" s="2321"/>
      <c r="S782" s="2321"/>
      <c r="T782" s="2321"/>
      <c r="U782" s="2321"/>
      <c r="V782" s="2321"/>
      <c r="W782" s="2321"/>
      <c r="X782" s="2321"/>
      <c r="Y782" s="2321"/>
      <c r="Z782" s="2321"/>
      <c r="AA782" s="2321"/>
      <c r="AB782" s="2321"/>
      <c r="AC782" s="2321"/>
      <c r="AD782" s="2321"/>
      <c r="AE782" s="436"/>
      <c r="AF782" s="2322" t="s">
        <v>2521</v>
      </c>
      <c r="AG782" s="2322"/>
      <c r="AH782" s="2322"/>
      <c r="AI782" s="2322"/>
      <c r="AJ782" s="2322"/>
      <c r="AK782" s="2322"/>
      <c r="AL782" s="2322"/>
      <c r="AM782" s="511"/>
      <c r="AN782" s="580"/>
      <c r="AO782" s="449" t="s">
        <v>826</v>
      </c>
      <c r="AP782" s="569">
        <v>0</v>
      </c>
    </row>
    <row r="783" spans="1:74" s="468" customFormat="1" ht="13.75" customHeight="1">
      <c r="A783" s="449"/>
      <c r="B783" s="514"/>
      <c r="C783" s="830"/>
      <c r="D783" s="559"/>
      <c r="E783" s="2321"/>
      <c r="F783" s="2321"/>
      <c r="G783" s="2321"/>
      <c r="H783" s="2321"/>
      <c r="I783" s="2321"/>
      <c r="J783" s="2321"/>
      <c r="K783" s="2321"/>
      <c r="L783" s="2321"/>
      <c r="M783" s="2321"/>
      <c r="N783" s="2321"/>
      <c r="O783" s="2321"/>
      <c r="P783" s="2321"/>
      <c r="Q783" s="2321"/>
      <c r="R783" s="2321"/>
      <c r="S783" s="2321"/>
      <c r="T783" s="2321"/>
      <c r="U783" s="2321"/>
      <c r="V783" s="2321"/>
      <c r="W783" s="2321"/>
      <c r="X783" s="2321"/>
      <c r="Y783" s="2321"/>
      <c r="Z783" s="2321"/>
      <c r="AA783" s="2321"/>
      <c r="AB783" s="2321"/>
      <c r="AC783" s="2321"/>
      <c r="AD783" s="2321"/>
      <c r="AE783" s="436"/>
      <c r="AF783" s="492"/>
      <c r="AG783" s="492"/>
      <c r="AH783" s="492"/>
      <c r="AI783" s="492"/>
      <c r="AJ783" s="492"/>
      <c r="AK783" s="492"/>
      <c r="AL783" s="492"/>
      <c r="AM783" s="511"/>
      <c r="AN783" s="580"/>
      <c r="AO783" s="509" t="s">
        <v>22</v>
      </c>
      <c r="AP783" s="449">
        <v>2</v>
      </c>
    </row>
    <row r="784" spans="1:74" s="468" customFormat="1" ht="13">
      <c r="A784" s="449"/>
      <c r="B784" s="514"/>
      <c r="C784" s="830"/>
      <c r="D784" s="559"/>
      <c r="E784" s="2321"/>
      <c r="F784" s="2321"/>
      <c r="G784" s="2321"/>
      <c r="H784" s="2321"/>
      <c r="I784" s="2321"/>
      <c r="J784" s="2321"/>
      <c r="K784" s="2321"/>
      <c r="L784" s="2321"/>
      <c r="M784" s="2321"/>
      <c r="N784" s="2321"/>
      <c r="O784" s="2321"/>
      <c r="P784" s="2321"/>
      <c r="Q784" s="2321"/>
      <c r="R784" s="2321"/>
      <c r="S784" s="2321"/>
      <c r="T784" s="2321"/>
      <c r="U784" s="2321"/>
      <c r="V784" s="2321"/>
      <c r="W784" s="2321"/>
      <c r="X784" s="2321"/>
      <c r="Y784" s="2321"/>
      <c r="Z784" s="2321"/>
      <c r="AA784" s="2321"/>
      <c r="AB784" s="2321"/>
      <c r="AC784" s="2321"/>
      <c r="AD784" s="2321"/>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75" customHeight="1">
      <c r="A785" s="449"/>
      <c r="B785" s="514"/>
      <c r="C785" s="830"/>
      <c r="D785" s="559"/>
      <c r="E785" s="2321"/>
      <c r="F785" s="2321"/>
      <c r="G785" s="2321"/>
      <c r="H785" s="2321"/>
      <c r="I785" s="2321"/>
      <c r="J785" s="2321"/>
      <c r="K785" s="2321"/>
      <c r="L785" s="2321"/>
      <c r="M785" s="2321"/>
      <c r="N785" s="2321"/>
      <c r="O785" s="2321"/>
      <c r="P785" s="2321"/>
      <c r="Q785" s="2321"/>
      <c r="R785" s="2321"/>
      <c r="S785" s="2321"/>
      <c r="T785" s="2321"/>
      <c r="U785" s="2321"/>
      <c r="V785" s="2321"/>
      <c r="W785" s="2321"/>
      <c r="X785" s="2321"/>
      <c r="Y785" s="2321"/>
      <c r="Z785" s="2321"/>
      <c r="AA785" s="2321"/>
      <c r="AB785" s="2321"/>
      <c r="AC785" s="2321"/>
      <c r="AD785" s="2321"/>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2" t="s">
        <v>2578</v>
      </c>
      <c r="F787" s="2462"/>
      <c r="G787" s="2462"/>
      <c r="H787" s="2462"/>
      <c r="I787" s="2462"/>
      <c r="J787" s="2462"/>
      <c r="K787" s="2462"/>
      <c r="L787" s="2462"/>
      <c r="M787" s="2462"/>
      <c r="N787" s="2462"/>
      <c r="O787" s="2462"/>
      <c r="P787" s="2462"/>
      <c r="Q787" s="2462"/>
      <c r="R787" s="2462"/>
      <c r="S787" s="2462"/>
      <c r="T787" s="2462"/>
      <c r="U787" s="2462"/>
      <c r="V787" s="2462"/>
      <c r="W787" s="2462"/>
      <c r="X787" s="2462"/>
      <c r="Y787" s="2462"/>
      <c r="Z787" s="2462"/>
      <c r="AA787" s="2462"/>
      <c r="AB787" s="2462"/>
      <c r="AC787" s="2462"/>
      <c r="AD787" s="2462"/>
      <c r="AE787" s="436"/>
      <c r="AF787" s="2322" t="s">
        <v>2233</v>
      </c>
      <c r="AG787" s="2322"/>
      <c r="AH787" s="2322"/>
      <c r="AI787" s="2322"/>
      <c r="AJ787" s="2322"/>
      <c r="AK787" s="2322"/>
      <c r="AL787" s="2322"/>
      <c r="AM787" s="511"/>
      <c r="AN787" s="495"/>
    </row>
    <row r="788" spans="1:81" s="449" customFormat="1" ht="12.75" customHeight="1">
      <c r="B788" s="514"/>
      <c r="C788" s="830"/>
      <c r="D788" s="559"/>
      <c r="E788" s="2462"/>
      <c r="F788" s="2462"/>
      <c r="G788" s="2462"/>
      <c r="H788" s="2462"/>
      <c r="I788" s="2462"/>
      <c r="J788" s="2462"/>
      <c r="K788" s="2462"/>
      <c r="L788" s="2462"/>
      <c r="M788" s="2462"/>
      <c r="N788" s="2462"/>
      <c r="O788" s="2462"/>
      <c r="P788" s="2462"/>
      <c r="Q788" s="2462"/>
      <c r="R788" s="2462"/>
      <c r="S788" s="2462"/>
      <c r="T788" s="2462"/>
      <c r="U788" s="2462"/>
      <c r="V788" s="2462"/>
      <c r="W788" s="2462"/>
      <c r="X788" s="2462"/>
      <c r="Y788" s="2462"/>
      <c r="Z788" s="2462"/>
      <c r="AA788" s="2462"/>
      <c r="AB788" s="2462"/>
      <c r="AC788" s="2462"/>
      <c r="AD788" s="2462"/>
      <c r="AE788" s="492"/>
      <c r="AF788" s="492"/>
      <c r="AG788" s="492"/>
      <c r="AH788" s="492"/>
      <c r="AI788" s="492"/>
      <c r="AJ788" s="492"/>
      <c r="AK788" s="492"/>
      <c r="AL788" s="492"/>
      <c r="AM788" s="511"/>
      <c r="AN788" s="495"/>
    </row>
    <row r="789" spans="1:81" s="449" customFormat="1" ht="12.75" customHeight="1">
      <c r="B789" s="514"/>
      <c r="C789" s="830"/>
      <c r="D789" s="559"/>
      <c r="E789" s="2462"/>
      <c r="F789" s="2462"/>
      <c r="G789" s="2462"/>
      <c r="H789" s="2462"/>
      <c r="I789" s="2462"/>
      <c r="J789" s="2462"/>
      <c r="K789" s="2462"/>
      <c r="L789" s="2462"/>
      <c r="M789" s="2462"/>
      <c r="N789" s="2462"/>
      <c r="O789" s="2462"/>
      <c r="P789" s="2462"/>
      <c r="Q789" s="2462"/>
      <c r="R789" s="2462"/>
      <c r="S789" s="2462"/>
      <c r="T789" s="2462"/>
      <c r="U789" s="2462"/>
      <c r="V789" s="2462"/>
      <c r="W789" s="2462"/>
      <c r="X789" s="2462"/>
      <c r="Y789" s="2462"/>
      <c r="Z789" s="2462"/>
      <c r="AA789" s="2462"/>
      <c r="AB789" s="2462"/>
      <c r="AC789" s="2462"/>
      <c r="AD789" s="2462"/>
      <c r="AE789" s="492"/>
      <c r="AF789" s="492"/>
      <c r="AG789" s="492"/>
      <c r="AH789" s="492"/>
      <c r="AI789" s="492"/>
      <c r="AJ789" s="492"/>
      <c r="AK789" s="492"/>
      <c r="AL789" s="492"/>
      <c r="AM789" s="511"/>
      <c r="AN789" s="495"/>
    </row>
    <row r="790" spans="1:81" s="449" customFormat="1" ht="12.75" customHeight="1">
      <c r="B790" s="514"/>
      <c r="C790" s="830"/>
      <c r="D790" s="559"/>
      <c r="E790" s="2462"/>
      <c r="F790" s="2462"/>
      <c r="G790" s="2462"/>
      <c r="H790" s="2462"/>
      <c r="I790" s="2462"/>
      <c r="J790" s="2462"/>
      <c r="K790" s="2462"/>
      <c r="L790" s="2462"/>
      <c r="M790" s="2462"/>
      <c r="N790" s="2462"/>
      <c r="O790" s="2462"/>
      <c r="P790" s="2462"/>
      <c r="Q790" s="2462"/>
      <c r="R790" s="2462"/>
      <c r="S790" s="2462"/>
      <c r="T790" s="2462"/>
      <c r="U790" s="2462"/>
      <c r="V790" s="2462"/>
      <c r="W790" s="2462"/>
      <c r="X790" s="2462"/>
      <c r="Y790" s="2462"/>
      <c r="Z790" s="2462"/>
      <c r="AA790" s="2462"/>
      <c r="AB790" s="2462"/>
      <c r="AC790" s="2462"/>
      <c r="AD790" s="2462"/>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2507</v>
      </c>
      <c r="E792" s="826"/>
      <c r="F792" s="826"/>
      <c r="G792" s="826"/>
      <c r="H792" s="2323" t="s">
        <v>826</v>
      </c>
      <c r="I792" s="2323"/>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2579</v>
      </c>
      <c r="AJ794" s="2324">
        <f>VLOOKUP($H$792,$AO$782:$AP$784,2,FALSE)</f>
        <v>0</v>
      </c>
      <c r="AK794" s="2325"/>
      <c r="AL794" s="493"/>
      <c r="AN794" s="495"/>
    </row>
    <row r="795" spans="1:81" s="468" customFormat="1" ht="13">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ht="13">
      <c r="A796" s="449"/>
      <c r="B796" s="514"/>
      <c r="C796" s="439" t="s">
        <v>2580</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826</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5" customHeight="1">
      <c r="A798" s="449"/>
      <c r="B798" s="514"/>
      <c r="C798" s="830"/>
      <c r="D798" s="559" t="s">
        <v>22</v>
      </c>
      <c r="E798" s="2321" t="s">
        <v>2581</v>
      </c>
      <c r="F798" s="2321"/>
      <c r="G798" s="2321"/>
      <c r="H798" s="2321"/>
      <c r="I798" s="2321"/>
      <c r="J798" s="2321"/>
      <c r="K798" s="2321"/>
      <c r="L798" s="2321"/>
      <c r="M798" s="2321"/>
      <c r="N798" s="2321"/>
      <c r="O798" s="2321"/>
      <c r="P798" s="2321"/>
      <c r="Q798" s="2321"/>
      <c r="R798" s="2321"/>
      <c r="S798" s="2321"/>
      <c r="T798" s="2321"/>
      <c r="U798" s="2321"/>
      <c r="V798" s="2321"/>
      <c r="W798" s="2321"/>
      <c r="X798" s="2321"/>
      <c r="Y798" s="2321"/>
      <c r="Z798" s="2321"/>
      <c r="AA798" s="2321"/>
      <c r="AB798" s="2321"/>
      <c r="AC798" s="2321"/>
      <c r="AD798" s="2321"/>
      <c r="AE798" s="436"/>
      <c r="AF798" s="2322" t="s">
        <v>2233</v>
      </c>
      <c r="AG798" s="2322"/>
      <c r="AH798" s="2322"/>
      <c r="AI798" s="2322"/>
      <c r="AJ798" s="2322"/>
      <c r="AK798" s="2322"/>
      <c r="AL798" s="2322"/>
      <c r="AM798" s="511"/>
      <c r="AN798" s="580"/>
      <c r="AO798" s="509" t="s">
        <v>862</v>
      </c>
      <c r="AP798" s="449">
        <v>3</v>
      </c>
      <c r="AT798" s="570"/>
      <c r="AU798" s="570"/>
      <c r="AV798" s="570"/>
      <c r="AW798" s="570"/>
      <c r="AX798" s="570"/>
      <c r="AY798" s="570"/>
      <c r="AZ798" s="570"/>
    </row>
    <row r="799" spans="1:81" s="468" customFormat="1" ht="13.75" customHeight="1">
      <c r="A799" s="449"/>
      <c r="B799" s="514"/>
      <c r="C799" s="830"/>
      <c r="D799" s="559"/>
      <c r="E799" s="2321"/>
      <c r="F799" s="2321"/>
      <c r="G799" s="2321"/>
      <c r="H799" s="2321"/>
      <c r="I799" s="2321"/>
      <c r="J799" s="2321"/>
      <c r="K799" s="2321"/>
      <c r="L799" s="2321"/>
      <c r="M799" s="2321"/>
      <c r="N799" s="2321"/>
      <c r="O799" s="2321"/>
      <c r="P799" s="2321"/>
      <c r="Q799" s="2321"/>
      <c r="R799" s="2321"/>
      <c r="S799" s="2321"/>
      <c r="T799" s="2321"/>
      <c r="U799" s="2321"/>
      <c r="V799" s="2321"/>
      <c r="W799" s="2321"/>
      <c r="X799" s="2321"/>
      <c r="Y799" s="2321"/>
      <c r="Z799" s="2321"/>
      <c r="AA799" s="2321"/>
      <c r="AB799" s="2321"/>
      <c r="AC799" s="2321"/>
      <c r="AD799" s="2321"/>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ht="13">
      <c r="A800" s="449"/>
      <c r="B800" s="514"/>
      <c r="C800" s="830"/>
      <c r="D800" s="559"/>
      <c r="E800" s="2321"/>
      <c r="F800" s="2321"/>
      <c r="G800" s="2321"/>
      <c r="H800" s="2321"/>
      <c r="I800" s="2321"/>
      <c r="J800" s="2321"/>
      <c r="K800" s="2321"/>
      <c r="L800" s="2321"/>
      <c r="M800" s="2321"/>
      <c r="N800" s="2321"/>
      <c r="O800" s="2321"/>
      <c r="P800" s="2321"/>
      <c r="Q800" s="2321"/>
      <c r="R800" s="2321"/>
      <c r="S800" s="2321"/>
      <c r="T800" s="2321"/>
      <c r="U800" s="2321"/>
      <c r="V800" s="2321"/>
      <c r="W800" s="2321"/>
      <c r="X800" s="2321"/>
      <c r="Y800" s="2321"/>
      <c r="Z800" s="2321"/>
      <c r="AA800" s="2321"/>
      <c r="AB800" s="2321"/>
      <c r="AC800" s="2321"/>
      <c r="AD800" s="2321"/>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ht="13">
      <c r="A801" s="449"/>
      <c r="B801" s="514"/>
      <c r="C801" s="830"/>
      <c r="D801" s="559"/>
      <c r="E801" s="2321"/>
      <c r="F801" s="2321"/>
      <c r="G801" s="2321"/>
      <c r="H801" s="2321"/>
      <c r="I801" s="2321"/>
      <c r="J801" s="2321"/>
      <c r="K801" s="2321"/>
      <c r="L801" s="2321"/>
      <c r="M801" s="2321"/>
      <c r="N801" s="2321"/>
      <c r="O801" s="2321"/>
      <c r="P801" s="2321"/>
      <c r="Q801" s="2321"/>
      <c r="R801" s="2321"/>
      <c r="S801" s="2321"/>
      <c r="T801" s="2321"/>
      <c r="U801" s="2321"/>
      <c r="V801" s="2321"/>
      <c r="W801" s="2321"/>
      <c r="X801" s="2321"/>
      <c r="Y801" s="2321"/>
      <c r="Z801" s="2321"/>
      <c r="AA801" s="2321"/>
      <c r="AB801" s="2321"/>
      <c r="AC801" s="2321"/>
      <c r="AD801" s="2321"/>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ht="13">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ht="13">
      <c r="A803" s="449"/>
      <c r="B803" s="514"/>
      <c r="C803" s="830"/>
      <c r="D803" s="436" t="s">
        <v>2507</v>
      </c>
      <c r="E803" s="826"/>
      <c r="F803" s="826"/>
      <c r="G803" s="826"/>
      <c r="H803" s="2323" t="s">
        <v>826</v>
      </c>
      <c r="I803" s="2323"/>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ht="13">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2582</v>
      </c>
      <c r="AJ805" s="2324">
        <f>VLOOKUP($H$803,$AO$797:$AP$798,2,FALSE)</f>
        <v>0</v>
      </c>
      <c r="AK805" s="2325"/>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2583</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21" t="s">
        <v>2584</v>
      </c>
      <c r="F809" s="2321"/>
      <c r="G809" s="2321"/>
      <c r="H809" s="2321"/>
      <c r="I809" s="2321"/>
      <c r="J809" s="2321"/>
      <c r="K809" s="2321"/>
      <c r="L809" s="2321"/>
      <c r="M809" s="2321"/>
      <c r="N809" s="2321"/>
      <c r="O809" s="2321"/>
      <c r="P809" s="2321"/>
      <c r="Q809" s="2321"/>
      <c r="R809" s="2321"/>
      <c r="S809" s="2321"/>
      <c r="T809" s="2321"/>
      <c r="U809" s="2321"/>
      <c r="V809" s="2321"/>
      <c r="W809" s="2321"/>
      <c r="X809" s="2321"/>
      <c r="Y809" s="2321"/>
      <c r="Z809" s="2321"/>
      <c r="AA809" s="2321"/>
      <c r="AB809" s="2321"/>
      <c r="AC809" s="2321"/>
      <c r="AD809" s="2321"/>
      <c r="AE809" s="450"/>
      <c r="AF809" s="2322" t="s">
        <v>2493</v>
      </c>
      <c r="AG809" s="2322"/>
      <c r="AH809" s="2322"/>
      <c r="AI809" s="2322"/>
      <c r="AJ809" s="2322"/>
      <c r="AK809" s="2322"/>
      <c r="AL809" s="2322"/>
      <c r="AN809" s="495"/>
    </row>
    <row r="810" spans="1:81" s="449" customFormat="1" ht="12.75" customHeight="1">
      <c r="B810" s="514"/>
      <c r="C810" s="584"/>
      <c r="D810" s="559"/>
      <c r="E810" s="2321"/>
      <c r="F810" s="2321"/>
      <c r="G810" s="2321"/>
      <c r="H810" s="2321"/>
      <c r="I810" s="2321"/>
      <c r="J810" s="2321"/>
      <c r="K810" s="2321"/>
      <c r="L810" s="2321"/>
      <c r="M810" s="2321"/>
      <c r="N810" s="2321"/>
      <c r="O810" s="2321"/>
      <c r="P810" s="2321"/>
      <c r="Q810" s="2321"/>
      <c r="R810" s="2321"/>
      <c r="S810" s="2321"/>
      <c r="T810" s="2321"/>
      <c r="U810" s="2321"/>
      <c r="V810" s="2321"/>
      <c r="W810" s="2321"/>
      <c r="X810" s="2321"/>
      <c r="Y810" s="2321"/>
      <c r="Z810" s="2321"/>
      <c r="AA810" s="2321"/>
      <c r="AB810" s="2321"/>
      <c r="AC810" s="2321"/>
      <c r="AD810" s="2321"/>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ht="13">
      <c r="A812" s="449"/>
      <c r="B812" s="514"/>
      <c r="C812" s="830"/>
      <c r="D812" s="436" t="s">
        <v>2507</v>
      </c>
      <c r="E812" s="826"/>
      <c r="F812" s="826"/>
      <c r="G812" s="826"/>
      <c r="H812" s="2323" t="s">
        <v>826</v>
      </c>
      <c r="I812" s="2323"/>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ht="13">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2585</v>
      </c>
      <c r="AJ814" s="2324">
        <f>IF(H812="Yes",5,0)</f>
        <v>0</v>
      </c>
      <c r="AK814" s="2325"/>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2586</v>
      </c>
      <c r="AK816" s="2324">
        <f>IF(($AJ$634+$AJ$653+$AJ$665+$AJ$700+$AJ$724+$AJ$738+$AJ$750+$AJ$766+$AJ$778+$AJ$794+AJ805+AJ814)&gt;10,10,($AJ$634+$AJ$653+$AJ$665+$AJ$700+$AJ$724+$AJ$738+$AJ$750+$AJ$766+$AJ$778+$AJ$794+AJ805+AJ814))</f>
        <v>10</v>
      </c>
      <c r="AL816" s="2370"/>
      <c r="AM816" s="2325"/>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51" t="s">
        <v>2587</v>
      </c>
      <c r="B819" s="2452"/>
      <c r="C819" s="2452"/>
      <c r="D819" s="2452"/>
      <c r="E819" s="2452"/>
      <c r="F819" s="2452"/>
      <c r="G819" s="2452"/>
      <c r="H819" s="2452"/>
      <c r="I819" s="2452"/>
      <c r="J819" s="2452"/>
      <c r="K819" s="2452"/>
      <c r="L819" s="2452"/>
      <c r="M819" s="2452"/>
      <c r="N819" s="2452"/>
      <c r="O819" s="2452"/>
      <c r="P819" s="2452"/>
      <c r="Q819" s="2452"/>
      <c r="R819" s="2452"/>
      <c r="S819" s="2452"/>
      <c r="T819" s="2452"/>
      <c r="U819" s="2452"/>
      <c r="V819" s="2452"/>
      <c r="W819" s="2452"/>
      <c r="X819" s="2452"/>
      <c r="Y819" s="2452"/>
      <c r="Z819" s="2452"/>
      <c r="AA819" s="2452"/>
      <c r="AB819" s="2452"/>
      <c r="AC819" s="2452"/>
      <c r="AD819" s="2452"/>
      <c r="AE819" s="2452"/>
      <c r="AF819" s="2452"/>
      <c r="AG819" s="2452"/>
      <c r="AH819" s="2452"/>
      <c r="AI819" s="2452"/>
      <c r="AJ819" s="2452"/>
      <c r="AK819" s="2452"/>
      <c r="AL819" s="2452"/>
      <c r="AM819" s="2452"/>
    </row>
    <row r="820" spans="1:43">
      <c r="A820" s="2453"/>
      <c r="B820" s="2453"/>
      <c r="C820" s="2453"/>
      <c r="D820" s="2453"/>
      <c r="E820" s="2453"/>
      <c r="F820" s="2453"/>
      <c r="G820" s="2453"/>
      <c r="H820" s="2453"/>
      <c r="I820" s="2453"/>
      <c r="J820" s="2453"/>
      <c r="K820" s="2453"/>
      <c r="L820" s="2453"/>
      <c r="M820" s="2453"/>
      <c r="N820" s="2453"/>
      <c r="O820" s="2453"/>
      <c r="P820" s="2453"/>
      <c r="Q820" s="2453"/>
      <c r="R820" s="2453"/>
      <c r="S820" s="2453"/>
      <c r="T820" s="2453"/>
      <c r="U820" s="2453"/>
      <c r="V820" s="2453"/>
      <c r="W820" s="2453"/>
      <c r="X820" s="2453"/>
      <c r="Y820" s="2453"/>
      <c r="Z820" s="2453"/>
      <c r="AA820" s="2453"/>
      <c r="AB820" s="2453"/>
      <c r="AC820" s="2453"/>
      <c r="AD820" s="2453"/>
      <c r="AE820" s="2453"/>
      <c r="AF820" s="2453"/>
      <c r="AG820" s="2453"/>
      <c r="AH820" s="2453"/>
      <c r="AI820" s="2453"/>
      <c r="AJ820" s="2453"/>
      <c r="AK820" s="2453"/>
      <c r="AL820" s="2453"/>
      <c r="AM820" s="2453"/>
      <c r="AO820" s="712"/>
      <c r="AP820" s="712"/>
      <c r="AQ820" s="712"/>
    </row>
    <row r="821" spans="1:43" ht="1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ht="13">
      <c r="A822" s="2397"/>
      <c r="B822" s="2397"/>
      <c r="C822" s="2397"/>
      <c r="D822" s="2397"/>
      <c r="E822" s="2397"/>
      <c r="F822" s="2397"/>
      <c r="G822" s="2397"/>
      <c r="H822" s="2397"/>
      <c r="I822" s="2397"/>
      <c r="J822" s="2397"/>
      <c r="K822" s="2397"/>
      <c r="L822" s="2397"/>
      <c r="M822" s="2397"/>
      <c r="N822" s="2397"/>
      <c r="O822" s="2397"/>
      <c r="P822" s="2397"/>
      <c r="Q822" s="2397"/>
      <c r="R822" s="2397"/>
      <c r="S822" s="2397"/>
      <c r="T822" s="2397"/>
      <c r="U822" s="2397"/>
      <c r="V822" s="2397"/>
      <c r="W822" s="2397"/>
      <c r="X822" s="2397"/>
      <c r="Y822" s="2397"/>
      <c r="Z822" s="2397"/>
      <c r="AA822" s="2397"/>
      <c r="AB822" s="2397"/>
      <c r="AC822" s="2397"/>
      <c r="AD822" s="2397"/>
      <c r="AE822" s="2397"/>
      <c r="AF822" s="2397"/>
      <c r="AG822" s="2397"/>
      <c r="AH822" s="2397"/>
      <c r="AI822" s="2397"/>
      <c r="AJ822" s="2397"/>
      <c r="AK822" s="2397"/>
      <c r="AL822" s="2397"/>
      <c r="AM822" s="2397"/>
      <c r="AP822" s="712"/>
      <c r="AQ822" s="712"/>
    </row>
    <row r="823" spans="1:43" ht="13">
      <c r="A823" s="2397"/>
      <c r="B823" s="2397"/>
      <c r="C823" s="2397"/>
      <c r="D823" s="2397"/>
      <c r="E823" s="2397"/>
      <c r="F823" s="2397"/>
      <c r="G823" s="2397"/>
      <c r="H823" s="2397"/>
      <c r="I823" s="2397"/>
      <c r="J823" s="2397"/>
      <c r="K823" s="2397"/>
      <c r="L823" s="2397"/>
      <c r="M823" s="2397"/>
      <c r="N823" s="2397"/>
      <c r="O823" s="2397"/>
      <c r="P823" s="2397"/>
      <c r="Q823" s="2397"/>
      <c r="R823" s="2397"/>
      <c r="S823" s="2397"/>
      <c r="T823" s="2397"/>
      <c r="U823" s="2397"/>
      <c r="V823" s="2397"/>
      <c r="W823" s="2397"/>
      <c r="X823" s="2397"/>
      <c r="Y823" s="2397"/>
      <c r="Z823" s="2397"/>
      <c r="AA823" s="2397"/>
      <c r="AB823" s="2397"/>
      <c r="AC823" s="2397"/>
      <c r="AD823" s="2397"/>
      <c r="AE823" s="2397"/>
      <c r="AF823" s="2397"/>
      <c r="AG823" s="2397"/>
      <c r="AH823" s="2397"/>
      <c r="AI823" s="2397"/>
      <c r="AJ823" s="2397"/>
      <c r="AK823" s="2397"/>
      <c r="AL823" s="2397"/>
      <c r="AM823" s="2397"/>
      <c r="AO823" s="712"/>
      <c r="AQ823" s="712"/>
    </row>
    <row r="824" spans="1:43" ht="13">
      <c r="A824" s="713"/>
      <c r="B824" s="563"/>
      <c r="C824" s="563"/>
      <c r="D824" s="563"/>
      <c r="E824" s="563"/>
      <c r="F824" s="563"/>
      <c r="G824" s="563"/>
      <c r="H824" s="563"/>
      <c r="I824" s="563"/>
      <c r="J824" s="563"/>
      <c r="K824" s="563"/>
      <c r="L824" s="563"/>
      <c r="M824" s="563"/>
      <c r="N824" s="563"/>
      <c r="O824" s="563"/>
      <c r="P824" s="563"/>
      <c r="Q824" s="563"/>
      <c r="R824" s="563"/>
      <c r="S824" s="565"/>
      <c r="T824" s="2454" t="s">
        <v>2588</v>
      </c>
      <c r="U824" s="2455"/>
      <c r="V824" s="2455"/>
      <c r="W824" s="2455"/>
      <c r="X824" s="2455"/>
      <c r="Y824" s="2456"/>
      <c r="Z824" s="2454" t="s">
        <v>2589</v>
      </c>
      <c r="AA824" s="2455"/>
      <c r="AB824" s="2455"/>
      <c r="AC824" s="2455"/>
      <c r="AD824" s="2455"/>
      <c r="AE824" s="2456"/>
      <c r="AF824" s="2454" t="s">
        <v>2590</v>
      </c>
      <c r="AG824" s="2455"/>
      <c r="AH824" s="2455"/>
      <c r="AI824" s="2455"/>
      <c r="AJ824" s="2455"/>
      <c r="AK824" s="2456"/>
      <c r="AL824" s="714"/>
      <c r="AM824" s="494"/>
      <c r="AO824" s="712"/>
      <c r="AP824" s="712"/>
      <c r="AQ824" s="712"/>
    </row>
    <row r="825" spans="1:43" ht="13">
      <c r="A825" s="715"/>
      <c r="B825" s="590"/>
      <c r="C825" s="590"/>
      <c r="D825" s="590"/>
      <c r="E825" s="590"/>
      <c r="F825" s="590"/>
      <c r="G825" s="590"/>
      <c r="H825" s="590"/>
      <c r="I825" s="590"/>
      <c r="J825" s="590"/>
      <c r="K825" s="590"/>
      <c r="L825" s="590"/>
      <c r="M825" s="590"/>
      <c r="N825" s="590"/>
      <c r="O825" s="590"/>
      <c r="P825" s="590"/>
      <c r="Q825" s="590"/>
      <c r="R825" s="590"/>
      <c r="S825" s="604"/>
      <c r="T825" s="2457"/>
      <c r="U825" s="2458"/>
      <c r="V825" s="2458"/>
      <c r="W825" s="2458"/>
      <c r="X825" s="2458"/>
      <c r="Y825" s="2459"/>
      <c r="Z825" s="2457"/>
      <c r="AA825" s="2458"/>
      <c r="AB825" s="2458"/>
      <c r="AC825" s="2458"/>
      <c r="AD825" s="2458"/>
      <c r="AE825" s="2459"/>
      <c r="AF825" s="2457"/>
      <c r="AG825" s="2458"/>
      <c r="AH825" s="2458"/>
      <c r="AI825" s="2458"/>
      <c r="AJ825" s="2458"/>
      <c r="AK825" s="2459"/>
      <c r="AL825" s="714"/>
      <c r="AM825" s="494"/>
      <c r="AO825" s="712"/>
      <c r="AP825" s="712"/>
      <c r="AQ825" s="712"/>
    </row>
    <row r="826" spans="1:43" ht="13">
      <c r="A826" s="715" t="s">
        <v>53</v>
      </c>
      <c r="B826" s="2412" t="str">
        <f>B7</f>
        <v xml:space="preserve">Acquisition/Rehabilitation Project Priorities </v>
      </c>
      <c r="C826" s="2412"/>
      <c r="D826" s="2412"/>
      <c r="E826" s="2412"/>
      <c r="F826" s="2412"/>
      <c r="G826" s="2412"/>
      <c r="H826" s="2412"/>
      <c r="I826" s="2412"/>
      <c r="J826" s="2412"/>
      <c r="K826" s="2412"/>
      <c r="L826" s="2412"/>
      <c r="M826" s="2412"/>
      <c r="N826" s="2412"/>
      <c r="O826" s="2412"/>
      <c r="P826" s="2412"/>
      <c r="Q826" s="2412"/>
      <c r="R826" s="2412"/>
      <c r="S826" s="2413"/>
      <c r="T826" s="2439">
        <f>AK61</f>
        <v>0</v>
      </c>
      <c r="U826" s="2416"/>
      <c r="V826" s="2416"/>
      <c r="W826" s="2416"/>
      <c r="X826" s="2416"/>
      <c r="Y826" s="2417"/>
      <c r="Z826" s="2415">
        <v>20</v>
      </c>
      <c r="AA826" s="2416"/>
      <c r="AB826" s="2416"/>
      <c r="AC826" s="2416"/>
      <c r="AD826" s="2416"/>
      <c r="AE826" s="2417"/>
      <c r="AF826" s="2395">
        <f>IF(T826&gt;Z826,Z826,T826)</f>
        <v>0</v>
      </c>
      <c r="AG826" s="2395"/>
      <c r="AH826" s="2395"/>
      <c r="AI826" s="2395"/>
      <c r="AJ826" s="2395"/>
      <c r="AK826" s="2395"/>
      <c r="AL826" s="714"/>
      <c r="AM826" s="494"/>
      <c r="AO826" s="712"/>
      <c r="AP826" s="712"/>
      <c r="AQ826" s="712"/>
    </row>
    <row r="827" spans="1:43" ht="13">
      <c r="A827" s="715" t="s">
        <v>2438</v>
      </c>
      <c r="B827" s="2412" t="s">
        <v>623</v>
      </c>
      <c r="C827" s="2412"/>
      <c r="D827" s="2412"/>
      <c r="E827" s="2412"/>
      <c r="F827" s="2412"/>
      <c r="G827" s="2412"/>
      <c r="H827" s="2412"/>
      <c r="I827" s="2412"/>
      <c r="J827" s="2412"/>
      <c r="K827" s="2412"/>
      <c r="L827" s="2412"/>
      <c r="M827" s="2412"/>
      <c r="N827" s="2412"/>
      <c r="O827" s="2412"/>
      <c r="P827" s="2412"/>
      <c r="Q827" s="2412"/>
      <c r="R827" s="2412"/>
      <c r="S827" s="2413"/>
      <c r="T827" s="2439">
        <f>AK83</f>
        <v>10</v>
      </c>
      <c r="U827" s="2416"/>
      <c r="V827" s="2416"/>
      <c r="W827" s="2416"/>
      <c r="X827" s="2416"/>
      <c r="Y827" s="2417"/>
      <c r="Z827" s="2415">
        <v>10</v>
      </c>
      <c r="AA827" s="2416"/>
      <c r="AB827" s="2416"/>
      <c r="AC827" s="2416"/>
      <c r="AD827" s="2416"/>
      <c r="AE827" s="2417"/>
      <c r="AF827" s="2395">
        <f>IF(T827&gt;Z827,Z827,T827)</f>
        <v>10</v>
      </c>
      <c r="AG827" s="2395"/>
      <c r="AH827" s="2395"/>
      <c r="AI827" s="2395"/>
      <c r="AJ827" s="2395"/>
      <c r="AK827" s="2395"/>
      <c r="AL827" s="714"/>
      <c r="AM827" s="494"/>
      <c r="AO827" s="712"/>
      <c r="AP827" s="712"/>
      <c r="AQ827" s="712"/>
    </row>
    <row r="828" spans="1:43" ht="13">
      <c r="A828" s="715" t="s">
        <v>2447</v>
      </c>
      <c r="B828" s="2412" t="s">
        <v>2188</v>
      </c>
      <c r="C828" s="2412"/>
      <c r="D828" s="2412"/>
      <c r="E828" s="2412"/>
      <c r="F828" s="2412"/>
      <c r="G828" s="2412"/>
      <c r="H828" s="2412"/>
      <c r="I828" s="2412"/>
      <c r="J828" s="2412"/>
      <c r="K828" s="2412"/>
      <c r="L828" s="2412"/>
      <c r="M828" s="2412"/>
      <c r="N828" s="2412"/>
      <c r="O828" s="2412"/>
      <c r="P828" s="2412"/>
      <c r="Q828" s="2412"/>
      <c r="R828" s="2412"/>
      <c r="S828" s="2413"/>
      <c r="T828" s="2439">
        <f ca="1">AK108</f>
        <v>20</v>
      </c>
      <c r="U828" s="2416"/>
      <c r="V828" s="2416"/>
      <c r="W828" s="2416"/>
      <c r="X828" s="2416"/>
      <c r="Y828" s="2417"/>
      <c r="Z828" s="2415">
        <v>20</v>
      </c>
      <c r="AA828" s="2416"/>
      <c r="AB828" s="2416"/>
      <c r="AC828" s="2416"/>
      <c r="AD828" s="2416"/>
      <c r="AE828" s="2417"/>
      <c r="AF828" s="2395">
        <f ca="1">IF(T828&gt;Z828,Z828,T828)</f>
        <v>20</v>
      </c>
      <c r="AG828" s="2395"/>
      <c r="AH828" s="2395"/>
      <c r="AI828" s="2395"/>
      <c r="AJ828" s="2395"/>
      <c r="AK828" s="2395"/>
      <c r="AL828" s="714"/>
      <c r="AM828" s="494"/>
      <c r="AO828" s="712"/>
      <c r="AP828" s="712"/>
      <c r="AQ828" s="712"/>
    </row>
    <row r="829" spans="1:43" ht="13">
      <c r="A829" s="715" t="s">
        <v>2591</v>
      </c>
      <c r="B829" s="2412" t="s">
        <v>2199</v>
      </c>
      <c r="C829" s="2412"/>
      <c r="D829" s="2412"/>
      <c r="E829" s="2412"/>
      <c r="F829" s="2412"/>
      <c r="G829" s="2412"/>
      <c r="H829" s="2412"/>
      <c r="I829" s="2412"/>
      <c r="J829" s="2412"/>
      <c r="K829" s="2412"/>
      <c r="L829" s="2412"/>
      <c r="M829" s="2412"/>
      <c r="N829" s="2412"/>
      <c r="O829" s="2412"/>
      <c r="P829" s="2412"/>
      <c r="Q829" s="2412"/>
      <c r="R829" s="2412"/>
      <c r="S829" s="2413"/>
      <c r="T829" s="2439">
        <f>AK142</f>
        <v>10</v>
      </c>
      <c r="U829" s="2416"/>
      <c r="V829" s="2416"/>
      <c r="W829" s="2416"/>
      <c r="X829" s="2416"/>
      <c r="Y829" s="2417"/>
      <c r="Z829" s="2415">
        <v>10</v>
      </c>
      <c r="AA829" s="2416"/>
      <c r="AB829" s="2416"/>
      <c r="AC829" s="2416"/>
      <c r="AD829" s="2416"/>
      <c r="AE829" s="2417"/>
      <c r="AF829" s="2395">
        <f>IF(T829&gt;Z829,Z829,T829)</f>
        <v>10</v>
      </c>
      <c r="AG829" s="2395"/>
      <c r="AH829" s="2395"/>
      <c r="AI829" s="2395"/>
      <c r="AJ829" s="2395"/>
      <c r="AK829" s="2395"/>
      <c r="AL829" s="714"/>
      <c r="AM829" s="494"/>
      <c r="AO829" s="712"/>
      <c r="AP829" s="712"/>
      <c r="AQ829" s="712"/>
    </row>
    <row r="830" spans="1:43" ht="13">
      <c r="A830" s="716" t="s">
        <v>2592</v>
      </c>
      <c r="B830" s="2412" t="s">
        <v>2593</v>
      </c>
      <c r="C830" s="2412"/>
      <c r="D830" s="2412"/>
      <c r="E830" s="2412"/>
      <c r="F830" s="2412"/>
      <c r="G830" s="2412"/>
      <c r="H830" s="2412"/>
      <c r="I830" s="2412"/>
      <c r="J830" s="2412"/>
      <c r="K830" s="2412"/>
      <c r="L830" s="2412"/>
      <c r="M830" s="2412"/>
      <c r="N830" s="2412"/>
      <c r="O830" s="2412"/>
      <c r="P830" s="2412"/>
      <c r="Q830" s="2412"/>
      <c r="R830" s="2412"/>
      <c r="S830" s="2413"/>
      <c r="T830" s="2414">
        <f>SUM(T831:Y832)</f>
        <v>10</v>
      </c>
      <c r="U830" s="2414"/>
      <c r="V830" s="2414"/>
      <c r="W830" s="2414"/>
      <c r="X830" s="2414"/>
      <c r="Y830" s="2414"/>
      <c r="Z830" s="2395">
        <v>10</v>
      </c>
      <c r="AA830" s="2395"/>
      <c r="AB830" s="2395"/>
      <c r="AC830" s="2395"/>
      <c r="AD830" s="2395"/>
      <c r="AE830" s="2395"/>
      <c r="AF830" s="2395">
        <f>IF(T830&gt;Z830,Z830,T830)</f>
        <v>10</v>
      </c>
      <c r="AG830" s="2395"/>
      <c r="AH830" s="2395"/>
      <c r="AI830" s="2395"/>
      <c r="AJ830" s="2395"/>
      <c r="AK830" s="2395"/>
      <c r="AL830" s="714"/>
      <c r="AM830" s="494"/>
    </row>
    <row r="831" spans="1:43" ht="13">
      <c r="A831" s="435"/>
      <c r="B831" s="499"/>
      <c r="C831" s="2418" t="s">
        <v>2594</v>
      </c>
      <c r="D831" s="2418"/>
      <c r="E831" s="2418"/>
      <c r="F831" s="2418"/>
      <c r="G831" s="2418"/>
      <c r="H831" s="2418"/>
      <c r="I831" s="2418"/>
      <c r="J831" s="2418"/>
      <c r="K831" s="2418"/>
      <c r="L831" s="2418"/>
      <c r="M831" s="2418"/>
      <c r="N831" s="2418"/>
      <c r="O831" s="2418"/>
      <c r="P831" s="2418"/>
      <c r="Q831" s="2418"/>
      <c r="R831" s="2418"/>
      <c r="S831" s="2419"/>
      <c r="T831" s="2420">
        <f>AJ165</f>
        <v>7</v>
      </c>
      <c r="U831" s="2420"/>
      <c r="V831" s="2420"/>
      <c r="W831" s="2420"/>
      <c r="X831" s="2420"/>
      <c r="Y831" s="2420"/>
      <c r="Z831" s="2421">
        <v>7</v>
      </c>
      <c r="AA831" s="2421"/>
      <c r="AB831" s="2421"/>
      <c r="AC831" s="2421"/>
      <c r="AD831" s="2421"/>
      <c r="AE831" s="2421"/>
      <c r="AF831" s="2422"/>
      <c r="AG831" s="2422"/>
      <c r="AH831" s="2422"/>
      <c r="AI831" s="2422"/>
      <c r="AJ831" s="2422"/>
      <c r="AK831" s="2422"/>
      <c r="AL831" s="714"/>
      <c r="AM831" s="494"/>
    </row>
    <row r="832" spans="1:43" ht="13">
      <c r="A832" s="498"/>
      <c r="B832" s="499"/>
      <c r="C832" s="2418" t="s">
        <v>2008</v>
      </c>
      <c r="D832" s="2418"/>
      <c r="E832" s="2418"/>
      <c r="F832" s="2418"/>
      <c r="G832" s="2418"/>
      <c r="H832" s="2418"/>
      <c r="I832" s="2418"/>
      <c r="J832" s="2418"/>
      <c r="K832" s="2418"/>
      <c r="L832" s="2418"/>
      <c r="M832" s="2418"/>
      <c r="N832" s="2418"/>
      <c r="O832" s="2418"/>
      <c r="P832" s="2418"/>
      <c r="Q832" s="2418"/>
      <c r="R832" s="2418"/>
      <c r="S832" s="2419"/>
      <c r="T832" s="2420">
        <f>AJ179</f>
        <v>3</v>
      </c>
      <c r="U832" s="2420"/>
      <c r="V832" s="2420"/>
      <c r="W832" s="2420"/>
      <c r="X832" s="2420"/>
      <c r="Y832" s="2420"/>
      <c r="Z832" s="2421">
        <v>3</v>
      </c>
      <c r="AA832" s="2421"/>
      <c r="AB832" s="2421"/>
      <c r="AC832" s="2421"/>
      <c r="AD832" s="2421"/>
      <c r="AE832" s="2421"/>
      <c r="AF832" s="2422"/>
      <c r="AG832" s="2422"/>
      <c r="AH832" s="2422"/>
      <c r="AI832" s="2422"/>
      <c r="AJ832" s="2422"/>
      <c r="AK832" s="2422"/>
      <c r="AL832" s="714"/>
      <c r="AM832" s="494"/>
      <c r="AO832" s="449"/>
    </row>
    <row r="833" spans="1:81" ht="13">
      <c r="A833" s="716" t="s">
        <v>2245</v>
      </c>
      <c r="B833" s="2412" t="s">
        <v>2595</v>
      </c>
      <c r="C833" s="2412"/>
      <c r="D833" s="2412"/>
      <c r="E833" s="2412"/>
      <c r="F833" s="2412"/>
      <c r="G833" s="2412"/>
      <c r="H833" s="2412"/>
      <c r="I833" s="2412"/>
      <c r="J833" s="2412"/>
      <c r="K833" s="2412"/>
      <c r="L833" s="2412"/>
      <c r="M833" s="2412"/>
      <c r="N833" s="2412"/>
      <c r="O833" s="2412"/>
      <c r="P833" s="2412"/>
      <c r="Q833" s="2412"/>
      <c r="R833" s="2412"/>
      <c r="S833" s="2413"/>
      <c r="T833" s="2414">
        <f>AK190</f>
        <v>10</v>
      </c>
      <c r="U833" s="2414"/>
      <c r="V833" s="2414"/>
      <c r="W833" s="2414"/>
      <c r="X833" s="2414"/>
      <c r="Y833" s="2414"/>
      <c r="Z833" s="2395">
        <v>10</v>
      </c>
      <c r="AA833" s="2395"/>
      <c r="AB833" s="2395"/>
      <c r="AC833" s="2395"/>
      <c r="AD833" s="2395"/>
      <c r="AE833" s="2395"/>
      <c r="AF833" s="2395">
        <f>IF(T833&gt;Z833,Z833,T833)</f>
        <v>10</v>
      </c>
      <c r="AG833" s="2395"/>
      <c r="AH833" s="2395"/>
      <c r="AI833" s="2395"/>
      <c r="AJ833" s="2395"/>
      <c r="AK833" s="2395"/>
      <c r="AL833" s="714"/>
      <c r="AM833" s="494"/>
    </row>
    <row r="834" spans="1:81" ht="13" hidden="1">
      <c r="A834" s="715" t="s">
        <v>2255</v>
      </c>
      <c r="B834" s="2412" t="s">
        <v>2256</v>
      </c>
      <c r="C834" s="2412"/>
      <c r="D834" s="2412"/>
      <c r="E834" s="2412"/>
      <c r="F834" s="2412"/>
      <c r="G834" s="2412"/>
      <c r="H834" s="2412"/>
      <c r="I834" s="2412"/>
      <c r="J834" s="2412"/>
      <c r="K834" s="2412"/>
      <c r="L834" s="2412"/>
      <c r="M834" s="2412"/>
      <c r="N834" s="2412"/>
      <c r="O834" s="2412"/>
      <c r="P834" s="2412"/>
      <c r="Q834" s="2412"/>
      <c r="R834" s="2412"/>
      <c r="S834" s="2413"/>
      <c r="T834" s="2414">
        <f>AK272</f>
        <v>0</v>
      </c>
      <c r="U834" s="2414"/>
      <c r="V834" s="2414"/>
      <c r="W834" s="2414"/>
      <c r="X834" s="2414"/>
      <c r="Y834" s="2414"/>
      <c r="Z834" s="2415">
        <v>8</v>
      </c>
      <c r="AA834" s="2416"/>
      <c r="AB834" s="2416"/>
      <c r="AC834" s="2416"/>
      <c r="AD834" s="2416"/>
      <c r="AE834" s="2417"/>
      <c r="AF834" s="2395"/>
      <c r="AG834" s="2395"/>
      <c r="AH834" s="2395"/>
      <c r="AI834" s="2395"/>
      <c r="AJ834" s="2395"/>
      <c r="AK834" s="2395"/>
      <c r="AL834" s="714"/>
      <c r="AM834" s="494"/>
    </row>
    <row r="835" spans="1:81" s="434" customFormat="1" ht="13" hidden="1">
      <c r="A835" s="716" t="s">
        <v>1023</v>
      </c>
      <c r="B835" s="2412" t="s">
        <v>2596</v>
      </c>
      <c r="C835" s="2412"/>
      <c r="D835" s="2412"/>
      <c r="E835" s="2412"/>
      <c r="F835" s="2412"/>
      <c r="G835" s="2412"/>
      <c r="H835" s="2412"/>
      <c r="I835" s="2412"/>
      <c r="J835" s="2412"/>
      <c r="K835" s="2412"/>
      <c r="L835" s="2412"/>
      <c r="M835" s="2412"/>
      <c r="N835" s="2412"/>
      <c r="O835" s="2412"/>
      <c r="P835" s="2412"/>
      <c r="Q835" s="2412"/>
      <c r="R835" s="2412"/>
      <c r="S835" s="2413"/>
      <c r="T835" s="2414">
        <f>IF(AK548&gt;5,5,AK548)</f>
        <v>0</v>
      </c>
      <c r="U835" s="2414"/>
      <c r="V835" s="2414"/>
      <c r="W835" s="2414"/>
      <c r="X835" s="2414"/>
      <c r="Y835" s="2414"/>
      <c r="Z835" s="2395">
        <v>5</v>
      </c>
      <c r="AA835" s="2395"/>
      <c r="AB835" s="2395"/>
      <c r="AC835" s="2395"/>
      <c r="AD835" s="2395"/>
      <c r="AE835" s="2395"/>
      <c r="AF835" s="2395"/>
      <c r="AG835" s="2395"/>
      <c r="AH835" s="2395"/>
      <c r="AI835" s="2395"/>
      <c r="AJ835" s="2395"/>
      <c r="AK835" s="2395"/>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ht="13">
      <c r="A836" s="715" t="str">
        <f>A275</f>
        <v>h.</v>
      </c>
      <c r="B836" s="2412" t="str">
        <f>B275</f>
        <v>Readiness to Proceed</v>
      </c>
      <c r="C836" s="2412"/>
      <c r="D836" s="2412"/>
      <c r="E836" s="2412"/>
      <c r="F836" s="2412"/>
      <c r="G836" s="2412"/>
      <c r="H836" s="2412"/>
      <c r="I836" s="2412"/>
      <c r="J836" s="2412"/>
      <c r="K836" s="2412"/>
      <c r="L836" s="2412"/>
      <c r="M836" s="2412"/>
      <c r="N836" s="2412"/>
      <c r="O836" s="2412"/>
      <c r="P836" s="2412"/>
      <c r="Q836" s="2412"/>
      <c r="R836" s="2412"/>
      <c r="S836" s="2413"/>
      <c r="T836" s="2414">
        <f>AK298</f>
        <v>10</v>
      </c>
      <c r="U836" s="2414"/>
      <c r="V836" s="2414"/>
      <c r="W836" s="2414"/>
      <c r="X836" s="2414"/>
      <c r="Y836" s="2414"/>
      <c r="Z836" s="2395">
        <v>10</v>
      </c>
      <c r="AA836" s="2395"/>
      <c r="AB836" s="2395"/>
      <c r="AC836" s="2395"/>
      <c r="AD836" s="2395"/>
      <c r="AE836" s="2395"/>
      <c r="AF836" s="2423">
        <f>IF(T836&gt;Z836,Z836,T836)</f>
        <v>10</v>
      </c>
      <c r="AG836" s="2424"/>
      <c r="AH836" s="2424"/>
      <c r="AI836" s="2424"/>
      <c r="AJ836" s="2424"/>
      <c r="AK836" s="2425"/>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ht="13">
      <c r="A837" s="716" t="str">
        <f>A301</f>
        <v>i.</v>
      </c>
      <c r="B837" s="2412" t="str">
        <f>B301</f>
        <v>Access to Opportunity</v>
      </c>
      <c r="C837" s="2412"/>
      <c r="D837" s="2412"/>
      <c r="E837" s="2412"/>
      <c r="F837" s="2412"/>
      <c r="G837" s="2412"/>
      <c r="H837" s="2412"/>
      <c r="I837" s="2412"/>
      <c r="J837" s="2412"/>
      <c r="K837" s="2412"/>
      <c r="L837" s="2412"/>
      <c r="M837" s="2412"/>
      <c r="N837" s="2412"/>
      <c r="O837" s="2412"/>
      <c r="P837" s="2412"/>
      <c r="Q837" s="2412"/>
      <c r="R837" s="2412"/>
      <c r="S837" s="2413"/>
      <c r="T837" s="2414">
        <f>AK351</f>
        <v>9</v>
      </c>
      <c r="U837" s="2414"/>
      <c r="V837" s="2414"/>
      <c r="W837" s="2414"/>
      <c r="X837" s="2414"/>
      <c r="Y837" s="2414"/>
      <c r="Z837" s="2423">
        <v>10</v>
      </c>
      <c r="AA837" s="2424"/>
      <c r="AB837" s="2424"/>
      <c r="AC837" s="2424"/>
      <c r="AD837" s="2424"/>
      <c r="AE837" s="2425"/>
      <c r="AF837" s="2423">
        <f>IF(T837&gt;Z837,Z837,T837)</f>
        <v>9</v>
      </c>
      <c r="AG837" s="2424"/>
      <c r="AH837" s="2424"/>
      <c r="AI837" s="2424"/>
      <c r="AJ837" s="2424"/>
      <c r="AK837" s="2425"/>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t="13" hidden="1">
      <c r="A838" s="716"/>
      <c r="B838" s="717"/>
      <c r="C838" s="718" t="s">
        <v>2597</v>
      </c>
      <c r="D838" s="719"/>
      <c r="E838" s="719"/>
      <c r="F838" s="719"/>
      <c r="G838" s="719"/>
      <c r="H838" s="719"/>
      <c r="I838" s="719"/>
      <c r="J838" s="719"/>
      <c r="K838" s="719"/>
      <c r="L838" s="719"/>
      <c r="M838" s="719"/>
      <c r="N838" s="719"/>
      <c r="O838" s="719"/>
      <c r="P838" s="719"/>
      <c r="Q838" s="719"/>
      <c r="R838" s="717"/>
      <c r="S838" s="720"/>
      <c r="T838" s="2420">
        <f>AK351</f>
        <v>9</v>
      </c>
      <c r="U838" s="2420"/>
      <c r="V838" s="2420"/>
      <c r="W838" s="2420"/>
      <c r="X838" s="2420"/>
      <c r="Y838" s="2420"/>
      <c r="Z838" s="2324">
        <v>20</v>
      </c>
      <c r="AA838" s="2370"/>
      <c r="AB838" s="2370"/>
      <c r="AC838" s="2370"/>
      <c r="AD838" s="2370"/>
      <c r="AE838" s="2325"/>
      <c r="AF838" s="2422"/>
      <c r="AG838" s="2422"/>
      <c r="AH838" s="2422"/>
      <c r="AI838" s="2422"/>
      <c r="AJ838" s="2422"/>
      <c r="AK838" s="2422"/>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ht="13">
      <c r="A839" s="716" t="str">
        <f>A354</f>
        <v>j.</v>
      </c>
      <c r="B839" s="2412" t="s">
        <v>2342</v>
      </c>
      <c r="C839" s="2412"/>
      <c r="D839" s="2412"/>
      <c r="E839" s="2412"/>
      <c r="F839" s="2412"/>
      <c r="G839" s="2412"/>
      <c r="H839" s="2412"/>
      <c r="I839" s="2412"/>
      <c r="J839" s="2412"/>
      <c r="K839" s="2412"/>
      <c r="L839" s="2412"/>
      <c r="M839" s="2412"/>
      <c r="N839" s="2412"/>
      <c r="O839" s="2412"/>
      <c r="P839" s="2412"/>
      <c r="Q839" s="2412"/>
      <c r="R839" s="2412"/>
      <c r="S839" s="2413"/>
      <c r="T839" s="2414">
        <f>AK482</f>
        <v>10</v>
      </c>
      <c r="U839" s="2414"/>
      <c r="V839" s="2414"/>
      <c r="W839" s="2414"/>
      <c r="X839" s="2414"/>
      <c r="Y839" s="2414"/>
      <c r="Z839" s="2423">
        <v>10</v>
      </c>
      <c r="AA839" s="2424"/>
      <c r="AB839" s="2424"/>
      <c r="AC839" s="2424"/>
      <c r="AD839" s="2424"/>
      <c r="AE839" s="2425"/>
      <c r="AF839" s="2395">
        <f>IF(T839&gt;Z839,Z839,T839)</f>
        <v>10</v>
      </c>
      <c r="AG839" s="2395"/>
      <c r="AH839" s="2395"/>
      <c r="AI839" s="2395"/>
      <c r="AJ839" s="2395"/>
      <c r="AK839" s="2395"/>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ht="13">
      <c r="A840" s="716" t="str">
        <f>A551</f>
        <v>k.</v>
      </c>
      <c r="B840" s="2412" t="s">
        <v>2458</v>
      </c>
      <c r="C840" s="2412"/>
      <c r="D840" s="2412"/>
      <c r="E840" s="2412"/>
      <c r="F840" s="2412"/>
      <c r="G840" s="2412"/>
      <c r="H840" s="2412"/>
      <c r="I840" s="2412"/>
      <c r="J840" s="2412"/>
      <c r="K840" s="2412"/>
      <c r="L840" s="2412"/>
      <c r="M840" s="2412"/>
      <c r="N840" s="2412"/>
      <c r="O840" s="2412"/>
      <c r="P840" s="2412"/>
      <c r="Q840" s="2412"/>
      <c r="R840" s="2412"/>
      <c r="S840" s="2413"/>
      <c r="T840" s="2414">
        <f>AK572</f>
        <v>12</v>
      </c>
      <c r="U840" s="2414"/>
      <c r="V840" s="2414"/>
      <c r="W840" s="2414"/>
      <c r="X840" s="2414"/>
      <c r="Y840" s="2414"/>
      <c r="Z840" s="2423">
        <v>12</v>
      </c>
      <c r="AA840" s="2424"/>
      <c r="AB840" s="2424"/>
      <c r="AC840" s="2424"/>
      <c r="AD840" s="2424"/>
      <c r="AE840" s="2425"/>
      <c r="AF840" s="2395">
        <f>IF(T840&gt;Z840,Z840,T840)</f>
        <v>12</v>
      </c>
      <c r="AG840" s="2395"/>
      <c r="AH840" s="2395"/>
      <c r="AI840" s="2395"/>
      <c r="AJ840" s="2395"/>
      <c r="AK840" s="2395"/>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ht="13">
      <c r="A841" s="716" t="str">
        <f>A575</f>
        <v>l.</v>
      </c>
      <c r="B841" s="2412" t="s">
        <v>2598</v>
      </c>
      <c r="C841" s="2412"/>
      <c r="D841" s="2412"/>
      <c r="E841" s="2412"/>
      <c r="F841" s="2412"/>
      <c r="G841" s="2412"/>
      <c r="H841" s="2412"/>
      <c r="I841" s="2412"/>
      <c r="J841" s="2412"/>
      <c r="K841" s="2412"/>
      <c r="L841" s="2412"/>
      <c r="M841" s="2412"/>
      <c r="N841" s="2412"/>
      <c r="O841" s="2412"/>
      <c r="P841" s="2412"/>
      <c r="Q841" s="2412"/>
      <c r="R841" s="2412"/>
      <c r="S841" s="2413"/>
      <c r="T841" s="2414">
        <f>AK816</f>
        <v>10</v>
      </c>
      <c r="U841" s="2414"/>
      <c r="V841" s="2414"/>
      <c r="W841" s="2414"/>
      <c r="X841" s="2414"/>
      <c r="Y841" s="2414"/>
      <c r="Z841" s="2423">
        <v>10</v>
      </c>
      <c r="AA841" s="2424"/>
      <c r="AB841" s="2424"/>
      <c r="AC841" s="2424"/>
      <c r="AD841" s="2424"/>
      <c r="AE841" s="2425"/>
      <c r="AF841" s="2395">
        <f>IF(T841&gt;Z841,Z841,T841)</f>
        <v>10</v>
      </c>
      <c r="AG841" s="2395"/>
      <c r="AH841" s="2395"/>
      <c r="AI841" s="2395"/>
      <c r="AJ841" s="2395"/>
      <c r="AK841" s="2395"/>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ht="13">
      <c r="A842" s="438" t="s">
        <v>2599</v>
      </c>
      <c r="B842" s="596" t="s">
        <v>2600</v>
      </c>
      <c r="C842" s="596"/>
      <c r="D842" s="596"/>
      <c r="E842" s="596"/>
      <c r="F842" s="596"/>
      <c r="G842" s="596"/>
      <c r="H842" s="596"/>
      <c r="I842" s="596"/>
      <c r="J842" s="596"/>
      <c r="K842" s="596"/>
      <c r="L842" s="596"/>
      <c r="M842" s="596"/>
      <c r="N842" s="596"/>
      <c r="O842" s="596"/>
      <c r="P842" s="596"/>
      <c r="Q842" s="596"/>
      <c r="R842" s="596"/>
      <c r="S842" s="1089"/>
      <c r="T842" s="2426"/>
      <c r="U842" s="2426"/>
      <c r="V842" s="2426"/>
      <c r="W842" s="2426"/>
      <c r="X842" s="2426"/>
      <c r="Y842" s="2426"/>
      <c r="Z842" s="2421" t="s">
        <v>2601</v>
      </c>
      <c r="AA842" s="2421"/>
      <c r="AB842" s="2421"/>
      <c r="AC842" s="2421"/>
      <c r="AD842" s="2421"/>
      <c r="AE842" s="2421"/>
      <c r="AF842" s="2423">
        <f>ABS(T842)</f>
        <v>0</v>
      </c>
      <c r="AG842" s="2424"/>
      <c r="AH842" s="2424"/>
      <c r="AI842" s="2424"/>
      <c r="AJ842" s="2424"/>
      <c r="AK842" s="2425"/>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5">
      <c r="A843" s="2427" t="s">
        <v>2602</v>
      </c>
      <c r="B843" s="2428"/>
      <c r="C843" s="2428"/>
      <c r="D843" s="2428"/>
      <c r="E843" s="2428"/>
      <c r="F843" s="2428"/>
      <c r="G843" s="2428"/>
      <c r="H843" s="2428"/>
      <c r="I843" s="2428"/>
      <c r="J843" s="2428"/>
      <c r="K843" s="2428"/>
      <c r="L843" s="2428"/>
      <c r="M843" s="2428"/>
      <c r="N843" s="2428"/>
      <c r="O843" s="2428"/>
      <c r="P843" s="2428"/>
      <c r="Q843" s="2428"/>
      <c r="R843" s="2428"/>
      <c r="S843" s="2428"/>
      <c r="T843" s="2428"/>
      <c r="U843" s="2428"/>
      <c r="V843" s="2428"/>
      <c r="W843" s="2428"/>
      <c r="X843" s="2428"/>
      <c r="Y843" s="2428"/>
      <c r="Z843" s="2428"/>
      <c r="AA843" s="2428"/>
      <c r="AB843" s="2428"/>
      <c r="AC843" s="2428"/>
      <c r="AD843" s="2428"/>
      <c r="AE843" s="2429"/>
      <c r="AF843" s="2433">
        <f ca="1">SUM(AF826:AK841)-AF842</f>
        <v>111</v>
      </c>
      <c r="AG843" s="2434"/>
      <c r="AH843" s="2434"/>
      <c r="AI843" s="2434"/>
      <c r="AJ843" s="2434"/>
      <c r="AK843" s="2435"/>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5">
      <c r="A844" s="2430"/>
      <c r="B844" s="2431"/>
      <c r="C844" s="2431"/>
      <c r="D844" s="2431"/>
      <c r="E844" s="2431"/>
      <c r="F844" s="2431"/>
      <c r="G844" s="2431"/>
      <c r="H844" s="2431"/>
      <c r="I844" s="2431"/>
      <c r="J844" s="2431"/>
      <c r="K844" s="2431"/>
      <c r="L844" s="2431"/>
      <c r="M844" s="2431"/>
      <c r="N844" s="2431"/>
      <c r="O844" s="2431"/>
      <c r="P844" s="2431"/>
      <c r="Q844" s="2431"/>
      <c r="R844" s="2431"/>
      <c r="S844" s="2431"/>
      <c r="T844" s="2431"/>
      <c r="U844" s="2431"/>
      <c r="V844" s="2431"/>
      <c r="W844" s="2431"/>
      <c r="X844" s="2431"/>
      <c r="Y844" s="2431"/>
      <c r="Z844" s="2431"/>
      <c r="AA844" s="2431"/>
      <c r="AB844" s="2431"/>
      <c r="AC844" s="2431"/>
      <c r="AD844" s="2431"/>
      <c r="AE844" s="2432"/>
      <c r="AF844" s="2436"/>
      <c r="AG844" s="2437"/>
      <c r="AH844" s="2437"/>
      <c r="AI844" s="2437"/>
      <c r="AJ844" s="2437"/>
      <c r="AK844" s="2438"/>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Akanksha Singh</cp:lastModifiedBy>
  <cp:revision/>
  <cp:lastPrinted>2026-05-08T17:27:57Z</cp:lastPrinted>
  <dcterms:created xsi:type="dcterms:W3CDTF">2007-12-27T18:26:28Z</dcterms:created>
  <dcterms:modified xsi:type="dcterms:W3CDTF">2026-05-19T14:47:05Z</dcterms:modified>
  <cp:category/>
  <cp:contentStatus/>
</cp:coreProperties>
</file>